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C:\Users\GenWealth360\Downloads\"/>
    </mc:Choice>
  </mc:AlternateContent>
  <xr:revisionPtr revIDLastSave="0" documentId="13_ncr:1_{7DD3ACDA-A4F5-442D-B81E-E8259A7CCA49}" xr6:coauthVersionLast="47" xr6:coauthVersionMax="47" xr10:uidLastSave="{00000000-0000-0000-0000-000000000000}"/>
  <bookViews>
    <workbookView xWindow="75" yWindow="0" windowWidth="28725" windowHeight="15600" tabRatio="474" xr2:uid="{2C412D51-6872-4DBD-95A8-AB05B08D564D}"/>
  </bookViews>
  <sheets>
    <sheet name="Template" sheetId="23" r:id="rId1"/>
  </sheets>
  <definedNames>
    <definedName name="_xlnm._FilterDatabase" localSheetId="0" hidden="1">Template!$A$207:$I$414</definedName>
    <definedName name="periods" localSheetId="0">#REF!</definedName>
    <definedName name="periods">#REF!</definedName>
    <definedName name="_xlnm.Print_Area" localSheetId="0">Template!$A$23:$AC$117</definedName>
    <definedName name="valuevx">42.314159</definedName>
    <definedName name="vertex42_copyright" hidden="1">"© 2010-2020 Vertex42 LLC"</definedName>
    <definedName name="vertex42_id" hidden="1">"paycheck-calculator.xlsx"</definedName>
    <definedName name="vertex42_title" hidden="1">"Paycheck Calculator"</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0" i="23" l="1"/>
  <c r="C23" i="23"/>
  <c r="A117" i="23"/>
  <c r="J345" i="23" l="1"/>
  <c r="J343" i="23"/>
  <c r="G14" i="23"/>
  <c r="X102" i="23"/>
  <c r="Y102" i="23"/>
  <c r="Z102" i="23"/>
  <c r="AA102" i="23"/>
  <c r="AB102" i="23"/>
  <c r="AC102" i="23"/>
  <c r="AD102" i="23"/>
  <c r="AE102" i="23"/>
  <c r="X105" i="23"/>
  <c r="X106" i="23" s="1"/>
  <c r="X107" i="23" s="1"/>
  <c r="X112" i="23" s="1"/>
  <c r="Y105" i="23"/>
  <c r="Y106" i="23" s="1"/>
  <c r="Y107" i="23" s="1"/>
  <c r="Y112" i="23" s="1"/>
  <c r="Z105" i="23"/>
  <c r="Z106" i="23" s="1"/>
  <c r="AA105" i="23"/>
  <c r="AB105" i="23"/>
  <c r="AC105" i="23"/>
  <c r="AD105" i="23"/>
  <c r="AE105" i="23"/>
  <c r="AA106" i="23"/>
  <c r="AA107" i="23" s="1"/>
  <c r="AB106" i="23"/>
  <c r="AB107" i="23" s="1"/>
  <c r="AB112" i="23" s="1"/>
  <c r="AC106" i="23"/>
  <c r="AC107" i="23" s="1"/>
  <c r="AC112" i="23" s="1"/>
  <c r="AD106" i="23"/>
  <c r="AE106" i="23"/>
  <c r="AD107" i="23"/>
  <c r="AE107" i="23"/>
  <c r="X110" i="23"/>
  <c r="Y110" i="23"/>
  <c r="Z110" i="23"/>
  <c r="AA110" i="23"/>
  <c r="AA111" i="23" s="1"/>
  <c r="AB110" i="23"/>
  <c r="AB111" i="23" s="1"/>
  <c r="AC110" i="23"/>
  <c r="AD110" i="23"/>
  <c r="AD111" i="23" s="1"/>
  <c r="AE110" i="23"/>
  <c r="AE111" i="23" s="1"/>
  <c r="X111" i="23"/>
  <c r="Y111" i="23"/>
  <c r="Z111" i="23"/>
  <c r="AC111" i="23"/>
  <c r="X113" i="23"/>
  <c r="Y113" i="23"/>
  <c r="Z113" i="23"/>
  <c r="AA113" i="23"/>
  <c r="AB113" i="23"/>
  <c r="AC113" i="23"/>
  <c r="AD113" i="23"/>
  <c r="AE113" i="23"/>
  <c r="X114" i="23"/>
  <c r="Y114" i="23"/>
  <c r="Z114" i="23"/>
  <c r="AA114" i="23"/>
  <c r="AB114" i="23"/>
  <c r="AC114" i="23"/>
  <c r="AD114" i="23"/>
  <c r="AE114" i="23"/>
  <c r="AF163" i="23"/>
  <c r="AG163" i="23"/>
  <c r="AH163" i="23"/>
  <c r="AI163" i="23"/>
  <c r="AJ163" i="23"/>
  <c r="W164" i="23"/>
  <c r="AF164" i="23"/>
  <c r="AG164" i="23"/>
  <c r="AH164" i="23"/>
  <c r="AI164" i="23"/>
  <c r="AJ164" i="23"/>
  <c r="W165" i="23"/>
  <c r="X165" i="23"/>
  <c r="Y165" i="23"/>
  <c r="Z165" i="23"/>
  <c r="AA165" i="23"/>
  <c r="AB165" i="23"/>
  <c r="AC165" i="23"/>
  <c r="AF165" i="23"/>
  <c r="AG165" i="23"/>
  <c r="AH165" i="23"/>
  <c r="AI165" i="23"/>
  <c r="AJ165" i="23"/>
  <c r="W166" i="23"/>
  <c r="X166" i="23"/>
  <c r="Y166" i="23"/>
  <c r="Z166" i="23"/>
  <c r="AA166" i="23"/>
  <c r="AB166" i="23"/>
  <c r="AC166" i="23"/>
  <c r="W167" i="23"/>
  <c r="X167" i="23"/>
  <c r="Y167" i="23"/>
  <c r="Z167" i="23"/>
  <c r="AA167" i="23"/>
  <c r="AB167" i="23"/>
  <c r="AC167" i="23"/>
  <c r="AC173" i="23"/>
  <c r="AB173" i="23"/>
  <c r="AA173" i="23"/>
  <c r="Z173" i="23"/>
  <c r="AC172" i="23" a="1"/>
  <c r="AC172" i="23" s="1"/>
  <c r="AB172" i="23" a="1"/>
  <c r="AB172" i="23" s="1"/>
  <c r="AA172" i="23" a="1"/>
  <c r="AA172" i="23" s="1"/>
  <c r="Z172" i="23" a="1"/>
  <c r="Z172" i="23" s="1"/>
  <c r="AC171" i="23"/>
  <c r="AB171" i="23"/>
  <c r="AA171" i="23"/>
  <c r="Z171" i="23"/>
  <c r="AC170" i="23"/>
  <c r="AB170" i="23"/>
  <c r="AA170" i="23"/>
  <c r="Z170" i="23"/>
  <c r="AC168" i="23"/>
  <c r="AB168" i="23"/>
  <c r="AA168" i="23"/>
  <c r="Z168" i="23"/>
  <c r="AA112" i="23" l="1"/>
  <c r="Z107" i="23"/>
  <c r="Z112" i="23" s="1"/>
  <c r="AE112" i="23"/>
  <c r="AD112" i="23"/>
  <c r="N35" i="23"/>
  <c r="NQ12" i="23"/>
  <c r="NR12" i="23"/>
  <c r="NS12" i="23"/>
  <c r="NT12" i="23"/>
  <c r="NU12" i="23"/>
  <c r="NV12" i="23"/>
  <c r="NW12" i="23"/>
  <c r="NX12" i="23"/>
  <c r="N43" i="23"/>
  <c r="X7" i="23"/>
  <c r="X8" i="23" s="1"/>
  <c r="KR34" i="23"/>
  <c r="KY34" i="23"/>
  <c r="KX34" i="23"/>
  <c r="KW34" i="23"/>
  <c r="KV34" i="23"/>
  <c r="KU34" i="23"/>
  <c r="KT34" i="23"/>
  <c r="KS34" i="23"/>
  <c r="KS32" i="23"/>
  <c r="KT32" i="23"/>
  <c r="KU32" i="23"/>
  <c r="KV32" i="23"/>
  <c r="KW32" i="23"/>
  <c r="KX32" i="23"/>
  <c r="KY32" i="23"/>
  <c r="KR32" i="23"/>
  <c r="RB14" i="23"/>
  <c r="RC14" i="23"/>
  <c r="RD14" i="23"/>
  <c r="RE14" i="23"/>
  <c r="RF14" i="23"/>
  <c r="RG14" i="23"/>
  <c r="RH14" i="23"/>
  <c r="RA14" i="23"/>
  <c r="G16" i="23"/>
  <c r="NQ27" i="23"/>
  <c r="NR27" i="23"/>
  <c r="NS27" i="23"/>
  <c r="NT27" i="23"/>
  <c r="NU27" i="23"/>
  <c r="NV27" i="23"/>
  <c r="NW27" i="23"/>
  <c r="NX27" i="23"/>
  <c r="BQ74" i="23"/>
  <c r="BP74" i="23"/>
  <c r="BO74" i="23"/>
  <c r="BN74" i="23"/>
  <c r="BM74" i="23"/>
  <c r="BL74" i="23"/>
  <c r="BK74" i="23"/>
  <c r="BR69" i="23"/>
  <c r="BR71" i="23" s="1"/>
  <c r="BQ69" i="23"/>
  <c r="BQ71" i="23" s="1"/>
  <c r="BP69" i="23"/>
  <c r="BP71" i="23" s="1"/>
  <c r="BO69" i="23"/>
  <c r="BO71" i="23" s="1"/>
  <c r="BN69" i="23"/>
  <c r="BN71" i="23" s="1"/>
  <c r="BM69" i="23"/>
  <c r="BM71" i="23" s="1"/>
  <c r="BL69" i="23"/>
  <c r="BL71" i="23" s="1"/>
  <c r="BK69" i="23"/>
  <c r="BK71" i="23" s="1"/>
  <c r="BR62" i="23"/>
  <c r="BQ62" i="23"/>
  <c r="BP62" i="23"/>
  <c r="BO62" i="23"/>
  <c r="BN62" i="23"/>
  <c r="BM62" i="23"/>
  <c r="BL62" i="23"/>
  <c r="BK62" i="23"/>
  <c r="BQ56" i="23"/>
  <c r="BQ57" i="23" s="1"/>
  <c r="BP56" i="23"/>
  <c r="BP57" i="23" s="1"/>
  <c r="BP58" i="23" s="1"/>
  <c r="BO56" i="23"/>
  <c r="BO57" i="23" s="1"/>
  <c r="BO58" i="23" s="1"/>
  <c r="BN56" i="23"/>
  <c r="BN57" i="23" s="1"/>
  <c r="BM56" i="23"/>
  <c r="BL56" i="23"/>
  <c r="BL57" i="23" s="1"/>
  <c r="BL58" i="23" s="1"/>
  <c r="BK56" i="23"/>
  <c r="BK57" i="23" s="1"/>
  <c r="BQ55" i="23"/>
  <c r="BP55" i="23"/>
  <c r="BO55" i="23"/>
  <c r="BN55" i="23"/>
  <c r="BM55" i="23"/>
  <c r="BL55" i="23"/>
  <c r="BK55" i="23"/>
  <c r="BQ54" i="23"/>
  <c r="BP54" i="23"/>
  <c r="BO54" i="23"/>
  <c r="BN54" i="23"/>
  <c r="BM54" i="23"/>
  <c r="BL54" i="23"/>
  <c r="BK54" i="23"/>
  <c r="BQ53" i="23"/>
  <c r="BP53" i="23"/>
  <c r="BO53" i="23"/>
  <c r="BN53" i="23"/>
  <c r="BM53" i="23"/>
  <c r="BL53" i="23"/>
  <c r="BK53" i="23"/>
  <c r="BJ62" i="23"/>
  <c r="BJ56" i="23"/>
  <c r="BJ74" i="23"/>
  <c r="BJ69" i="23"/>
  <c r="BJ71" i="23" s="1"/>
  <c r="BN58" i="23" l="1"/>
  <c r="BN65" i="23" s="1"/>
  <c r="BN72" i="23" s="1"/>
  <c r="BK58" i="23"/>
  <c r="BK65" i="23" s="1"/>
  <c r="BK72" i="23" s="1"/>
  <c r="BL65" i="23"/>
  <c r="BL72" i="23" s="1"/>
  <c r="BP65" i="23"/>
  <c r="BP72" i="23" s="1"/>
  <c r="BO65" i="23"/>
  <c r="BO72" i="23" s="1"/>
  <c r="BM57" i="23"/>
  <c r="BM58" i="23" s="1"/>
  <c r="BM65" i="23" s="1"/>
  <c r="BM72" i="23" s="1"/>
  <c r="BQ58" i="23"/>
  <c r="BQ65" i="23" s="1"/>
  <c r="BQ72" i="23" s="1"/>
  <c r="BJ57" i="23"/>
  <c r="BJ58" i="23" s="1"/>
  <c r="BJ55" i="23"/>
  <c r="BJ54" i="23"/>
  <c r="BJ53" i="23"/>
  <c r="I77" i="23"/>
  <c r="C77" i="23"/>
  <c r="D77" i="23"/>
  <c r="E77" i="23"/>
  <c r="F77" i="23"/>
  <c r="G77" i="23"/>
  <c r="H77" i="23"/>
  <c r="B342" i="23"/>
  <c r="BJ65" i="23" l="1"/>
  <c r="BJ72" i="23" s="1"/>
  <c r="B346" i="23"/>
  <c r="C342" i="23"/>
  <c r="D342" i="23"/>
  <c r="E342" i="23"/>
  <c r="F342" i="23"/>
  <c r="G342" i="23"/>
  <c r="H342" i="23"/>
  <c r="I342" i="23"/>
  <c r="I345" i="23" s="1"/>
  <c r="C343" i="23"/>
  <c r="D343" i="23"/>
  <c r="E343" i="23"/>
  <c r="F343" i="23"/>
  <c r="G343" i="23"/>
  <c r="H343" i="23"/>
  <c r="I343" i="23"/>
  <c r="B343" i="23"/>
  <c r="P215" i="23"/>
  <c r="P216" i="23" s="1"/>
  <c r="G345" i="23" l="1"/>
  <c r="H345" i="23"/>
  <c r="E345" i="23"/>
  <c r="F345" i="23"/>
  <c r="D345" i="23"/>
  <c r="C345" i="23"/>
  <c r="R35" i="23"/>
  <c r="N36" i="23"/>
  <c r="N37" i="23"/>
  <c r="N38" i="23"/>
  <c r="N39" i="23"/>
  <c r="N40" i="23"/>
  <c r="N41" i="23"/>
  <c r="N42" i="23"/>
  <c r="N44" i="23"/>
  <c r="N47" i="23"/>
  <c r="N48" i="23"/>
  <c r="OY14" i="23"/>
  <c r="OZ14" i="23"/>
  <c r="PA14" i="23"/>
  <c r="PB14" i="23"/>
  <c r="PC14" i="23"/>
  <c r="PD14" i="23"/>
  <c r="PE14" i="23"/>
  <c r="S68" i="23"/>
  <c r="B56" i="23"/>
  <c r="L65" i="23"/>
  <c r="J29" i="23"/>
  <c r="J5" i="23"/>
  <c r="J28" i="23"/>
  <c r="Z32" i="23" s="1"/>
  <c r="J10" i="23" l="1"/>
  <c r="J9" i="23"/>
  <c r="J8" i="23"/>
  <c r="J7" i="23"/>
  <c r="J6" i="23"/>
  <c r="J4" i="23"/>
  <c r="A50" i="23" l="1"/>
  <c r="J50" i="23" s="1"/>
  <c r="A48" i="23"/>
  <c r="C223" i="23" s="1"/>
  <c r="A46" i="23"/>
  <c r="J46" i="23" s="1"/>
  <c r="A44" i="23"/>
  <c r="J44" i="23" s="1"/>
  <c r="A42" i="23"/>
  <c r="C215" i="23" s="1"/>
  <c r="J40" i="23"/>
  <c r="L217" i="23"/>
  <c r="L216" i="23"/>
  <c r="J45" i="23"/>
  <c r="J1" i="23"/>
  <c r="S82" i="23"/>
  <c r="S80" i="23"/>
  <c r="S78" i="23"/>
  <c r="S76" i="23"/>
  <c r="S75" i="23"/>
  <c r="L213" i="23"/>
  <c r="L214" i="23"/>
  <c r="L215" i="23"/>
  <c r="L212" i="23"/>
  <c r="J61" i="23"/>
  <c r="S70" i="23"/>
  <c r="J71" i="23"/>
  <c r="J64" i="23"/>
  <c r="J62" i="23"/>
  <c r="J49" i="23"/>
  <c r="J43" i="23"/>
  <c r="J3" i="23"/>
  <c r="X208" i="23" s="1"/>
  <c r="J2" i="23"/>
  <c r="X42" i="23"/>
  <c r="AE42" i="23" s="1"/>
  <c r="X41" i="23"/>
  <c r="J113" i="23"/>
  <c r="J112" i="23"/>
  <c r="J111" i="23"/>
  <c r="J110" i="23"/>
  <c r="J108" i="23"/>
  <c r="J99" i="23"/>
  <c r="J98" i="23"/>
  <c r="J97" i="23"/>
  <c r="J96" i="23"/>
  <c r="J91" i="23"/>
  <c r="J89" i="23"/>
  <c r="J88" i="23"/>
  <c r="J87" i="23"/>
  <c r="J86" i="23"/>
  <c r="J85" i="23"/>
  <c r="J76" i="23"/>
  <c r="J75" i="23"/>
  <c r="J74" i="23"/>
  <c r="J73" i="23"/>
  <c r="J69" i="23"/>
  <c r="J70" i="23"/>
  <c r="J68" i="23"/>
  <c r="J63" i="23"/>
  <c r="J58" i="23"/>
  <c r="J53" i="23"/>
  <c r="J54" i="23"/>
  <c r="J55" i="23"/>
  <c r="J52" i="23"/>
  <c r="J51" i="23"/>
  <c r="J47" i="23"/>
  <c r="J31" i="23"/>
  <c r="BR53" i="23" s="1"/>
  <c r="J32" i="23"/>
  <c r="J33" i="23"/>
  <c r="BR54" i="23" s="1"/>
  <c r="J34" i="23"/>
  <c r="J305" i="23" s="1"/>
  <c r="J35" i="23"/>
  <c r="J36" i="23"/>
  <c r="BR55" i="23" s="1"/>
  <c r="J37" i="23"/>
  <c r="J38" i="23"/>
  <c r="J30" i="23"/>
  <c r="DJ11" i="23" s="1"/>
  <c r="X190" i="23"/>
  <c r="J27" i="23"/>
  <c r="X177" i="23" s="1"/>
  <c r="J26" i="23"/>
  <c r="X43" i="23"/>
  <c r="W43" i="23"/>
  <c r="Y40" i="23"/>
  <c r="X40" i="23"/>
  <c r="X38" i="23"/>
  <c r="AC32" i="23"/>
  <c r="AB32" i="23"/>
  <c r="W221" i="23"/>
  <c r="W223" i="23" s="1"/>
  <c r="V221" i="23"/>
  <c r="V223" i="23" s="1"/>
  <c r="U221" i="23"/>
  <c r="U223" i="23" s="1"/>
  <c r="T221" i="23"/>
  <c r="T223" i="23" s="1"/>
  <c r="S221" i="23"/>
  <c r="S222" i="23" s="1"/>
  <c r="R221" i="23"/>
  <c r="R222" i="23" s="1"/>
  <c r="Q221" i="23"/>
  <c r="Q222" i="23" s="1"/>
  <c r="W215" i="23"/>
  <c r="W216" i="23" s="1"/>
  <c r="V215" i="23"/>
  <c r="V216" i="23" s="1"/>
  <c r="U215" i="23"/>
  <c r="T215" i="23"/>
  <c r="T216" i="23" s="1"/>
  <c r="T224" i="23" s="1"/>
  <c r="S215" i="23"/>
  <c r="S216" i="23" s="1"/>
  <c r="R215" i="23"/>
  <c r="R216" i="23" s="1"/>
  <c r="Q215" i="23"/>
  <c r="Q216" i="23" s="1"/>
  <c r="P221" i="23"/>
  <c r="P223" i="23" s="1"/>
  <c r="P217" i="23"/>
  <c r="Q208" i="23"/>
  <c r="R208" i="23"/>
  <c r="S208" i="23"/>
  <c r="T208" i="23"/>
  <c r="U208" i="23"/>
  <c r="V208" i="23"/>
  <c r="W208" i="23"/>
  <c r="P208" i="23"/>
  <c r="Q195" i="23"/>
  <c r="R195" i="23"/>
  <c r="S195" i="23"/>
  <c r="T195" i="23"/>
  <c r="U195" i="23"/>
  <c r="V195" i="23"/>
  <c r="W195" i="23"/>
  <c r="P195" i="23"/>
  <c r="Q182" i="23"/>
  <c r="R182" i="23"/>
  <c r="S182" i="23"/>
  <c r="T182" i="23"/>
  <c r="U182" i="23"/>
  <c r="V182" i="23"/>
  <c r="W182" i="23"/>
  <c r="P182" i="23"/>
  <c r="Q169" i="23"/>
  <c r="R169" i="23"/>
  <c r="S169" i="23"/>
  <c r="T169" i="23"/>
  <c r="U169" i="23"/>
  <c r="V169" i="23"/>
  <c r="W169" i="23"/>
  <c r="P169" i="23"/>
  <c r="W203" i="23"/>
  <c r="V203" i="23"/>
  <c r="U203" i="23"/>
  <c r="T203" i="23"/>
  <c r="S203" i="23"/>
  <c r="R203" i="23"/>
  <c r="Q203" i="23"/>
  <c r="P203" i="23"/>
  <c r="W190" i="23"/>
  <c r="V190" i="23"/>
  <c r="U190" i="23"/>
  <c r="T190" i="23"/>
  <c r="S190" i="23"/>
  <c r="R190" i="23"/>
  <c r="Q190" i="23"/>
  <c r="P190" i="23"/>
  <c r="W177" i="23"/>
  <c r="V177" i="23"/>
  <c r="U177" i="23"/>
  <c r="T177" i="23"/>
  <c r="S177" i="23"/>
  <c r="R177" i="23"/>
  <c r="Q177" i="23"/>
  <c r="P177" i="23"/>
  <c r="V164" i="23"/>
  <c r="U164" i="23"/>
  <c r="T164" i="23"/>
  <c r="S164" i="23"/>
  <c r="R164" i="23"/>
  <c r="Q164" i="23"/>
  <c r="P164" i="23"/>
  <c r="J342" i="23"/>
  <c r="J308" i="23"/>
  <c r="X235" i="23"/>
  <c r="X234" i="23"/>
  <c r="X229" i="23"/>
  <c r="X228" i="23"/>
  <c r="X186" i="23"/>
  <c r="X185" i="23" a="1"/>
  <c r="X185" i="23" s="1"/>
  <c r="X184" i="23"/>
  <c r="X183" i="23"/>
  <c r="X173" i="23"/>
  <c r="X172" i="23" a="1"/>
  <c r="X172" i="23" s="1"/>
  <c r="X171" i="23"/>
  <c r="X170" i="23"/>
  <c r="AM163" i="23"/>
  <c r="E241" i="23"/>
  <c r="E242" i="23" s="1"/>
  <c r="E243" i="23" s="1"/>
  <c r="E244" i="23" s="1"/>
  <c r="E245" i="23" s="1"/>
  <c r="E246" i="23" s="1"/>
  <c r="E247" i="23" s="1"/>
  <c r="E248" i="23" s="1"/>
  <c r="E249" i="23" s="1"/>
  <c r="E250" i="23" s="1"/>
  <c r="E251" i="23" s="1"/>
  <c r="E252" i="23" s="1"/>
  <c r="E253" i="23" s="1"/>
  <c r="E254" i="23" s="1"/>
  <c r="E255" i="23" s="1"/>
  <c r="E256" i="23" s="1"/>
  <c r="E257" i="23" s="1"/>
  <c r="E258" i="23" s="1"/>
  <c r="E259" i="23" s="1"/>
  <c r="VO13" i="23"/>
  <c r="UH13" i="23"/>
  <c r="SP13" i="23"/>
  <c r="SE13" i="23"/>
  <c r="RT13" i="23"/>
  <c r="NN13" i="23"/>
  <c r="MR13" i="23"/>
  <c r="MG13" i="23"/>
  <c r="KZ23" i="23"/>
  <c r="KZ19" i="23"/>
  <c r="KZ46" i="23"/>
  <c r="KZ52" i="23"/>
  <c r="IL13" i="23"/>
  <c r="IA13" i="23"/>
  <c r="HP13" i="23"/>
  <c r="GT13" i="23"/>
  <c r="HE13" i="23"/>
  <c r="EF13" i="23"/>
  <c r="EF14" i="23" s="1"/>
  <c r="EF17" i="23" s="1"/>
  <c r="DU13" i="23"/>
  <c r="DU14" i="23" s="1"/>
  <c r="DU17" i="23" s="1"/>
  <c r="DU2" i="23" s="1"/>
  <c r="CC13" i="23"/>
  <c r="CC14" i="23" s="1"/>
  <c r="CC17" i="23" s="1"/>
  <c r="CC2" i="23" s="1"/>
  <c r="BG13" i="23"/>
  <c r="W218" i="23"/>
  <c r="AC235" i="23"/>
  <c r="AB235" i="23"/>
  <c r="AA235" i="23"/>
  <c r="Z235" i="23"/>
  <c r="Y235" i="23"/>
  <c r="AC234" i="23"/>
  <c r="AB234" i="23"/>
  <c r="AA234" i="23"/>
  <c r="Z234" i="23"/>
  <c r="Y234" i="23"/>
  <c r="AC229" i="23"/>
  <c r="AB229" i="23"/>
  <c r="AA229" i="23"/>
  <c r="Z229" i="23"/>
  <c r="Y229" i="23"/>
  <c r="AC228" i="23"/>
  <c r="AC230" i="23" s="1"/>
  <c r="AB228" i="23"/>
  <c r="AA228" i="23"/>
  <c r="Z228" i="23"/>
  <c r="Y228" i="23"/>
  <c r="AC223" i="23"/>
  <c r="AB223" i="23"/>
  <c r="AA223" i="23"/>
  <c r="Z223" i="23"/>
  <c r="Y223" i="23"/>
  <c r="AC222" i="23"/>
  <c r="AC224" i="23" s="1"/>
  <c r="AB222" i="23"/>
  <c r="AB224" i="23" s="1"/>
  <c r="AA222" i="23"/>
  <c r="AA236" i="23" s="1"/>
  <c r="Z222" i="23"/>
  <c r="Y222" i="23"/>
  <c r="AB236" i="23"/>
  <c r="Y256" i="23"/>
  <c r="Q236" i="23"/>
  <c r="R236" i="23"/>
  <c r="S236" i="23"/>
  <c r="U236" i="23"/>
  <c r="V236" i="23"/>
  <c r="W236" i="23"/>
  <c r="Q230" i="23"/>
  <c r="R230" i="23"/>
  <c r="S230" i="23"/>
  <c r="U230" i="23"/>
  <c r="V230" i="23"/>
  <c r="W230" i="23"/>
  <c r="AA224" i="23"/>
  <c r="Q224" i="23"/>
  <c r="R224" i="23"/>
  <c r="S224" i="23"/>
  <c r="U224" i="23"/>
  <c r="V224" i="23"/>
  <c r="W224" i="23"/>
  <c r="W235" i="23"/>
  <c r="V235" i="23"/>
  <c r="U235" i="23"/>
  <c r="T235" i="23"/>
  <c r="S235" i="23"/>
  <c r="R235" i="23"/>
  <c r="Q235" i="23"/>
  <c r="P235" i="23"/>
  <c r="W234" i="23"/>
  <c r="V234" i="23"/>
  <c r="U234" i="23"/>
  <c r="T234" i="23"/>
  <c r="S234" i="23"/>
  <c r="R234" i="23"/>
  <c r="Q234" i="23"/>
  <c r="P234" i="23"/>
  <c r="W229" i="23"/>
  <c r="V229" i="23"/>
  <c r="U229" i="23"/>
  <c r="T229" i="23"/>
  <c r="S229" i="23"/>
  <c r="R229" i="23"/>
  <c r="Q229" i="23"/>
  <c r="P229" i="23"/>
  <c r="W228" i="23"/>
  <c r="V228" i="23"/>
  <c r="U228" i="23"/>
  <c r="T228" i="23"/>
  <c r="S228" i="23"/>
  <c r="R228" i="23"/>
  <c r="Q228" i="23"/>
  <c r="P228" i="23"/>
  <c r="Y217" i="23"/>
  <c r="Y218" i="23"/>
  <c r="AA218" i="23"/>
  <c r="AB218" i="23"/>
  <c r="AC218" i="23"/>
  <c r="Y216" i="23"/>
  <c r="Y230" i="23" s="1"/>
  <c r="Z216" i="23"/>
  <c r="Z224" i="23" s="1"/>
  <c r="AA216" i="23"/>
  <c r="AB216" i="23"/>
  <c r="AC216" i="23"/>
  <c r="Z217" i="23"/>
  <c r="AA217" i="23"/>
  <c r="AB217" i="23"/>
  <c r="AC217" i="23"/>
  <c r="V218" i="23"/>
  <c r="U216" i="23"/>
  <c r="U217" i="23"/>
  <c r="Q218" i="23"/>
  <c r="R218" i="23"/>
  <c r="S218" i="23"/>
  <c r="T218" i="23"/>
  <c r="U218" i="23"/>
  <c r="KR56" i="23"/>
  <c r="BQ14" i="23"/>
  <c r="AH461" i="23"/>
  <c r="AH444" i="23"/>
  <c r="AH445" i="23" s="1"/>
  <c r="AH455" i="23" s="1"/>
  <c r="AH442" i="23"/>
  <c r="AH441" i="23"/>
  <c r="AH447" i="23" s="1"/>
  <c r="AH425" i="23"/>
  <c r="AH426" i="23" s="1"/>
  <c r="AH436" i="23" s="1"/>
  <c r="AH423" i="23"/>
  <c r="AH435" i="23" s="1"/>
  <c r="AH412" i="23"/>
  <c r="AH395" i="23"/>
  <c r="AH396" i="23" s="1"/>
  <c r="AH406" i="23" s="1"/>
  <c r="AH394" i="23"/>
  <c r="AH393" i="23"/>
  <c r="AH405" i="23" s="1"/>
  <c r="AH376" i="23"/>
  <c r="AH377" i="23" s="1"/>
  <c r="AH387" i="23" s="1"/>
  <c r="AH375" i="23"/>
  <c r="AH374" i="23"/>
  <c r="AH383" i="23" s="1"/>
  <c r="AH363" i="23"/>
  <c r="AH362" i="23"/>
  <c r="AH364" i="23" s="1"/>
  <c r="AH359" i="23"/>
  <c r="AH360" i="23" s="1"/>
  <c r="AH346" i="23"/>
  <c r="AH347" i="23" s="1"/>
  <c r="AH357" i="23" s="1"/>
  <c r="AH345" i="23"/>
  <c r="AH344" i="23"/>
  <c r="AH343" i="23"/>
  <c r="AH348" i="23" s="1"/>
  <c r="AH340" i="23"/>
  <c r="AH341" i="23" s="1"/>
  <c r="AH333" i="23"/>
  <c r="AH382" i="23" s="1"/>
  <c r="AH327" i="23"/>
  <c r="AH328" i="23" s="1"/>
  <c r="AH338" i="23" s="1"/>
  <c r="AH326" i="23"/>
  <c r="AH325" i="23"/>
  <c r="AH337" i="23" s="1"/>
  <c r="AH324" i="23"/>
  <c r="AH305" i="23"/>
  <c r="AH438" i="23" s="1"/>
  <c r="AH439" i="23" s="1"/>
  <c r="AH307" i="23"/>
  <c r="AH306" i="23"/>
  <c r="AH389" i="23" s="1"/>
  <c r="AH390" i="23" s="1"/>
  <c r="CG21" i="23"/>
  <c r="CH21" i="23"/>
  <c r="CI21" i="23"/>
  <c r="CK21" i="23"/>
  <c r="CL21" i="23"/>
  <c r="CM21" i="23"/>
  <c r="T60" i="23" a="1"/>
  <c r="T53" i="23" a="1"/>
  <c r="T56" i="23" a="1"/>
  <c r="T34" i="23" a="1"/>
  <c r="T42" i="23" a="1"/>
  <c r="T57" i="23" a="1"/>
  <c r="T43" i="23" a="1"/>
  <c r="T69" i="23" a="1"/>
  <c r="T73" i="23" a="1"/>
  <c r="T40" i="23" a="1"/>
  <c r="T61" i="23" a="1"/>
  <c r="T72" i="23" a="1"/>
  <c r="T44" i="23" a="1"/>
  <c r="T54" i="23" a="1"/>
  <c r="T51" i="23" a="1"/>
  <c r="T39" i="23" a="1"/>
  <c r="T70" i="23" a="1"/>
  <c r="T52" i="23" a="1"/>
  <c r="T59" i="23" a="1"/>
  <c r="T65" i="23" a="1"/>
  <c r="T64" i="23" a="1"/>
  <c r="T45" i="23" a="1"/>
  <c r="T47" i="23" a="1"/>
  <c r="T74" i="23" a="1"/>
  <c r="T33" i="23" a="1"/>
  <c r="T68" i="23" a="1"/>
  <c r="T67" i="23" a="1"/>
  <c r="T41" i="23" a="1"/>
  <c r="T35" i="23" a="1"/>
  <c r="T75" i="23" a="1"/>
  <c r="T49" i="23" a="1"/>
  <c r="T48" i="23" a="1"/>
  <c r="T71" i="23" a="1"/>
  <c r="T62" i="23" a="1"/>
  <c r="T46" i="23" a="1"/>
  <c r="T63" i="23" a="1"/>
  <c r="T38" i="23" a="1"/>
  <c r="T50" i="23" a="1"/>
  <c r="T55" i="23" a="1"/>
  <c r="T58" i="23" a="1"/>
  <c r="T37" i="23" a="1"/>
  <c r="T66" i="23" a="1"/>
  <c r="T36" i="23" a="1"/>
  <c r="X164" i="23" l="1"/>
  <c r="X168" i="23" s="1"/>
  <c r="R223" i="23"/>
  <c r="NY12" i="23"/>
  <c r="W32" i="23"/>
  <c r="Z29" i="23" s="1"/>
  <c r="Q223" i="23"/>
  <c r="U222" i="23"/>
  <c r="KZ34" i="23"/>
  <c r="KZ32" i="23"/>
  <c r="RI14" i="23"/>
  <c r="V222" i="23"/>
  <c r="Q217" i="23"/>
  <c r="BR74" i="23"/>
  <c r="NY27" i="23"/>
  <c r="X182" i="23"/>
  <c r="X179" i="23" s="1"/>
  <c r="P224" i="23"/>
  <c r="P230" i="23"/>
  <c r="P218" i="23"/>
  <c r="P256" i="23"/>
  <c r="C220" i="23"/>
  <c r="J42" i="23"/>
  <c r="P251" i="23"/>
  <c r="S223" i="23"/>
  <c r="X195" i="23"/>
  <c r="X192" i="23" s="1"/>
  <c r="W217" i="23"/>
  <c r="C221" i="23"/>
  <c r="V217" i="23"/>
  <c r="C222" i="23"/>
  <c r="C224" i="23"/>
  <c r="J48" i="23"/>
  <c r="HP14" i="23"/>
  <c r="HP17" i="23" s="1"/>
  <c r="HP2" i="23" s="1"/>
  <c r="J312" i="23"/>
  <c r="LV12" i="23"/>
  <c r="S69" i="23"/>
  <c r="HE14" i="23"/>
  <c r="HE17" i="23" s="1"/>
  <c r="HE2" i="23" s="1"/>
  <c r="J319" i="23"/>
  <c r="AN189" i="23"/>
  <c r="CN12" i="23"/>
  <c r="J346" i="23"/>
  <c r="IA14" i="23"/>
  <c r="IA17" i="23" s="1"/>
  <c r="IA2" i="23" s="1"/>
  <c r="C214" i="23"/>
  <c r="C219" i="23"/>
  <c r="AN203" i="23"/>
  <c r="AN177" i="23"/>
  <c r="T70" i="23"/>
  <c r="T34" i="23"/>
  <c r="T40" i="23"/>
  <c r="T46" i="23"/>
  <c r="T52" i="23"/>
  <c r="T58" i="23"/>
  <c r="T64" i="23"/>
  <c r="T35" i="23"/>
  <c r="T71" i="23"/>
  <c r="T65" i="23"/>
  <c r="T59" i="23"/>
  <c r="T36" i="23"/>
  <c r="T42" i="23"/>
  <c r="T48" i="23"/>
  <c r="T54" i="23"/>
  <c r="T60" i="23"/>
  <c r="T66" i="23"/>
  <c r="T72" i="23"/>
  <c r="T53" i="23"/>
  <c r="T41" i="23"/>
  <c r="T37" i="23"/>
  <c r="T43" i="23"/>
  <c r="T49" i="23"/>
  <c r="T55" i="23"/>
  <c r="T61" i="23"/>
  <c r="T67" i="23"/>
  <c r="T73" i="23"/>
  <c r="T47" i="23"/>
  <c r="T38" i="23"/>
  <c r="T44" i="23"/>
  <c r="T50" i="23"/>
  <c r="T56" i="23"/>
  <c r="T62" i="23"/>
  <c r="T68" i="23"/>
  <c r="T74" i="23"/>
  <c r="T33" i="23"/>
  <c r="T39" i="23"/>
  <c r="T45" i="23"/>
  <c r="T51" i="23"/>
  <c r="T57" i="23"/>
  <c r="T63" i="23"/>
  <c r="T69" i="23"/>
  <c r="T75" i="23"/>
  <c r="GT14" i="23"/>
  <c r="GT17" i="23" s="1"/>
  <c r="GT2" i="23" s="1"/>
  <c r="NN14" i="23"/>
  <c r="NN17" i="23" s="1"/>
  <c r="NN2" i="23" s="1"/>
  <c r="AN190" i="23"/>
  <c r="IL14" i="23"/>
  <c r="IL17" i="23" s="1"/>
  <c r="IL2" i="23" s="1"/>
  <c r="QB11" i="23"/>
  <c r="AN176" i="23"/>
  <c r="JH12" i="23"/>
  <c r="AN164" i="23"/>
  <c r="X169" i="23"/>
  <c r="P222" i="23"/>
  <c r="AD32" i="23"/>
  <c r="X203" i="23"/>
  <c r="X206" i="23" s="1"/>
  <c r="X181" i="23"/>
  <c r="AN178" i="23"/>
  <c r="J306" i="23"/>
  <c r="J309" i="23" s="1"/>
  <c r="T217" i="23"/>
  <c r="S217" i="23"/>
  <c r="R217" i="23"/>
  <c r="X199" i="23"/>
  <c r="X197" i="23"/>
  <c r="AN191" i="23"/>
  <c r="T222" i="23"/>
  <c r="T230" i="23" s="1"/>
  <c r="X180" i="23"/>
  <c r="AN165" i="23"/>
  <c r="X221" i="23"/>
  <c r="X222" i="23" s="1"/>
  <c r="X215" i="23"/>
  <c r="X216" i="23" s="1"/>
  <c r="AN163" i="23"/>
  <c r="X193" i="23"/>
  <c r="X194" i="23"/>
  <c r="AN202" i="23"/>
  <c r="X196" i="23"/>
  <c r="W222" i="23"/>
  <c r="X205" i="23"/>
  <c r="T236" i="23"/>
  <c r="KZ24" i="23"/>
  <c r="KZ27" i="23" s="1" a="1"/>
  <c r="KZ27" i="23" s="1"/>
  <c r="KZ28" i="23" s="1"/>
  <c r="KZ35" i="23"/>
  <c r="KZ37" i="23"/>
  <c r="AC236" i="23"/>
  <c r="AB230" i="23"/>
  <c r="AA230" i="23"/>
  <c r="Z218" i="23"/>
  <c r="Y236" i="23"/>
  <c r="Z230" i="23"/>
  <c r="Z236" i="23"/>
  <c r="Y224" i="23"/>
  <c r="AH385" i="23" a="1"/>
  <c r="AH385" i="23" s="1"/>
  <c r="AH331" i="23"/>
  <c r="AH332" i="23"/>
  <c r="AH334" i="23"/>
  <c r="AH335" i="23"/>
  <c r="AH430" i="23"/>
  <c r="AH432" i="23"/>
  <c r="AH433" i="23"/>
  <c r="AH384" i="23"/>
  <c r="AH386" i="23"/>
  <c r="AH456" i="23"/>
  <c r="AH422" i="23"/>
  <c r="AH428" i="23" s="1"/>
  <c r="AH358" i="23"/>
  <c r="AH446" i="23"/>
  <c r="AH381" i="23"/>
  <c r="AH336" i="23" a="1"/>
  <c r="AH336" i="23" s="1"/>
  <c r="AH365" i="23"/>
  <c r="AH349" i="23"/>
  <c r="AH350" i="23"/>
  <c r="AH448" i="23"/>
  <c r="AH351" i="23"/>
  <c r="AH400" i="23"/>
  <c r="AH449" i="23"/>
  <c r="AH339" i="23"/>
  <c r="AH352" i="23"/>
  <c r="AH329" i="23"/>
  <c r="AH353" i="23"/>
  <c r="AH402" i="23"/>
  <c r="AH451" i="23"/>
  <c r="AH330" i="23"/>
  <c r="AH354" i="23"/>
  <c r="AH403" i="23"/>
  <c r="AH452" i="23"/>
  <c r="AH373" i="23"/>
  <c r="AH367" i="23"/>
  <c r="AH356" i="23"/>
  <c r="AH454" i="23"/>
  <c r="M306" i="23"/>
  <c r="L306" i="23"/>
  <c r="K306" i="23"/>
  <c r="M305" i="23"/>
  <c r="L305" i="23"/>
  <c r="K305" i="23"/>
  <c r="L308" i="23"/>
  <c r="M308" i="23"/>
  <c r="L312" i="23"/>
  <c r="M312" i="23"/>
  <c r="L319" i="23"/>
  <c r="M319" i="23"/>
  <c r="K319" i="23"/>
  <c r="K312" i="23"/>
  <c r="K308" i="23"/>
  <c r="AH321" i="23"/>
  <c r="AH320" i="23"/>
  <c r="AH408" i="23" s="1"/>
  <c r="AH409" i="23" s="1"/>
  <c r="AH319" i="23"/>
  <c r="AH457" i="23" s="1"/>
  <c r="AH458" i="23" s="1"/>
  <c r="P180" i="23"/>
  <c r="P168" i="23"/>
  <c r="W114" i="23"/>
  <c r="W113" i="23"/>
  <c r="W110" i="23"/>
  <c r="W111" i="23" s="1"/>
  <c r="W105" i="23"/>
  <c r="W106" i="23" s="1"/>
  <c r="W102" i="23"/>
  <c r="AD29" i="23" l="1"/>
  <c r="W38" i="23"/>
  <c r="AE38" i="23" s="1"/>
  <c r="R36" i="23" s="1"/>
  <c r="W40" i="23"/>
  <c r="AE40" i="23" s="1"/>
  <c r="R43" i="23" s="1"/>
  <c r="P236" i="23"/>
  <c r="P252" i="23" s="1"/>
  <c r="P253" i="23" s="1"/>
  <c r="P250" i="23"/>
  <c r="W41" i="23"/>
  <c r="AE41" i="23" s="1"/>
  <c r="S79" i="23" s="1"/>
  <c r="AE32" i="23"/>
  <c r="R44" i="23" s="1"/>
  <c r="S67" i="23"/>
  <c r="X198" i="23" a="1"/>
  <c r="X198" i="23" s="1"/>
  <c r="X256" i="23"/>
  <c r="X210" i="23"/>
  <c r="X191" i="23"/>
  <c r="X178" i="23"/>
  <c r="X207" i="23"/>
  <c r="X211" i="23" a="1"/>
  <c r="X211" i="23" s="1"/>
  <c r="AN204" i="23"/>
  <c r="X204" i="23" s="1"/>
  <c r="X212" i="23"/>
  <c r="X209" i="23"/>
  <c r="X240" i="23" s="1"/>
  <c r="X241" i="23" s="1"/>
  <c r="X224" i="23"/>
  <c r="J307" i="23"/>
  <c r="J310" i="23" s="1"/>
  <c r="P257" i="23"/>
  <c r="X218" i="23"/>
  <c r="X257" i="23"/>
  <c r="X223" i="23"/>
  <c r="X217" i="23"/>
  <c r="X243" i="23"/>
  <c r="X244" i="23" s="1"/>
  <c r="X238" i="23"/>
  <c r="X239" i="23" s="1"/>
  <c r="X230" i="23"/>
  <c r="X250" i="23"/>
  <c r="X236" i="23"/>
  <c r="KZ13" i="23"/>
  <c r="KZ26" i="23"/>
  <c r="KZ25" i="23"/>
  <c r="AH465" i="23"/>
  <c r="Y252" i="23"/>
  <c r="AH427" i="23"/>
  <c r="AH392" i="23"/>
  <c r="AH437" i="23"/>
  <c r="AH429" i="23"/>
  <c r="AH380" i="23"/>
  <c r="AH379" i="23"/>
  <c r="AH378" i="23"/>
  <c r="AH388" i="23"/>
  <c r="AH355" i="23" a="1"/>
  <c r="AH355" i="23" s="1"/>
  <c r="AH361" i="23" s="1"/>
  <c r="AH401" i="23"/>
  <c r="M309" i="23"/>
  <c r="K307" i="23"/>
  <c r="M307" i="23"/>
  <c r="L307" i="23"/>
  <c r="L309" i="23"/>
  <c r="K309" i="23"/>
  <c r="W107" i="23"/>
  <c r="W112" i="23" s="1"/>
  <c r="X258" i="23" l="1"/>
  <c r="J82" i="23" s="1"/>
  <c r="X245" i="23"/>
  <c r="X246" i="23" s="1"/>
  <c r="X248" i="23"/>
  <c r="J95" i="23" s="1"/>
  <c r="X251" i="23"/>
  <c r="X260" i="23"/>
  <c r="J103" i="23" s="1"/>
  <c r="X252" i="23"/>
  <c r="AH407" i="23"/>
  <c r="AH398" i="23"/>
  <c r="AH399" i="23"/>
  <c r="AH411" i="23"/>
  <c r="AH414" i="23" s="1"/>
  <c r="AH416" i="23"/>
  <c r="AH397" i="23"/>
  <c r="AH368" i="23"/>
  <c r="AH431" i="23"/>
  <c r="AH404" i="23" a="1"/>
  <c r="AH404" i="23" s="1"/>
  <c r="AH410" i="23" s="1"/>
  <c r="L310" i="23"/>
  <c r="M310" i="23"/>
  <c r="K310" i="23"/>
  <c r="Q258" i="23"/>
  <c r="C82" i="23" s="1"/>
  <c r="R258" i="23"/>
  <c r="D82" i="23" s="1"/>
  <c r="S258" i="23"/>
  <c r="E82" i="23" s="1"/>
  <c r="U258" i="23"/>
  <c r="G82" i="23" s="1"/>
  <c r="V258" i="23"/>
  <c r="H82" i="23" s="1"/>
  <c r="W258" i="23"/>
  <c r="I82" i="23" s="1"/>
  <c r="MJ13" i="23"/>
  <c r="UR14" i="23"/>
  <c r="UR17" i="23" s="1"/>
  <c r="UR2" i="23" s="1"/>
  <c r="J60" i="23"/>
  <c r="C305" i="23"/>
  <c r="D305" i="23"/>
  <c r="E305" i="23"/>
  <c r="F305" i="23"/>
  <c r="G305" i="23"/>
  <c r="H305" i="23"/>
  <c r="I305" i="23"/>
  <c r="C306" i="23"/>
  <c r="D306" i="23"/>
  <c r="E306" i="23"/>
  <c r="F306" i="23"/>
  <c r="G306" i="23"/>
  <c r="H306" i="23"/>
  <c r="I306" i="23"/>
  <c r="C308" i="23"/>
  <c r="D308" i="23"/>
  <c r="E308" i="23"/>
  <c r="F308" i="23"/>
  <c r="G308" i="23"/>
  <c r="H308" i="23"/>
  <c r="I308" i="23"/>
  <c r="C312" i="23"/>
  <c r="D312" i="23"/>
  <c r="E312" i="23"/>
  <c r="F312" i="23"/>
  <c r="G312" i="23"/>
  <c r="H312" i="23"/>
  <c r="I312" i="23"/>
  <c r="C319" i="23"/>
  <c r="D319" i="23"/>
  <c r="E319" i="23"/>
  <c r="F319" i="23"/>
  <c r="G319" i="23"/>
  <c r="H319" i="23"/>
  <c r="I319" i="23"/>
  <c r="B305" i="23"/>
  <c r="B306" i="23"/>
  <c r="B308" i="23"/>
  <c r="B312" i="23"/>
  <c r="B319" i="23"/>
  <c r="X261" i="23" l="1"/>
  <c r="J104" i="23" s="1"/>
  <c r="X253" i="23"/>
  <c r="J84" i="23" s="1"/>
  <c r="AH413" i="23"/>
  <c r="AH417" i="23"/>
  <c r="AH450" i="23"/>
  <c r="AH453" i="23" s="1" a="1"/>
  <c r="AH453" i="23" s="1"/>
  <c r="AH443" i="23" s="1"/>
  <c r="AH434" i="23" a="1"/>
  <c r="AH434" i="23" s="1"/>
  <c r="E309" i="23"/>
  <c r="B309" i="23"/>
  <c r="F309" i="23"/>
  <c r="H307" i="23"/>
  <c r="C309" i="23"/>
  <c r="E307" i="23"/>
  <c r="D307" i="23"/>
  <c r="C307" i="23"/>
  <c r="G309" i="23"/>
  <c r="H309" i="23"/>
  <c r="D309" i="23"/>
  <c r="I307" i="23"/>
  <c r="G307" i="23"/>
  <c r="F307" i="23"/>
  <c r="I309" i="23"/>
  <c r="B307" i="23"/>
  <c r="J59" i="23" l="1"/>
  <c r="AH459" i="23"/>
  <c r="AH424" i="23"/>
  <c r="AH460" i="23" s="1"/>
  <c r="AH466" i="23"/>
  <c r="E310" i="23"/>
  <c r="F310" i="23"/>
  <c r="H310" i="23"/>
  <c r="B310" i="23"/>
  <c r="I310" i="23"/>
  <c r="C310" i="23"/>
  <c r="G310" i="23"/>
  <c r="D310" i="23"/>
  <c r="P170" i="23"/>
  <c r="AC212" i="23"/>
  <c r="AB212" i="23"/>
  <c r="AA212" i="23"/>
  <c r="Z212" i="23"/>
  <c r="Y212" i="23"/>
  <c r="W212" i="23"/>
  <c r="V212" i="23"/>
  <c r="U212" i="23"/>
  <c r="T212" i="23"/>
  <c r="S212" i="23"/>
  <c r="R212" i="23"/>
  <c r="Q212" i="23"/>
  <c r="P212" i="23"/>
  <c r="AC209" i="23"/>
  <c r="AB209" i="23"/>
  <c r="AA209" i="23"/>
  <c r="Z209" i="23"/>
  <c r="Y209" i="23"/>
  <c r="W209" i="23"/>
  <c r="V209" i="23"/>
  <c r="U209" i="23"/>
  <c r="T209" i="23"/>
  <c r="S209" i="23"/>
  <c r="R209" i="23"/>
  <c r="Q209" i="23"/>
  <c r="P209" i="23"/>
  <c r="AC210" i="23"/>
  <c r="AB210" i="23"/>
  <c r="AA210" i="23"/>
  <c r="Z210" i="23"/>
  <c r="Y210" i="23"/>
  <c r="W210" i="23"/>
  <c r="V210" i="23"/>
  <c r="U210" i="23"/>
  <c r="T210" i="23"/>
  <c r="S210" i="23"/>
  <c r="R210" i="23"/>
  <c r="Q210" i="23"/>
  <c r="P210" i="23"/>
  <c r="AC211" i="23" a="1"/>
  <c r="AC211" i="23" s="1"/>
  <c r="AB211" i="23" a="1"/>
  <c r="AB211" i="23" s="1"/>
  <c r="AA211" i="23" a="1"/>
  <c r="AA211" i="23" s="1"/>
  <c r="Z211" i="23" a="1"/>
  <c r="Z211" i="23" s="1"/>
  <c r="Y211" i="23" a="1"/>
  <c r="Y211" i="23" s="1"/>
  <c r="W211" i="23" a="1"/>
  <c r="W211" i="23" s="1"/>
  <c r="V211" i="23" a="1"/>
  <c r="V211" i="23" s="1"/>
  <c r="U211" i="23" a="1"/>
  <c r="U211" i="23" s="1"/>
  <c r="T211" i="23" a="1"/>
  <c r="T211" i="23" s="1"/>
  <c r="S211" i="23" a="1"/>
  <c r="S211" i="23" s="1"/>
  <c r="R211" i="23" a="1"/>
  <c r="R211" i="23" s="1"/>
  <c r="Q211" i="23" a="1"/>
  <c r="Q211" i="23" s="1"/>
  <c r="P211" i="23" a="1"/>
  <c r="P211" i="23" s="1"/>
  <c r="AC199" i="23"/>
  <c r="AB199" i="23"/>
  <c r="AA199" i="23"/>
  <c r="Z199" i="23"/>
  <c r="Y199" i="23"/>
  <c r="W199" i="23"/>
  <c r="V199" i="23"/>
  <c r="U199" i="23"/>
  <c r="T199" i="23"/>
  <c r="S199" i="23"/>
  <c r="R199" i="23"/>
  <c r="Q199" i="23"/>
  <c r="P199" i="23"/>
  <c r="AC196" i="23"/>
  <c r="AB196" i="23"/>
  <c r="AA196" i="23"/>
  <c r="Z196" i="23"/>
  <c r="Y196" i="23"/>
  <c r="W196" i="23"/>
  <c r="V196" i="23"/>
  <c r="U196" i="23"/>
  <c r="T196" i="23"/>
  <c r="S196" i="23"/>
  <c r="R196" i="23"/>
  <c r="Q196" i="23"/>
  <c r="P196" i="23"/>
  <c r="AC197" i="23"/>
  <c r="AB197" i="23"/>
  <c r="AA197" i="23"/>
  <c r="Z197" i="23"/>
  <c r="Y197" i="23"/>
  <c r="W197" i="23"/>
  <c r="V197" i="23"/>
  <c r="U197" i="23"/>
  <c r="T197" i="23"/>
  <c r="S197" i="23"/>
  <c r="R197" i="23"/>
  <c r="Q197" i="23"/>
  <c r="P197" i="23"/>
  <c r="AC198" i="23" a="1"/>
  <c r="AC198" i="23" s="1"/>
  <c r="AB198" i="23" a="1"/>
  <c r="AB198" i="23" s="1"/>
  <c r="AA198" i="23" a="1"/>
  <c r="AA198" i="23" s="1"/>
  <c r="Z198" i="23" a="1"/>
  <c r="Z198" i="23" s="1"/>
  <c r="Y198" i="23" a="1"/>
  <c r="Y198" i="23" s="1"/>
  <c r="W198" i="23" a="1"/>
  <c r="W198" i="23" s="1"/>
  <c r="V198" i="23" a="1"/>
  <c r="V198" i="23" s="1"/>
  <c r="U198" i="23" a="1"/>
  <c r="U198" i="23" s="1"/>
  <c r="T198" i="23" a="1"/>
  <c r="T198" i="23" s="1"/>
  <c r="S198" i="23" a="1"/>
  <c r="S198" i="23" s="1"/>
  <c r="R198" i="23" a="1"/>
  <c r="R198" i="23" s="1"/>
  <c r="Q198" i="23" a="1"/>
  <c r="Q198" i="23" s="1"/>
  <c r="P198" i="23" a="1"/>
  <c r="P198" i="23" s="1"/>
  <c r="AC186" i="23"/>
  <c r="AB186" i="23"/>
  <c r="AA186" i="23"/>
  <c r="Z186" i="23"/>
  <c r="Y186" i="23"/>
  <c r="W186" i="23"/>
  <c r="V186" i="23"/>
  <c r="U186" i="23"/>
  <c r="T186" i="23"/>
  <c r="S186" i="23"/>
  <c r="R186" i="23"/>
  <c r="Q186" i="23"/>
  <c r="P186" i="23"/>
  <c r="AC183" i="23"/>
  <c r="AB183" i="23"/>
  <c r="AA183" i="23"/>
  <c r="Z183" i="23"/>
  <c r="Y183" i="23"/>
  <c r="W183" i="23"/>
  <c r="V183" i="23"/>
  <c r="U183" i="23"/>
  <c r="T183" i="23"/>
  <c r="S183" i="23"/>
  <c r="R183" i="23"/>
  <c r="Q183" i="23"/>
  <c r="P183" i="23"/>
  <c r="AC184" i="23"/>
  <c r="AB184" i="23"/>
  <c r="AA184" i="23"/>
  <c r="Z184" i="23"/>
  <c r="Y184" i="23"/>
  <c r="W184" i="23"/>
  <c r="V184" i="23"/>
  <c r="U184" i="23"/>
  <c r="T184" i="23"/>
  <c r="S184" i="23"/>
  <c r="R184" i="23"/>
  <c r="Q184" i="23"/>
  <c r="P184" i="23"/>
  <c r="AC185" i="23" a="1"/>
  <c r="AC185" i="23" s="1"/>
  <c r="AB185" i="23" a="1"/>
  <c r="AB185" i="23" s="1"/>
  <c r="AA185" i="23" a="1"/>
  <c r="AA185" i="23" s="1"/>
  <c r="Z185" i="23" a="1"/>
  <c r="Z185" i="23" s="1"/>
  <c r="Y185" i="23" a="1"/>
  <c r="Y185" i="23" s="1"/>
  <c r="W185" i="23" a="1"/>
  <c r="W185" i="23" s="1"/>
  <c r="V185" i="23" a="1"/>
  <c r="V185" i="23" s="1"/>
  <c r="U185" i="23" a="1"/>
  <c r="U185" i="23" s="1"/>
  <c r="T185" i="23" a="1"/>
  <c r="T185" i="23" s="1"/>
  <c r="S185" i="23" a="1"/>
  <c r="S185" i="23" s="1"/>
  <c r="R185" i="23" a="1"/>
  <c r="R185" i="23" s="1"/>
  <c r="Q185" i="23" a="1"/>
  <c r="Q185" i="23" s="1"/>
  <c r="P185" i="23" a="1"/>
  <c r="P185" i="23" s="1"/>
  <c r="Q172" i="23" a="1"/>
  <c r="Q172" i="23" s="1"/>
  <c r="R172" i="23" a="1"/>
  <c r="R172" i="23" s="1"/>
  <c r="S172" i="23" a="1"/>
  <c r="S172" i="23" s="1"/>
  <c r="T172" i="23" a="1"/>
  <c r="T172" i="23" s="1"/>
  <c r="U172" i="23" a="1"/>
  <c r="U172" i="23" s="1"/>
  <c r="V172" i="23" a="1"/>
  <c r="V172" i="23" s="1"/>
  <c r="W172" i="23" a="1"/>
  <c r="W172" i="23" s="1"/>
  <c r="Q171" i="23"/>
  <c r="R171" i="23"/>
  <c r="S171" i="23"/>
  <c r="T171" i="23"/>
  <c r="U171" i="23"/>
  <c r="V171" i="23"/>
  <c r="W171" i="23"/>
  <c r="Q170" i="23"/>
  <c r="R170" i="23"/>
  <c r="S170" i="23"/>
  <c r="T170" i="23"/>
  <c r="U170" i="23"/>
  <c r="V170" i="23"/>
  <c r="W170" i="23"/>
  <c r="Q173" i="23"/>
  <c r="R173" i="23"/>
  <c r="S173" i="23"/>
  <c r="T173" i="23"/>
  <c r="U173" i="23"/>
  <c r="V173" i="23"/>
  <c r="W173" i="23"/>
  <c r="Y173" i="23"/>
  <c r="Y170" i="23"/>
  <c r="Y171" i="23"/>
  <c r="P173" i="23"/>
  <c r="P171" i="23"/>
  <c r="Y172" i="23" a="1"/>
  <c r="Y172" i="23" s="1"/>
  <c r="P172" i="23" a="1"/>
  <c r="P172" i="23" s="1"/>
  <c r="P240" i="23" l="1"/>
  <c r="P241" i="23" s="1"/>
  <c r="S88" i="23"/>
  <c r="S89" i="23"/>
  <c r="Y240" i="23"/>
  <c r="Y241" i="23" s="1"/>
  <c r="Y245" i="23"/>
  <c r="Y246" i="23" s="1"/>
  <c r="AH463" i="23"/>
  <c r="AH462" i="23"/>
  <c r="V245" i="23"/>
  <c r="W245" i="23"/>
  <c r="AB245" i="23"/>
  <c r="AC245" i="23"/>
  <c r="T245" i="23"/>
  <c r="S245" i="23"/>
  <c r="P245" i="23"/>
  <c r="P246" i="23" s="1"/>
  <c r="U245" i="23"/>
  <c r="AA245" i="23"/>
  <c r="Z245" i="23"/>
  <c r="R245" i="23"/>
  <c r="Q245" i="23"/>
  <c r="P261" i="23" l="1"/>
  <c r="B104" i="23" s="1"/>
  <c r="Y261" i="23"/>
  <c r="AF189" i="23"/>
  <c r="Z256" i="23"/>
  <c r="AA256" i="23"/>
  <c r="AB256" i="23"/>
  <c r="AC256" i="23"/>
  <c r="Y251" i="23"/>
  <c r="Y253" i="23" s="1"/>
  <c r="AC207" i="23"/>
  <c r="AB207" i="23"/>
  <c r="AA207" i="23"/>
  <c r="Z207" i="23"/>
  <c r="Y207" i="23"/>
  <c r="W207" i="23"/>
  <c r="V207" i="23"/>
  <c r="U207" i="23"/>
  <c r="T207" i="23"/>
  <c r="S207" i="23"/>
  <c r="R207" i="23"/>
  <c r="Q207" i="23"/>
  <c r="P207" i="23"/>
  <c r="AC206" i="23"/>
  <c r="AB206" i="23"/>
  <c r="AA206" i="23"/>
  <c r="Z206" i="23"/>
  <c r="Y206" i="23"/>
  <c r="W206" i="23"/>
  <c r="V206" i="23"/>
  <c r="U206" i="23"/>
  <c r="T206" i="23"/>
  <c r="S206" i="23"/>
  <c r="R206" i="23"/>
  <c r="Q206" i="23"/>
  <c r="P206" i="23"/>
  <c r="AC205" i="23"/>
  <c r="AB205" i="23"/>
  <c r="AA205" i="23"/>
  <c r="Z205" i="23"/>
  <c r="Y205" i="23"/>
  <c r="W205" i="23"/>
  <c r="V205" i="23"/>
  <c r="U205" i="23"/>
  <c r="T205" i="23"/>
  <c r="S205" i="23"/>
  <c r="R205" i="23"/>
  <c r="Q205" i="23"/>
  <c r="P205" i="23"/>
  <c r="AC194" i="23"/>
  <c r="AB194" i="23"/>
  <c r="AA194" i="23"/>
  <c r="Z194" i="23"/>
  <c r="Y194" i="23"/>
  <c r="W194" i="23"/>
  <c r="V194" i="23"/>
  <c r="U194" i="23"/>
  <c r="R194" i="23"/>
  <c r="Q194" i="23"/>
  <c r="P194" i="23"/>
  <c r="AC193" i="23"/>
  <c r="AB193" i="23"/>
  <c r="AA193" i="23"/>
  <c r="Z193" i="23"/>
  <c r="Y193" i="23"/>
  <c r="W193" i="23"/>
  <c r="V193" i="23"/>
  <c r="U193" i="23"/>
  <c r="T193" i="23"/>
  <c r="S193" i="23"/>
  <c r="R193" i="23"/>
  <c r="Q193" i="23"/>
  <c r="P193" i="23"/>
  <c r="AC192" i="23"/>
  <c r="AB192" i="23"/>
  <c r="AA192" i="23"/>
  <c r="Z192" i="23"/>
  <c r="Y192" i="23"/>
  <c r="W192" i="23"/>
  <c r="V192" i="23"/>
  <c r="U192" i="23"/>
  <c r="T192" i="23"/>
  <c r="S192" i="23"/>
  <c r="R192" i="23"/>
  <c r="Q192" i="23"/>
  <c r="P192" i="23"/>
  <c r="AC181" i="23"/>
  <c r="AB181" i="23"/>
  <c r="AA181" i="23"/>
  <c r="Z181" i="23"/>
  <c r="Y181" i="23"/>
  <c r="AC180" i="23"/>
  <c r="AB180" i="23"/>
  <c r="AA180" i="23"/>
  <c r="Z180" i="23"/>
  <c r="Y180" i="23"/>
  <c r="W180" i="23"/>
  <c r="V180" i="23"/>
  <c r="U180" i="23"/>
  <c r="T180" i="23"/>
  <c r="S180" i="23"/>
  <c r="R180" i="23"/>
  <c r="Q180" i="23"/>
  <c r="AC179" i="23"/>
  <c r="AB179" i="23"/>
  <c r="AA179" i="23"/>
  <c r="Z179" i="23"/>
  <c r="Y179" i="23"/>
  <c r="W179" i="23"/>
  <c r="V179" i="23"/>
  <c r="U179" i="23"/>
  <c r="T179" i="23"/>
  <c r="S179" i="23"/>
  <c r="R179" i="23"/>
  <c r="Q179" i="23"/>
  <c r="P179" i="23"/>
  <c r="V181" i="23"/>
  <c r="T181" i="23"/>
  <c r="R181" i="23"/>
  <c r="R240" i="23"/>
  <c r="Y168" i="23"/>
  <c r="V167" i="23"/>
  <c r="U167" i="23"/>
  <c r="T167" i="23"/>
  <c r="S167" i="23"/>
  <c r="R167" i="23"/>
  <c r="Q167" i="23"/>
  <c r="P167" i="23"/>
  <c r="V166" i="23"/>
  <c r="U166" i="23"/>
  <c r="T166" i="23"/>
  <c r="S166" i="23"/>
  <c r="R166" i="23"/>
  <c r="Q166" i="23"/>
  <c r="P166" i="23"/>
  <c r="Y243" i="23" l="1"/>
  <c r="Y244" i="23" s="1"/>
  <c r="Y238" i="23"/>
  <c r="Y250" i="23"/>
  <c r="Y257" i="23"/>
  <c r="Y258" i="23" s="1"/>
  <c r="R261" i="23"/>
  <c r="D104" i="23" s="1"/>
  <c r="P238" i="23"/>
  <c r="T238" i="23"/>
  <c r="T239" i="23" s="1"/>
  <c r="Q181" i="23"/>
  <c r="S168" i="23"/>
  <c r="Q168" i="23"/>
  <c r="R257" i="23"/>
  <c r="T168" i="23"/>
  <c r="U168" i="23"/>
  <c r="W168" i="23"/>
  <c r="W251" i="23"/>
  <c r="V252" i="23"/>
  <c r="Z246" i="23"/>
  <c r="V168" i="23"/>
  <c r="U250" i="23"/>
  <c r="V251" i="23"/>
  <c r="U252" i="23"/>
  <c r="AB250" i="23"/>
  <c r="R251" i="23"/>
  <c r="U181" i="23"/>
  <c r="S250" i="23"/>
  <c r="T251" i="23"/>
  <c r="S238" i="23"/>
  <c r="R168" i="23"/>
  <c r="Q240" i="23"/>
  <c r="Q261" i="23" s="1"/>
  <c r="V250" i="23"/>
  <c r="W252" i="23"/>
  <c r="W250" i="23"/>
  <c r="Z257" i="23"/>
  <c r="Z258" i="23" s="1"/>
  <c r="AB251" i="23"/>
  <c r="AA252" i="23"/>
  <c r="AC257" i="23"/>
  <c r="AC258" i="23" s="1"/>
  <c r="W181" i="23"/>
  <c r="AB243" i="23"/>
  <c r="AB244" i="23" s="1"/>
  <c r="AA246" i="23"/>
  <c r="S252" i="23"/>
  <c r="U251" i="23"/>
  <c r="T252" i="23"/>
  <c r="AA257" i="23"/>
  <c r="AA258" i="23" s="1"/>
  <c r="AA251" i="23"/>
  <c r="Z252" i="23"/>
  <c r="W256" i="23"/>
  <c r="V256" i="23"/>
  <c r="AC251" i="23"/>
  <c r="AB252" i="23"/>
  <c r="U256" i="23"/>
  <c r="Q251" i="23"/>
  <c r="AC252" i="23"/>
  <c r="U257" i="23"/>
  <c r="T256" i="23"/>
  <c r="R250" i="23"/>
  <c r="AB257" i="23"/>
  <c r="AB258" i="23" s="1"/>
  <c r="S256" i="23"/>
  <c r="AC240" i="23"/>
  <c r="AC261" i="23" s="1"/>
  <c r="S251" i="23"/>
  <c r="R252" i="23"/>
  <c r="AA250" i="23"/>
  <c r="Z251" i="23"/>
  <c r="R256" i="23"/>
  <c r="R238" i="23"/>
  <c r="T250" i="23"/>
  <c r="Q256" i="23"/>
  <c r="P243" i="23"/>
  <c r="P244" i="23" s="1"/>
  <c r="AC243" i="23"/>
  <c r="AC244" i="23" s="1"/>
  <c r="S194" i="23"/>
  <c r="AA243" i="23"/>
  <c r="AA244" i="23" s="1"/>
  <c r="P181" i="23"/>
  <c r="W257" i="23"/>
  <c r="Q257" i="23"/>
  <c r="Q250" i="23"/>
  <c r="S257" i="23"/>
  <c r="U238" i="23"/>
  <c r="S240" i="23"/>
  <c r="S261" i="23" s="1"/>
  <c r="R241" i="23"/>
  <c r="Q243" i="23"/>
  <c r="Q244" i="23" s="1"/>
  <c r="AB246" i="23"/>
  <c r="Z250" i="23"/>
  <c r="T257" i="23"/>
  <c r="T258" i="23" s="1"/>
  <c r="F82" i="23" s="1"/>
  <c r="V238" i="23"/>
  <c r="T240" i="23"/>
  <c r="T261" i="23" s="1"/>
  <c r="R243" i="23"/>
  <c r="R244" i="23" s="1"/>
  <c r="AC246" i="23"/>
  <c r="W238" i="23"/>
  <c r="U240" i="23"/>
  <c r="U261" i="23" s="1"/>
  <c r="S243" i="23"/>
  <c r="S244" i="23" s="1"/>
  <c r="Q246" i="23"/>
  <c r="V257" i="23"/>
  <c r="V240" i="23"/>
  <c r="V261" i="23" s="1"/>
  <c r="T243" i="23"/>
  <c r="T244" i="23" s="1"/>
  <c r="R246" i="23"/>
  <c r="AC250" i="23"/>
  <c r="Z238" i="23"/>
  <c r="W240" i="23"/>
  <c r="W261" i="23" s="1"/>
  <c r="U243" i="23"/>
  <c r="U244" i="23" s="1"/>
  <c r="S246" i="23"/>
  <c r="AA238" i="23"/>
  <c r="V243" i="23"/>
  <c r="V244" i="23" s="1"/>
  <c r="T246" i="23"/>
  <c r="S181" i="23"/>
  <c r="T194" i="23"/>
  <c r="AB238" i="23"/>
  <c r="Z240" i="23"/>
  <c r="Z261" i="23" s="1"/>
  <c r="W243" i="23"/>
  <c r="W244" i="23" s="1"/>
  <c r="U246" i="23"/>
  <c r="AC238" i="23"/>
  <c r="AA240" i="23"/>
  <c r="AA261" i="23" s="1"/>
  <c r="V246" i="23"/>
  <c r="Q238" i="23"/>
  <c r="AB240" i="23"/>
  <c r="AB261" i="23" s="1"/>
  <c r="Z243" i="23"/>
  <c r="Z244" i="23" s="1"/>
  <c r="W246" i="23"/>
  <c r="Y239" i="23" l="1"/>
  <c r="Y260" i="23"/>
  <c r="P258" i="23"/>
  <c r="B82" i="23" s="1"/>
  <c r="P260" i="23"/>
  <c r="B103" i="23" s="1"/>
  <c r="Q252" i="23"/>
  <c r="Q253" i="23" s="1"/>
  <c r="C84" i="23" s="1"/>
  <c r="C59" i="23" s="1"/>
  <c r="U253" i="23"/>
  <c r="G84" i="23" s="1"/>
  <c r="G59" i="23" s="1"/>
  <c r="T253" i="23"/>
  <c r="F84" i="23" s="1"/>
  <c r="F59" i="23" s="1"/>
  <c r="AC253" i="23"/>
  <c r="AA253" i="23"/>
  <c r="W253" i="23"/>
  <c r="I84" i="23" s="1"/>
  <c r="I59" i="23" s="1"/>
  <c r="R253" i="23"/>
  <c r="D84" i="23" s="1"/>
  <c r="D59" i="23" s="1"/>
  <c r="V253" i="23"/>
  <c r="H84" i="23" s="1"/>
  <c r="H59" i="23" s="1"/>
  <c r="Z253" i="23"/>
  <c r="S253" i="23"/>
  <c r="E84" i="23" s="1"/>
  <c r="E59" i="23" s="1"/>
  <c r="AB253" i="23"/>
  <c r="W241" i="23"/>
  <c r="I104" i="23"/>
  <c r="T260" i="23"/>
  <c r="F103" i="23" s="1"/>
  <c r="AA241" i="23"/>
  <c r="Z241" i="23"/>
  <c r="T241" i="23"/>
  <c r="F104" i="23"/>
  <c r="U241" i="23"/>
  <c r="G104" i="23"/>
  <c r="V241" i="23"/>
  <c r="H104" i="23"/>
  <c r="Q241" i="23"/>
  <c r="C104" i="23"/>
  <c r="AB241" i="23"/>
  <c r="AC241" i="23"/>
  <c r="S241" i="23"/>
  <c r="E104" i="23"/>
  <c r="P239" i="23"/>
  <c r="S239" i="23"/>
  <c r="S260" i="23"/>
  <c r="E103" i="23" s="1"/>
  <c r="U239" i="23"/>
  <c r="U260" i="23"/>
  <c r="G103" i="23" s="1"/>
  <c r="R239" i="23"/>
  <c r="R260" i="23"/>
  <c r="D103" i="23" s="1"/>
  <c r="Z239" i="23"/>
  <c r="Z260" i="23"/>
  <c r="AB239" i="23"/>
  <c r="AB260" i="23"/>
  <c r="V239" i="23"/>
  <c r="V260" i="23"/>
  <c r="H103" i="23" s="1"/>
  <c r="Q239" i="23"/>
  <c r="Q260" i="23"/>
  <c r="C103" i="23" s="1"/>
  <c r="AA239" i="23"/>
  <c r="AA260" i="23"/>
  <c r="AC239" i="23"/>
  <c r="AC260" i="23"/>
  <c r="W239" i="23"/>
  <c r="W260" i="23"/>
  <c r="I103" i="23" s="1"/>
  <c r="B84" i="23" l="1"/>
  <c r="B59" i="23" s="1"/>
  <c r="QW14" i="23"/>
  <c r="QW17" i="23" s="1"/>
  <c r="QW2" i="23" s="1"/>
  <c r="PP14" i="23"/>
  <c r="PP17" i="23" s="1"/>
  <c r="PP2" i="23" s="1"/>
  <c r="OZ17" i="23"/>
  <c r="OZ2" i="23" s="1"/>
  <c r="PA17" i="23"/>
  <c r="PA2" i="23" s="1"/>
  <c r="PC17" i="23"/>
  <c r="PC2" i="23" s="1"/>
  <c r="PD17" i="23"/>
  <c r="PD2" i="23" s="1"/>
  <c r="PE17" i="23"/>
  <c r="PE2" i="23" s="1"/>
  <c r="LJ14" i="23"/>
  <c r="LJ17" i="23" s="1"/>
  <c r="LJ2" i="23" s="1"/>
  <c r="KN14" i="23"/>
  <c r="KN17" i="23" s="1"/>
  <c r="KN2" i="23" s="1"/>
  <c r="KC14" i="23"/>
  <c r="KC17" i="23" s="1"/>
  <c r="KC2" i="23" s="1"/>
  <c r="OT14" i="23"/>
  <c r="OT17" i="23" s="1"/>
  <c r="OT2" i="23" s="1"/>
  <c r="IF14" i="23"/>
  <c r="IF17" i="23" s="1"/>
  <c r="IF2" i="23" s="1"/>
  <c r="IG14" i="23"/>
  <c r="IG17" i="23" s="1"/>
  <c r="IG2" i="23" s="1"/>
  <c r="II14" i="23"/>
  <c r="II17" i="23" s="1"/>
  <c r="II2" i="23" s="1"/>
  <c r="IJ14" i="23"/>
  <c r="IJ17" i="23" s="1"/>
  <c r="IJ2" i="23" s="1"/>
  <c r="IK14" i="23"/>
  <c r="IK17" i="23" s="1"/>
  <c r="IK2" i="23" s="1"/>
  <c r="HV14" i="23"/>
  <c r="HV17" i="23" s="1"/>
  <c r="HV2" i="23" s="1"/>
  <c r="HU14" i="23"/>
  <c r="HU17" i="23" s="1"/>
  <c r="HU2" i="23" s="1"/>
  <c r="HX14" i="23"/>
  <c r="HX17" i="23" s="1"/>
  <c r="HX2" i="23" s="1"/>
  <c r="HY14" i="23"/>
  <c r="HY17" i="23" s="1"/>
  <c r="HY2" i="23" s="1"/>
  <c r="HZ14" i="23"/>
  <c r="HZ17" i="23" s="1"/>
  <c r="HZ2" i="23" s="1"/>
  <c r="HJ14" i="23"/>
  <c r="HJ17" i="23" s="1"/>
  <c r="HJ2" i="23" s="1"/>
  <c r="HK14" i="23"/>
  <c r="HK17" i="23" s="1"/>
  <c r="HK2" i="23" s="1"/>
  <c r="HM14" i="23"/>
  <c r="HM17" i="23" s="1"/>
  <c r="HM2" i="23" s="1"/>
  <c r="HN14" i="23"/>
  <c r="HN17" i="23" s="1"/>
  <c r="HN2" i="23" s="1"/>
  <c r="HO14" i="23"/>
  <c r="HO17" i="23" s="1"/>
  <c r="HO2" i="23" s="1"/>
  <c r="R143" i="23" l="1"/>
  <c r="R133" i="23"/>
  <c r="P143" i="23"/>
  <c r="P133" i="23"/>
  <c r="W67" i="23"/>
  <c r="W68" i="23" s="1"/>
  <c r="W69" i="23" s="1"/>
  <c r="W70" i="23" s="1"/>
  <c r="W71" i="23" s="1"/>
  <c r="W72" i="23" s="1"/>
  <c r="W73" i="23" s="1"/>
  <c r="W74" i="23" s="1"/>
  <c r="W75" i="23" s="1"/>
  <c r="W76" i="23" s="1"/>
  <c r="W77" i="23" s="1"/>
  <c r="W78" i="23" s="1"/>
  <c r="W79" i="23" s="1"/>
  <c r="W80" i="23" s="1"/>
  <c r="W81" i="23" s="1"/>
  <c r="W82" i="23" s="1"/>
  <c r="W83" i="23" s="1"/>
  <c r="W84" i="23" s="1"/>
  <c r="W85" i="23" s="1"/>
  <c r="Q139" i="23"/>
  <c r="Q138" i="23"/>
  <c r="Q137" i="23"/>
  <c r="Q136" i="23"/>
  <c r="Q130" i="23"/>
  <c r="Q129" i="23"/>
  <c r="Q128" i="23"/>
  <c r="Q127" i="23"/>
  <c r="Q126" i="23"/>
  <c r="P146" i="23" l="1"/>
  <c r="P147" i="23" s="1"/>
  <c r="GY14" i="23"/>
  <c r="GY17" i="23" s="1"/>
  <c r="GY2" i="23" s="1"/>
  <c r="GZ14" i="23"/>
  <c r="GZ17" i="23" s="1"/>
  <c r="GZ2" i="23" s="1"/>
  <c r="HB14" i="23"/>
  <c r="HB17" i="23" s="1"/>
  <c r="HB2" i="23" s="1"/>
  <c r="HC14" i="23"/>
  <c r="HC17" i="23" s="1"/>
  <c r="HC2" i="23" s="1"/>
  <c r="HD14" i="23"/>
  <c r="HD17" i="23" s="1"/>
  <c r="HD2" i="23" s="1"/>
  <c r="GN14" i="23"/>
  <c r="GO14" i="23"/>
  <c r="GQ14" i="23"/>
  <c r="GR14" i="23"/>
  <c r="GS14" i="23"/>
  <c r="GN17" i="23" l="1"/>
  <c r="GN2" i="23" s="1"/>
  <c r="GO17" i="23"/>
  <c r="GO2" i="23" s="1"/>
  <c r="GQ17" i="23"/>
  <c r="GQ2" i="23" s="1"/>
  <c r="GR17" i="23"/>
  <c r="GR2" i="23" s="1"/>
  <c r="GS17" i="23"/>
  <c r="GS2" i="23" s="1"/>
  <c r="FL14" i="23"/>
  <c r="FL17" i="23" s="1"/>
  <c r="FL2" i="23" s="1"/>
  <c r="FA14" i="23"/>
  <c r="FA17" i="23" s="1"/>
  <c r="FA2" i="23" s="1"/>
  <c r="OI14" i="23" l="1"/>
  <c r="OI17" i="23" s="1"/>
  <c r="OI2" i="23" s="1"/>
  <c r="CM12" i="23"/>
  <c r="CL12" i="23"/>
  <c r="CK12" i="23"/>
  <c r="CJ12" i="23"/>
  <c r="CI12" i="23"/>
  <c r="CH12" i="23"/>
  <c r="CG12" i="23"/>
  <c r="CF12" i="23"/>
  <c r="K330" i="23" l="1"/>
  <c r="K304" i="23"/>
  <c r="K311" i="23" s="1"/>
  <c r="K320" i="23" l="1"/>
  <c r="K313" i="23"/>
  <c r="K314" i="23" s="1"/>
  <c r="K315" i="23" s="1"/>
  <c r="K317" i="23" s="1"/>
  <c r="K316" i="23"/>
  <c r="K328" i="23"/>
  <c r="SZ14" i="23"/>
  <c r="SZ17" i="23" s="1"/>
  <c r="SZ2" i="23" s="1"/>
  <c r="QA12" i="23"/>
  <c r="PZ12" i="23"/>
  <c r="PY12" i="23"/>
  <c r="PX12" i="23"/>
  <c r="PW12" i="23"/>
  <c r="PV12" i="23"/>
  <c r="PU12" i="23"/>
  <c r="PT12" i="23"/>
  <c r="QA11" i="23"/>
  <c r="PZ11" i="23"/>
  <c r="PY11" i="23"/>
  <c r="PX11" i="23"/>
  <c r="PW11" i="23"/>
  <c r="PV11" i="23"/>
  <c r="PU11" i="23"/>
  <c r="PT11" i="23"/>
  <c r="DC11" i="23"/>
  <c r="DD11" i="23"/>
  <c r="DE11" i="23"/>
  <c r="DF11" i="23"/>
  <c r="DG11" i="23"/>
  <c r="DH11" i="23"/>
  <c r="DI11" i="23"/>
  <c r="DI14" i="23"/>
  <c r="DI15" i="23"/>
  <c r="DI16" i="23"/>
  <c r="LO12" i="23"/>
  <c r="LP12" i="23"/>
  <c r="LQ12" i="23"/>
  <c r="LR12" i="23"/>
  <c r="LS12" i="23"/>
  <c r="LT12" i="23"/>
  <c r="LU12" i="23"/>
  <c r="DB11" i="23"/>
  <c r="K318" i="23" l="1"/>
  <c r="K321" i="23"/>
  <c r="K322" i="23" s="1"/>
  <c r="DI17" i="23"/>
  <c r="DI19" i="23" s="1"/>
  <c r="GC14" i="23"/>
  <c r="GD14" i="23"/>
  <c r="GF14" i="23"/>
  <c r="GG14" i="23"/>
  <c r="GH14" i="23"/>
  <c r="VC12" i="23"/>
  <c r="K323" i="23" l="1"/>
  <c r="K324" i="23" s="1"/>
  <c r="E161" i="23"/>
  <c r="E162" i="23" s="1"/>
  <c r="E163" i="23" s="1"/>
  <c r="E164" i="23" s="1"/>
  <c r="E165" i="23" s="1"/>
  <c r="E166" i="23" s="1"/>
  <c r="E167" i="23" s="1"/>
  <c r="E168" i="23" s="1"/>
  <c r="E169" i="23" s="1"/>
  <c r="E170" i="23" s="1"/>
  <c r="E171" i="23" s="1"/>
  <c r="E172" i="23" s="1"/>
  <c r="E173" i="23" s="1"/>
  <c r="E174" i="23" s="1"/>
  <c r="E175" i="23" s="1"/>
  <c r="E176" i="23" s="1"/>
  <c r="E177" i="23" s="1"/>
  <c r="E178" i="23" s="1"/>
  <c r="E179" i="23" s="1"/>
  <c r="AS204" i="23"/>
  <c r="AR204" i="23"/>
  <c r="AQ204" i="23"/>
  <c r="AP204" i="23"/>
  <c r="AO204" i="23"/>
  <c r="AS191" i="23"/>
  <c r="AR191" i="23"/>
  <c r="AQ191" i="23"/>
  <c r="AP191" i="23"/>
  <c r="AO191" i="23"/>
  <c r="AS178" i="23"/>
  <c r="AR178" i="23"/>
  <c r="AQ178" i="23"/>
  <c r="AP178" i="23"/>
  <c r="AO178" i="23"/>
  <c r="AP165" i="23"/>
  <c r="AQ165" i="23"/>
  <c r="AR165" i="23"/>
  <c r="AS165" i="23"/>
  <c r="AO165" i="23"/>
  <c r="AM204" i="23"/>
  <c r="W204" i="23" s="1"/>
  <c r="AL204" i="23"/>
  <c r="V204" i="23" s="1"/>
  <c r="AK204" i="23"/>
  <c r="U204" i="23" s="1"/>
  <c r="AJ204" i="23"/>
  <c r="AI204" i="23"/>
  <c r="S204" i="23" s="1"/>
  <c r="AH204" i="23"/>
  <c r="R204" i="23" s="1"/>
  <c r="AG204" i="23"/>
  <c r="AF204" i="23"/>
  <c r="AM191" i="23"/>
  <c r="W191" i="23" s="1"/>
  <c r="AL191" i="23"/>
  <c r="V191" i="23" s="1"/>
  <c r="AK191" i="23"/>
  <c r="U191" i="23" s="1"/>
  <c r="AJ191" i="23"/>
  <c r="AI191" i="23"/>
  <c r="S191" i="23" s="1"/>
  <c r="AH191" i="23"/>
  <c r="R191" i="23" s="1"/>
  <c r="AG191" i="23"/>
  <c r="AF191" i="23"/>
  <c r="AM178" i="23"/>
  <c r="W178" i="23" s="1"/>
  <c r="AL178" i="23"/>
  <c r="V178" i="23" s="1"/>
  <c r="AK178" i="23"/>
  <c r="U178" i="23" s="1"/>
  <c r="AJ178" i="23"/>
  <c r="AI178" i="23"/>
  <c r="S178" i="23" s="1"/>
  <c r="AH178" i="23"/>
  <c r="R178" i="23" s="1"/>
  <c r="AG178" i="23"/>
  <c r="AF178" i="23"/>
  <c r="R165" i="23"/>
  <c r="S165" i="23"/>
  <c r="AK165" i="23"/>
  <c r="U165" i="23" s="1"/>
  <c r="AL165" i="23"/>
  <c r="V165" i="23" s="1"/>
  <c r="AM165" i="23"/>
  <c r="W248" i="23" l="1"/>
  <c r="U248" i="23"/>
  <c r="V248" i="23"/>
  <c r="S248" i="23"/>
  <c r="K325" i="23"/>
  <c r="K326" i="23" s="1"/>
  <c r="K327" i="23" s="1"/>
  <c r="K329" i="23" s="1"/>
  <c r="AH366" i="23" s="1"/>
  <c r="AH369" i="23" s="1"/>
  <c r="AH370" i="23" s="1"/>
  <c r="R248" i="23"/>
  <c r="AJ79" i="23"/>
  <c r="AK77" i="23"/>
  <c r="LN12" i="23" l="1"/>
  <c r="R45" i="23"/>
  <c r="Q45" i="23" l="1"/>
  <c r="Q50" i="23"/>
  <c r="NH14" i="23" l="1"/>
  <c r="NH17" i="23" s="1"/>
  <c r="NH2" i="23" s="1"/>
  <c r="NI14" i="23"/>
  <c r="NI17" i="23" s="1"/>
  <c r="NI2" i="23" s="1"/>
  <c r="NK14" i="23"/>
  <c r="NK17" i="23" s="1"/>
  <c r="NK2" i="23" s="1"/>
  <c r="NL14" i="23"/>
  <c r="NL17" i="23" s="1"/>
  <c r="NL2" i="23" s="1"/>
  <c r="NM14" i="23"/>
  <c r="NM17" i="23" s="1"/>
  <c r="NM2" i="23" s="1"/>
  <c r="NF13" i="23"/>
  <c r="NF14" i="23" s="1"/>
  <c r="NF17" i="23" s="1"/>
  <c r="NF2" i="23" s="1"/>
  <c r="NG13" i="23"/>
  <c r="NG14" i="23" s="1"/>
  <c r="NG17" i="23" s="1"/>
  <c r="NG2" i="23" s="1"/>
  <c r="NH13" i="23"/>
  <c r="NI13" i="23"/>
  <c r="NJ13" i="23"/>
  <c r="NJ14" i="23" s="1"/>
  <c r="NJ17" i="23" s="1"/>
  <c r="NJ2" i="23" s="1"/>
  <c r="NK13" i="23"/>
  <c r="NL13" i="23"/>
  <c r="NM13" i="23"/>
  <c r="B345" i="23" l="1"/>
  <c r="C346" i="23"/>
  <c r="D346" i="23"/>
  <c r="E346" i="23"/>
  <c r="F346" i="23"/>
  <c r="G346" i="23"/>
  <c r="H346" i="23"/>
  <c r="I346" i="23"/>
  <c r="AK75" i="23" l="1"/>
  <c r="AK78" i="23"/>
  <c r="AE43" i="23"/>
  <c r="R37" i="23" s="1"/>
  <c r="JR14" i="23"/>
  <c r="JR17" i="23" s="1"/>
  <c r="JR2" i="23" s="1"/>
  <c r="S81" i="23" l="1"/>
  <c r="AK71" i="23"/>
  <c r="AK79" i="23" s="1"/>
  <c r="R48" i="23"/>
  <c r="AE44" i="23"/>
  <c r="AE39" i="23"/>
  <c r="AE37" i="23"/>
  <c r="AE36" i="23"/>
  <c r="AE35" i="23"/>
  <c r="AE34" i="23"/>
  <c r="AE33" i="23"/>
  <c r="S74" i="23" l="1"/>
  <c r="R42" i="23"/>
  <c r="S73" i="23"/>
  <c r="R41" i="23"/>
  <c r="S71" i="23"/>
  <c r="R38" i="23"/>
  <c r="S72" i="23"/>
  <c r="R40" i="23"/>
  <c r="S77" i="23"/>
  <c r="R39" i="23"/>
  <c r="AK74" i="23"/>
  <c r="AK73" i="23"/>
  <c r="AK76" i="23"/>
  <c r="AK72" i="23"/>
  <c r="R47" i="23"/>
  <c r="RL13" i="23" l="1"/>
  <c r="RM13" i="23"/>
  <c r="RN13" i="23"/>
  <c r="RO13" i="23"/>
  <c r="RP13" i="23"/>
  <c r="RQ13" i="23"/>
  <c r="RR13" i="23"/>
  <c r="RS13" i="23"/>
  <c r="RW13" i="23"/>
  <c r="RX13" i="23"/>
  <c r="RY13" i="23"/>
  <c r="RZ13" i="23"/>
  <c r="SA13" i="23"/>
  <c r="SB13" i="23"/>
  <c r="SC13" i="23"/>
  <c r="SD13" i="23"/>
  <c r="SH13" i="23"/>
  <c r="SI13" i="23"/>
  <c r="SJ13" i="23"/>
  <c r="SK13" i="23"/>
  <c r="SL13" i="23"/>
  <c r="SM13" i="23"/>
  <c r="SN13" i="23"/>
  <c r="SO13" i="23"/>
  <c r="TZ13" i="23"/>
  <c r="UA13" i="23"/>
  <c r="UB13" i="23"/>
  <c r="UC13" i="23"/>
  <c r="UD13" i="23"/>
  <c r="UE13" i="23"/>
  <c r="UF13" i="23"/>
  <c r="UG13" i="23"/>
  <c r="VG13" i="23"/>
  <c r="VH13" i="23"/>
  <c r="VI13" i="23"/>
  <c r="VJ13" i="23"/>
  <c r="VK13" i="23"/>
  <c r="VL13" i="23"/>
  <c r="VM13" i="23"/>
  <c r="VN13" i="23"/>
  <c r="LY13" i="23"/>
  <c r="LZ13" i="23"/>
  <c r="MA13" i="23"/>
  <c r="MB13" i="23"/>
  <c r="MC13" i="23"/>
  <c r="MD13" i="23"/>
  <c r="ME13" i="23"/>
  <c r="MF13" i="23"/>
  <c r="MK13" i="23"/>
  <c r="ML13" i="23"/>
  <c r="MM13" i="23"/>
  <c r="MN13" i="23"/>
  <c r="MO13" i="23"/>
  <c r="MP13" i="23"/>
  <c r="MQ13" i="23"/>
  <c r="AY13" i="23"/>
  <c r="AZ13" i="23"/>
  <c r="BA13" i="23"/>
  <c r="BB13" i="23"/>
  <c r="BC13" i="23"/>
  <c r="BD13" i="23"/>
  <c r="BE13" i="23"/>
  <c r="BF13" i="23"/>
  <c r="BU13" i="23"/>
  <c r="BU14" i="23" s="1"/>
  <c r="BU17" i="23" s="1"/>
  <c r="BU2" i="23" s="1"/>
  <c r="BV13" i="23"/>
  <c r="BV14" i="23" s="1"/>
  <c r="BV17" i="23" s="1"/>
  <c r="BV2" i="23" s="1"/>
  <c r="BW13" i="23"/>
  <c r="BW14" i="23" s="1"/>
  <c r="BW17" i="23" s="1"/>
  <c r="BW2" i="23" s="1"/>
  <c r="BX13" i="23"/>
  <c r="BX14" i="23" s="1"/>
  <c r="BX17" i="23" s="1"/>
  <c r="BX2" i="23" s="1"/>
  <c r="BY13" i="23"/>
  <c r="BY14" i="23" s="1"/>
  <c r="BY17" i="23" s="1"/>
  <c r="BY2" i="23" s="1"/>
  <c r="BZ13" i="23"/>
  <c r="BZ14" i="23" s="1"/>
  <c r="BZ17" i="23" s="1"/>
  <c r="BZ2" i="23" s="1"/>
  <c r="CA13" i="23"/>
  <c r="CA14" i="23" s="1"/>
  <c r="CA17" i="23" s="1"/>
  <c r="CA2" i="23" s="1"/>
  <c r="CB13" i="23"/>
  <c r="CB14" i="23" s="1"/>
  <c r="CB17" i="23" s="1"/>
  <c r="CB2" i="23" s="1"/>
  <c r="DM13" i="23"/>
  <c r="DM14" i="23" s="1"/>
  <c r="DM17" i="23" s="1"/>
  <c r="DM2" i="23" s="1"/>
  <c r="DN13" i="23"/>
  <c r="DN14" i="23" s="1"/>
  <c r="DN17" i="23" s="1"/>
  <c r="DN2" i="23" s="1"/>
  <c r="DO13" i="23"/>
  <c r="DO14" i="23" s="1"/>
  <c r="DO17" i="23" s="1"/>
  <c r="DO2" i="23" s="1"/>
  <c r="DP13" i="23"/>
  <c r="DP14" i="23" s="1"/>
  <c r="DP17" i="23" s="1"/>
  <c r="DP2" i="23" s="1"/>
  <c r="DQ13" i="23"/>
  <c r="DQ14" i="23" s="1"/>
  <c r="DQ17" i="23" s="1"/>
  <c r="DQ2" i="23" s="1"/>
  <c r="DR13" i="23"/>
  <c r="DR14" i="23" s="1"/>
  <c r="DR17" i="23" s="1"/>
  <c r="DR2" i="23" s="1"/>
  <c r="DS13" i="23"/>
  <c r="DS14" i="23" s="1"/>
  <c r="DS17" i="23" s="1"/>
  <c r="DS2" i="23" s="1"/>
  <c r="DT13" i="23"/>
  <c r="DT14" i="23" s="1"/>
  <c r="DT17" i="23" s="1"/>
  <c r="DT2" i="23" s="1"/>
  <c r="DX13" i="23"/>
  <c r="DY13" i="23"/>
  <c r="DZ13" i="23"/>
  <c r="EA13" i="23"/>
  <c r="EB13" i="23"/>
  <c r="EC13" i="23"/>
  <c r="ED13" i="23"/>
  <c r="EE13" i="23"/>
  <c r="GL13" i="23"/>
  <c r="GL14" i="23" s="1"/>
  <c r="GL17" i="23" s="1"/>
  <c r="GL2" i="23" s="1"/>
  <c r="GM13" i="23"/>
  <c r="GM14" i="23" s="1"/>
  <c r="GM17" i="23" s="1"/>
  <c r="GM2" i="23" s="1"/>
  <c r="GN13" i="23"/>
  <c r="GO13" i="23"/>
  <c r="GP13" i="23"/>
  <c r="GP14" i="23" s="1"/>
  <c r="GP17" i="23" s="1"/>
  <c r="GP2" i="23" s="1"/>
  <c r="GQ13" i="23"/>
  <c r="GR13" i="23"/>
  <c r="GS13" i="23"/>
  <c r="GW13" i="23"/>
  <c r="GW14" i="23" s="1"/>
  <c r="GW17" i="23" s="1"/>
  <c r="GW2" i="23" s="1"/>
  <c r="GX13" i="23"/>
  <c r="GX14" i="23" s="1"/>
  <c r="GX17" i="23" s="1"/>
  <c r="GX2" i="23" s="1"/>
  <c r="GY13" i="23"/>
  <c r="GZ13" i="23"/>
  <c r="HA13" i="23"/>
  <c r="HA14" i="23" s="1"/>
  <c r="HA17" i="23" s="1"/>
  <c r="HA2" i="23" s="1"/>
  <c r="HB13" i="23"/>
  <c r="HC13" i="23"/>
  <c r="HD13" i="23"/>
  <c r="HH13" i="23"/>
  <c r="HH14" i="23" s="1"/>
  <c r="HH17" i="23" s="1"/>
  <c r="HH2" i="23" s="1"/>
  <c r="HI13" i="23"/>
  <c r="HI14" i="23" s="1"/>
  <c r="HI17" i="23" s="1"/>
  <c r="HI2" i="23" s="1"/>
  <c r="HJ13" i="23"/>
  <c r="HK13" i="23"/>
  <c r="HL13" i="23"/>
  <c r="HL14" i="23" s="1"/>
  <c r="HL17" i="23" s="1"/>
  <c r="HL2" i="23" s="1"/>
  <c r="HM13" i="23"/>
  <c r="HN13" i="23"/>
  <c r="HO13" i="23"/>
  <c r="HS13" i="23"/>
  <c r="HS14" i="23" s="1"/>
  <c r="HS17" i="23" s="1"/>
  <c r="HS2" i="23" s="1"/>
  <c r="HT13" i="23"/>
  <c r="HT14" i="23" s="1"/>
  <c r="HT17" i="23" s="1"/>
  <c r="HT2" i="23" s="1"/>
  <c r="HU13" i="23"/>
  <c r="HV13" i="23"/>
  <c r="HW13" i="23"/>
  <c r="HW14" i="23" s="1"/>
  <c r="HW17" i="23" s="1"/>
  <c r="HW2" i="23" s="1"/>
  <c r="HX13" i="23"/>
  <c r="HY13" i="23"/>
  <c r="HZ13" i="23"/>
  <c r="ID13" i="23"/>
  <c r="ID14" i="23" s="1"/>
  <c r="ID17" i="23" s="1"/>
  <c r="ID2" i="23" s="1"/>
  <c r="IE13" i="23"/>
  <c r="IE14" i="23" s="1"/>
  <c r="IE17" i="23" s="1"/>
  <c r="IE2" i="23" s="1"/>
  <c r="IF13" i="23"/>
  <c r="IG13" i="23"/>
  <c r="IH13" i="23"/>
  <c r="IH14" i="23" s="1"/>
  <c r="IH17" i="23" s="1"/>
  <c r="IH2" i="23" s="1"/>
  <c r="II13" i="23"/>
  <c r="IJ13" i="23"/>
  <c r="IK13" i="23"/>
  <c r="KY52" i="23"/>
  <c r="KX52" i="23"/>
  <c r="KW52" i="23"/>
  <c r="KV52" i="23"/>
  <c r="KU52" i="23"/>
  <c r="KT52" i="23"/>
  <c r="KS52" i="23"/>
  <c r="KR52" i="23"/>
  <c r="KY46" i="23"/>
  <c r="KX46" i="23"/>
  <c r="KW46" i="23"/>
  <c r="KV46" i="23"/>
  <c r="KU46" i="23"/>
  <c r="KT46" i="23"/>
  <c r="KS46" i="23"/>
  <c r="KR46" i="23"/>
  <c r="KT23" i="23"/>
  <c r="KS23" i="23"/>
  <c r="KR23" i="23"/>
  <c r="KT19" i="23"/>
  <c r="KS19" i="23"/>
  <c r="KR19" i="23"/>
  <c r="KS37" i="23" l="1"/>
  <c r="KT37" i="23"/>
  <c r="KS35" i="23"/>
  <c r="KT24" i="23"/>
  <c r="KT27" i="23" s="1" a="1"/>
  <c r="KT27" i="23" s="1"/>
  <c r="KR24" i="23"/>
  <c r="KV23" i="23"/>
  <c r="KV37" i="23" s="1"/>
  <c r="KU23" i="23"/>
  <c r="KW23" i="23"/>
  <c r="KY23" i="23"/>
  <c r="KX23" i="23"/>
  <c r="KR35" i="23"/>
  <c r="KS24" i="23"/>
  <c r="KS27" i="23" s="1" a="1"/>
  <c r="KS27" i="23" s="1"/>
  <c r="KT35" i="23"/>
  <c r="KR37" i="23"/>
  <c r="KR25" i="23" l="1"/>
  <c r="KR27" i="23" a="1"/>
  <c r="KR27" i="23" s="1"/>
  <c r="KS13" i="23"/>
  <c r="KR13" i="23"/>
  <c r="KT13" i="23"/>
  <c r="KS26" i="23"/>
  <c r="KT26" i="23"/>
  <c r="KR26" i="23"/>
  <c r="KT25" i="23"/>
  <c r="KX37" i="23"/>
  <c r="KU37" i="23"/>
  <c r="KY37" i="23"/>
  <c r="KX19" i="23"/>
  <c r="KW19" i="23"/>
  <c r="KV19" i="23"/>
  <c r="KU19" i="23"/>
  <c r="KY19" i="23"/>
  <c r="KW37" i="23"/>
  <c r="KS25" i="23"/>
  <c r="EP14" i="23"/>
  <c r="EP17" i="23" s="1"/>
  <c r="KW35" i="23" l="1"/>
  <c r="KW13" i="23" s="1"/>
  <c r="KW24" i="23"/>
  <c r="KX24" i="23"/>
  <c r="KX27" i="23" s="1" a="1"/>
  <c r="KX27" i="23" s="1"/>
  <c r="KX35" i="23"/>
  <c r="KX13" i="23" s="1"/>
  <c r="KY24" i="23"/>
  <c r="KY27" i="23" s="1" a="1"/>
  <c r="KY27" i="23" s="1"/>
  <c r="KY35" i="23"/>
  <c r="KY13" i="23" s="1"/>
  <c r="KU35" i="23"/>
  <c r="KU13" i="23" s="1"/>
  <c r="KU24" i="23"/>
  <c r="KV35" i="23"/>
  <c r="KV13" i="23" s="1"/>
  <c r="KV24" i="23"/>
  <c r="KV27" i="23" s="1" a="1"/>
  <c r="KV27" i="23" s="1"/>
  <c r="KU25" i="23" l="1"/>
  <c r="KU27" i="23" a="1"/>
  <c r="KU27" i="23" s="1"/>
  <c r="KY25" i="23"/>
  <c r="KW25" i="23"/>
  <c r="KW27" i="23" a="1"/>
  <c r="KW27" i="23" s="1"/>
  <c r="KV26" i="23"/>
  <c r="KV25" i="23"/>
  <c r="KY26" i="23"/>
  <c r="KX26" i="23"/>
  <c r="KW26" i="23"/>
  <c r="KU26" i="23"/>
  <c r="KX25" i="23"/>
  <c r="AQ163" i="23"/>
  <c r="AR163" i="23"/>
  <c r="AS163" i="23"/>
  <c r="AQ164" i="23"/>
  <c r="AR164" i="23"/>
  <c r="AS164" i="23"/>
  <c r="AQ176" i="23"/>
  <c r="AR176" i="23"/>
  <c r="AS176" i="23"/>
  <c r="AQ177" i="23"/>
  <c r="AA178" i="23" s="1"/>
  <c r="AR177" i="23"/>
  <c r="AB178" i="23" s="1"/>
  <c r="AS177" i="23"/>
  <c r="AC178" i="23" s="1"/>
  <c r="AQ189" i="23"/>
  <c r="AR189" i="23"/>
  <c r="AS189" i="23"/>
  <c r="AQ190" i="23"/>
  <c r="AA191" i="23" s="1"/>
  <c r="AR190" i="23"/>
  <c r="AB191" i="23" s="1"/>
  <c r="AS190" i="23"/>
  <c r="AC191" i="23" s="1"/>
  <c r="AQ202" i="23"/>
  <c r="AR202" i="23"/>
  <c r="AS202" i="23"/>
  <c r="AQ203" i="23"/>
  <c r="AA204" i="23" s="1"/>
  <c r="AR203" i="23"/>
  <c r="AB204" i="23" s="1"/>
  <c r="AS203" i="23"/>
  <c r="AC204" i="23" s="1"/>
  <c r="AA248" i="23" l="1"/>
  <c r="AB248" i="23"/>
  <c r="AC248" i="23"/>
  <c r="AP163" i="23"/>
  <c r="AP164" i="23"/>
  <c r="AP176" i="23"/>
  <c r="AP177" i="23"/>
  <c r="Z178" i="23" s="1"/>
  <c r="AP189" i="23"/>
  <c r="AP190" i="23"/>
  <c r="Z191" i="23" s="1"/>
  <c r="AP202" i="23"/>
  <c r="AP203" i="23"/>
  <c r="Z204" i="23" s="1"/>
  <c r="AO163" i="23"/>
  <c r="Y248" i="23" s="1"/>
  <c r="AO164" i="23"/>
  <c r="AO176" i="23"/>
  <c r="Y178" i="23" s="1"/>
  <c r="AO177" i="23"/>
  <c r="AO189" i="23"/>
  <c r="Y191" i="23" s="1"/>
  <c r="AO190" i="23"/>
  <c r="AO202" i="23"/>
  <c r="Y204" i="23" s="1"/>
  <c r="AO203" i="23"/>
  <c r="Z248" i="23" l="1"/>
  <c r="P165" i="23"/>
  <c r="I80" i="23"/>
  <c r="E80" i="23"/>
  <c r="G80" i="23"/>
  <c r="H80" i="23"/>
  <c r="KU28" i="23"/>
  <c r="KV28" i="23"/>
  <c r="KW28" i="23"/>
  <c r="KX28" i="23"/>
  <c r="KY28" i="23"/>
  <c r="CT10" i="23" l="1"/>
  <c r="GD10" i="23"/>
  <c r="CV10" i="23"/>
  <c r="GF10" i="23"/>
  <c r="GG10" i="23"/>
  <c r="CW10" i="23"/>
  <c r="CX10" i="23"/>
  <c r="GH10" i="23"/>
  <c r="E330" i="23"/>
  <c r="AQ10" i="23"/>
  <c r="AU10" i="23"/>
  <c r="I330" i="23"/>
  <c r="H330" i="23"/>
  <c r="AT10" i="23"/>
  <c r="G330" i="23"/>
  <c r="AS10" i="23"/>
  <c r="RF10" i="23"/>
  <c r="RF13" i="23" s="1"/>
  <c r="RF17" i="23" s="1"/>
  <c r="RF2" i="23" s="1"/>
  <c r="RD10" i="23"/>
  <c r="RD13" i="23" s="1"/>
  <c r="RD17" i="23" s="1"/>
  <c r="RD2" i="23" s="1"/>
  <c r="RG10" i="23"/>
  <c r="RG13" i="23" s="1"/>
  <c r="RG17" i="23" s="1"/>
  <c r="RG2" i="23" s="1"/>
  <c r="RH10" i="23"/>
  <c r="RH13" i="23" s="1"/>
  <c r="RH17" i="23" s="1"/>
  <c r="RH2" i="23" s="1"/>
  <c r="H304" i="23"/>
  <c r="PZ9" i="23"/>
  <c r="H23" i="23"/>
  <c r="G304" i="23"/>
  <c r="PY9" i="23"/>
  <c r="G23" i="23"/>
  <c r="E23" i="23"/>
  <c r="PW9" i="23"/>
  <c r="E304" i="23"/>
  <c r="QA9" i="23"/>
  <c r="I23" i="23"/>
  <c r="I304" i="23"/>
  <c r="KV29" i="23"/>
  <c r="KV30" i="23" s="1"/>
  <c r="KV31" i="23" s="1"/>
  <c r="KV36" i="23" s="1"/>
  <c r="KU29" i="23"/>
  <c r="KU30" i="23" s="1"/>
  <c r="KU31" i="23" s="1"/>
  <c r="KU36" i="23" s="1"/>
  <c r="KR29" i="23"/>
  <c r="KW29" i="23"/>
  <c r="KW30" i="23" s="1"/>
  <c r="KW31" i="23" s="1"/>
  <c r="KW36" i="23" s="1"/>
  <c r="KT29" i="23"/>
  <c r="KX29" i="23"/>
  <c r="KX30" i="23" s="1"/>
  <c r="KS29" i="23"/>
  <c r="KY29" i="23"/>
  <c r="KY30" i="23" s="1"/>
  <c r="KR63" i="23"/>
  <c r="IO12" i="23"/>
  <c r="KX56" i="23"/>
  <c r="KX63" i="23" s="1"/>
  <c r="IU12" i="23"/>
  <c r="KW56" i="23"/>
  <c r="KW63" i="23" s="1"/>
  <c r="IT12" i="23"/>
  <c r="KV56" i="23"/>
  <c r="KV63" i="23" s="1"/>
  <c r="IS12" i="23"/>
  <c r="KU56" i="23"/>
  <c r="KU63" i="23" s="1"/>
  <c r="IR12" i="23"/>
  <c r="KT56" i="23"/>
  <c r="KT63" i="23" s="1"/>
  <c r="IQ12" i="23"/>
  <c r="KS56" i="23"/>
  <c r="KS63" i="23" s="1"/>
  <c r="IP12" i="23"/>
  <c r="KY56" i="23"/>
  <c r="KY63" i="23" s="1"/>
  <c r="IV12" i="23"/>
  <c r="C56" i="23"/>
  <c r="D56" i="23"/>
  <c r="E56" i="23"/>
  <c r="F56" i="23"/>
  <c r="G56" i="23"/>
  <c r="H56" i="23"/>
  <c r="I56" i="23"/>
  <c r="AA65" i="23" s="1"/>
  <c r="AM203" i="23"/>
  <c r="AL203" i="23"/>
  <c r="AK203" i="23"/>
  <c r="AJ203" i="23"/>
  <c r="AI203" i="23"/>
  <c r="AH203" i="23"/>
  <c r="AG203" i="23"/>
  <c r="AM202" i="23"/>
  <c r="AL202" i="23"/>
  <c r="AK202" i="23"/>
  <c r="AJ202" i="23"/>
  <c r="T204" i="23" s="1"/>
  <c r="AI202" i="23"/>
  <c r="AH202" i="23"/>
  <c r="AG202" i="23"/>
  <c r="Q204" i="23" s="1"/>
  <c r="AF203" i="23"/>
  <c r="AF202" i="23"/>
  <c r="AM190" i="23"/>
  <c r="AL190" i="23"/>
  <c r="AK190" i="23"/>
  <c r="AJ190" i="23"/>
  <c r="AI190" i="23"/>
  <c r="AH190" i="23"/>
  <c r="AG190" i="23"/>
  <c r="AM189" i="23"/>
  <c r="AL189" i="23"/>
  <c r="AK189" i="23"/>
  <c r="AJ189" i="23"/>
  <c r="T191" i="23" s="1"/>
  <c r="AI189" i="23"/>
  <c r="AH189" i="23"/>
  <c r="AG189" i="23"/>
  <c r="Q191" i="23" s="1"/>
  <c r="AF190" i="23"/>
  <c r="P191" i="23" s="1"/>
  <c r="AM177" i="23"/>
  <c r="AL177" i="23"/>
  <c r="AK177" i="23"/>
  <c r="AJ177" i="23"/>
  <c r="AI177" i="23"/>
  <c r="AH177" i="23"/>
  <c r="AG177" i="23"/>
  <c r="AF177" i="23"/>
  <c r="AM176" i="23"/>
  <c r="AL176" i="23"/>
  <c r="AK176" i="23"/>
  <c r="AJ176" i="23"/>
  <c r="T178" i="23" s="1"/>
  <c r="AI176" i="23"/>
  <c r="AH176" i="23"/>
  <c r="AG176" i="23"/>
  <c r="AF176" i="23"/>
  <c r="AM164" i="23"/>
  <c r="AL164" i="23"/>
  <c r="AK164" i="23"/>
  <c r="AL163" i="23"/>
  <c r="AK163" i="23"/>
  <c r="T165" i="23"/>
  <c r="Q165" i="23"/>
  <c r="E187" i="23"/>
  <c r="E188" i="23" s="1"/>
  <c r="E189" i="23" s="1"/>
  <c r="E190" i="23" s="1"/>
  <c r="E191" i="23" s="1"/>
  <c r="E192" i="23" s="1"/>
  <c r="E193" i="23" s="1"/>
  <c r="E194" i="23" s="1"/>
  <c r="E195" i="23" s="1"/>
  <c r="E196" i="23" s="1"/>
  <c r="E197" i="23" s="1"/>
  <c r="E198" i="23" s="1"/>
  <c r="E199" i="23" s="1"/>
  <c r="E200" i="23" s="1"/>
  <c r="E201" i="23" s="1"/>
  <c r="E202" i="23" s="1"/>
  <c r="E203" i="23" s="1"/>
  <c r="E204" i="23" s="1"/>
  <c r="E205" i="23" s="1"/>
  <c r="T248" i="23" l="1"/>
  <c r="Q178" i="23"/>
  <c r="Q248" i="23" s="1"/>
  <c r="G311" i="23"/>
  <c r="G328" i="23" s="1"/>
  <c r="G320" i="23"/>
  <c r="G313" i="23"/>
  <c r="G316" i="23"/>
  <c r="I313" i="23"/>
  <c r="I311" i="23"/>
  <c r="I328" i="23" s="1"/>
  <c r="I320" i="23"/>
  <c r="I316" i="23"/>
  <c r="E311" i="23"/>
  <c r="E328" i="23" s="1"/>
  <c r="E313" i="23"/>
  <c r="E320" i="23"/>
  <c r="E316" i="23"/>
  <c r="H320" i="23"/>
  <c r="H311" i="23"/>
  <c r="H328" i="23" s="1"/>
  <c r="H313" i="23"/>
  <c r="H316" i="23"/>
  <c r="P204" i="23"/>
  <c r="P178" i="23"/>
  <c r="P248" i="23" s="1"/>
  <c r="KX31" i="23"/>
  <c r="KX36" i="23" s="1"/>
  <c r="KX33" i="23"/>
  <c r="KX38" i="23" s="1"/>
  <c r="KY31" i="23"/>
  <c r="KY36" i="23" s="1"/>
  <c r="KY33" i="23"/>
  <c r="KY38" i="23" s="1"/>
  <c r="KU33" i="23"/>
  <c r="KU38" i="23" s="1"/>
  <c r="KU39" i="23" s="1"/>
  <c r="KU2" i="23" s="1"/>
  <c r="KW33" i="23"/>
  <c r="KW38" i="23" s="1"/>
  <c r="KW39" i="23" s="1"/>
  <c r="KW2" i="23" s="1"/>
  <c r="KV33" i="23"/>
  <c r="KV38" i="23" s="1"/>
  <c r="KV39" i="23" s="1"/>
  <c r="KV2" i="23" s="1"/>
  <c r="E212" i="23"/>
  <c r="E213" i="23" s="1"/>
  <c r="E214" i="23" s="1"/>
  <c r="E215" i="23" s="1"/>
  <c r="E216" i="23" s="1"/>
  <c r="E217" i="23" s="1"/>
  <c r="E218" i="23" s="1"/>
  <c r="E219" i="23" s="1"/>
  <c r="E220" i="23" s="1"/>
  <c r="E221" i="23" s="1"/>
  <c r="E222" i="23" s="1"/>
  <c r="E223" i="23" s="1"/>
  <c r="E224" i="23" s="1"/>
  <c r="E225" i="23" s="1"/>
  <c r="E226" i="23" s="1"/>
  <c r="E227" i="23" s="1"/>
  <c r="E228" i="23" s="1"/>
  <c r="E229" i="23" s="1"/>
  <c r="E230" i="23" s="1"/>
  <c r="A107" i="23"/>
  <c r="I65" i="23"/>
  <c r="BQ73" i="23" s="1"/>
  <c r="BQ75" i="23" s="1"/>
  <c r="BQ76" i="23" s="1"/>
  <c r="BQ77" i="23" s="1"/>
  <c r="I83" i="23" s="1"/>
  <c r="H65" i="23"/>
  <c r="BP73" i="23" s="1"/>
  <c r="BP75" i="23" s="1"/>
  <c r="BP76" i="23" s="1"/>
  <c r="BP77" i="23" s="1"/>
  <c r="H83" i="23" s="1"/>
  <c r="G65" i="23"/>
  <c r="BO73" i="23" s="1"/>
  <c r="BO75" i="23" s="1"/>
  <c r="BO76" i="23" s="1"/>
  <c r="BO77" i="23" s="1"/>
  <c r="G83" i="23" s="1"/>
  <c r="F65" i="23"/>
  <c r="E65" i="23"/>
  <c r="BM73" i="23" s="1"/>
  <c r="BM75" i="23" s="1"/>
  <c r="BM76" i="23" s="1"/>
  <c r="BM77" i="23" s="1"/>
  <c r="E83" i="23" s="1"/>
  <c r="D65" i="23"/>
  <c r="C65" i="23"/>
  <c r="BK73" i="23" s="1"/>
  <c r="BK75" i="23" s="1"/>
  <c r="BK76" i="23" s="1"/>
  <c r="BK77" i="23" s="1"/>
  <c r="C83" i="23" s="1"/>
  <c r="R50" i="23"/>
  <c r="S17" i="23"/>
  <c r="U15" i="23"/>
  <c r="NB14" i="23"/>
  <c r="NB17" i="23" s="1"/>
  <c r="NB2" i="23" s="1"/>
  <c r="GH17" i="23"/>
  <c r="GH2" i="23" s="1"/>
  <c r="GG17" i="23"/>
  <c r="GG2" i="23" s="1"/>
  <c r="GF17" i="23"/>
  <c r="GF2" i="23" s="1"/>
  <c r="GD17" i="23"/>
  <c r="GD2" i="23" s="1"/>
  <c r="EP2" i="23"/>
  <c r="BQ17" i="23"/>
  <c r="BQ2" i="23" s="1"/>
  <c r="JG12" i="23"/>
  <c r="JF12" i="23"/>
  <c r="JE12" i="23"/>
  <c r="JD12" i="23"/>
  <c r="JC12" i="23"/>
  <c r="JB12" i="23"/>
  <c r="JA12" i="23"/>
  <c r="IZ12" i="23"/>
  <c r="EE14" i="23"/>
  <c r="EE17" i="23" s="1"/>
  <c r="ED14" i="23"/>
  <c r="ED17" i="23" s="1"/>
  <c r="EC14" i="23"/>
  <c r="EC17" i="23" s="1"/>
  <c r="EB14" i="23"/>
  <c r="EB17" i="23" s="1"/>
  <c r="EA14" i="23"/>
  <c r="EA17" i="23" s="1"/>
  <c r="DZ14" i="23"/>
  <c r="DZ17" i="23" s="1"/>
  <c r="DY14" i="23"/>
  <c r="DY17" i="23" s="1"/>
  <c r="DX14" i="23"/>
  <c r="DX17" i="23" s="1"/>
  <c r="U13" i="23"/>
  <c r="U11" i="23"/>
  <c r="U9" i="23"/>
  <c r="U7" i="23"/>
  <c r="F80" i="23" l="1"/>
  <c r="BN73" i="23"/>
  <c r="BN75" i="23" s="1"/>
  <c r="BN76" i="23" s="1"/>
  <c r="BN77" i="23" s="1"/>
  <c r="F83" i="23" s="1"/>
  <c r="D80" i="23"/>
  <c r="CS10" i="23" s="1"/>
  <c r="BL73" i="23"/>
  <c r="BL75" i="23" s="1"/>
  <c r="BL76" i="23" s="1"/>
  <c r="BL77" i="23" s="1"/>
  <c r="D83" i="23" s="1"/>
  <c r="AR10" i="23"/>
  <c r="RE10" i="23"/>
  <c r="RE13" i="23" s="1"/>
  <c r="RE17" i="23" s="1"/>
  <c r="RE2" i="23" s="1"/>
  <c r="CU10" i="23"/>
  <c r="F304" i="23"/>
  <c r="GE10" i="23"/>
  <c r="F23" i="23"/>
  <c r="PX9" i="23"/>
  <c r="PX13" i="23" s="1"/>
  <c r="PX14" i="23" s="1"/>
  <c r="PX17" i="23" s="1"/>
  <c r="PX2" i="23" s="1"/>
  <c r="F330" i="23"/>
  <c r="I314" i="23"/>
  <c r="I315" i="23" s="1"/>
  <c r="I321" i="23" s="1"/>
  <c r="I322" i="23" s="1"/>
  <c r="G106" i="23" a="1"/>
  <c r="G106" i="23" s="1"/>
  <c r="D106" i="23" a="1"/>
  <c r="D106" i="23" s="1"/>
  <c r="C106" i="23" a="1"/>
  <c r="C106" i="23" s="1"/>
  <c r="C107" i="23"/>
  <c r="E106" i="23" a="1"/>
  <c r="E106" i="23" s="1"/>
  <c r="I106" i="23" a="1"/>
  <c r="I106" i="23" s="1"/>
  <c r="I107" i="23"/>
  <c r="E107" i="23"/>
  <c r="D107" i="23"/>
  <c r="H107" i="23"/>
  <c r="G107" i="23"/>
  <c r="H106" i="23" a="1"/>
  <c r="H106" i="23" s="1"/>
  <c r="RC10" i="23"/>
  <c r="RC13" i="23" s="1"/>
  <c r="RC17" i="23" s="1"/>
  <c r="RC2" i="23" s="1"/>
  <c r="D330" i="23"/>
  <c r="PV9" i="23"/>
  <c r="D304" i="23"/>
  <c r="D23" i="23"/>
  <c r="SV10" i="23"/>
  <c r="SV13" i="23" s="1"/>
  <c r="SV14" i="23" s="1"/>
  <c r="SV17" i="23" s="1"/>
  <c r="SV2" i="23" s="1"/>
  <c r="JY10" i="23"/>
  <c r="JY13" i="23" s="1"/>
  <c r="JY14" i="23" s="1"/>
  <c r="JY17" i="23" s="1"/>
  <c r="JY2" i="23" s="1"/>
  <c r="TG10" i="23"/>
  <c r="TG13" i="23" s="1"/>
  <c r="TG14" i="23" s="1" a="1"/>
  <c r="TG14" i="23" s="1"/>
  <c r="TG17" i="23" s="1"/>
  <c r="TG2" i="23" s="1"/>
  <c r="QS10" i="23"/>
  <c r="QS13" i="23" s="1"/>
  <c r="QS14" i="23" s="1"/>
  <c r="QS17" i="23" s="1"/>
  <c r="QS2" i="23" s="1"/>
  <c r="OP10" i="23"/>
  <c r="OP13" i="23" s="1"/>
  <c r="OP14" i="23" s="1"/>
  <c r="OP17" i="23" s="1"/>
  <c r="OP2" i="23" s="1"/>
  <c r="KJ10" i="23"/>
  <c r="KJ13" i="23" s="1"/>
  <c r="KJ14" i="23" s="1"/>
  <c r="KJ17" i="23" s="1"/>
  <c r="KJ2" i="23" s="1"/>
  <c r="EW10" i="23"/>
  <c r="EW13" i="23" s="1"/>
  <c r="EW14" i="23" s="1"/>
  <c r="EW17" i="23" s="1"/>
  <c r="EW2" i="23" s="1"/>
  <c r="UN10" i="23"/>
  <c r="UN13" i="23" s="1"/>
  <c r="UN14" i="23" s="1"/>
  <c r="UN17" i="23" s="1"/>
  <c r="UN2" i="23" s="1"/>
  <c r="PA10" i="23"/>
  <c r="PA13" i="23" s="1"/>
  <c r="LF10" i="23"/>
  <c r="LF13" i="23" s="1"/>
  <c r="LF14" i="23" s="1"/>
  <c r="LF17" i="23" s="1"/>
  <c r="LF2" i="23" s="1"/>
  <c r="FH10" i="23"/>
  <c r="FH13" i="23" s="1"/>
  <c r="FH14" i="23" s="1"/>
  <c r="FH17" i="23" s="1"/>
  <c r="FH2" i="23" s="1"/>
  <c r="PL10" i="23"/>
  <c r="PL13" i="23" s="1"/>
  <c r="PL14" i="23" s="1"/>
  <c r="PL17" i="23" s="1"/>
  <c r="PL2" i="23" s="1"/>
  <c r="OE10" i="23"/>
  <c r="OE13" i="23" s="1"/>
  <c r="OE14" i="23" s="1"/>
  <c r="OE17" i="23" s="1"/>
  <c r="OE2" i="23" s="1"/>
  <c r="PM10" i="23"/>
  <c r="PM13" i="23" s="1"/>
  <c r="PM14" i="23" s="1"/>
  <c r="PM17" i="23" s="1"/>
  <c r="PM2" i="23" s="1"/>
  <c r="OF10" i="23"/>
  <c r="OF13" i="23" s="1"/>
  <c r="OF14" i="23" s="1"/>
  <c r="OF17" i="23" s="1"/>
  <c r="OF2" i="23" s="1"/>
  <c r="SW10" i="23"/>
  <c r="SW13" i="23" s="1"/>
  <c r="SW14" i="23" s="1"/>
  <c r="SW17" i="23" s="1"/>
  <c r="SW2" i="23" s="1"/>
  <c r="JZ10" i="23"/>
  <c r="JZ13" i="23" s="1"/>
  <c r="JZ14" i="23" s="1"/>
  <c r="JZ17" i="23" s="1"/>
  <c r="JZ2" i="23" s="1"/>
  <c r="TH10" i="23"/>
  <c r="TH13" i="23" s="1"/>
  <c r="TH14" i="23" s="1" a="1"/>
  <c r="TH14" i="23" s="1"/>
  <c r="TH17" i="23" s="1"/>
  <c r="TH2" i="23" s="1"/>
  <c r="QT10" i="23"/>
  <c r="QT13" i="23" s="1"/>
  <c r="QT14" i="23" s="1"/>
  <c r="QT17" i="23" s="1"/>
  <c r="QT2" i="23" s="1"/>
  <c r="OQ10" i="23"/>
  <c r="OQ13" i="23" s="1"/>
  <c r="OQ14" i="23" s="1"/>
  <c r="OQ17" i="23" s="1"/>
  <c r="OQ2" i="23" s="1"/>
  <c r="KK10" i="23"/>
  <c r="KK13" i="23" s="1"/>
  <c r="KK14" i="23" s="1"/>
  <c r="KK17" i="23" s="1"/>
  <c r="KK2" i="23" s="1"/>
  <c r="EX10" i="23"/>
  <c r="EX13" i="23" s="1"/>
  <c r="EX14" i="23" s="1"/>
  <c r="EX17" i="23" s="1"/>
  <c r="EX2" i="23" s="1"/>
  <c r="UO10" i="23"/>
  <c r="UO13" i="23" s="1"/>
  <c r="UO14" i="23" s="1"/>
  <c r="UO17" i="23" s="1"/>
  <c r="UO2" i="23" s="1"/>
  <c r="PB10" i="23"/>
  <c r="PB13" i="23" s="1"/>
  <c r="PB17" i="23" s="1"/>
  <c r="PB2" i="23" s="1"/>
  <c r="LG10" i="23"/>
  <c r="LG13" i="23" s="1"/>
  <c r="LG14" i="23" s="1"/>
  <c r="LG17" i="23" s="1"/>
  <c r="LG2" i="23" s="1"/>
  <c r="FI10" i="23"/>
  <c r="FI13" i="23" s="1"/>
  <c r="FI14" i="23" s="1"/>
  <c r="FI17" i="23" s="1"/>
  <c r="FI2" i="23" s="1"/>
  <c r="PN10" i="23"/>
  <c r="PN13" i="23" s="1"/>
  <c r="PN14" i="23" s="1"/>
  <c r="PN17" i="23" s="1"/>
  <c r="PN2" i="23" s="1"/>
  <c r="OG10" i="23"/>
  <c r="OG13" i="23" s="1"/>
  <c r="OG14" i="23" s="1"/>
  <c r="OG17" i="23" s="1"/>
  <c r="OG2" i="23" s="1"/>
  <c r="SX10" i="23"/>
  <c r="SX13" i="23" s="1"/>
  <c r="SX14" i="23" s="1"/>
  <c r="SX17" i="23" s="1"/>
  <c r="SX2" i="23" s="1"/>
  <c r="KA10" i="23"/>
  <c r="KA13" i="23" s="1"/>
  <c r="KA14" i="23" s="1"/>
  <c r="KA17" i="23" s="1"/>
  <c r="KA2" i="23" s="1"/>
  <c r="TI10" i="23"/>
  <c r="TI13" i="23" s="1"/>
  <c r="TI14" i="23" s="1" a="1"/>
  <c r="TI14" i="23" s="1"/>
  <c r="TI17" i="23" s="1"/>
  <c r="TI2" i="23" s="1"/>
  <c r="QU10" i="23"/>
  <c r="QU13" i="23" s="1"/>
  <c r="QU14" i="23" s="1"/>
  <c r="QU17" i="23" s="1"/>
  <c r="QU2" i="23" s="1"/>
  <c r="OR10" i="23"/>
  <c r="OR13" i="23" s="1"/>
  <c r="OR14" i="23" s="1"/>
  <c r="OR17" i="23" s="1"/>
  <c r="OR2" i="23" s="1"/>
  <c r="KL10" i="23"/>
  <c r="KL13" i="23" s="1"/>
  <c r="KL14" i="23" s="1"/>
  <c r="KL17" i="23" s="1"/>
  <c r="KL2" i="23" s="1"/>
  <c r="EY10" i="23"/>
  <c r="EY13" i="23" s="1"/>
  <c r="EY14" i="23" s="1"/>
  <c r="EY17" i="23" s="1"/>
  <c r="EY2" i="23" s="1"/>
  <c r="UP10" i="23"/>
  <c r="UP13" i="23" s="1"/>
  <c r="UP14" i="23" s="1"/>
  <c r="UP17" i="23" s="1"/>
  <c r="UP2" i="23" s="1"/>
  <c r="PC10" i="23"/>
  <c r="PC13" i="23" s="1"/>
  <c r="LH10" i="23"/>
  <c r="LH13" i="23" s="1"/>
  <c r="LH14" i="23" s="1"/>
  <c r="LH17" i="23" s="1"/>
  <c r="LH2" i="23" s="1"/>
  <c r="FJ10" i="23"/>
  <c r="FJ13" i="23" s="1"/>
  <c r="FJ14" i="23" s="1"/>
  <c r="FJ17" i="23" s="1"/>
  <c r="FJ2" i="23" s="1"/>
  <c r="PO10" i="23"/>
  <c r="PO13" i="23" s="1"/>
  <c r="PO14" i="23" s="1"/>
  <c r="PO17" i="23" s="1"/>
  <c r="PO2" i="23" s="1"/>
  <c r="OH10" i="23"/>
  <c r="OH13" i="23" s="1"/>
  <c r="OH14" i="23" s="1"/>
  <c r="OH17" i="23" s="1"/>
  <c r="OH2" i="23" s="1"/>
  <c r="SY10" i="23"/>
  <c r="SY13" i="23" s="1"/>
  <c r="SY14" i="23" s="1"/>
  <c r="SY17" i="23" s="1"/>
  <c r="SY2" i="23" s="1"/>
  <c r="KB10" i="23"/>
  <c r="KB13" i="23" s="1"/>
  <c r="KB14" i="23" s="1"/>
  <c r="KB17" i="23" s="1"/>
  <c r="KB2" i="23" s="1"/>
  <c r="TJ10" i="23"/>
  <c r="TJ13" i="23" s="1"/>
  <c r="TJ14" i="23" s="1" a="1"/>
  <c r="TJ14" i="23" s="1"/>
  <c r="TJ17" i="23" s="1"/>
  <c r="TJ2" i="23" s="1"/>
  <c r="QV10" i="23"/>
  <c r="QV13" i="23" s="1"/>
  <c r="QV14" i="23" s="1"/>
  <c r="QV17" i="23" s="1"/>
  <c r="QV2" i="23" s="1"/>
  <c r="OS10" i="23"/>
  <c r="OS13" i="23" s="1"/>
  <c r="OS14" i="23" s="1"/>
  <c r="OS17" i="23" s="1"/>
  <c r="OS2" i="23" s="1"/>
  <c r="KM10" i="23"/>
  <c r="KM13" i="23" s="1"/>
  <c r="KM14" i="23" s="1"/>
  <c r="KM17" i="23" s="1"/>
  <c r="KM2" i="23" s="1"/>
  <c r="EZ10" i="23"/>
  <c r="EZ13" i="23" s="1"/>
  <c r="EZ14" i="23" s="1"/>
  <c r="EZ17" i="23" s="1"/>
  <c r="EZ2" i="23" s="1"/>
  <c r="UQ10" i="23"/>
  <c r="UQ13" i="23" s="1"/>
  <c r="UQ14" i="23" s="1"/>
  <c r="UQ17" i="23" s="1"/>
  <c r="UQ2" i="23" s="1"/>
  <c r="PD10" i="23"/>
  <c r="PD13" i="23" s="1"/>
  <c r="LI10" i="23"/>
  <c r="LI13" i="23" s="1"/>
  <c r="LI14" i="23" s="1"/>
  <c r="LI17" i="23" s="1"/>
  <c r="LI2" i="23" s="1"/>
  <c r="FK10" i="23"/>
  <c r="FK13" i="23" s="1"/>
  <c r="FK14" i="23" s="1"/>
  <c r="FK17" i="23" s="1"/>
  <c r="FK2" i="23" s="1"/>
  <c r="LJ10" i="23"/>
  <c r="LJ13" i="23" s="1"/>
  <c r="FL10" i="23"/>
  <c r="FL13" i="23" s="1"/>
  <c r="UR10" i="23"/>
  <c r="UR13" i="23" s="1"/>
  <c r="PP10" i="23"/>
  <c r="PP13" i="23" s="1"/>
  <c r="OI10" i="23"/>
  <c r="OI13" i="23" s="1"/>
  <c r="SZ10" i="23"/>
  <c r="SZ13" i="23" s="1"/>
  <c r="KC10" i="23"/>
  <c r="KC13" i="23" s="1"/>
  <c r="TK10" i="23"/>
  <c r="TK13" i="23" s="1"/>
  <c r="TK14" i="23" s="1" a="1"/>
  <c r="TK14" i="23" s="1"/>
  <c r="TK17" i="23" s="1"/>
  <c r="TK2" i="23" s="1"/>
  <c r="QW10" i="23"/>
  <c r="QW13" i="23" s="1"/>
  <c r="OT10" i="23"/>
  <c r="OT13" i="23" s="1"/>
  <c r="KN10" i="23"/>
  <c r="KN13" i="23" s="1"/>
  <c r="FA10" i="23"/>
  <c r="FA13" i="23" s="1"/>
  <c r="PE10" i="23"/>
  <c r="PE13" i="23" s="1"/>
  <c r="TF10" i="23"/>
  <c r="TF13" i="23" s="1"/>
  <c r="TF14" i="23" s="1" a="1"/>
  <c r="TF14" i="23" s="1"/>
  <c r="TF17" i="23" s="1"/>
  <c r="TF2" i="23" s="1"/>
  <c r="QR10" i="23"/>
  <c r="QR13" i="23" s="1"/>
  <c r="QR14" i="23" s="1"/>
  <c r="QR17" i="23" s="1"/>
  <c r="QR2" i="23" s="1"/>
  <c r="OO10" i="23"/>
  <c r="OO13" i="23" s="1"/>
  <c r="OO14" i="23" s="1"/>
  <c r="OO17" i="23" s="1"/>
  <c r="OO2" i="23" s="1"/>
  <c r="KI10" i="23"/>
  <c r="KI13" i="23" s="1"/>
  <c r="KI14" i="23" s="1"/>
  <c r="KI17" i="23" s="1"/>
  <c r="KI2" i="23" s="1"/>
  <c r="EV10" i="23"/>
  <c r="EV13" i="23" s="1"/>
  <c r="EV14" i="23" s="1"/>
  <c r="EV17" i="23" s="1"/>
  <c r="EV2" i="23" s="1"/>
  <c r="UM10" i="23"/>
  <c r="UM13" i="23" s="1"/>
  <c r="UM14" i="23" s="1"/>
  <c r="UM17" i="23" s="1"/>
  <c r="UM2" i="23" s="1"/>
  <c r="OZ10" i="23"/>
  <c r="OZ13" i="23" s="1"/>
  <c r="LE10" i="23"/>
  <c r="LE13" i="23" s="1"/>
  <c r="LE14" i="23" s="1"/>
  <c r="LE17" i="23" s="1"/>
  <c r="LE2" i="23" s="1"/>
  <c r="FG10" i="23"/>
  <c r="FG13" i="23" s="1"/>
  <c r="FG14" i="23" s="1"/>
  <c r="FG17" i="23" s="1"/>
  <c r="FG2" i="23" s="1"/>
  <c r="PK10" i="23"/>
  <c r="PK13" i="23" s="1"/>
  <c r="PK14" i="23" s="1"/>
  <c r="PK17" i="23" s="1"/>
  <c r="PK2" i="23" s="1"/>
  <c r="OD10" i="23"/>
  <c r="OD13" i="23" s="1"/>
  <c r="OD14" i="23" s="1"/>
  <c r="OD17" i="23" s="1"/>
  <c r="OD2" i="23" s="1"/>
  <c r="SU10" i="23"/>
  <c r="SU13" i="23" s="1"/>
  <c r="SU14" i="23" s="1"/>
  <c r="SU17" i="23" s="1"/>
  <c r="SU2" i="23" s="1"/>
  <c r="JX10" i="23"/>
  <c r="JX13" i="23" s="1"/>
  <c r="JX14" i="23" s="1"/>
  <c r="JX17" i="23" s="1"/>
  <c r="JX2" i="23" s="1"/>
  <c r="C80" i="23"/>
  <c r="QQ10" i="23"/>
  <c r="QQ13" i="23" s="1"/>
  <c r="QQ14" i="23" s="1"/>
  <c r="QQ17" i="23" s="1"/>
  <c r="QQ2" i="23" s="1"/>
  <c r="ON10" i="23"/>
  <c r="ON13" i="23" s="1"/>
  <c r="ON14" i="23" s="1"/>
  <c r="ON17" i="23" s="1"/>
  <c r="ON2" i="23" s="1"/>
  <c r="KH10" i="23"/>
  <c r="KH13" i="23" s="1"/>
  <c r="KH14" i="23" s="1"/>
  <c r="KH17" i="23" s="1"/>
  <c r="KH2" i="23" s="1"/>
  <c r="EU10" i="23"/>
  <c r="EU13" i="23" s="1"/>
  <c r="EU14" i="23" s="1"/>
  <c r="EU17" i="23" s="1"/>
  <c r="EU2" i="23" s="1"/>
  <c r="UL10" i="23"/>
  <c r="UL13" i="23" s="1"/>
  <c r="UL14" i="23" s="1"/>
  <c r="UL17" i="23" s="1"/>
  <c r="UL2" i="23" s="1"/>
  <c r="OY10" i="23"/>
  <c r="OY13" i="23" s="1"/>
  <c r="OY17" i="23" s="1"/>
  <c r="OY2" i="23" s="1"/>
  <c r="LD10" i="23"/>
  <c r="LD13" i="23" s="1"/>
  <c r="LD14" i="23" s="1"/>
  <c r="LD17" i="23" s="1"/>
  <c r="LD2" i="23" s="1"/>
  <c r="FF10" i="23"/>
  <c r="FF13" i="23" s="1"/>
  <c r="FF14" i="23" s="1"/>
  <c r="FF17" i="23" s="1"/>
  <c r="FF2" i="23" s="1"/>
  <c r="PJ10" i="23"/>
  <c r="PJ13" i="23" s="1"/>
  <c r="PJ14" i="23" s="1"/>
  <c r="PJ17" i="23" s="1"/>
  <c r="PJ2" i="23" s="1"/>
  <c r="OC10" i="23"/>
  <c r="OC13" i="23" s="1"/>
  <c r="OC14" i="23" s="1"/>
  <c r="OC17" i="23" s="1"/>
  <c r="OC2" i="23" s="1"/>
  <c r="ST10" i="23"/>
  <c r="ST13" i="23" s="1"/>
  <c r="ST14" i="23" s="1"/>
  <c r="ST17" i="23" s="1"/>
  <c r="ST2" i="23" s="1"/>
  <c r="JW10" i="23"/>
  <c r="JW13" i="23" s="1"/>
  <c r="JW14" i="23" s="1"/>
  <c r="JW17" i="23" s="1"/>
  <c r="JW2" i="23" s="1"/>
  <c r="TE10" i="23"/>
  <c r="TE13" i="23" s="1"/>
  <c r="TE14" i="23" s="1" a="1"/>
  <c r="TE14" i="23" s="1"/>
  <c r="TE17" i="23" s="1"/>
  <c r="TE2" i="23" s="1"/>
  <c r="H314" i="23"/>
  <c r="H315" i="23" s="1"/>
  <c r="H321" i="23" s="1"/>
  <c r="H322" i="23" s="1"/>
  <c r="E314" i="23"/>
  <c r="E315" i="23" s="1"/>
  <c r="E321" i="23" s="1"/>
  <c r="E322" i="23" s="1"/>
  <c r="G314" i="23"/>
  <c r="G315" i="23" s="1"/>
  <c r="KY39" i="23"/>
  <c r="KY2" i="23" s="1"/>
  <c r="KX39" i="23"/>
  <c r="KX2" i="23" s="1"/>
  <c r="CU13" i="23"/>
  <c r="CU14" i="23" s="1"/>
  <c r="CU17" i="23" s="1"/>
  <c r="CU2" i="23" s="1"/>
  <c r="CV13" i="23"/>
  <c r="CV14" i="23" s="1"/>
  <c r="CV17" i="23" s="1"/>
  <c r="CV2" i="23" s="1"/>
  <c r="PY13" i="23"/>
  <c r="PY14" i="23" s="1"/>
  <c r="PY17" i="23" s="1"/>
  <c r="PY2" i="23" s="1"/>
  <c r="CW13" i="23"/>
  <c r="CW14" i="23" s="1"/>
  <c r="CW17" i="23" s="1"/>
  <c r="CW2" i="23" s="1"/>
  <c r="PZ13" i="23"/>
  <c r="PZ14" i="23" s="1"/>
  <c r="PZ17" i="23" s="1"/>
  <c r="PZ2" i="23" s="1"/>
  <c r="CX13" i="23"/>
  <c r="CX14" i="23" s="1"/>
  <c r="CX17" i="23" s="1"/>
  <c r="CX2" i="23" s="1"/>
  <c r="QA13" i="23"/>
  <c r="QA14" i="23" s="1"/>
  <c r="QA17" i="23" s="1"/>
  <c r="QA2" i="23" s="1"/>
  <c r="DC10" i="23"/>
  <c r="DC13" i="23" s="1"/>
  <c r="LO9" i="23"/>
  <c r="LO13" i="23" s="1"/>
  <c r="LO14" i="23" s="1"/>
  <c r="LO17" i="23" s="1"/>
  <c r="LO2" i="23" s="1"/>
  <c r="LP9" i="23"/>
  <c r="LP13" i="23" s="1"/>
  <c r="LP14" i="23" s="1"/>
  <c r="LP17" i="23" s="1"/>
  <c r="LP2" i="23" s="1"/>
  <c r="DD10" i="23"/>
  <c r="DD13" i="23" s="1"/>
  <c r="LQ9" i="23"/>
  <c r="LQ13" i="23" s="1"/>
  <c r="LQ14" i="23" s="1"/>
  <c r="LQ17" i="23" s="1"/>
  <c r="LQ2" i="23" s="1"/>
  <c r="DE10" i="23"/>
  <c r="DE13" i="23" s="1"/>
  <c r="DF10" i="23"/>
  <c r="DF13" i="23" s="1"/>
  <c r="LR9" i="23"/>
  <c r="LR13" i="23" s="1"/>
  <c r="LR14" i="23" s="1"/>
  <c r="LR17" i="23" s="1"/>
  <c r="LR2" i="23" s="1"/>
  <c r="LS9" i="23"/>
  <c r="LS13" i="23" s="1"/>
  <c r="LS14" i="23" s="1"/>
  <c r="LS17" i="23" s="1"/>
  <c r="LS2" i="23" s="1"/>
  <c r="DG10" i="23"/>
  <c r="DG13" i="23" s="1"/>
  <c r="LT9" i="23"/>
  <c r="LT13" i="23" s="1"/>
  <c r="LT14" i="23" s="1"/>
  <c r="LT17" i="23" s="1"/>
  <c r="LT2" i="23" s="1"/>
  <c r="DH10" i="23"/>
  <c r="DH13" i="23" s="1"/>
  <c r="LU9" i="23"/>
  <c r="LU13" i="23" s="1"/>
  <c r="LU14" i="23" s="1"/>
  <c r="LU17" i="23" s="1"/>
  <c r="LU2" i="23" s="1"/>
  <c r="DI10" i="23"/>
  <c r="DI13" i="23" s="1"/>
  <c r="DI20" i="23" s="1"/>
  <c r="DI21" i="23" s="1"/>
  <c r="DI2" i="23" s="1"/>
  <c r="CT13" i="23"/>
  <c r="CT14" i="23" s="1"/>
  <c r="CT17" i="23" s="1"/>
  <c r="CT2" i="23" s="1"/>
  <c r="PW13" i="23"/>
  <c r="PW14" i="23" s="1"/>
  <c r="PW17" i="23" s="1"/>
  <c r="PW2" i="23" s="1"/>
  <c r="TP10" i="23"/>
  <c r="TP13" i="23" s="1"/>
  <c r="TP14" i="23" s="1"/>
  <c r="QF10" i="23"/>
  <c r="TQ10" i="23"/>
  <c r="TQ13" i="23" s="1"/>
  <c r="TQ14" i="23" s="1"/>
  <c r="QG10" i="23"/>
  <c r="TR10" i="23"/>
  <c r="TR13" i="23" s="1"/>
  <c r="TR14" i="23" s="1"/>
  <c r="QH10" i="23"/>
  <c r="TS10" i="23"/>
  <c r="TS13" i="23" s="1"/>
  <c r="TS14" i="23" s="1"/>
  <c r="QI10" i="23"/>
  <c r="TT10" i="23"/>
  <c r="TT13" i="23" s="1"/>
  <c r="TT14" i="23" s="1"/>
  <c r="QJ10" i="23"/>
  <c r="QK10" i="23"/>
  <c r="QL10" i="23"/>
  <c r="VB8" i="23"/>
  <c r="VB11" i="23" s="1"/>
  <c r="TU10" i="23"/>
  <c r="TU13" i="23" s="1"/>
  <c r="TU14" i="23" s="1"/>
  <c r="VC8" i="23"/>
  <c r="VC11" i="23" s="1"/>
  <c r="VC13" i="23" s="1"/>
  <c r="VC14" i="23" s="1"/>
  <c r="VC17" i="23" s="1"/>
  <c r="VC2" i="23" s="1"/>
  <c r="TV10" i="23"/>
  <c r="TV13" i="23" s="1"/>
  <c r="TV14" i="23" s="1"/>
  <c r="UW8" i="23"/>
  <c r="UW11" i="23" s="1"/>
  <c r="UX8" i="23"/>
  <c r="UX11" i="23" s="1"/>
  <c r="UY8" i="23"/>
  <c r="UY11" i="23" s="1"/>
  <c r="UZ8" i="23"/>
  <c r="UZ11" i="23" s="1"/>
  <c r="VA8" i="23"/>
  <c r="VA11" i="23" s="1"/>
  <c r="JO9" i="23"/>
  <c r="JO13" i="23" s="1"/>
  <c r="JO14" i="23" s="1"/>
  <c r="JO17" i="23" s="1"/>
  <c r="JO2" i="23" s="1"/>
  <c r="F344" i="23"/>
  <c r="F347" i="23" s="1"/>
  <c r="F348" i="23" s="1"/>
  <c r="F349" i="23" s="1"/>
  <c r="F90" i="23" s="1"/>
  <c r="JR9" i="23"/>
  <c r="JR13" i="23" s="1"/>
  <c r="I344" i="23"/>
  <c r="I347" i="23" s="1"/>
  <c r="I348" i="23" s="1"/>
  <c r="I349" i="23" s="1"/>
  <c r="I90" i="23" s="1"/>
  <c r="JP9" i="23"/>
  <c r="JP13" i="23" s="1"/>
  <c r="JP14" i="23" s="1"/>
  <c r="JP17" i="23" s="1"/>
  <c r="JP2" i="23" s="1"/>
  <c r="G344" i="23"/>
  <c r="G347" i="23" s="1"/>
  <c r="G348" i="23" s="1"/>
  <c r="G349" i="23" s="1"/>
  <c r="G90" i="23" s="1"/>
  <c r="JQ9" i="23"/>
  <c r="JQ13" i="23" s="1"/>
  <c r="JQ14" i="23" s="1"/>
  <c r="JQ17" i="23" s="1"/>
  <c r="JQ2" i="23" s="1"/>
  <c r="H344" i="23"/>
  <c r="H347" i="23" s="1"/>
  <c r="H348" i="23" s="1"/>
  <c r="H349" i="23" s="1"/>
  <c r="H90" i="23" s="1"/>
  <c r="JL9" i="23"/>
  <c r="JL13" i="23" s="1"/>
  <c r="JL14" i="23" s="1"/>
  <c r="JL17" i="23" s="1"/>
  <c r="JL2" i="23" s="1"/>
  <c r="C344" i="23"/>
  <c r="C347" i="23" s="1"/>
  <c r="C348" i="23" s="1"/>
  <c r="C349" i="23" s="1"/>
  <c r="C90" i="23" s="1"/>
  <c r="JM9" i="23"/>
  <c r="JM13" i="23" s="1"/>
  <c r="JM14" i="23" s="1"/>
  <c r="JM17" i="23" s="1"/>
  <c r="JM2" i="23" s="1"/>
  <c r="D344" i="23"/>
  <c r="D347" i="23" s="1"/>
  <c r="D348" i="23" s="1"/>
  <c r="D349" i="23" s="1"/>
  <c r="D90" i="23" s="1"/>
  <c r="JN9" i="23"/>
  <c r="JN13" i="23" s="1"/>
  <c r="JN14" i="23" s="1"/>
  <c r="JN17" i="23" s="1"/>
  <c r="JN2" i="23" s="1"/>
  <c r="E344" i="23"/>
  <c r="E347" i="23" s="1"/>
  <c r="E348" i="23" s="1"/>
  <c r="E349" i="23" s="1"/>
  <c r="E90" i="23" s="1"/>
  <c r="FS10" i="23"/>
  <c r="FS13" i="23" s="1"/>
  <c r="FS14" i="23" s="1"/>
  <c r="FS17" i="23" s="1"/>
  <c r="FS2" i="23" s="1"/>
  <c r="IR9" i="23"/>
  <c r="FT10" i="23"/>
  <c r="FT13" i="23" s="1"/>
  <c r="FT14" i="23" s="1"/>
  <c r="FT17" i="23" s="1"/>
  <c r="FT2" i="23" s="1"/>
  <c r="IS9" i="23"/>
  <c r="FU10" i="23"/>
  <c r="FU13" i="23" s="1"/>
  <c r="FU14" i="23" s="1"/>
  <c r="FU17" i="23" s="1"/>
  <c r="FU2" i="23" s="1"/>
  <c r="IT9" i="23"/>
  <c r="FV10" i="23"/>
  <c r="FV13" i="23" s="1"/>
  <c r="FV14" i="23" s="1"/>
  <c r="FV17" i="23" s="1"/>
  <c r="FV2" i="23" s="1"/>
  <c r="IU9" i="23"/>
  <c r="FW10" i="23"/>
  <c r="FW13" i="23" s="1"/>
  <c r="FW14" i="23" s="1"/>
  <c r="FW17" i="23" s="1"/>
  <c r="FW2" i="23" s="1"/>
  <c r="IV9" i="23"/>
  <c r="FQ10" i="23"/>
  <c r="FQ13" i="23" s="1"/>
  <c r="FQ14" i="23" s="1"/>
  <c r="FQ17" i="23" s="1"/>
  <c r="FQ2" i="23" s="1"/>
  <c r="IP9" i="23"/>
  <c r="FR10" i="23"/>
  <c r="FR13" i="23" s="1"/>
  <c r="FR14" i="23" s="1"/>
  <c r="FR17" i="23" s="1"/>
  <c r="FR2" i="23" s="1"/>
  <c r="IQ9" i="23"/>
  <c r="PV13" i="23"/>
  <c r="PV14" i="23" s="1"/>
  <c r="PV17" i="23" s="1"/>
  <c r="PV2" i="23" s="1"/>
  <c r="NT9" i="23"/>
  <c r="NT13" i="23" s="1"/>
  <c r="KU15" i="23"/>
  <c r="EL10" i="23"/>
  <c r="EL13" i="23" s="1"/>
  <c r="EL14" i="23" s="1"/>
  <c r="EL17" i="23" s="1"/>
  <c r="EL2" i="23" s="1"/>
  <c r="NU9" i="23"/>
  <c r="NU13" i="23" s="1"/>
  <c r="KV15" i="23"/>
  <c r="EM10" i="23"/>
  <c r="EM13" i="23" s="1"/>
  <c r="EM14" i="23" s="1"/>
  <c r="EM17" i="23" s="1"/>
  <c r="EM2" i="23" s="1"/>
  <c r="NR9" i="23"/>
  <c r="NR13" i="23" s="1"/>
  <c r="KS15" i="23"/>
  <c r="EJ10" i="23"/>
  <c r="EJ13" i="23" s="1"/>
  <c r="EJ14" i="23" s="1"/>
  <c r="EJ17" i="23" s="1"/>
  <c r="EJ2" i="23" s="1"/>
  <c r="NV9" i="23"/>
  <c r="NV13" i="23" s="1"/>
  <c r="KW15" i="23"/>
  <c r="EN10" i="23"/>
  <c r="EN13" i="23" s="1"/>
  <c r="EN14" i="23" s="1"/>
  <c r="EN17" i="23" s="1"/>
  <c r="EN2" i="23" s="1"/>
  <c r="KX15" i="23"/>
  <c r="NW9" i="23"/>
  <c r="NW13" i="23" s="1"/>
  <c r="EO10" i="23"/>
  <c r="EO13" i="23" s="1"/>
  <c r="EO14" i="23" s="1"/>
  <c r="EO17" i="23" s="1"/>
  <c r="EO2" i="23" s="1"/>
  <c r="KY15" i="23"/>
  <c r="NX9" i="23"/>
  <c r="NX13" i="23" s="1"/>
  <c r="EP10" i="23"/>
  <c r="EP13" i="23" s="1"/>
  <c r="KT15" i="23"/>
  <c r="NS9" i="23"/>
  <c r="NS13" i="23" s="1"/>
  <c r="EK10" i="23"/>
  <c r="EK13" i="23" s="1"/>
  <c r="EK14" i="23" s="1"/>
  <c r="EK17" i="23" s="1"/>
  <c r="EK2" i="23" s="1"/>
  <c r="BK10" i="23"/>
  <c r="BK13" i="23" s="1"/>
  <c r="BK14" i="23" s="1"/>
  <c r="CG10" i="23"/>
  <c r="CG13" i="23" s="1"/>
  <c r="CG20" i="23" s="1"/>
  <c r="CG14" i="23" s="1"/>
  <c r="JA9" i="23"/>
  <c r="JA13" i="23" s="1"/>
  <c r="MW10" i="23"/>
  <c r="MW13" i="23" s="1"/>
  <c r="MW14" i="23" s="1"/>
  <c r="MW17" i="23" s="1"/>
  <c r="MW2" i="23" s="1"/>
  <c r="CH10" i="23"/>
  <c r="CH13" i="23" s="1"/>
  <c r="BL10" i="23"/>
  <c r="BL13" i="23" s="1"/>
  <c r="BL14" i="23" s="1"/>
  <c r="BL17" i="23" s="1"/>
  <c r="BL2" i="23" s="1"/>
  <c r="JB9" i="23"/>
  <c r="JB13" i="23" s="1"/>
  <c r="BM10" i="23"/>
  <c r="BM13" i="23" s="1"/>
  <c r="BM14" i="23" s="1"/>
  <c r="BM17" i="23" s="1"/>
  <c r="BM2" i="23" s="1"/>
  <c r="JC9" i="23"/>
  <c r="JC13" i="23" s="1"/>
  <c r="CI10" i="23"/>
  <c r="CI13" i="23" s="1"/>
  <c r="CI20" i="23" s="1"/>
  <c r="CI14" i="23" s="1"/>
  <c r="CI17" i="23" s="1"/>
  <c r="CI2" i="23" s="1"/>
  <c r="CJ10" i="23"/>
  <c r="CJ13" i="23" s="1"/>
  <c r="F106" i="23" s="1" a="1"/>
  <c r="F106" i="23" s="1"/>
  <c r="BN10" i="23"/>
  <c r="BN13" i="23" s="1"/>
  <c r="BN14" i="23" s="1"/>
  <c r="BN17" i="23" s="1"/>
  <c r="BN2" i="23" s="1"/>
  <c r="JD9" i="23"/>
  <c r="JD13" i="23" s="1"/>
  <c r="CK10" i="23"/>
  <c r="CK13" i="23" s="1"/>
  <c r="CK20" i="23" s="1"/>
  <c r="CK14" i="23" s="1"/>
  <c r="CK17" i="23" s="1"/>
  <c r="CK2" i="23" s="1"/>
  <c r="BO10" i="23"/>
  <c r="BO13" i="23" s="1"/>
  <c r="BO14" i="23" s="1"/>
  <c r="BO17" i="23" s="1"/>
  <c r="BO2" i="23" s="1"/>
  <c r="JE9" i="23"/>
  <c r="JE13" i="23" s="1"/>
  <c r="NA10" i="23"/>
  <c r="NA13" i="23" s="1"/>
  <c r="NA14" i="23" s="1"/>
  <c r="NA17" i="23" s="1"/>
  <c r="NA2" i="23" s="1"/>
  <c r="JF9" i="23"/>
  <c r="JF13" i="23" s="1"/>
  <c r="CL10" i="23"/>
  <c r="CL13" i="23" s="1"/>
  <c r="CL20" i="23" s="1"/>
  <c r="CL14" i="23" s="1"/>
  <c r="CL17" i="23" s="1"/>
  <c r="CL2" i="23" s="1"/>
  <c r="BP10" i="23"/>
  <c r="BP13" i="23" s="1"/>
  <c r="BP14" i="23" s="1"/>
  <c r="BP17" i="23" s="1"/>
  <c r="BP2" i="23" s="1"/>
  <c r="JG9" i="23"/>
  <c r="JG13" i="23" s="1"/>
  <c r="CM10" i="23"/>
  <c r="CM13" i="23" s="1"/>
  <c r="CM20" i="23" s="1"/>
  <c r="CM14" i="23" s="1"/>
  <c r="CM17" i="23" s="1"/>
  <c r="CM2" i="23" s="1"/>
  <c r="BQ10" i="23"/>
  <c r="BQ13" i="23" s="1"/>
  <c r="AT13" i="23"/>
  <c r="AT14" i="23" s="1"/>
  <c r="AT17" i="23" s="1"/>
  <c r="AT2" i="23" s="1"/>
  <c r="MZ10" i="23"/>
  <c r="MZ13" i="23" s="1"/>
  <c r="MZ14" i="23" s="1"/>
  <c r="MZ17" i="23" s="1"/>
  <c r="MZ2" i="23" s="1"/>
  <c r="AQ13" i="23"/>
  <c r="AQ14" i="23" s="1"/>
  <c r="AQ17" i="23" s="1"/>
  <c r="AQ2" i="23" s="1"/>
  <c r="MX10" i="23"/>
  <c r="MX13" i="23" s="1"/>
  <c r="MX14" i="23" s="1"/>
  <c r="MX17" i="23" s="1"/>
  <c r="MX2" i="23" s="1"/>
  <c r="MY10" i="23"/>
  <c r="MY13" i="23" s="1"/>
  <c r="MY14" i="23" s="1"/>
  <c r="MY17" i="23" s="1"/>
  <c r="MY2" i="23" s="1"/>
  <c r="U17" i="23"/>
  <c r="NB10" i="23"/>
  <c r="NB13" i="23" s="1"/>
  <c r="MV10" i="23"/>
  <c r="MV13" i="23" s="1"/>
  <c r="AS13" i="23"/>
  <c r="AS14" i="23" s="1"/>
  <c r="AS17" i="23" s="1"/>
  <c r="AS2" i="23" s="1"/>
  <c r="AR13" i="23"/>
  <c r="AR14" i="23" s="1"/>
  <c r="AR17" i="23" s="1"/>
  <c r="AR2" i="23" s="1"/>
  <c r="AU13" i="23"/>
  <c r="AU14" i="23" s="1"/>
  <c r="AU17" i="23" s="1"/>
  <c r="AU2" i="23" s="1"/>
  <c r="AP10" i="23" l="1"/>
  <c r="GC10" i="23"/>
  <c r="F316" i="23"/>
  <c r="F313" i="23"/>
  <c r="F311" i="23"/>
  <c r="F320" i="23"/>
  <c r="CJ20" i="23"/>
  <c r="CJ21" i="23"/>
  <c r="I317" i="23"/>
  <c r="I318" i="23" s="1"/>
  <c r="I323" i="23" s="1"/>
  <c r="I324" i="23" s="1"/>
  <c r="CR10" i="23"/>
  <c r="CR13" i="23" s="1"/>
  <c r="CR14" i="23" s="1"/>
  <c r="CR17" i="23" s="1"/>
  <c r="CR2" i="23" s="1"/>
  <c r="GB10" i="23"/>
  <c r="GB13" i="23" s="1"/>
  <c r="GB14" i="23" s="1"/>
  <c r="AO10" i="23"/>
  <c r="AO13" i="23" s="1"/>
  <c r="AO14" i="23" s="1"/>
  <c r="AO17" i="23" s="1"/>
  <c r="AO2" i="23" s="1"/>
  <c r="DH16" i="23"/>
  <c r="DH14" i="23"/>
  <c r="DH15" i="23"/>
  <c r="VB12" i="23"/>
  <c r="VB13" i="23" s="1"/>
  <c r="VB14" i="23" s="1"/>
  <c r="VB17" i="23" s="1"/>
  <c r="VB2" i="23" s="1"/>
  <c r="VA12" i="23"/>
  <c r="VA13" i="23" s="1"/>
  <c r="VA14" i="23" s="1"/>
  <c r="VA17" i="23" s="1"/>
  <c r="VA2" i="23" s="1"/>
  <c r="DG16" i="23"/>
  <c r="DG15" i="23"/>
  <c r="DG14" i="23"/>
  <c r="UZ12" i="23"/>
  <c r="UZ13" i="23" s="1"/>
  <c r="UZ14" i="23" s="1"/>
  <c r="UZ17" i="23" s="1"/>
  <c r="UZ2" i="23" s="1"/>
  <c r="DE16" i="23"/>
  <c r="DE15" i="23"/>
  <c r="DE14" i="23"/>
  <c r="UY12" i="23"/>
  <c r="UY13" i="23" s="1"/>
  <c r="UY14" i="23" s="1"/>
  <c r="UY17" i="23" s="1"/>
  <c r="UY2" i="23" s="1"/>
  <c r="DF15" i="23"/>
  <c r="DF16" i="23"/>
  <c r="DF14" i="23"/>
  <c r="A127" i="23"/>
  <c r="I116" i="23" a="1"/>
  <c r="I116" i="23" s="1"/>
  <c r="H116" i="23" a="1"/>
  <c r="H116" i="23" s="1"/>
  <c r="G116" i="23" a="1"/>
  <c r="G116" i="23" s="1"/>
  <c r="D117" i="23"/>
  <c r="F116" i="23" a="1"/>
  <c r="F116" i="23" s="1"/>
  <c r="G117" i="23"/>
  <c r="E117" i="23"/>
  <c r="I117" i="23"/>
  <c r="I119" i="23" s="1"/>
  <c r="E116" i="23" a="1"/>
  <c r="E116" i="23" s="1"/>
  <c r="C116" i="23" a="1"/>
  <c r="C116" i="23" s="1"/>
  <c r="H117" i="23"/>
  <c r="D116" i="23" a="1"/>
  <c r="D116" i="23" s="1"/>
  <c r="C117" i="23"/>
  <c r="CH20" i="23"/>
  <c r="CH14" i="23" s="1"/>
  <c r="CH17" i="23" s="1"/>
  <c r="CH2" i="23" s="1"/>
  <c r="D313" i="23"/>
  <c r="D311" i="23"/>
  <c r="D320" i="23"/>
  <c r="D316" i="23"/>
  <c r="DD14" i="23"/>
  <c r="DD15" i="23"/>
  <c r="DD16" i="23"/>
  <c r="UX12" i="23"/>
  <c r="UX13" i="23" s="1"/>
  <c r="UX14" i="23" s="1"/>
  <c r="UX17" i="23" s="1"/>
  <c r="UX2" i="23" s="1"/>
  <c r="RB10" i="23"/>
  <c r="RB13" i="23" s="1"/>
  <c r="RB17" i="23" s="1"/>
  <c r="RB2" i="23" s="1"/>
  <c r="C330" i="23"/>
  <c r="C304" i="23"/>
  <c r="C311" i="23" s="1"/>
  <c r="C328" i="23" s="1"/>
  <c r="P28" i="23"/>
  <c r="S45" i="23" s="1"/>
  <c r="PU9" i="23"/>
  <c r="PU13" i="23" s="1"/>
  <c r="PU14" i="23" s="1"/>
  <c r="PU17" i="23" s="1"/>
  <c r="PU2" i="23" s="1"/>
  <c r="E317" i="23"/>
  <c r="E318" i="23" s="1"/>
  <c r="E323" i="23" s="1"/>
  <c r="E324" i="23" s="1"/>
  <c r="G321" i="23"/>
  <c r="G322" i="23" s="1"/>
  <c r="G317" i="23"/>
  <c r="G318" i="23" s="1"/>
  <c r="H317" i="23"/>
  <c r="H318" i="23" s="1"/>
  <c r="H323" i="23" s="1"/>
  <c r="H324" i="23" s="1"/>
  <c r="DC15" i="23"/>
  <c r="DC16" i="23"/>
  <c r="DC14" i="23"/>
  <c r="UW12" i="23"/>
  <c r="UW13" i="23" s="1"/>
  <c r="UW14" i="23" s="1"/>
  <c r="UW17" i="23" s="1"/>
  <c r="UW2" i="23" s="1"/>
  <c r="NS18" i="23" a="1"/>
  <c r="NS18" i="23" s="1"/>
  <c r="NS20" i="23" a="1"/>
  <c r="NS20" i="23" s="1"/>
  <c r="NS19" i="23" a="1"/>
  <c r="NS19" i="23" s="1"/>
  <c r="NX18" i="23" a="1"/>
  <c r="NX18" i="23" s="1"/>
  <c r="NX19" i="23" a="1"/>
  <c r="NX19" i="23" s="1"/>
  <c r="NX20" i="23" a="1"/>
  <c r="NX20" i="23" s="1"/>
  <c r="NW18" i="23" a="1"/>
  <c r="NW18" i="23" s="1"/>
  <c r="NW20" i="23" a="1"/>
  <c r="NW20" i="23" s="1"/>
  <c r="NW19" i="23" a="1"/>
  <c r="NW19" i="23" s="1"/>
  <c r="NV18" i="23" a="1"/>
  <c r="NV18" i="23" s="1"/>
  <c r="NV20" i="23" a="1"/>
  <c r="NV20" i="23" s="1"/>
  <c r="NV19" i="23" a="1"/>
  <c r="NV19" i="23" s="1"/>
  <c r="NR18" i="23" a="1"/>
  <c r="NR18" i="23" s="1"/>
  <c r="NR19" i="23" a="1"/>
  <c r="NR19" i="23" s="1"/>
  <c r="NR20" i="23" a="1"/>
  <c r="NR20" i="23" s="1"/>
  <c r="NU18" i="23" a="1"/>
  <c r="NU18" i="23" s="1"/>
  <c r="NU20" i="23" a="1"/>
  <c r="NU20" i="23" s="1"/>
  <c r="NU19" i="23" a="1"/>
  <c r="NU19" i="23" s="1"/>
  <c r="NT18" i="23" a="1"/>
  <c r="NT18" i="23" s="1"/>
  <c r="NT20" i="23" a="1"/>
  <c r="NT20" i="23" s="1"/>
  <c r="NT19" i="23" a="1"/>
  <c r="NT19" i="23" s="1"/>
  <c r="TT17" i="23"/>
  <c r="TT2" i="23" s="1"/>
  <c r="TS17" i="23"/>
  <c r="TS2" i="23" s="1"/>
  <c r="TR17" i="23"/>
  <c r="TR2" i="23" s="1"/>
  <c r="TV17" i="23"/>
  <c r="TV2" i="23" s="1"/>
  <c r="TQ17" i="23"/>
  <c r="TQ2" i="23" s="1"/>
  <c r="TU17" i="23"/>
  <c r="TU2" i="23" s="1"/>
  <c r="TP17" i="23"/>
  <c r="TP2" i="23" s="1"/>
  <c r="QH13" i="23"/>
  <c r="QH14" i="23" s="1"/>
  <c r="QH17" i="23" s="1"/>
  <c r="QH2" i="23" s="1"/>
  <c r="CS13" i="23"/>
  <c r="CS14" i="23" s="1"/>
  <c r="CS17" i="23" s="1"/>
  <c r="CS2" i="23" s="1"/>
  <c r="KS28" i="23"/>
  <c r="KS30" i="23" s="1"/>
  <c r="KS31" i="23" s="1"/>
  <c r="KS36" i="23" s="1"/>
  <c r="H109" i="23"/>
  <c r="G109" i="23"/>
  <c r="I109" i="23"/>
  <c r="D109" i="23"/>
  <c r="IP13" i="23"/>
  <c r="IP14" i="23" s="1"/>
  <c r="IR13" i="23"/>
  <c r="IV13" i="23"/>
  <c r="IU13" i="23"/>
  <c r="IT13" i="23"/>
  <c r="IQ13" i="23"/>
  <c r="IQ14" i="23" s="1"/>
  <c r="IS13" i="23"/>
  <c r="AP13" i="23"/>
  <c r="AP14" i="23" s="1"/>
  <c r="AP17" i="23" s="1"/>
  <c r="AP2" i="23" s="1"/>
  <c r="KT28" i="23"/>
  <c r="KT30" i="23" s="1"/>
  <c r="KT33" i="23" s="1"/>
  <c r="KT38" i="23" s="1"/>
  <c r="QG13" i="23"/>
  <c r="NX30" i="23"/>
  <c r="GD13" i="23"/>
  <c r="JC14" i="23"/>
  <c r="JC17" i="23" s="1"/>
  <c r="JC2" i="23" s="1"/>
  <c r="E109" i="23"/>
  <c r="QK13" i="23"/>
  <c r="QK14" i="23" s="1"/>
  <c r="QK17" i="23" s="1"/>
  <c r="QK2" i="23" s="1"/>
  <c r="JF14" i="23"/>
  <c r="JF17" i="23" s="1"/>
  <c r="JF2" i="23" s="1"/>
  <c r="GG13" i="23"/>
  <c r="QI13" i="23"/>
  <c r="QI14" i="23" s="1"/>
  <c r="QI17" i="23" s="1"/>
  <c r="QI2" i="23" s="1"/>
  <c r="JD14" i="23"/>
  <c r="JD17" i="23" s="1"/>
  <c r="JD2" i="23" s="1"/>
  <c r="GE13" i="23"/>
  <c r="GE14" i="23" s="1"/>
  <c r="GE17" i="23" s="1"/>
  <c r="GE2" i="23" s="1"/>
  <c r="JA14" i="23"/>
  <c r="CG17" i="23"/>
  <c r="CG2" i="23" s="1"/>
  <c r="MV14" i="23"/>
  <c r="MV17" i="23" s="1"/>
  <c r="MV2" i="23" s="1"/>
  <c r="BK17" i="23"/>
  <c r="BK2" i="23" s="1"/>
  <c r="QL13" i="23"/>
  <c r="QL14" i="23" s="1"/>
  <c r="QL17" i="23" s="1"/>
  <c r="QL2" i="23" s="1"/>
  <c r="JG14" i="23"/>
  <c r="JG17" i="23" s="1"/>
  <c r="JG2" i="23" s="1"/>
  <c r="GH13" i="23"/>
  <c r="QJ13" i="23"/>
  <c r="QJ14" i="23" s="1"/>
  <c r="QJ17" i="23" s="1"/>
  <c r="QJ2" i="23" s="1"/>
  <c r="JE14" i="23"/>
  <c r="JE17" i="23" s="1"/>
  <c r="JE2" i="23" s="1"/>
  <c r="GF13" i="23"/>
  <c r="I185" i="23" l="1"/>
  <c r="I210" i="23" s="1"/>
  <c r="J126" i="23" a="1"/>
  <c r="J126" i="23" s="1"/>
  <c r="J127" i="23"/>
  <c r="J129" i="23" s="1"/>
  <c r="A137" i="23"/>
  <c r="F328" i="23"/>
  <c r="F314" i="23"/>
  <c r="F315" i="23" s="1"/>
  <c r="CJ14" i="23"/>
  <c r="CJ17" i="23" s="1"/>
  <c r="CJ2" i="23" s="1"/>
  <c r="F107" i="23" s="1"/>
  <c r="DF17" i="23"/>
  <c r="DF19" i="23" s="1"/>
  <c r="DE17" i="23"/>
  <c r="DE19" i="23" s="1"/>
  <c r="IV15" i="23"/>
  <c r="IV14" i="23"/>
  <c r="DG17" i="23"/>
  <c r="DG19" i="23" s="1"/>
  <c r="I325" i="23"/>
  <c r="I326" i="23" s="1"/>
  <c r="I327" i="23" s="1"/>
  <c r="I329" i="23" s="1"/>
  <c r="I81" i="23" s="1"/>
  <c r="I92" i="23" s="1"/>
  <c r="DH17" i="23"/>
  <c r="H127" i="23"/>
  <c r="D126" i="23" a="1"/>
  <c r="D126" i="23" s="1"/>
  <c r="G127" i="23"/>
  <c r="G129" i="23" s="1"/>
  <c r="C126" i="23" a="1"/>
  <c r="C126" i="23" s="1"/>
  <c r="F126" i="23" a="1"/>
  <c r="F126" i="23" s="1"/>
  <c r="F127" i="23"/>
  <c r="H126" i="23" a="1"/>
  <c r="H126" i="23" s="1"/>
  <c r="E126" i="23" a="1"/>
  <c r="E126" i="23" s="1"/>
  <c r="E127" i="23"/>
  <c r="C127" i="23"/>
  <c r="C129" i="23" s="1"/>
  <c r="G126" i="23" a="1"/>
  <c r="G126" i="23" s="1"/>
  <c r="D127" i="23"/>
  <c r="I126" i="23" a="1"/>
  <c r="I126" i="23" s="1"/>
  <c r="I127" i="23"/>
  <c r="I129" i="23" s="1"/>
  <c r="IS15" i="23"/>
  <c r="IS14" i="23"/>
  <c r="IT15" i="23"/>
  <c r="IT14" i="23"/>
  <c r="IU15" i="23"/>
  <c r="IU14" i="23"/>
  <c r="NU30" i="23"/>
  <c r="IR15" i="23"/>
  <c r="IR14" i="23"/>
  <c r="G323" i="23"/>
  <c r="G324" i="23" s="1"/>
  <c r="NS30" i="23"/>
  <c r="D328" i="23"/>
  <c r="D314" i="23"/>
  <c r="D315" i="23" s="1"/>
  <c r="D317" i="23" s="1"/>
  <c r="D318" i="23" s="1"/>
  <c r="C316" i="23"/>
  <c r="C313" i="23"/>
  <c r="C314" i="23" s="1"/>
  <c r="C315" i="23" s="1"/>
  <c r="C321" i="23" s="1"/>
  <c r="C320" i="23"/>
  <c r="DD17" i="23"/>
  <c r="NR30" i="23"/>
  <c r="H325" i="23"/>
  <c r="H326" i="23" s="1"/>
  <c r="H327" i="23" s="1"/>
  <c r="H329" i="23" s="1"/>
  <c r="E325" i="23"/>
  <c r="E326" i="23" s="1"/>
  <c r="E327" i="23" s="1"/>
  <c r="E329" i="23" s="1"/>
  <c r="DC17" i="23"/>
  <c r="DC19" i="23" s="1"/>
  <c r="NV30" i="23"/>
  <c r="NT30" i="23"/>
  <c r="NW30" i="23"/>
  <c r="NV21" i="23"/>
  <c r="NV24" i="23" s="1"/>
  <c r="NT21" i="23"/>
  <c r="NT24" i="23" s="1"/>
  <c r="NW21" i="23"/>
  <c r="NW24" i="23" s="1"/>
  <c r="NU21" i="23"/>
  <c r="NU24" i="23" s="1"/>
  <c r="NX21" i="23"/>
  <c r="NX24" i="23" s="1"/>
  <c r="NX2" i="23" s="1"/>
  <c r="NR21" i="23"/>
  <c r="NR24" i="23" s="1"/>
  <c r="NS21" i="23"/>
  <c r="NS24" i="23" s="1"/>
  <c r="O47" i="23"/>
  <c r="QG14" i="23"/>
  <c r="QG17" i="23" s="1"/>
  <c r="QG2" i="23" s="1"/>
  <c r="KS33" i="23"/>
  <c r="KS38" i="23" s="1"/>
  <c r="KS39" i="23" s="1"/>
  <c r="KS2" i="23" s="1"/>
  <c r="JB14" i="23"/>
  <c r="JB17" i="23" s="1"/>
  <c r="JB2" i="23" s="1"/>
  <c r="H119" i="23"/>
  <c r="IP15" i="23"/>
  <c r="IP16" i="23" s="1"/>
  <c r="IP2" i="23" s="1"/>
  <c r="IQ15" i="23"/>
  <c r="IQ16" i="23" s="1"/>
  <c r="IQ2" i="23" s="1"/>
  <c r="KT31" i="23"/>
  <c r="KT36" i="23" s="1"/>
  <c r="KT39" i="23" s="1"/>
  <c r="KT2" i="23" s="1"/>
  <c r="GC13" i="23"/>
  <c r="GC17" i="23" s="1"/>
  <c r="GC2" i="23" s="1"/>
  <c r="JA17" i="23"/>
  <c r="JA2" i="23" s="1"/>
  <c r="GB17" i="23"/>
  <c r="GB2" i="23" s="1"/>
  <c r="QF13" i="23"/>
  <c r="D119" i="23"/>
  <c r="G119" i="23"/>
  <c r="E119" i="23"/>
  <c r="C119" i="23"/>
  <c r="C109" i="23"/>
  <c r="F109" i="23" l="1"/>
  <c r="J136" i="23" a="1"/>
  <c r="J136" i="23" s="1"/>
  <c r="J137" i="23"/>
  <c r="B137" i="23"/>
  <c r="J134" i="23"/>
  <c r="J135" i="23"/>
  <c r="DG20" i="23"/>
  <c r="DG21" i="23" s="1"/>
  <c r="DG2" i="23" s="1"/>
  <c r="F321" i="23"/>
  <c r="F322" i="23" s="1"/>
  <c r="F317" i="23"/>
  <c r="F318" i="23" s="1"/>
  <c r="DF20" i="23"/>
  <c r="DF21" i="23" s="1"/>
  <c r="DF2" i="23" s="1"/>
  <c r="DE20" i="23"/>
  <c r="DE21" i="23" s="1"/>
  <c r="DE2" i="23" s="1"/>
  <c r="C322" i="23"/>
  <c r="IV16" i="23"/>
  <c r="IV2" i="23" s="1"/>
  <c r="DH19" i="23"/>
  <c r="DH20" i="23"/>
  <c r="NS2" i="23"/>
  <c r="NU2" i="23"/>
  <c r="G137" i="23"/>
  <c r="D137" i="23"/>
  <c r="H137" i="23"/>
  <c r="C137" i="23"/>
  <c r="F136" i="23" a="1"/>
  <c r="F136" i="23" s="1"/>
  <c r="C136" i="23" a="1"/>
  <c r="C136" i="23" s="1"/>
  <c r="I136" i="23" a="1"/>
  <c r="I136" i="23" s="1"/>
  <c r="E136" i="23" a="1"/>
  <c r="E136" i="23" s="1"/>
  <c r="D136" i="23" a="1"/>
  <c r="D136" i="23" s="1"/>
  <c r="F137" i="23"/>
  <c r="E137" i="23"/>
  <c r="H136" i="23" a="1"/>
  <c r="H136" i="23" s="1"/>
  <c r="G136" i="23" a="1"/>
  <c r="G136" i="23" s="1"/>
  <c r="I137" i="23"/>
  <c r="G325" i="23"/>
  <c r="G326" i="23" s="1"/>
  <c r="G327" i="23" s="1"/>
  <c r="G329" i="23" s="1"/>
  <c r="G81" i="23" s="1"/>
  <c r="G92" i="23" s="1"/>
  <c r="IU16" i="23"/>
  <c r="IU2" i="23" s="1"/>
  <c r="IR16" i="23"/>
  <c r="IR2" i="23" s="1"/>
  <c r="IT16" i="23"/>
  <c r="IT2" i="23" s="1"/>
  <c r="IS16" i="23"/>
  <c r="IS2" i="23" s="1"/>
  <c r="F117" i="23" s="1"/>
  <c r="NR2" i="23"/>
  <c r="D321" i="23"/>
  <c r="D322" i="23" s="1"/>
  <c r="D323" i="23" s="1"/>
  <c r="DD19" i="23"/>
  <c r="DD20" i="23"/>
  <c r="E81" i="23"/>
  <c r="E92" i="23" s="1"/>
  <c r="H81" i="23"/>
  <c r="C317" i="23"/>
  <c r="C318" i="23" s="1"/>
  <c r="DC20" i="23"/>
  <c r="DC21" i="23" s="1"/>
  <c r="DC2" i="23" s="1"/>
  <c r="NT2" i="23"/>
  <c r="NW2" i="23"/>
  <c r="NV2" i="23"/>
  <c r="P47" i="23"/>
  <c r="R107" i="23"/>
  <c r="O36" i="23"/>
  <c r="O40" i="23"/>
  <c r="P40" i="23" s="1"/>
  <c r="O39" i="23"/>
  <c r="P39" i="23" s="1"/>
  <c r="O38" i="23"/>
  <c r="P38" i="23" s="1"/>
  <c r="O37" i="23"/>
  <c r="P37" i="23" s="1"/>
  <c r="O48" i="23"/>
  <c r="P48" i="23" s="1"/>
  <c r="O35" i="23"/>
  <c r="O41" i="23"/>
  <c r="P41" i="23" s="1"/>
  <c r="O44" i="23"/>
  <c r="P44" i="23" s="1"/>
  <c r="O43" i="23"/>
  <c r="P43" i="23" s="1"/>
  <c r="O42" i="23"/>
  <c r="P42" i="23" s="1"/>
  <c r="QF14" i="23"/>
  <c r="QF17" i="23" s="1"/>
  <c r="QF2" i="23" s="1"/>
  <c r="H129" i="23"/>
  <c r="E129" i="23"/>
  <c r="F129" i="23"/>
  <c r="D129" i="23"/>
  <c r="H92" i="23" l="1"/>
  <c r="AG54" i="23"/>
  <c r="F323" i="23"/>
  <c r="DH21" i="23"/>
  <c r="DH2" i="23" s="1"/>
  <c r="F119" i="23"/>
  <c r="J139" i="23"/>
  <c r="F324" i="23"/>
  <c r="F325" i="23"/>
  <c r="F326" i="23" s="1"/>
  <c r="F327" i="23" s="1"/>
  <c r="F329" i="23" s="1"/>
  <c r="F81" i="23" s="1"/>
  <c r="F92" i="23" s="1"/>
  <c r="F146" i="23" s="1"/>
  <c r="DD21" i="23"/>
  <c r="DD2" i="23" s="1"/>
  <c r="C323" i="23"/>
  <c r="C324" i="23" s="1"/>
  <c r="P35" i="23"/>
  <c r="D324" i="23"/>
  <c r="D325" i="23"/>
  <c r="D326" i="23" s="1"/>
  <c r="D327" i="23" s="1"/>
  <c r="P107" i="23"/>
  <c r="P121" i="23" s="1"/>
  <c r="G146" i="23"/>
  <c r="H146" i="23"/>
  <c r="E146" i="23"/>
  <c r="P36" i="23"/>
  <c r="I146" i="23"/>
  <c r="F139" i="23"/>
  <c r="D139" i="23"/>
  <c r="G139" i="23"/>
  <c r="E139" i="23"/>
  <c r="I139" i="23"/>
  <c r="C139" i="23"/>
  <c r="H139" i="23"/>
  <c r="O49" i="23" l="1"/>
  <c r="P49" i="23" s="1"/>
  <c r="J144" i="23"/>
  <c r="J145" i="23"/>
  <c r="D329" i="23"/>
  <c r="D81" i="23" s="1"/>
  <c r="C325" i="23"/>
  <c r="C326" i="23" s="1"/>
  <c r="C327" i="23" s="1"/>
  <c r="C329" i="23" s="1"/>
  <c r="C81" i="23" s="1"/>
  <c r="O45" i="23" s="1"/>
  <c r="R146" i="23"/>
  <c r="R147" i="23" s="1"/>
  <c r="D92" i="23" l="1"/>
  <c r="D146" i="23" s="1"/>
  <c r="G148" i="23" s="1"/>
  <c r="N45" i="23" s="1"/>
  <c r="AB65" i="23"/>
  <c r="C92" i="23"/>
  <c r="C146" i="23" s="1"/>
  <c r="I148" i="23" l="1"/>
  <c r="P45" i="23"/>
  <c r="O50" i="23"/>
  <c r="N49" i="23" s="1"/>
  <c r="C145" i="23"/>
  <c r="F144" i="23"/>
  <c r="G144" i="23"/>
  <c r="E145" i="23"/>
  <c r="C144" i="23"/>
  <c r="H144" i="23"/>
  <c r="F145" i="23"/>
  <c r="E144" i="23"/>
  <c r="I144" i="23"/>
  <c r="D145" i="23"/>
  <c r="I145" i="23"/>
  <c r="H145" i="23"/>
  <c r="G145" i="23"/>
  <c r="D144" i="23"/>
  <c r="P50" i="23" l="1"/>
  <c r="D125" i="23"/>
  <c r="H124" i="23"/>
  <c r="E125" i="23"/>
  <c r="I124" i="23"/>
  <c r="F125" i="23"/>
  <c r="G125" i="23"/>
  <c r="I125" i="23"/>
  <c r="H125" i="23"/>
  <c r="C125" i="23"/>
  <c r="C124" i="23"/>
  <c r="D124" i="23"/>
  <c r="E124" i="23"/>
  <c r="F124" i="23"/>
  <c r="G124" i="23"/>
  <c r="F135" i="23" l="1"/>
  <c r="E135" i="23"/>
  <c r="D135" i="23"/>
  <c r="C135" i="23"/>
  <c r="I134" i="23"/>
  <c r="H134" i="23"/>
  <c r="G134" i="23"/>
  <c r="F134" i="23"/>
  <c r="I135" i="23"/>
  <c r="E134" i="23"/>
  <c r="H135" i="23"/>
  <c r="D134" i="23"/>
  <c r="G135" i="23"/>
  <c r="C134" i="23"/>
  <c r="M45" i="23"/>
  <c r="F186" i="23"/>
  <c r="M49" i="23"/>
  <c r="F211" i="23"/>
  <c r="G211" i="23" l="1"/>
  <c r="H211" i="23" s="1"/>
  <c r="F212" i="23" s="1"/>
  <c r="G186" i="23"/>
  <c r="H186" i="23" s="1"/>
  <c r="F187" i="23" s="1"/>
  <c r="G187" i="23" l="1"/>
  <c r="H187" i="23" s="1"/>
  <c r="F188" i="23" s="1"/>
  <c r="G212" i="23"/>
  <c r="H212" i="23" s="1"/>
  <c r="F213" i="23" s="1"/>
  <c r="G213" i="23" l="1"/>
  <c r="H213" i="23" s="1"/>
  <c r="F214" i="23" s="1"/>
  <c r="G188" i="23"/>
  <c r="H188" i="23" s="1"/>
  <c r="F189" i="23" s="1"/>
  <c r="G189" i="23" l="1"/>
  <c r="H189" i="23" s="1"/>
  <c r="F190" i="23" s="1"/>
  <c r="G214" i="23"/>
  <c r="H214" i="23" s="1"/>
  <c r="F215" i="23" s="1"/>
  <c r="G215" i="23" l="1"/>
  <c r="H215" i="23" s="1"/>
  <c r="F216" i="23" s="1"/>
  <c r="G190" i="23"/>
  <c r="H190" i="23" s="1"/>
  <c r="F191" i="23" s="1"/>
  <c r="G191" i="23" l="1"/>
  <c r="H191" i="23" s="1"/>
  <c r="F192" i="23" s="1"/>
  <c r="G216" i="23"/>
  <c r="H216" i="23" s="1"/>
  <c r="F217" i="23" s="1"/>
  <c r="G217" i="23" l="1"/>
  <c r="H217" i="23" s="1"/>
  <c r="F218" i="23" s="1"/>
  <c r="G192" i="23"/>
  <c r="H192" i="23" s="1"/>
  <c r="F193" i="23" s="1"/>
  <c r="G193" i="23" l="1"/>
  <c r="H193" i="23" s="1"/>
  <c r="F194" i="23" s="1"/>
  <c r="G218" i="23"/>
  <c r="H218" i="23" s="1"/>
  <c r="F219" i="23" s="1"/>
  <c r="G219" i="23" l="1"/>
  <c r="H219" i="23" s="1"/>
  <c r="F220" i="23" s="1"/>
  <c r="G194" i="23"/>
  <c r="H194" i="23" s="1"/>
  <c r="F195" i="23" s="1"/>
  <c r="G195" i="23" l="1"/>
  <c r="H195" i="23" s="1"/>
  <c r="F196" i="23" s="1"/>
  <c r="G220" i="23"/>
  <c r="H220" i="23" s="1"/>
  <c r="F221" i="23" s="1"/>
  <c r="G221" i="23" l="1"/>
  <c r="H221" i="23" s="1"/>
  <c r="F222" i="23" s="1"/>
  <c r="G196" i="23"/>
  <c r="H196" i="23" s="1"/>
  <c r="F197" i="23" s="1"/>
  <c r="G197" i="23" l="1"/>
  <c r="H197" i="23" s="1"/>
  <c r="F198" i="23" s="1"/>
  <c r="G222" i="23"/>
  <c r="H222" i="23" s="1"/>
  <c r="F223" i="23" s="1"/>
  <c r="G223" i="23" l="1"/>
  <c r="H223" i="23" s="1"/>
  <c r="F224" i="23" s="1"/>
  <c r="G198" i="23"/>
  <c r="H198" i="23" s="1"/>
  <c r="F199" i="23" s="1"/>
  <c r="G199" i="23" l="1"/>
  <c r="H199" i="23" s="1"/>
  <c r="F200" i="23" s="1"/>
  <c r="G224" i="23"/>
  <c r="H224" i="23" s="1"/>
  <c r="F225" i="23" s="1"/>
  <c r="G225" i="23" l="1"/>
  <c r="H225" i="23" s="1"/>
  <c r="F226" i="23" s="1"/>
  <c r="G200" i="23"/>
  <c r="H200" i="23" s="1"/>
  <c r="F201" i="23" s="1"/>
  <c r="G201" i="23" l="1"/>
  <c r="H201" i="23" s="1"/>
  <c r="F202" i="23" s="1"/>
  <c r="G226" i="23"/>
  <c r="H226" i="23" s="1"/>
  <c r="F227" i="23" s="1"/>
  <c r="G227" i="23" l="1"/>
  <c r="H227" i="23" s="1"/>
  <c r="F228" i="23" s="1"/>
  <c r="G202" i="23"/>
  <c r="H202" i="23" s="1"/>
  <c r="F203" i="23" s="1"/>
  <c r="G203" i="23" l="1"/>
  <c r="H203" i="23" s="1"/>
  <c r="F204" i="23" s="1"/>
  <c r="G228" i="23"/>
  <c r="H228" i="23" s="1"/>
  <c r="F229" i="23" s="1"/>
  <c r="G204" i="23" l="1"/>
  <c r="H204" i="23" s="1"/>
  <c r="F205" i="23" s="1"/>
  <c r="G229" i="23"/>
  <c r="H229" i="23" s="1"/>
  <c r="F230" i="23" s="1"/>
  <c r="G230" i="23" l="1"/>
  <c r="H230" i="23" s="1"/>
  <c r="I150" i="23" s="1"/>
  <c r="G205" i="23"/>
  <c r="H205" i="23" s="1"/>
  <c r="G150" i="23" s="1"/>
  <c r="C114" i="23" l="1"/>
  <c r="G114" i="23"/>
  <c r="D114" i="23"/>
  <c r="H115" i="23"/>
  <c r="E114" i="23"/>
  <c r="G115" i="23"/>
  <c r="E115" i="23"/>
  <c r="I115" i="23"/>
  <c r="H114" i="23"/>
  <c r="I114" i="23"/>
  <c r="C115" i="23"/>
  <c r="F114" i="23"/>
  <c r="D115" i="23"/>
  <c r="F115" i="23"/>
  <c r="C100" i="23" l="1"/>
  <c r="H100" i="23"/>
  <c r="D101" i="23"/>
  <c r="F100" i="23"/>
  <c r="E100" i="23"/>
  <c r="C101" i="23"/>
  <c r="H101" i="23"/>
  <c r="I101" i="23"/>
  <c r="D100" i="23"/>
  <c r="F101" i="23"/>
  <c r="G101" i="23"/>
  <c r="I100" i="23"/>
  <c r="G100" i="23"/>
  <c r="E101" i="23"/>
  <c r="B126" i="23" l="1" a="1"/>
  <c r="B126" i="23" s="1"/>
  <c r="M304" i="23" l="1"/>
  <c r="M330" i="23"/>
  <c r="L304" i="23"/>
  <c r="L330" i="23"/>
  <c r="KR28" i="23"/>
  <c r="KR30" i="23" s="1"/>
  <c r="KR31" i="23" s="1"/>
  <c r="KR36" i="23" s="1"/>
  <c r="M313" i="23" l="1"/>
  <c r="M320" i="23"/>
  <c r="M311" i="23"/>
  <c r="M316" i="23"/>
  <c r="L313" i="23"/>
  <c r="L320" i="23"/>
  <c r="L311" i="23"/>
  <c r="L316" i="23"/>
  <c r="X66" i="23"/>
  <c r="AB66" i="23"/>
  <c r="AB67" i="23" s="1"/>
  <c r="AB68" i="23" s="1"/>
  <c r="AB69" i="23" s="1"/>
  <c r="AB70" i="23" s="1"/>
  <c r="AB71" i="23" s="1"/>
  <c r="AB72" i="23" s="1"/>
  <c r="AB73" i="23" s="1"/>
  <c r="AB74" i="23" s="1"/>
  <c r="AB75" i="23" s="1"/>
  <c r="AB76" i="23" s="1"/>
  <c r="AB77" i="23" s="1"/>
  <c r="AB78" i="23" s="1"/>
  <c r="AB79" i="23" s="1"/>
  <c r="AB80" i="23" s="1"/>
  <c r="AB81" i="23" s="1"/>
  <c r="AB82" i="23" s="1"/>
  <c r="AB83" i="23" s="1"/>
  <c r="AB84" i="23" s="1"/>
  <c r="AB85" i="23" s="1"/>
  <c r="KR33" i="23"/>
  <c r="KR38" i="23" s="1"/>
  <c r="KR39" i="23" s="1"/>
  <c r="KR2" i="23" s="1"/>
  <c r="Y66" i="23" l="1"/>
  <c r="Z66" i="23" s="1"/>
  <c r="X67" i="23" s="1"/>
  <c r="M328" i="23"/>
  <c r="M314" i="23"/>
  <c r="M315" i="23" s="1"/>
  <c r="M321" i="23" s="1"/>
  <c r="M322" i="23" s="1"/>
  <c r="L314" i="23"/>
  <c r="L315" i="23" s="1"/>
  <c r="L328" i="23"/>
  <c r="Y67" i="23" l="1"/>
  <c r="Z67" i="23" s="1"/>
  <c r="M317" i="23"/>
  <c r="M318" i="23" s="1"/>
  <c r="M323" i="23" s="1"/>
  <c r="M324" i="23" s="1"/>
  <c r="L321" i="23"/>
  <c r="L322" i="23" s="1"/>
  <c r="L317" i="23"/>
  <c r="L318" i="23" s="1"/>
  <c r="X68" i="23" l="1"/>
  <c r="Y68" i="23" s="1"/>
  <c r="Z68" i="23" s="1"/>
  <c r="X69" i="23" s="1"/>
  <c r="Y69" i="23" s="1"/>
  <c r="Z69" i="23" s="1"/>
  <c r="X70" i="23" s="1"/>
  <c r="Y70" i="23" s="1"/>
  <c r="Z70" i="23" s="1"/>
  <c r="X71" i="23" s="1"/>
  <c r="Y71" i="23" s="1"/>
  <c r="Z71" i="23" s="1"/>
  <c r="X72" i="23" s="1"/>
  <c r="Y72" i="23" s="1"/>
  <c r="Z72" i="23" s="1"/>
  <c r="X73" i="23" s="1"/>
  <c r="Y73" i="23" s="1"/>
  <c r="Z73" i="23" s="1"/>
  <c r="X74" i="23" s="1"/>
  <c r="Y74" i="23" s="1"/>
  <c r="Z74" i="23" s="1"/>
  <c r="X75" i="23" s="1"/>
  <c r="Y75" i="23" s="1"/>
  <c r="Z75" i="23" s="1"/>
  <c r="X76" i="23" s="1"/>
  <c r="Y76" i="23" s="1"/>
  <c r="Z76" i="23" s="1"/>
  <c r="X77" i="23" s="1"/>
  <c r="Y77" i="23" s="1"/>
  <c r="Z77" i="23" s="1"/>
  <c r="X78" i="23" s="1"/>
  <c r="Y78" i="23" s="1"/>
  <c r="Z78" i="23" s="1"/>
  <c r="X79" i="23" s="1"/>
  <c r="Y79" i="23" s="1"/>
  <c r="Z79" i="23" s="1"/>
  <c r="X80" i="23" s="1"/>
  <c r="Y80" i="23" s="1"/>
  <c r="Z80" i="23" s="1"/>
  <c r="X81" i="23" s="1"/>
  <c r="Y81" i="23" s="1"/>
  <c r="Z81" i="23" s="1"/>
  <c r="X82" i="23" s="1"/>
  <c r="Y82" i="23" s="1"/>
  <c r="Z82" i="23" s="1"/>
  <c r="X83" i="23" s="1"/>
  <c r="Y83" i="23" s="1"/>
  <c r="Z83" i="23" s="1"/>
  <c r="X84" i="23" s="1"/>
  <c r="Y84" i="23" s="1"/>
  <c r="Z84" i="23" s="1"/>
  <c r="X85" i="23" s="1"/>
  <c r="L323" i="23"/>
  <c r="L324" i="23" s="1"/>
  <c r="M325" i="23"/>
  <c r="M326" i="23" s="1"/>
  <c r="M327" i="23" s="1"/>
  <c r="M329" i="23" s="1"/>
  <c r="AH464" i="23" s="1"/>
  <c r="AH467" i="23" s="1"/>
  <c r="AH468" i="23" s="1"/>
  <c r="L325" i="23" l="1"/>
  <c r="L326" i="23" s="1"/>
  <c r="L327" i="23" s="1"/>
  <c r="L329" i="23" s="1"/>
  <c r="AH415" i="23" s="1"/>
  <c r="AH418" i="23" s="1"/>
  <c r="AH419" i="23" s="1"/>
  <c r="Y85" i="23"/>
  <c r="Z85" i="23" s="1"/>
  <c r="P102" i="23" s="1"/>
  <c r="AH278" i="23" l="1"/>
  <c r="J41" i="23" l="1" a="1"/>
  <c r="J41" i="23" s="1"/>
  <c r="J39" i="23" l="1" a="1"/>
  <c r="J39" i="23" s="1"/>
  <c r="BR56" i="23" l="1"/>
  <c r="BR57" i="23" s="1"/>
  <c r="BR58" i="23" s="1"/>
  <c r="BR65" i="23" s="1"/>
  <c r="BR72" i="23" s="1"/>
  <c r="J56" i="23"/>
  <c r="J65" i="23" s="1"/>
  <c r="BR73" i="23" s="1"/>
  <c r="BR75" i="23" s="1"/>
  <c r="BR76" i="23" s="1"/>
  <c r="BR77" i="23" s="1"/>
  <c r="S84" i="23" l="1"/>
  <c r="NC10" i="23"/>
  <c r="NC13" i="23" s="1"/>
  <c r="NC14" i="23" s="1"/>
  <c r="NC17" i="23" s="1"/>
  <c r="NC2" i="23" s="1"/>
  <c r="NY9" i="23"/>
  <c r="KO10" i="23"/>
  <c r="KO13" i="23" s="1"/>
  <c r="KO14" i="23" s="1"/>
  <c r="KO17" i="23" s="1"/>
  <c r="KO2" i="23" s="1"/>
  <c r="KZ15" i="23"/>
  <c r="DJ10" i="23"/>
  <c r="DJ13" i="23" s="1"/>
  <c r="FM10" i="23"/>
  <c r="FM13" i="23" s="1"/>
  <c r="FM14" i="23" s="1"/>
  <c r="FM17" i="23" s="1"/>
  <c r="FM2" i="23" s="1"/>
  <c r="US10" i="23"/>
  <c r="US13" i="23" s="1"/>
  <c r="US14" i="23" s="1"/>
  <c r="US17" i="23" s="1"/>
  <c r="US2" i="23" s="1"/>
  <c r="TW10" i="23"/>
  <c r="TW13" i="23" s="1"/>
  <c r="TW14" i="23" s="1"/>
  <c r="TW17" i="23" s="1"/>
  <c r="TW2" i="23" s="1"/>
  <c r="QX10" i="23"/>
  <c r="QX13" i="23" s="1"/>
  <c r="QX14" i="23" s="1"/>
  <c r="QX17" i="23" s="1"/>
  <c r="QX2" i="23" s="1"/>
  <c r="OU10" i="23"/>
  <c r="OU13" i="23" s="1"/>
  <c r="OU14" i="23" s="1"/>
  <c r="OU17" i="23" s="1"/>
  <c r="OU2" i="23" s="1"/>
  <c r="FB10" i="23"/>
  <c r="FB13" i="23" s="1"/>
  <c r="FB14" i="23" s="1"/>
  <c r="FB17" i="23" s="1"/>
  <c r="FB2" i="23" s="1"/>
  <c r="LV9" i="23"/>
  <c r="LV13" i="23" s="1"/>
  <c r="LV14" i="23" s="1"/>
  <c r="LV17" i="23" s="1"/>
  <c r="LV2" i="23" s="1"/>
  <c r="PQ10" i="23"/>
  <c r="PQ13" i="23" s="1"/>
  <c r="PQ14" i="23" s="1"/>
  <c r="PQ17" i="23" s="1"/>
  <c r="PQ2" i="23" s="1"/>
  <c r="TA10" i="23"/>
  <c r="TA13" i="23" s="1"/>
  <c r="TA14" i="23" s="1"/>
  <c r="TA17" i="23" s="1"/>
  <c r="TA2" i="23" s="1"/>
  <c r="FX10" i="23"/>
  <c r="FX13" i="23" s="1"/>
  <c r="FX14" i="23" s="1"/>
  <c r="FX17" i="23" s="1"/>
  <c r="BR10" i="23"/>
  <c r="BR13" i="23" s="1"/>
  <c r="BR14" i="23" s="1"/>
  <c r="BR17" i="23" s="1"/>
  <c r="BR2" i="23" s="1"/>
  <c r="PF10" i="23"/>
  <c r="PF13" i="23" s="1"/>
  <c r="LK10" i="23"/>
  <c r="LK13" i="23" s="1"/>
  <c r="LK14" i="23" s="1"/>
  <c r="LK17" i="23" s="1"/>
  <c r="LK2" i="23" s="1"/>
  <c r="IW9" i="23"/>
  <c r="EQ10" i="23"/>
  <c r="EQ13" i="23" s="1"/>
  <c r="EQ14" i="23" s="1"/>
  <c r="EQ17" i="23" s="1"/>
  <c r="EQ2" i="23" s="1"/>
  <c r="OJ10" i="23"/>
  <c r="OJ13" i="23" s="1"/>
  <c r="OJ14" i="23" s="1"/>
  <c r="OJ17" i="23" s="1"/>
  <c r="OJ2" i="23" s="1"/>
  <c r="CN10" i="23"/>
  <c r="CN13" i="23" s="1"/>
  <c r="KD10" i="23"/>
  <c r="KD13" i="23" s="1"/>
  <c r="KD14" i="23" s="1"/>
  <c r="KD17" i="23" s="1"/>
  <c r="KD2" i="23" s="1"/>
  <c r="JH9" i="23"/>
  <c r="JH13" i="23" s="1"/>
  <c r="JH14" i="23" s="1"/>
  <c r="JH17" i="23" s="1"/>
  <c r="JH2" i="23" s="1"/>
  <c r="J344" i="23"/>
  <c r="J347" i="23" s="1"/>
  <c r="J348" i="23" s="1"/>
  <c r="J349" i="23" s="1"/>
  <c r="J90" i="23" s="1"/>
  <c r="JS9" i="23"/>
  <c r="JS13" i="23" s="1"/>
  <c r="JS14" i="23" s="1"/>
  <c r="JS17" i="23" s="1"/>
  <c r="JS2" i="23" s="1"/>
  <c r="TL10" i="23"/>
  <c r="TL13" i="23" s="1"/>
  <c r="TL14" i="23" s="1" a="1"/>
  <c r="TL14" i="23" s="1"/>
  <c r="TL17" i="23" s="1"/>
  <c r="TL2" i="23" s="1"/>
  <c r="VD8" i="23"/>
  <c r="VD11" i="23" s="1"/>
  <c r="VD12" i="23" s="1"/>
  <c r="VD13" i="23" s="1"/>
  <c r="VD14" i="23" s="1"/>
  <c r="VD17" i="23" s="1"/>
  <c r="VD2" i="23" s="1"/>
  <c r="QM10" i="23"/>
  <c r="QM13" i="23" s="1"/>
  <c r="QM14" i="23" s="1"/>
  <c r="QM17" i="23" s="1"/>
  <c r="QM2" i="23" s="1"/>
  <c r="DJ16" i="23"/>
  <c r="DJ15" i="23"/>
  <c r="DJ14" i="23"/>
  <c r="NY20" i="23" l="1" a="1"/>
  <c r="NY20" i="23" s="1"/>
  <c r="NY13" i="23"/>
  <c r="J106" i="23" a="1"/>
  <c r="J106" i="23" s="1"/>
  <c r="PF14" i="23"/>
  <c r="PF17" i="23" s="1"/>
  <c r="PF2" i="23" s="1"/>
  <c r="NY19" i="23" a="1"/>
  <c r="NY19" i="23" s="1"/>
  <c r="J72" i="23"/>
  <c r="J77" i="23" s="1"/>
  <c r="S90" i="23"/>
  <c r="CN20" i="23"/>
  <c r="CN21" i="23"/>
  <c r="DJ17" i="23"/>
  <c r="DJ19" i="23" s="1"/>
  <c r="NY30" i="23" l="1"/>
  <c r="NY18" i="23" a="1"/>
  <c r="NY18" i="23" s="1"/>
  <c r="NY21" i="23" s="1"/>
  <c r="NY24" i="23" s="1"/>
  <c r="DJ20" i="23"/>
  <c r="DJ21" i="23" s="1"/>
  <c r="DJ2" i="23" s="1"/>
  <c r="CN14" i="23"/>
  <c r="CN17" i="23" s="1"/>
  <c r="CN2" i="23" s="1"/>
  <c r="QB12" i="23"/>
  <c r="J80" i="23"/>
  <c r="NY2" i="23" l="1"/>
  <c r="J107" i="23"/>
  <c r="J109" i="23" s="1"/>
  <c r="J114" i="23" s="1"/>
  <c r="KZ56" i="23"/>
  <c r="KZ63" i="23" s="1"/>
  <c r="KZ29" i="23"/>
  <c r="KZ30" i="23" s="1"/>
  <c r="IW12" i="23"/>
  <c r="IW13" i="23" s="1"/>
  <c r="J115" i="23" l="1"/>
  <c r="J23" i="23"/>
  <c r="QB9" i="23"/>
  <c r="QB13" i="23" s="1"/>
  <c r="QB14" i="23" s="1"/>
  <c r="QB17" i="23" s="1"/>
  <c r="QB2" i="23" s="1"/>
  <c r="J304" i="23"/>
  <c r="RI10" i="23"/>
  <c r="RI13" i="23" s="1"/>
  <c r="GI10" i="23"/>
  <c r="GI13" i="23" s="1"/>
  <c r="GI14" i="23" s="1"/>
  <c r="GI17" i="23" s="1"/>
  <c r="GI2" i="23" s="1"/>
  <c r="CY10" i="23"/>
  <c r="CY13" i="23" s="1"/>
  <c r="CY14" i="23" s="1"/>
  <c r="CY17" i="23" s="1"/>
  <c r="CY2" i="23" s="1"/>
  <c r="J330" i="23"/>
  <c r="AV10" i="23"/>
  <c r="AV13" i="23" s="1"/>
  <c r="AV14" i="23" s="1"/>
  <c r="AV17" i="23" s="1"/>
  <c r="AV2" i="23" s="1"/>
  <c r="KZ33" i="23"/>
  <c r="KZ38" i="23" s="1"/>
  <c r="KZ31" i="23"/>
  <c r="KZ36" i="23" s="1"/>
  <c r="IW15" i="23"/>
  <c r="IW14" i="23"/>
  <c r="IW16" i="23" l="1"/>
  <c r="IW2" i="23" s="1"/>
  <c r="KZ39" i="23"/>
  <c r="KZ2" i="23" s="1"/>
  <c r="RI17" i="23"/>
  <c r="RI2" i="23" s="1"/>
  <c r="J117" i="23" s="1"/>
  <c r="J116" i="23" a="1"/>
  <c r="J116" i="23" s="1"/>
  <c r="J311" i="23"/>
  <c r="J316" i="23"/>
  <c r="J320" i="23"/>
  <c r="J313" i="23"/>
  <c r="J119" i="23" l="1"/>
  <c r="J125" i="23" s="1"/>
  <c r="J328" i="23"/>
  <c r="J314" i="23"/>
  <c r="J315" i="23" s="1"/>
  <c r="J321" i="23" s="1"/>
  <c r="J322" i="23" s="1"/>
  <c r="R121" i="23"/>
  <c r="B139" i="23"/>
  <c r="B144" i="23" s="1"/>
  <c r="B136" i="23" a="1"/>
  <c r="B136" i="23" s="1"/>
  <c r="B127" i="23"/>
  <c r="B129" i="23" s="1"/>
  <c r="B65" i="23"/>
  <c r="FE10" i="23" l="1"/>
  <c r="FE13" i="23" s="1"/>
  <c r="FE14" i="23" s="1"/>
  <c r="FE17" i="23" s="1"/>
  <c r="FE2" i="23" s="1"/>
  <c r="BJ73" i="23"/>
  <c r="BJ75" i="23" s="1"/>
  <c r="BJ76" i="23" s="1"/>
  <c r="BJ77" i="23" s="1"/>
  <c r="J124" i="23"/>
  <c r="B145" i="23"/>
  <c r="J317" i="23"/>
  <c r="J318" i="23" s="1"/>
  <c r="J323" i="23" s="1"/>
  <c r="J324" i="23" s="1"/>
  <c r="B135" i="23"/>
  <c r="B134" i="23"/>
  <c r="CF10" i="23"/>
  <c r="CF13" i="23" s="1"/>
  <c r="LC10" i="23"/>
  <c r="LC13" i="23" s="1"/>
  <c r="LC14" i="23" s="1"/>
  <c r="LC17" i="23" s="1"/>
  <c r="LC2" i="23" s="1"/>
  <c r="OX10" i="23"/>
  <c r="OX13" i="23" s="1"/>
  <c r="PI10" i="23"/>
  <c r="PI13" i="23" s="1"/>
  <c r="PI14" i="23" s="1"/>
  <c r="PI17" i="23" s="1"/>
  <c r="PI2" i="23" s="1"/>
  <c r="QP10" i="23"/>
  <c r="QP13" i="23" s="1"/>
  <c r="QP14" i="23" s="1"/>
  <c r="QP17" i="23" s="1"/>
  <c r="QP2" i="23" s="1"/>
  <c r="NQ9" i="23"/>
  <c r="NQ13" i="23" s="1"/>
  <c r="FP10" i="23"/>
  <c r="FP13" i="23" s="1"/>
  <c r="FP14" i="23" s="1"/>
  <c r="FP17" i="23" s="1"/>
  <c r="FP2" i="23" s="1"/>
  <c r="JK9" i="23"/>
  <c r="JK13" i="23" s="1"/>
  <c r="JK14" i="23" s="1"/>
  <c r="JK17" i="23" s="1"/>
  <c r="JK2" i="23" s="1"/>
  <c r="SS10" i="23"/>
  <c r="SS13" i="23" s="1"/>
  <c r="SS14" i="23" s="1"/>
  <c r="SS17" i="23" s="1"/>
  <c r="SS2" i="23" s="1"/>
  <c r="UK10" i="23"/>
  <c r="UK13" i="23" s="1"/>
  <c r="UK14" i="23" s="1"/>
  <c r="UK17" i="23" s="1"/>
  <c r="UK2" i="23" s="1"/>
  <c r="OM10" i="23"/>
  <c r="OM13" i="23" s="1"/>
  <c r="OM14" i="23" s="1"/>
  <c r="OM17" i="23" s="1"/>
  <c r="OM2" i="23" s="1"/>
  <c r="EI10" i="23"/>
  <c r="EI13" i="23" s="1"/>
  <c r="EI14" i="23" s="1"/>
  <c r="EI17" i="23" s="1"/>
  <c r="EI2" i="23" s="1"/>
  <c r="ET10" i="23"/>
  <c r="ET13" i="23" s="1"/>
  <c r="ET14" i="23" s="1"/>
  <c r="ET17" i="23" s="1"/>
  <c r="ET2" i="23" s="1"/>
  <c r="OB10" i="23"/>
  <c r="OB13" i="23" s="1"/>
  <c r="OB14" i="23" s="1"/>
  <c r="OB17" i="23" s="1"/>
  <c r="OB2" i="23" s="1"/>
  <c r="JV10" i="23"/>
  <c r="JV13" i="23" s="1"/>
  <c r="JV14" i="23" s="1"/>
  <c r="JV17" i="23" s="1"/>
  <c r="JV2" i="23" s="1"/>
  <c r="KR15" i="23"/>
  <c r="IO9" i="23"/>
  <c r="IO13" i="23" s="1"/>
  <c r="BJ10" i="23"/>
  <c r="BJ13" i="23" s="1"/>
  <c r="BJ14" i="23" s="1"/>
  <c r="BJ17" i="23" s="1"/>
  <c r="BJ2" i="23" s="1"/>
  <c r="IZ9" i="23"/>
  <c r="IZ13" i="23" s="1"/>
  <c r="IZ14" i="23" s="1"/>
  <c r="IZ17" i="23" s="1"/>
  <c r="IZ2" i="23" s="1"/>
  <c r="MU10" i="23"/>
  <c r="MU13" i="23" s="1"/>
  <c r="MU14" i="23" s="1"/>
  <c r="MU17" i="23" s="1"/>
  <c r="MU2" i="23" s="1"/>
  <c r="B344" i="23"/>
  <c r="B347" i="23" s="1"/>
  <c r="B348" i="23" s="1"/>
  <c r="TD10" i="23"/>
  <c r="TD13" i="23" s="1"/>
  <c r="TD14" i="23" s="1" a="1"/>
  <c r="TD14" i="23" s="1"/>
  <c r="TD17" i="23" s="1"/>
  <c r="TD2" i="23" s="1"/>
  <c r="QE10" i="23"/>
  <c r="QE13" i="23" s="1"/>
  <c r="QE14" i="23" s="1"/>
  <c r="QE17" i="23" s="1"/>
  <c r="QE2" i="23" s="1"/>
  <c r="DB10" i="23"/>
  <c r="DB13" i="23" s="1"/>
  <c r="KG10" i="23"/>
  <c r="KG13" i="23" s="1"/>
  <c r="KG14" i="23" s="1"/>
  <c r="KG17" i="23" s="1"/>
  <c r="KG2" i="23" s="1"/>
  <c r="TO10" i="23"/>
  <c r="TO13" i="23" s="1"/>
  <c r="TO14" i="23" s="1"/>
  <c r="TO17" i="23" s="1"/>
  <c r="TO2" i="23" s="1"/>
  <c r="B80" i="23"/>
  <c r="LN9" i="23"/>
  <c r="LN13" i="23" s="1"/>
  <c r="LN14" i="23" s="1"/>
  <c r="LN17" i="23" s="1"/>
  <c r="LN2" i="23" s="1"/>
  <c r="UV8" i="23"/>
  <c r="UV11" i="23" s="1"/>
  <c r="B83" i="23" l="1"/>
  <c r="J83" i="23" s="1"/>
  <c r="CF20" i="23"/>
  <c r="CF21" i="23"/>
  <c r="OX14" i="23"/>
  <c r="OX17" i="23" s="1"/>
  <c r="OX2" i="23" s="1"/>
  <c r="B349" i="23"/>
  <c r="B90" i="23" s="1"/>
  <c r="J325" i="23"/>
  <c r="J326" i="23" s="1"/>
  <c r="J327" i="23" s="1"/>
  <c r="J329" i="23" s="1"/>
  <c r="J81" i="23" s="1"/>
  <c r="NQ19" i="23" a="1"/>
  <c r="NQ19" i="23" s="1"/>
  <c r="NQ20" i="23" a="1"/>
  <c r="NQ20" i="23" s="1"/>
  <c r="B106" i="23" a="1"/>
  <c r="B106" i="23" s="1"/>
  <c r="IO15" i="23"/>
  <c r="IO14" i="23"/>
  <c r="DB14" i="23"/>
  <c r="DB15" i="23"/>
  <c r="DB16" i="23"/>
  <c r="UV12" i="23"/>
  <c r="UV13" i="23" s="1"/>
  <c r="UV14" i="23" s="1"/>
  <c r="UV17" i="23" s="1"/>
  <c r="UV2" i="23" s="1"/>
  <c r="GA10" i="23"/>
  <c r="GA13" i="23" s="1"/>
  <c r="GA14" i="23" s="1"/>
  <c r="GA17" i="23" s="1"/>
  <c r="GA2" i="23" s="1"/>
  <c r="B304" i="23"/>
  <c r="CQ10" i="23"/>
  <c r="CQ13" i="23" s="1"/>
  <c r="CQ14" i="23" s="1"/>
  <c r="CQ17" i="23" s="1"/>
  <c r="CQ2" i="23" s="1"/>
  <c r="RA10" i="23"/>
  <c r="RA13" i="23" s="1"/>
  <c r="PT9" i="23"/>
  <c r="PT13" i="23" s="1"/>
  <c r="PT14" i="23" s="1"/>
  <c r="PT17" i="23" s="1"/>
  <c r="PT2" i="23" s="1"/>
  <c r="B23" i="23"/>
  <c r="B330" i="23"/>
  <c r="AN10" i="23"/>
  <c r="AN13" i="23" s="1"/>
  <c r="J92" i="23" l="1"/>
  <c r="J101" i="23" s="1"/>
  <c r="AN14" i="23"/>
  <c r="AN17" i="23" s="1"/>
  <c r="AN2" i="23" s="1"/>
  <c r="CF14" i="23"/>
  <c r="CF17" i="23" s="1"/>
  <c r="CF2" i="23" s="1"/>
  <c r="NQ30" i="23"/>
  <c r="NQ18" i="23" a="1"/>
  <c r="NQ18" i="23" s="1"/>
  <c r="NQ21" i="23" s="1"/>
  <c r="NQ24" i="23" s="1"/>
  <c r="IO16" i="23"/>
  <c r="IO2" i="23" s="1"/>
  <c r="B316" i="23"/>
  <c r="B311" i="23"/>
  <c r="B313" i="23"/>
  <c r="B320" i="23"/>
  <c r="DB17" i="23"/>
  <c r="Q56" i="23"/>
  <c r="I239" i="23"/>
  <c r="I159" i="23"/>
  <c r="AI63" i="23"/>
  <c r="B116" i="23" a="1"/>
  <c r="B116" i="23" s="1"/>
  <c r="RA17" i="23"/>
  <c r="RA2" i="23" s="1"/>
  <c r="B117" i="23" s="1"/>
  <c r="J100" i="23" l="1"/>
  <c r="J146" i="23"/>
  <c r="NQ2" i="23"/>
  <c r="B107" i="23" s="1"/>
  <c r="B109" i="23" s="1"/>
  <c r="B115" i="23" s="1"/>
  <c r="B119" i="23"/>
  <c r="AH77" i="23"/>
  <c r="AI77" i="23" s="1"/>
  <c r="AH72" i="23"/>
  <c r="AI72" i="23" s="1"/>
  <c r="AH71" i="23"/>
  <c r="AH73" i="23"/>
  <c r="AI73" i="23" s="1"/>
  <c r="AH76" i="23"/>
  <c r="AI76" i="23" s="1"/>
  <c r="AH78" i="23"/>
  <c r="AI78" i="23" s="1"/>
  <c r="AH75" i="23"/>
  <c r="AI75" i="23" s="1"/>
  <c r="AH74" i="23"/>
  <c r="AI74" i="23" s="1"/>
  <c r="DB19" i="23"/>
  <c r="DB20" i="23"/>
  <c r="R69" i="23"/>
  <c r="R76" i="23"/>
  <c r="R78" i="23"/>
  <c r="R77" i="23"/>
  <c r="R74" i="23"/>
  <c r="R86" i="23"/>
  <c r="R79" i="23"/>
  <c r="R67" i="23"/>
  <c r="R72" i="23"/>
  <c r="R80" i="23"/>
  <c r="R83" i="23"/>
  <c r="R82" i="23"/>
  <c r="R81" i="23"/>
  <c r="R89" i="23"/>
  <c r="R84" i="23"/>
  <c r="R73" i="23"/>
  <c r="R70" i="23"/>
  <c r="R71" i="23"/>
  <c r="R88" i="23"/>
  <c r="R87" i="23"/>
  <c r="R68" i="23"/>
  <c r="R85" i="23"/>
  <c r="R75" i="23"/>
  <c r="B328" i="23"/>
  <c r="B314" i="23"/>
  <c r="B315" i="23" s="1"/>
  <c r="B321" i="23" s="1"/>
  <c r="B322" i="23" s="1"/>
  <c r="B114" i="23" l="1"/>
  <c r="AI71" i="23"/>
  <c r="R90" i="23"/>
  <c r="DB21" i="23"/>
  <c r="DB2" i="23" s="1"/>
  <c r="B317" i="23"/>
  <c r="B318" i="23" s="1"/>
  <c r="B323" i="23" s="1"/>
  <c r="B324" i="23" s="1"/>
  <c r="B125" i="23"/>
  <c r="B124" i="23"/>
  <c r="B325" i="23" l="1"/>
  <c r="B326" i="23" s="1"/>
  <c r="B327" i="23" s="1"/>
  <c r="B329" i="23" s="1"/>
  <c r="B81" i="23" s="1"/>
  <c r="B92" i="23" s="1"/>
  <c r="AH79" i="23" l="1"/>
  <c r="AI79" i="23" l="1"/>
  <c r="B101" i="23"/>
  <c r="B100" i="23"/>
  <c r="B146" i="23"/>
  <c r="C148" i="23" l="1"/>
  <c r="J148" i="23"/>
  <c r="F240" i="23" l="1"/>
  <c r="F160" i="23"/>
  <c r="AG79" i="23"/>
  <c r="AF79" i="23" s="1"/>
  <c r="G160" i="23" l="1"/>
  <c r="H160" i="23" s="1"/>
  <c r="F161" i="23" s="1"/>
  <c r="G240" i="23"/>
  <c r="H240" i="23" s="1"/>
  <c r="F241" i="23" s="1"/>
  <c r="G241" i="23" l="1"/>
  <c r="H241" i="23" s="1"/>
  <c r="F242" i="23" s="1"/>
  <c r="G161" i="23"/>
  <c r="H161" i="23" s="1"/>
  <c r="F162" i="23" s="1"/>
  <c r="G162" i="23" l="1"/>
  <c r="H162" i="23" s="1"/>
  <c r="F163" i="23" s="1"/>
  <c r="G242" i="23"/>
  <c r="H242" i="23" s="1"/>
  <c r="F243" i="23" s="1"/>
  <c r="G243" i="23" l="1"/>
  <c r="H243" i="23" s="1"/>
  <c r="F244" i="23" s="1"/>
  <c r="G163" i="23"/>
  <c r="H163" i="23" s="1"/>
  <c r="F164" i="23" s="1"/>
  <c r="G164" i="23" l="1"/>
  <c r="H164" i="23" s="1"/>
  <c r="F165" i="23" s="1"/>
  <c r="G244" i="23"/>
  <c r="H244" i="23" s="1"/>
  <c r="F245" i="23" s="1"/>
  <c r="G245" i="23" l="1"/>
  <c r="H245" i="23" s="1"/>
  <c r="F246" i="23" s="1"/>
  <c r="G165" i="23"/>
  <c r="H165" i="23" s="1"/>
  <c r="F166" i="23" s="1"/>
  <c r="G246" i="23" l="1"/>
  <c r="H246" i="23" s="1"/>
  <c r="F247" i="23" s="1"/>
  <c r="G166" i="23"/>
  <c r="H166" i="23" s="1"/>
  <c r="F167" i="23" s="1"/>
  <c r="G167" i="23" l="1"/>
  <c r="H167" i="23" s="1"/>
  <c r="F168" i="23" s="1"/>
  <c r="G247" i="23"/>
  <c r="H247" i="23" s="1"/>
  <c r="F248" i="23" s="1"/>
  <c r="G248" i="23" l="1"/>
  <c r="H248" i="23" s="1"/>
  <c r="F249" i="23" s="1"/>
  <c r="G168" i="23"/>
  <c r="H168" i="23" s="1"/>
  <c r="F169" i="23" s="1"/>
  <c r="G169" i="23" l="1"/>
  <c r="H169" i="23" s="1"/>
  <c r="F170" i="23" s="1"/>
  <c r="G249" i="23"/>
  <c r="H249" i="23" s="1"/>
  <c r="F250" i="23" s="1"/>
  <c r="G170" i="23" l="1"/>
  <c r="H170" i="23" s="1"/>
  <c r="F171" i="23" s="1"/>
  <c r="G250" i="23"/>
  <c r="H250" i="23" s="1"/>
  <c r="F251" i="23" s="1"/>
  <c r="G171" i="23" l="1"/>
  <c r="H171" i="23" s="1"/>
  <c r="F172" i="23" s="1"/>
  <c r="G251" i="23"/>
  <c r="H251" i="23" s="1"/>
  <c r="F252" i="23" s="1"/>
  <c r="G172" i="23" l="1"/>
  <c r="H172" i="23" s="1"/>
  <c r="F173" i="23" s="1"/>
  <c r="G252" i="23"/>
  <c r="H252" i="23" s="1"/>
  <c r="F253" i="23" s="1"/>
  <c r="G253" i="23" l="1"/>
  <c r="H253" i="23" s="1"/>
  <c r="F254" i="23" s="1"/>
  <c r="G173" i="23"/>
  <c r="H173" i="23" s="1"/>
  <c r="F174" i="23" s="1"/>
  <c r="G174" i="23" l="1"/>
  <c r="H174" i="23" s="1"/>
  <c r="F175" i="23" s="1"/>
  <c r="G254" i="23"/>
  <c r="H254" i="23" s="1"/>
  <c r="F255" i="23" s="1"/>
  <c r="G255" i="23" l="1"/>
  <c r="H255" i="23" s="1"/>
  <c r="F256" i="23" s="1"/>
  <c r="G175" i="23"/>
  <c r="H175" i="23" s="1"/>
  <c r="F176" i="23" s="1"/>
  <c r="G176" i="23" l="1"/>
  <c r="H176" i="23" s="1"/>
  <c r="F177" i="23" s="1"/>
  <c r="G256" i="23"/>
  <c r="H256" i="23" s="1"/>
  <c r="F257" i="23" s="1"/>
  <c r="G257" i="23" l="1"/>
  <c r="H257" i="23" s="1"/>
  <c r="F258" i="23" s="1"/>
  <c r="G177" i="23"/>
  <c r="H177" i="23" s="1"/>
  <c r="F178" i="23" s="1"/>
  <c r="G178" i="23" l="1"/>
  <c r="H178" i="23" s="1"/>
  <c r="F179" i="23" s="1"/>
  <c r="G258" i="23"/>
  <c r="H258" i="23" s="1"/>
  <c r="F259" i="23" s="1"/>
  <c r="G259" i="23" l="1"/>
  <c r="H259" i="23" s="1"/>
  <c r="J150" i="23" s="1"/>
  <c r="G179" i="23"/>
  <c r="H179" i="23" s="1"/>
  <c r="C150" i="2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GenWealth Team</author>
  </authors>
  <commentList>
    <comment ref="PS12" authorId="0" shapeId="0" xr:uid="{7100CE2A-BDD7-4603-9D02-133145630B37}">
      <text>
        <r>
          <rPr>
            <b/>
            <sz val="9"/>
            <color indexed="81"/>
            <rFont val="Tahoma"/>
            <family val="2"/>
          </rPr>
          <t>GenWealth Team:</t>
        </r>
        <r>
          <rPr>
            <sz val="9"/>
            <color indexed="81"/>
            <rFont val="Tahoma"/>
            <family val="2"/>
          </rPr>
          <t xml:space="preserve">
Itemized deduction can take Charitible organizations only if they spend at least 30% of its annual funcional expenses</t>
        </r>
      </text>
    </comment>
    <comment ref="KY16" authorId="0" shapeId="0" xr:uid="{35347997-B7C3-4F7D-82F4-34778E063BF9}">
      <text>
        <r>
          <rPr>
            <b/>
            <sz val="9"/>
            <color indexed="81"/>
            <rFont val="Tahoma"/>
            <family val="2"/>
          </rPr>
          <t>GenWealth Team:</t>
        </r>
        <r>
          <rPr>
            <sz val="9"/>
            <color indexed="81"/>
            <rFont val="Tahoma"/>
            <family val="2"/>
          </rPr>
          <t xml:space="preserve">
Orange = Tax Payer (Husband)
Blue = Spouse (Wife)</t>
        </r>
      </text>
    </comment>
    <comment ref="A372" authorId="0" shapeId="0" xr:uid="{20CF52CF-BEF8-47E7-9D4E-0BBB54450FBE}">
      <text>
        <r>
          <rPr>
            <b/>
            <sz val="9"/>
            <color indexed="81"/>
            <rFont val="Tahoma"/>
            <family val="2"/>
          </rPr>
          <t>GenWealth Team:</t>
        </r>
        <r>
          <rPr>
            <sz val="9"/>
            <color indexed="81"/>
            <rFont val="Tahoma"/>
            <family val="2"/>
          </rPr>
          <t xml:space="preserve">
Only Has Corp Income Tax</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<sst xmlns="http://schemas.openxmlformats.org/spreadsheetml/2006/main" count="2812" uniqueCount="596">
  <si>
    <t>Single</t>
  </si>
  <si>
    <t>X</t>
  </si>
  <si>
    <t>Tax Rate</t>
  </si>
  <si>
    <t>Filing Status:</t>
  </si>
  <si>
    <t>Children/Dependents (?):</t>
  </si>
  <si>
    <t>Children Age Under 18:</t>
  </si>
  <si>
    <t>Income</t>
  </si>
  <si>
    <t>State:</t>
  </si>
  <si>
    <t>Owns House (?):</t>
  </si>
  <si>
    <t>Children Age 18 or Over:</t>
  </si>
  <si>
    <t>HSA (?):</t>
  </si>
  <si>
    <t>401k/IRA (?):</t>
  </si>
  <si>
    <t xml:space="preserve">Businesses: </t>
  </si>
  <si>
    <t>Tax-exempt interest</t>
  </si>
  <si>
    <t>Taxable interest</t>
  </si>
  <si>
    <t>Taxable IRA</t>
  </si>
  <si>
    <t>Taxable Ordinary Dividends</t>
  </si>
  <si>
    <t>IRA distributions</t>
  </si>
  <si>
    <t>Other Income (loss carryforward)</t>
  </si>
  <si>
    <t>Qualified Business Deduction</t>
  </si>
  <si>
    <t>Adjusted Gross Income</t>
  </si>
  <si>
    <t>Asset Purchase Depreciation</t>
  </si>
  <si>
    <t>Medical Reimbursement Plan</t>
  </si>
  <si>
    <t>Augusta</t>
  </si>
  <si>
    <t>Alimony Paid</t>
  </si>
  <si>
    <t>Other adjustments</t>
  </si>
  <si>
    <t>Total Adjusted Gross Income</t>
  </si>
  <si>
    <t>Deductions</t>
  </si>
  <si>
    <t>Savings</t>
  </si>
  <si>
    <t>5 Yr.</t>
  </si>
  <si>
    <t>Hiring Children &amp; Family</t>
  </si>
  <si>
    <t>State and local taxes</t>
  </si>
  <si>
    <t>Interest</t>
  </si>
  <si>
    <t>Self Employed HI</t>
  </si>
  <si>
    <t>Other Deductions</t>
  </si>
  <si>
    <t>401(K)</t>
  </si>
  <si>
    <t>Standard or Itemized Deduction</t>
  </si>
  <si>
    <t>Taxable Income</t>
  </si>
  <si>
    <t>TSAI</t>
  </si>
  <si>
    <t>Tax and Credits</t>
  </si>
  <si>
    <t>Oil &amp; Gas</t>
  </si>
  <si>
    <t>Tax</t>
  </si>
  <si>
    <t>ARP</t>
  </si>
  <si>
    <t>Additional Medicare Tax</t>
  </si>
  <si>
    <t>Credits</t>
  </si>
  <si>
    <t>Payments</t>
  </si>
  <si>
    <t>Withholdings</t>
  </si>
  <si>
    <t>Withholding on medicare wages</t>
  </si>
  <si>
    <t>Estimated tax payments</t>
  </si>
  <si>
    <t>Penalty</t>
  </si>
  <si>
    <t>Child Tax Credit</t>
  </si>
  <si>
    <t>Self Employment Tax</t>
  </si>
  <si>
    <t>Local tax after credits</t>
  </si>
  <si>
    <t>Payments and credits</t>
  </si>
  <si>
    <t>Total Estimated Difference in Federal &amp; State Taxes Saved:</t>
  </si>
  <si>
    <t>To</t>
  </si>
  <si>
    <t>Professional Fees</t>
  </si>
  <si>
    <t>Years</t>
  </si>
  <si>
    <t>Int rate</t>
  </si>
  <si>
    <t>Principal</t>
  </si>
  <si>
    <t>End value</t>
  </si>
  <si>
    <t>Year</t>
  </si>
  <si>
    <t>[Select State]</t>
  </si>
  <si>
    <t>Alabama</t>
  </si>
  <si>
    <t>Standard Deduction</t>
  </si>
  <si>
    <t>Itemized Deduction</t>
  </si>
  <si>
    <t>Percentage</t>
  </si>
  <si>
    <t>Yes</t>
  </si>
  <si>
    <t>No</t>
  </si>
  <si>
    <t xml:space="preserve">Taxable pensions and annuities </t>
  </si>
  <si>
    <t>Total</t>
  </si>
  <si>
    <t>Half of self employment tax</t>
  </si>
  <si>
    <t>Retirement Deduction</t>
  </si>
  <si>
    <t xml:space="preserve">Medical </t>
  </si>
  <si>
    <t>Contributions</t>
  </si>
  <si>
    <t>Carryover Loss</t>
  </si>
  <si>
    <t>Other payments and credits</t>
  </si>
  <si>
    <t xml:space="preserve">DISCLAIMER: The numbers presented above are based on planned proposals, which may differ upon deeper analysis of the situation of each individual. Tax planning projections shown above are primarily for tax situations moving forward. </t>
  </si>
  <si>
    <t>Federal income tax deduction</t>
  </si>
  <si>
    <t>Resident in State</t>
  </si>
  <si>
    <t>Total Federal tax</t>
  </si>
  <si>
    <t>[Fill if Necessary]</t>
  </si>
  <si>
    <t>-</t>
  </si>
  <si>
    <t>If Additional Income from different State in same period:</t>
  </si>
  <si>
    <t>State Taxable Income</t>
  </si>
  <si>
    <t>Column B</t>
  </si>
  <si>
    <t>Column C</t>
  </si>
  <si>
    <t>Column D</t>
  </si>
  <si>
    <t>Column E</t>
  </si>
  <si>
    <t>Column F</t>
  </si>
  <si>
    <t>Column G</t>
  </si>
  <si>
    <t>Column H</t>
  </si>
  <si>
    <t>Column I</t>
  </si>
  <si>
    <t xml:space="preserve">Total Tax </t>
  </si>
  <si>
    <t>Long Term Capital Gain or Loss</t>
  </si>
  <si>
    <t xml:space="preserve">Wages, salaries, tips - </t>
  </si>
  <si>
    <t>Total Income</t>
  </si>
  <si>
    <t>Year:</t>
  </si>
  <si>
    <t xml:space="preserve">Date: </t>
  </si>
  <si>
    <t xml:space="preserve">Business 2 Income - </t>
  </si>
  <si>
    <t xml:space="preserve">Wages, salaries, tips -  </t>
  </si>
  <si>
    <t>Other taxes from Sch K-1</t>
  </si>
  <si>
    <t>Alabama Taxes</t>
  </si>
  <si>
    <t>Alaska Taxes</t>
  </si>
  <si>
    <t>Utah Taxes</t>
  </si>
  <si>
    <t>Arizona Taxes</t>
  </si>
  <si>
    <t>Arkansas Taxes</t>
  </si>
  <si>
    <t>California Taxes</t>
  </si>
  <si>
    <t>Colorado Taxes</t>
  </si>
  <si>
    <t>Connecticut Taxes</t>
  </si>
  <si>
    <t>Delaware Taxes</t>
  </si>
  <si>
    <t>Florida Taxes</t>
  </si>
  <si>
    <t>Georgia Taxes</t>
  </si>
  <si>
    <t>Hawaii Taxes</t>
  </si>
  <si>
    <t>Idaho Taxes</t>
  </si>
  <si>
    <t>Illinois Taxes</t>
  </si>
  <si>
    <t>Indiana Taxes</t>
  </si>
  <si>
    <t>Iowa Taxes</t>
  </si>
  <si>
    <t>Kansas Taxes</t>
  </si>
  <si>
    <t>Kentucky Taxes</t>
  </si>
  <si>
    <t>Louisiana Taxes</t>
  </si>
  <si>
    <t>Maine Taxes</t>
  </si>
  <si>
    <t>Maryland Taxes</t>
  </si>
  <si>
    <t>Massachusetts Taxes</t>
  </si>
  <si>
    <t>Michigan Taxes</t>
  </si>
  <si>
    <t>Minnesota Taxes</t>
  </si>
  <si>
    <t>Mississippi Taxes</t>
  </si>
  <si>
    <t>Missouri Taxes</t>
  </si>
  <si>
    <t>Montana Taxes</t>
  </si>
  <si>
    <t>Nebraska Taxes</t>
  </si>
  <si>
    <t>Nevada Taxes</t>
  </si>
  <si>
    <t>New Hampshire Taxes</t>
  </si>
  <si>
    <t>New Jersey Taxes</t>
  </si>
  <si>
    <t>New Mexico Taxes</t>
  </si>
  <si>
    <t>New York Taxes</t>
  </si>
  <si>
    <t>North Carolina Taxes</t>
  </si>
  <si>
    <t>North Dakota Taxes</t>
  </si>
  <si>
    <t>Ohio Taxes</t>
  </si>
  <si>
    <t>Oklahoma Taxes</t>
  </si>
  <si>
    <t>Oregon Taxes</t>
  </si>
  <si>
    <t>Pennsylvania Taxes</t>
  </si>
  <si>
    <t>Rhode Island Taxes</t>
  </si>
  <si>
    <t>South Carolina Taxes</t>
  </si>
  <si>
    <t>South Dakota Taxes</t>
  </si>
  <si>
    <t>Tennessee Taxes</t>
  </si>
  <si>
    <t>Texas Taxes</t>
  </si>
  <si>
    <t>Vermont Taxes</t>
  </si>
  <si>
    <t>Virginia Taxes</t>
  </si>
  <si>
    <t>Washington Taxes</t>
  </si>
  <si>
    <t>West Virginia Taxes</t>
  </si>
  <si>
    <t>Wisconsin Taxes</t>
  </si>
  <si>
    <t>Wyoming Taxes</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</si>
  <si>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</si>
  <si>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</si>
  <si>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</si>
  <si>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</si>
  <si>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</si>
  <si>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</si>
  <si>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</si>
  <si>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</si>
  <si>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</si>
  <si>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</si>
  <si>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</si>
  <si>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</si>
  <si>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</si>
  <si>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</si>
  <si>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</si>
  <si>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</si>
  <si>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</si>
  <si>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</si>
  <si>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</si>
  <si>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</si>
  <si>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</si>
  <si>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</si>
  <si>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</si>
  <si>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</si>
  <si>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</si>
  <si>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</si>
  <si>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</si>
  <si>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</si>
  <si>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</si>
  <si>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</si>
  <si>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</si>
  <si>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</si>
  <si>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</si>
  <si>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</si>
  <si>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</si>
  <si>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</si>
  <si>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</si>
  <si>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</si>
  <si>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</si>
  <si>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</si>
  <si>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</si>
  <si>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</si>
  <si>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</si>
  <si>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</si>
  <si>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</si>
  <si>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</si>
  <si>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</si>
  <si>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</si>
  <si>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</si>
  <si>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No State Tax</t>
  </si>
  <si>
    <t>After tax Deductions</t>
  </si>
  <si>
    <t>State Taxes Due</t>
  </si>
  <si>
    <t xml:space="preserve">Corp Income </t>
  </si>
  <si>
    <t>Link to Corp Income</t>
  </si>
  <si>
    <t xml:space="preserve">Personal Exemption </t>
  </si>
  <si>
    <t>Medicare</t>
  </si>
  <si>
    <t>Social Security</t>
  </si>
  <si>
    <t xml:space="preserve">Social Security </t>
  </si>
  <si>
    <t>Employee</t>
  </si>
  <si>
    <t>Employer</t>
  </si>
  <si>
    <t>Tax Plan Cost</t>
  </si>
  <si>
    <t>Hour(s)</t>
  </si>
  <si>
    <t>Rate</t>
  </si>
  <si>
    <t>Cost</t>
  </si>
  <si>
    <t>Organize files they send over/create request of information if necessary</t>
  </si>
  <si>
    <t>Finish Planbuilder</t>
  </si>
  <si>
    <t>Finish Tax Plan</t>
  </si>
  <si>
    <t>Extra Tasks (Insurance/Worth Account etc)</t>
  </si>
  <si>
    <t>Plus 4 hours</t>
  </si>
  <si>
    <t>Has the Employer paid State Unemployment Tax?</t>
  </si>
  <si>
    <t>FUTA</t>
  </si>
  <si>
    <t>Unemployment</t>
  </si>
  <si>
    <t>Additions to Income</t>
  </si>
  <si>
    <t>AGI</t>
  </si>
  <si>
    <t>Employee Taxes</t>
  </si>
  <si>
    <t>Employer Taxes</t>
  </si>
  <si>
    <t>Short Term Capital Gain or Loss</t>
  </si>
  <si>
    <t>Put X if W-4 is checked or the W-4 is from 2020 or later</t>
  </si>
  <si>
    <t>Federal Witholding</t>
  </si>
  <si>
    <t xml:space="preserve">  </t>
  </si>
  <si>
    <t>Dropdown Menu (Do not Move Below)</t>
  </si>
  <si>
    <t>No Income Tax</t>
  </si>
  <si>
    <t>Federal Withholding</t>
  </si>
  <si>
    <t>State Withholding</t>
  </si>
  <si>
    <t>Inputs</t>
  </si>
  <si>
    <t>HSA</t>
  </si>
  <si>
    <t>Casualty and Theft Losses</t>
  </si>
  <si>
    <t>Miscellaneous Deductions</t>
  </si>
  <si>
    <t>Foreign Tax Credit</t>
  </si>
  <si>
    <t>General Business Credit</t>
  </si>
  <si>
    <t>Credit for Prior Year Minimum Tax</t>
  </si>
  <si>
    <t>Nonrefundable Personal Credits</t>
  </si>
  <si>
    <t>Interest from Private Activity Bonds</t>
  </si>
  <si>
    <t>Depreciation</t>
  </si>
  <si>
    <t>Passive Activity Loss Adjustments</t>
  </si>
  <si>
    <t>OVERRIDE</t>
  </si>
  <si>
    <t>Year -&gt;</t>
  </si>
  <si>
    <t>Filing Status -&gt;</t>
  </si>
  <si>
    <t>Strategy</t>
  </si>
  <si>
    <t>Accountable Plan</t>
  </si>
  <si>
    <t>Defined Benefit Plan</t>
  </si>
  <si>
    <t>Disability</t>
  </si>
  <si>
    <t>Home Office</t>
  </si>
  <si>
    <t>Charitable Foundation</t>
  </si>
  <si>
    <t>Admin HO</t>
  </si>
  <si>
    <t>SEP</t>
  </si>
  <si>
    <t>Tax Loss Harvesting</t>
  </si>
  <si>
    <t>Solar Credit</t>
  </si>
  <si>
    <t>IRA</t>
  </si>
  <si>
    <t>C-Easement</t>
  </si>
  <si>
    <t>Section 105 Plan</t>
  </si>
  <si>
    <t>Donor Advise Fund</t>
  </si>
  <si>
    <t>Explaination</t>
  </si>
  <si>
    <t>≈ $1,000</t>
  </si>
  <si>
    <t>2022 - $12,950 Per Child / 2023 - $13,850 Per Child / 2024 - $14,600 Per Child</t>
  </si>
  <si>
    <t>77% of their total investment</t>
  </si>
  <si>
    <t>$2,000 per Company Tax Return, $1,000 per personal return</t>
  </si>
  <si>
    <t>Disallowed if if the amount of the contribution exceeds 2.5 times the sum of each partner’s or S corporation shareholder’s relevant basis.</t>
  </si>
  <si>
    <t>Purchase of Asset</t>
  </si>
  <si>
    <t xml:space="preserve">Reasonable Compensation - </t>
  </si>
  <si>
    <t>Maximum is 30% of adjusted gross income</t>
  </si>
  <si>
    <t>Must have a reasonable compensation with an amount over 100K expense</t>
  </si>
  <si>
    <t>Smaller amount than the Charitable foundation. Usually around 5k</t>
  </si>
  <si>
    <t>2022 - $3,650 Single, $7,300 Family, $1,000 if 55 Year old Additional Contribution / 2023 - $3,850 Single, $7,750 Family, $1,000 - if 55 Year old Additional Contribution / 2024 - $4,150 Single, $8,300 Family, $1,000 - if 55 Year old Additional Contribution</t>
  </si>
  <si>
    <t>If they have primary residence, they can use their office space in order for deduction using percentage of space used for business out of house</t>
  </si>
  <si>
    <t>itemized deduction</t>
  </si>
  <si>
    <t>New York State</t>
  </si>
  <si>
    <t>Yonkers</t>
  </si>
  <si>
    <t>Husband Portion</t>
  </si>
  <si>
    <t>Husband Additions</t>
  </si>
  <si>
    <t>Husband Deductions</t>
  </si>
  <si>
    <t>Husband AGI</t>
  </si>
  <si>
    <t>Wife Portion</t>
  </si>
  <si>
    <t>Wife Additions</t>
  </si>
  <si>
    <t>Wife Deductions</t>
  </si>
  <si>
    <t>Wife AGI</t>
  </si>
  <si>
    <t>Total Missouri adjusted gross income</t>
  </si>
  <si>
    <t>Husband % if AGI</t>
  </si>
  <si>
    <t>Wife % if AGI</t>
  </si>
  <si>
    <t>Missouri Fed Tax Percentage</t>
  </si>
  <si>
    <t>Missouri Standard or Itemized Deduction</t>
  </si>
  <si>
    <t>Subtotal</t>
  </si>
  <si>
    <t>Husband Portion %</t>
  </si>
  <si>
    <t>Husband Tax</t>
  </si>
  <si>
    <t>Wife Portion %</t>
  </si>
  <si>
    <t>Wife Tax</t>
  </si>
  <si>
    <t>Missouri Source Income for Husband</t>
  </si>
  <si>
    <t>Missouri Tax Due For Husband</t>
  </si>
  <si>
    <t>Missouri Source Income for Wife</t>
  </si>
  <si>
    <t>Missouri Tax Due For Wife</t>
  </si>
  <si>
    <t>Total Taxes Due</t>
  </si>
  <si>
    <t>Husband Income from Missouri</t>
  </si>
  <si>
    <t>Business Income</t>
  </si>
  <si>
    <t>Rents, royalties, partnerships, S corporations</t>
  </si>
  <si>
    <t>Husband's Total Missouri Income</t>
  </si>
  <si>
    <t>Wife Income from Missouri</t>
  </si>
  <si>
    <t>Wife's Total Missouri Income</t>
  </si>
  <si>
    <t>Fed Standard or Itemized Deduction</t>
  </si>
  <si>
    <t>2022 Social Security Tax (H)</t>
  </si>
  <si>
    <t>2022 Social Security Tax (W)</t>
  </si>
  <si>
    <t>2022 Railroad Retirement Tax (H)</t>
  </si>
  <si>
    <t>2022 Railroad Retirement Tax (W)</t>
  </si>
  <si>
    <t>2022 Medicare Tax</t>
  </si>
  <si>
    <t>2022 Self Employment Tax</t>
  </si>
  <si>
    <t>Total Itemized Deduction</t>
  </si>
  <si>
    <t>Used if client has no health insurance provided by W-2 Income</t>
  </si>
  <si>
    <t>C-corporations can deduct Section 105 expenses and owner-employees are eligible to participate, while sole proprietors, partners in a partnership, and more than 2% shareholders in an S-corporation can only get coverage through spousal employment, and the</t>
  </si>
  <si>
    <t>Contributions must be based on a formal written agreement and can be up to 25% of the employee's compensation or a maximum of $66,000 for 2023, whichever is less. Compensation considered for SEP contributions is capped at $330,000 for 2023. SEP contributions are not reported on Form W-2 for employees but are deductible as a business expense for the employer.</t>
  </si>
  <si>
    <t>Tax loss harvesting involves selling securities at a loss to offset a capital gains tax liability. The IRS allows the deduction of up to $3,000 in capital losses against ordinary income per year for individuals and carries forward any additional losses to future tax years. To claim the credit, you must own the solar energy system, and it must be new or being used for the first time. The credit can be applied to both the principal residence and a second home, but rentals do not qualify.</t>
  </si>
  <si>
    <t>Drop Down Menu</t>
  </si>
  <si>
    <t>Yes Catch-Up</t>
  </si>
  <si>
    <t>No Catch-Up</t>
  </si>
  <si>
    <t xml:space="preserve">For 2022, $6,000, or $7,000 if you're age 50 or older by the end of the year. The IRA contribution limits for 2023 are $6,500 if you are under age 50 and $7,500 for those age 50 or older. These limits are set to increase in 2024 to $7,000 for those under age 50 and $8,000 for those age 50 or older. Traditional IRA contributions may be tax-deductible depending on your modified adjusted gross income (MAGI) and whether you or your spouse are covered by an employer retirement plan. If neither you nor your spouse has access to a workplace retirement plan, then you can typically deduct the full amount of your contributions. </t>
  </si>
  <si>
    <t>Answer</t>
  </si>
  <si>
    <t>Younger than 50</t>
  </si>
  <si>
    <t>Standard Deduction/Itemized</t>
  </si>
  <si>
    <t>Local Tax</t>
  </si>
  <si>
    <t>Exemption</t>
  </si>
  <si>
    <t>1 Personal Return</t>
  </si>
  <si>
    <t>No 55 Year Old Contribution</t>
  </si>
  <si>
    <t>Minimum 100k - Maximum is 40% of business income</t>
  </si>
  <si>
    <t>Social Security Max (Employee)</t>
  </si>
  <si>
    <t>Excess Social Security (Employee)</t>
  </si>
  <si>
    <t>Social Security Max (Employer)</t>
  </si>
  <si>
    <t>Excess Social Security (Employer)</t>
  </si>
  <si>
    <t>Potential Max Credit</t>
  </si>
  <si>
    <t>Amount AGI before Phase out</t>
  </si>
  <si>
    <t>Calculation</t>
  </si>
  <si>
    <t>Total Child Credit Allowed</t>
  </si>
  <si>
    <t>Estimated Refund (Overpayment)</t>
  </si>
  <si>
    <t>Estimated Balance Due</t>
  </si>
  <si>
    <t>Spouse tax adjustment</t>
  </si>
  <si>
    <t>W-2</t>
  </si>
  <si>
    <t>Input</t>
  </si>
  <si>
    <t>Employee - Medicare</t>
  </si>
  <si>
    <t>Employee - Social Security</t>
  </si>
  <si>
    <t>Employer - Medicare</t>
  </si>
  <si>
    <t>Self Employment Tax - Medicare</t>
  </si>
  <si>
    <t>Total Tax</t>
  </si>
  <si>
    <t>Employer - Unemployment</t>
  </si>
  <si>
    <t>Employer - FUTA</t>
  </si>
  <si>
    <t>Business (Self Employment tax)</t>
  </si>
  <si>
    <t>Total W-2 401(k) Possible Contribution</t>
  </si>
  <si>
    <t>Actual Business (Self Employment tax)</t>
  </si>
  <si>
    <t>Employer - Social Security</t>
  </si>
  <si>
    <t>Total 401(k)</t>
  </si>
  <si>
    <t>Total 401(k) Investment</t>
  </si>
  <si>
    <t>Drop Down</t>
  </si>
  <si>
    <t>401(k) Calculator</t>
  </si>
  <si>
    <t>Is there a GenWealth Charity Contribution introduced?</t>
  </si>
  <si>
    <t>Total Adjusted Income</t>
  </si>
  <si>
    <t>Row 61</t>
  </si>
  <si>
    <t>Row 73</t>
  </si>
  <si>
    <t>No GenWealth Contribution Strategy Total Schedule A</t>
  </si>
  <si>
    <t>Yes GenWealth Contribution Strategy Total Schedule A</t>
  </si>
  <si>
    <t xml:space="preserve">Total Taxable Income </t>
  </si>
  <si>
    <t>Total Tax Due</t>
  </si>
  <si>
    <t>Total Employer Tax</t>
  </si>
  <si>
    <t>Total Payroll</t>
  </si>
  <si>
    <t>Total Payroll Taxes</t>
  </si>
  <si>
    <t>If Charity Contribution introduced, what is % contribution?</t>
  </si>
  <si>
    <t>Business Reasonable Comp (Non-Self-employment tax)</t>
  </si>
  <si>
    <t>Final</t>
  </si>
  <si>
    <t>Answer Shown has lowest liability</t>
  </si>
  <si>
    <t>Total tax savings from deferred 401(k)</t>
  </si>
  <si>
    <t>Tax Rate Phase Out (Additional Tax)</t>
  </si>
  <si>
    <t>Benefit Recapture Phase In</t>
  </si>
  <si>
    <t>Total State Taxes Due</t>
  </si>
  <si>
    <t>After Tax Deductions</t>
  </si>
  <si>
    <t>Employer / Employee Taxes Calculator</t>
  </si>
  <si>
    <t>Child Tax Credit Calculation</t>
  </si>
  <si>
    <t>2024 Restructure Strategy Box</t>
  </si>
  <si>
    <t>Standard deduction</t>
  </si>
  <si>
    <t>Qualified Dividends</t>
  </si>
  <si>
    <t>Allowable Loss Real Estate Non-Professional</t>
  </si>
  <si>
    <r>
      <t xml:space="preserve">Who is Contributing to the the new </t>
    </r>
    <r>
      <rPr>
        <b/>
        <sz val="11"/>
        <color theme="1"/>
        <rFont val="Calibri"/>
        <family val="2"/>
        <scheme val="minor"/>
      </rPr>
      <t>401(k)</t>
    </r>
    <r>
      <rPr>
        <sz val="11"/>
        <color theme="1"/>
        <rFont val="Calibri"/>
        <family val="2"/>
        <scheme val="minor"/>
      </rPr>
      <t xml:space="preserve"> [Person One, Person Two, or Both]</t>
    </r>
  </si>
  <si>
    <t>What State are these Businesses in</t>
  </si>
  <si>
    <t>Person One</t>
  </si>
  <si>
    <r>
      <t>Income from</t>
    </r>
    <r>
      <rPr>
        <b/>
        <sz val="11"/>
        <color theme="1"/>
        <rFont val="Calibri"/>
        <family val="2"/>
        <scheme val="minor"/>
      </rPr>
      <t xml:space="preserve"> W-2 </t>
    </r>
    <r>
      <rPr>
        <sz val="11"/>
        <color theme="1"/>
        <rFont val="Calibri"/>
        <family val="2"/>
        <scheme val="minor"/>
      </rPr>
      <t>which 401(k) is or Expected or test</t>
    </r>
  </si>
  <si>
    <r>
      <t>Business Income (</t>
    </r>
    <r>
      <rPr>
        <b/>
        <sz val="11"/>
        <color theme="1"/>
        <rFont val="Calibri"/>
        <family val="2"/>
        <scheme val="minor"/>
      </rPr>
      <t xml:space="preserve">NO </t>
    </r>
    <r>
      <rPr>
        <sz val="11"/>
        <color theme="1"/>
        <rFont val="Calibri"/>
        <family val="2"/>
        <scheme val="minor"/>
      </rPr>
      <t>Self Employment tax) of business all businesses person 1 owns</t>
    </r>
  </si>
  <si>
    <r>
      <rPr>
        <b/>
        <sz val="11"/>
        <color theme="1"/>
        <rFont val="Calibri"/>
        <family val="2"/>
        <scheme val="minor"/>
      </rPr>
      <t>Current Reasonable Comp</t>
    </r>
    <r>
      <rPr>
        <sz val="11"/>
        <color theme="1"/>
        <rFont val="Calibri"/>
        <family val="2"/>
        <scheme val="minor"/>
      </rPr>
      <t xml:space="preserve"> From Business considering 401(k)</t>
    </r>
  </si>
  <si>
    <r>
      <rPr>
        <b/>
        <sz val="11"/>
        <color theme="1"/>
        <rFont val="Calibri"/>
        <family val="2"/>
        <scheme val="minor"/>
      </rPr>
      <t>Total other Reasonable Comp</t>
    </r>
    <r>
      <rPr>
        <sz val="11"/>
        <color theme="1"/>
        <rFont val="Calibri"/>
        <family val="2"/>
        <scheme val="minor"/>
      </rPr>
      <t xml:space="preserve"> (from non-401(k) implementation)</t>
    </r>
  </si>
  <si>
    <t>W-2 Employer Contribution</t>
  </si>
  <si>
    <r>
      <rPr>
        <sz val="11"/>
        <color theme="1"/>
        <rFont val="Calibri"/>
        <family val="2"/>
        <scheme val="minor"/>
      </rPr>
      <t xml:space="preserve">Is there a </t>
    </r>
    <r>
      <rPr>
        <b/>
        <sz val="11"/>
        <color theme="1"/>
        <rFont val="Calibri"/>
        <family val="2"/>
        <scheme val="minor"/>
      </rPr>
      <t xml:space="preserve">Defined Benefit Plan </t>
    </r>
    <r>
      <rPr>
        <sz val="11"/>
        <color theme="1"/>
        <rFont val="Calibri"/>
        <family val="2"/>
        <scheme val="minor"/>
      </rPr>
      <t>for</t>
    </r>
    <r>
      <rPr>
        <b/>
        <sz val="11"/>
        <color theme="1"/>
        <rFont val="Calibri"/>
        <family val="2"/>
        <scheme val="minor"/>
      </rPr>
      <t xml:space="preserve"> Person 1 </t>
    </r>
    <r>
      <rPr>
        <sz val="11"/>
        <color theme="1"/>
        <rFont val="Calibri"/>
        <family val="2"/>
        <scheme val="minor"/>
      </rPr>
      <t>&amp; will they also have</t>
    </r>
    <r>
      <rPr>
        <b/>
        <sz val="11"/>
        <color theme="1"/>
        <rFont val="Calibri"/>
        <family val="2"/>
        <scheme val="minor"/>
      </rPr>
      <t xml:space="preserve"> Employer side 401(k)?</t>
    </r>
  </si>
  <si>
    <r>
      <rPr>
        <b/>
        <sz val="11"/>
        <color theme="1"/>
        <rFont val="Calibri"/>
        <family val="2"/>
        <scheme val="minor"/>
      </rPr>
      <t>Catch - Up</t>
    </r>
    <r>
      <rPr>
        <sz val="11"/>
        <color theme="1"/>
        <rFont val="Calibri"/>
        <family val="2"/>
        <scheme val="minor"/>
      </rPr>
      <t xml:space="preserve"> for people 50 Years or Above</t>
    </r>
  </si>
  <si>
    <t>Total Business 401(k) Possible Contribution (With Business)</t>
  </si>
  <si>
    <t>Defined Benefit 401(k) Contribution (New Maximum Contribution)</t>
  </si>
  <si>
    <t>Person Two</t>
  </si>
  <si>
    <r>
      <t>Business Income (</t>
    </r>
    <r>
      <rPr>
        <b/>
        <sz val="11"/>
        <color theme="1"/>
        <rFont val="Calibri"/>
        <family val="2"/>
        <scheme val="minor"/>
      </rPr>
      <t xml:space="preserve">NO </t>
    </r>
    <r>
      <rPr>
        <sz val="11"/>
        <color theme="1"/>
        <rFont val="Calibri"/>
        <family val="2"/>
        <scheme val="minor"/>
      </rPr>
      <t>Self Employment tax) of business all businesses person 2 owns</t>
    </r>
  </si>
  <si>
    <r>
      <rPr>
        <sz val="11"/>
        <color theme="1"/>
        <rFont val="Calibri"/>
        <family val="2"/>
        <scheme val="minor"/>
      </rPr>
      <t xml:space="preserve">Is there a </t>
    </r>
    <r>
      <rPr>
        <b/>
        <sz val="11"/>
        <color theme="1"/>
        <rFont val="Calibri"/>
        <family val="2"/>
        <scheme val="minor"/>
      </rPr>
      <t xml:space="preserve">Defined Benefit Plan </t>
    </r>
    <r>
      <rPr>
        <sz val="11"/>
        <color theme="1"/>
        <rFont val="Calibri"/>
        <family val="2"/>
        <scheme val="minor"/>
      </rPr>
      <t xml:space="preserve">for </t>
    </r>
    <r>
      <rPr>
        <b/>
        <sz val="11"/>
        <color theme="1"/>
        <rFont val="Calibri"/>
        <family val="2"/>
        <scheme val="minor"/>
      </rPr>
      <t xml:space="preserve">Person 2 </t>
    </r>
    <r>
      <rPr>
        <sz val="11"/>
        <color theme="1"/>
        <rFont val="Calibri"/>
        <family val="2"/>
        <scheme val="minor"/>
      </rPr>
      <t>&amp; will they also have</t>
    </r>
    <r>
      <rPr>
        <b/>
        <sz val="11"/>
        <color theme="1"/>
        <rFont val="Calibri"/>
        <family val="2"/>
        <scheme val="minor"/>
      </rPr>
      <t xml:space="preserve"> Employer side 401(k)?</t>
    </r>
  </si>
  <si>
    <t>Self Employment Tax - Social Security</t>
  </si>
  <si>
    <t>Link</t>
  </si>
  <si>
    <t>Adjusted Gross Income of Column for 401(k) comparison</t>
  </si>
  <si>
    <t>Itemized Deductions without contributions</t>
  </si>
  <si>
    <t xml:space="preserve">Filing Status </t>
  </si>
  <si>
    <t xml:space="preserve">Link </t>
  </si>
  <si>
    <t>What is the tax rate before the 401(k) implementation</t>
  </si>
  <si>
    <t>Total Additional Medicare Tax</t>
  </si>
  <si>
    <t>Client 1</t>
  </si>
  <si>
    <t>Opportunity Cost Valuation (20 yr) at 7.64% interest</t>
  </si>
  <si>
    <t>20 Year Savings</t>
  </si>
  <si>
    <t xml:space="preserve">Adjustment Summary </t>
  </si>
  <si>
    <t>Description</t>
  </si>
  <si>
    <t>Restructure</t>
  </si>
  <si>
    <t>Total Tax Savings</t>
  </si>
  <si>
    <t>Deductible Payroll</t>
  </si>
  <si>
    <t>Reduction in Foundation</t>
  </si>
  <si>
    <t>Change in Tax Rate</t>
  </si>
  <si>
    <t>Change in Additional Medicare</t>
  </si>
  <si>
    <t>Qualification for C &amp; OD Credit</t>
  </si>
  <si>
    <t>NIIT</t>
  </si>
  <si>
    <t>Change in State Tax</t>
  </si>
  <si>
    <t>Payroll</t>
  </si>
  <si>
    <t>State Taxes</t>
  </si>
  <si>
    <t>California Mental Health Tax</t>
  </si>
  <si>
    <t>Adjusted Total Tax Savings</t>
  </si>
  <si>
    <t>Net Benefit Calculation</t>
  </si>
  <si>
    <t>Cash Outflow:</t>
  </si>
  <si>
    <t>Disability Insurance</t>
  </si>
  <si>
    <t>Foundation</t>
  </si>
  <si>
    <t>Payroll Taxes</t>
  </si>
  <si>
    <t>Total Cash Outflow</t>
  </si>
  <si>
    <t>Cash Inflow:</t>
  </si>
  <si>
    <t>Refund</t>
  </si>
  <si>
    <t>412(e)(3)</t>
  </si>
  <si>
    <t>Investment Equity</t>
  </si>
  <si>
    <t>Total Cash Inflow</t>
  </si>
  <si>
    <t>Net Benefit:</t>
  </si>
  <si>
    <t>Net Worth Change</t>
  </si>
  <si>
    <t>Sum of all Self employment * 0.9235</t>
  </si>
  <si>
    <t>Total Self Employment Tax</t>
  </si>
  <si>
    <t>Total non-Self Employment Wages</t>
  </si>
  <si>
    <t>Total Self Employment Wages</t>
  </si>
  <si>
    <t>Total Additional Medicare</t>
  </si>
  <si>
    <t>Sum of All Self Employment Medicare</t>
  </si>
  <si>
    <t>Sum of All Self Employment Social Security</t>
  </si>
  <si>
    <t>Total Employee Portion</t>
  </si>
  <si>
    <t>Total Employer Portion</t>
  </si>
  <si>
    <t>Total Federal Withholding</t>
  </si>
  <si>
    <t>HOH</t>
  </si>
  <si>
    <t>5.5% C-Corp Income</t>
  </si>
  <si>
    <t>Long Term Capital Gains Calculation &amp; Tax Equation</t>
  </si>
  <si>
    <t>Taxable Income Before adjustments</t>
  </si>
  <si>
    <t>Grabbing the correct capital gain number we are working with</t>
  </si>
  <si>
    <t>Sum of Long term Cap Gain + Qualified Dividends</t>
  </si>
  <si>
    <t>First Taxable Income Adjustment</t>
  </si>
  <si>
    <t>Threshold</t>
  </si>
  <si>
    <t>Finding the lesser amount</t>
  </si>
  <si>
    <t>Finding the lesser amount (yes it matters)</t>
  </si>
  <si>
    <t>This amount taxed at 0%</t>
  </si>
  <si>
    <t>Carry forward Value</t>
  </si>
  <si>
    <t>Multiply by 15%</t>
  </si>
  <si>
    <t>Multiply by 20%</t>
  </si>
  <si>
    <t>Tax on Adjustment</t>
  </si>
  <si>
    <t>Add up tax on long term Cap gains and Qualified Dividends</t>
  </si>
  <si>
    <t>Regular tax</t>
  </si>
  <si>
    <t>Unrecaptured Section 1250 (Manual Entry)</t>
  </si>
  <si>
    <t>28% Rate Gain Worksheet</t>
  </si>
  <si>
    <t>2022 - $20,500 or $61,000 + $6,500 Catchup / 2023 - $22,500 or $66,000 + $6,500 Catchup / 2024 - $23,000 or $69,000 + $7,500 Catchup (If have a Defined Benefit plan, Employer side *.06 instead of *.25)</t>
  </si>
  <si>
    <t>Overide Total Medicare wages</t>
  </si>
  <si>
    <t>Qualified Business Income Deduction</t>
  </si>
  <si>
    <t>Strategy Calculations</t>
  </si>
  <si>
    <t>Add Back Qualified Business Deduction from Taxable Income (Row 76 + Row 56)</t>
  </si>
  <si>
    <t>Net Capital Gain &amp; Qualified Dividends (Row 30 + Row 33 + Row 34)</t>
  </si>
  <si>
    <t>Qualified business income component. Multiply by 20%</t>
  </si>
  <si>
    <t>Total qualified REIT dividends and PTP income</t>
  </si>
  <si>
    <t>REIT and PTP component. Multiply by 20%</t>
  </si>
  <si>
    <t>Income limitation. Multiply by 20%</t>
  </si>
  <si>
    <t xml:space="preserve">Qualified business income deduction before the income limitation. Add lines 5 and 9 </t>
  </si>
  <si>
    <t>Qualified business income deduction.</t>
  </si>
  <si>
    <t>Other Credits</t>
  </si>
  <si>
    <t>Self-Employment Tax</t>
  </si>
  <si>
    <t>Net Investment Tax</t>
  </si>
  <si>
    <t>Other Taxes</t>
  </si>
  <si>
    <t>Total qualified business (loss) carryforward.</t>
  </si>
  <si>
    <t>Total qualified REIT dividends and PTP (loss) carryforward</t>
  </si>
  <si>
    <t xml:space="preserve">Qualified REIT dividends and publicly traded partnership </t>
  </si>
  <si>
    <t>Qualified REIT dividends and qualified PTP (loss) carryforward from the prior year</t>
  </si>
  <si>
    <t>Qualified business net (loss) carryforward from the prior year</t>
  </si>
  <si>
    <t>Business Income (Self Employment tax)</t>
  </si>
  <si>
    <t>Actual Business after 0.9235 adjustment (Self Employment tax)</t>
  </si>
  <si>
    <t>401(k)  Current</t>
  </si>
  <si>
    <t>401(k)  W-2</t>
  </si>
  <si>
    <t>401(k)  Business</t>
  </si>
  <si>
    <t>Long Term Capital Gain</t>
  </si>
  <si>
    <t>Short Term Capital Gain</t>
  </si>
  <si>
    <t>2023 &amp; 2024</t>
  </si>
  <si>
    <r>
      <rPr>
        <b/>
        <sz val="11"/>
        <color theme="1"/>
        <rFont val="Calibri"/>
        <family val="2"/>
        <scheme val="minor"/>
      </rPr>
      <t>New Reasonable Comp</t>
    </r>
    <r>
      <rPr>
        <sz val="11"/>
        <color theme="1"/>
        <rFont val="Calibri"/>
        <family val="2"/>
        <scheme val="minor"/>
      </rPr>
      <t xml:space="preserve"> From Business considering 401(k)</t>
    </r>
  </si>
  <si>
    <t>Total Tax - 401(k) Saved</t>
  </si>
  <si>
    <t>Actual Total Contributed W-2 contributed to 401(k)</t>
  </si>
  <si>
    <t>Who is Able to Defer W-2? [Person One, Person Two, or Both]</t>
  </si>
  <si>
    <r>
      <rPr>
        <b/>
        <sz val="11"/>
        <color theme="1"/>
        <rFont val="Calibri"/>
        <family val="2"/>
        <scheme val="minor"/>
      </rPr>
      <t>Income</t>
    </r>
    <r>
      <rPr>
        <sz val="11"/>
        <color theme="1"/>
        <rFont val="Calibri"/>
        <family val="2"/>
        <scheme val="minor"/>
      </rPr>
      <t xml:space="preserve"> of </t>
    </r>
    <r>
      <rPr>
        <b/>
        <sz val="11"/>
        <color theme="1"/>
        <rFont val="Calibri"/>
        <family val="2"/>
        <scheme val="minor"/>
      </rPr>
      <t>business</t>
    </r>
    <r>
      <rPr>
        <sz val="11"/>
        <color theme="1"/>
        <rFont val="Calibri"/>
        <family val="2"/>
        <scheme val="minor"/>
      </rPr>
      <t xml:space="preserve"> (</t>
    </r>
    <r>
      <rPr>
        <b/>
        <sz val="11"/>
        <color theme="1"/>
        <rFont val="Calibri"/>
        <family val="2"/>
        <scheme val="minor"/>
      </rPr>
      <t>Self Employment tax</t>
    </r>
    <r>
      <rPr>
        <sz val="11"/>
        <color theme="1"/>
        <rFont val="Calibri"/>
        <family val="2"/>
        <scheme val="minor"/>
      </rPr>
      <t>)</t>
    </r>
  </si>
  <si>
    <t>Both</t>
  </si>
  <si>
    <t>≈ $3,500</t>
  </si>
  <si>
    <t>≈ $5,800</t>
  </si>
  <si>
    <t>≈ $10,000</t>
  </si>
  <si>
    <t>A</t>
  </si>
  <si>
    <t>B</t>
  </si>
  <si>
    <t>C</t>
  </si>
  <si>
    <t>D</t>
  </si>
  <si>
    <t>E</t>
  </si>
  <si>
    <t>F</t>
  </si>
  <si>
    <t>G</t>
  </si>
  <si>
    <t>H</t>
  </si>
  <si>
    <t>I</t>
  </si>
  <si>
    <t>J</t>
  </si>
  <si>
    <t>Column J</t>
  </si>
  <si>
    <t>Client 2</t>
  </si>
  <si>
    <t>Reasonable Compensation</t>
  </si>
  <si>
    <t>401(K) Person 1</t>
  </si>
  <si>
    <t>401(K) Person 2</t>
  </si>
  <si>
    <t>How Many Family Members</t>
  </si>
  <si>
    <t>Defined Benefit Plan Person 1</t>
  </si>
  <si>
    <t>Defined Benefit Plan Person 2</t>
  </si>
  <si>
    <t>Deductable Payroll Person 1</t>
  </si>
  <si>
    <t>Deductable Payroll Person 2</t>
  </si>
  <si>
    <t>1 Company</t>
  </si>
  <si>
    <t>None</t>
  </si>
  <si>
    <t>Self-Employed Health Insurance</t>
  </si>
  <si>
    <t xml:space="preserve">Schedule C-1 Income - </t>
  </si>
  <si>
    <t xml:space="preserve">Schedule C-2 Income - </t>
  </si>
  <si>
    <t>Schedule E-1 Income -</t>
  </si>
  <si>
    <t>Schedule C-1 to Business 1</t>
  </si>
  <si>
    <t>Schedule C-1 to Business 2</t>
  </si>
  <si>
    <t>Schedule C-2 to Business 1</t>
  </si>
  <si>
    <t>Schedule C-2 to Business 2</t>
  </si>
  <si>
    <t>Person 2 Reasonable Comp Increase</t>
  </si>
  <si>
    <t>Person 1 Reasonable Comp Increase</t>
  </si>
  <si>
    <t>Drop Boxes</t>
  </si>
  <si>
    <t>Drop Box</t>
  </si>
  <si>
    <t xml:space="preserve">Business 1 Income - </t>
  </si>
  <si>
    <t xml:space="preserve">From </t>
  </si>
  <si>
    <t>Realocating Business</t>
  </si>
  <si>
    <t>Management Fee</t>
  </si>
  <si>
    <t xml:space="preserve">Schedule E-2 Income - </t>
  </si>
  <si>
    <t>Business Contribution</t>
  </si>
  <si>
    <t>Number of Eligible Kids Over 18</t>
  </si>
  <si>
    <t>Number of Eligible Kids 17 or Under</t>
  </si>
  <si>
    <t>How Many 65 or Older:</t>
  </si>
  <si>
    <t>How Many Blind:</t>
  </si>
  <si>
    <t>(Tax Credit Purposes) Children Age 18 or Over:</t>
  </si>
  <si>
    <t>Taxable Interest</t>
  </si>
  <si>
    <t>Net Investment Income Tax</t>
  </si>
  <si>
    <t>Ordinary Dividends</t>
  </si>
  <si>
    <t>Annuities</t>
  </si>
  <si>
    <t>Rental Real Estate, Royalties, Partnerships, S-Corporations, Trusts, Ect.</t>
  </si>
  <si>
    <t>Net Gain or Loss from Disposition of Property</t>
  </si>
  <si>
    <t>Net Gain or Loss from Disposition of Property that is not subject to net investment income tax</t>
  </si>
  <si>
    <t>Adjustment from Disposition of partnership interest or S-Corporation Stock</t>
  </si>
  <si>
    <t>Combine Above 3</t>
  </si>
  <si>
    <t>Adjustments to investment income for certain CFC's and PFIC's</t>
  </si>
  <si>
    <t>Other modifications to investment income</t>
  </si>
  <si>
    <t>Total investment income Combine all Above</t>
  </si>
  <si>
    <t>Investment Interest Expenses</t>
  </si>
  <si>
    <t>State, Local, and Foreign Income tax</t>
  </si>
  <si>
    <t>Miscellaneous investment expenses</t>
  </si>
  <si>
    <t>Additional Modifications</t>
  </si>
  <si>
    <t>Total Deductions and Modifications</t>
  </si>
  <si>
    <t>Net Investment Income</t>
  </si>
  <si>
    <t>Modified adjusted gross income</t>
  </si>
  <si>
    <t>Threshold based on filing status</t>
  </si>
  <si>
    <t>Subtract 2 Above</t>
  </si>
  <si>
    <t>Enter Smaller amount</t>
  </si>
  <si>
    <t>Net Investment Income Tax (3.8%)</t>
  </si>
  <si>
    <t>Combine Above 2</t>
  </si>
  <si>
    <t>Adjustments (May need to change calculation based on tax return)</t>
  </si>
  <si>
    <t>SDI</t>
  </si>
  <si>
    <t>Enter Bday to check age:</t>
  </si>
  <si>
    <t>Original Amount of Carryover</t>
  </si>
  <si>
    <t>Sum of Business Income</t>
  </si>
  <si>
    <t>Carryover amount of loss to following year</t>
  </si>
  <si>
    <t>Max amount of loss allowed (Positive Amount)</t>
  </si>
  <si>
    <t>Allowable amount of Carryover loss</t>
  </si>
  <si>
    <t>Carryover Loss Equation</t>
  </si>
  <si>
    <t>Short Term Rental</t>
  </si>
  <si>
    <t>Project Expenses from schedule E rental reports with the itemized list based on the location &amp; housing price of the property. Put any relevant projected items that are qualified expenses in Schedule A also. Do not put income unless client provided information on the income.</t>
  </si>
  <si>
    <t>W/ Defined Benefit</t>
  </si>
  <si>
    <t>IRC 181</t>
  </si>
  <si>
    <t>Movie Credits</t>
  </si>
  <si>
    <t>Simple Solar Model for Purchasers_V.18 (003)</t>
  </si>
  <si>
    <t>Use link for Solar Number. At top search bar type "Open on Desktop" and make sure you're signed in on the top right. The Depreciation number is the Schedule C expenses. The ITC used in 2024 + Remaining is the total general business credit.</t>
  </si>
  <si>
    <t>Qualified Business Net Income</t>
  </si>
  <si>
    <t>Type of Analysis</t>
  </si>
  <si>
    <t>Preliminary Analysis / Year End Review /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</si>
</sst>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quot;$&quot;#,##0"/>
    <numFmt numFmtId="167" formatCode="_(* #,##0.0_);_(* \(#,##0.0\);_(* &quot;-&quot;?_);_(@_)"/>
  </numFmts>
  <fonts count="2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1"/>
      <color rgb="FF262E39"/>
      <name val="Calibri"/>
      <family val="2"/>
      <scheme val="minor"/>
    </font>
    <font>
      <b/>
      <sz val="11"/>
      <name val="Calibri"/>
      <family val="2"/>
      <scheme val="minor"/>
    </font>
    <font>
      <sz val="11"/>
      <color theme="9" tint="-0.249977111117893"/>
      <name val="Calibri"/>
      <family val="2"/>
      <scheme val="minor"/>
    </font>
    <font>
      <sz val="11"/>
      <color rgb="FF000000"/>
      <name val="Calibri"/>
      <family val="2"/>
      <scheme val="minor"/>
    </font>
    <font>
      <i/>
      <sz val="11"/>
      <color theme="1"/>
      <name val="Calibri"/>
      <family val="2"/>
      <scheme val="minor"/>
    </font>
    <font>
      <sz val="16"/>
      <color theme="1"/>
      <name val="Calibri"/>
      <family val="2"/>
      <scheme val="minor"/>
    </font>
    <font>
      <sz val="8"/>
      <name val="Calibri"/>
      <family val="2"/>
      <scheme val="minor"/>
    </font>
    <font>
      <b/>
      <sz val="11"/>
      <color rgb="FFFF0000"/>
      <name val="Calibri"/>
      <family val="2"/>
      <scheme val="minor"/>
    </font>
    <font>
      <sz val="11"/>
      <name val="Calibri"/>
      <family val="2"/>
      <scheme val="minor"/>
    </font>
    <font>
      <sz val="11"/>
      <color rgb="FF262E39"/>
      <name val="Segoe UI"/>
      <family val="2"/>
    </font>
    <font>
      <sz val="12"/>
      <color rgb="FF374151"/>
      <name val="Segoe UI"/>
      <family val="2"/>
    </font>
    <font>
      <b/>
      <sz val="9"/>
      <color indexed="81"/>
      <name val="Tahoma"/>
      <family val="2"/>
    </font>
    <font>
      <sz val="9"/>
      <color indexed="81"/>
      <name val="Tahoma"/>
      <family val="2"/>
    </font>
    <font>
      <u/>
      <sz val="11"/>
      <color theme="10"/>
      <name val="Calibri"/>
      <family val="2"/>
      <scheme val="minor"/>
    </font>
    <font>
      <sz val="14"/>
      <color rgb="FF000000"/>
      <name val="Segoe UI"/>
      <family val="2"/>
    </font>
    <font>
      <sz val="10"/>
      <color theme="1"/>
      <name val="Calibri"/>
      <family val="2"/>
      <scheme val="minor"/>
    </font>
    <font>
      <sz val="10"/>
      <name val="Arial"/>
      <family val="2"/>
    </font>
    <font>
      <u/>
      <sz val="10"/>
      <color indexed="12"/>
      <name val="Arial"/>
      <family val="2"/>
    </font>
    <font>
      <i/>
      <sz val="10"/>
      <color theme="1"/>
      <name val="Calibri"/>
      <family val="2"/>
      <scheme val="minor"/>
    </font>
    <font>
      <i/>
      <sz val="11"/>
      <name val="Calibri"/>
      <family val="2"/>
      <scheme val="minor"/>
    </font>
    <font>
      <b/>
      <u/>
      <sz val="11"/>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
      <patternFill patternType="solid">
        <fgColor theme="8" tint="0.79998168889431442"/>
        <bgColor indexed="64"/>
      </patternFill>
    </fill>
    <fill>
      <patternFill patternType="solid">
        <fgColor rgb="FFFF0000"/>
        <bgColor indexed="64"/>
      </patternFill>
    </fill>
    <fill>
      <patternFill patternType="solid">
        <fgColor rgb="FF00B05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7030A0"/>
        <bgColor indexed="64"/>
      </patternFill>
    </fill>
    <fill>
      <patternFill patternType="solid">
        <fgColor rgb="FFFFC000"/>
        <bgColor indexed="64"/>
      </patternFill>
    </fill>
    <fill>
      <patternFill patternType="solid">
        <fgColor theme="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4" tint="0.59999389629810485"/>
        <bgColor indexed="64"/>
      </patternFill>
    </fill>
    <fill>
      <patternFill patternType="solid">
        <fgColor theme="2"/>
        <bgColor indexed="64"/>
      </patternFill>
    </fill>
    <fill>
      <patternFill patternType="solid">
        <fgColor rgb="FFFF99CC"/>
        <bgColor indexed="64"/>
      </patternFill>
    </fill>
    <fill>
      <patternFill patternType="solid">
        <fgColor theme="5" tint="0.79998168889431442"/>
        <bgColor indexed="64"/>
      </patternFill>
    </fill>
    <fill>
      <patternFill patternType="solid">
        <fgColor rgb="FF8CDA8C"/>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rgb="FF0070C0"/>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5" tint="-0.249977111117893"/>
        <bgColor indexed="64"/>
      </patternFill>
    </fill>
    <fill>
      <patternFill patternType="solid">
        <fgColor rgb="FFB972F4"/>
        <bgColor indexed="64"/>
      </patternFill>
    </fill>
    <fill>
      <patternFill patternType="solid">
        <fgColor theme="4" tint="0.7999816888943144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7" tint="0.79998168889431442"/>
        <bgColor indexed="64"/>
      </patternFill>
    </fill>
  </fills>
  <borders count="2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auto="1"/>
      </right>
      <top style="medium">
        <color auto="1"/>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medium">
        <color indexed="64"/>
      </left>
      <right style="medium">
        <color auto="1"/>
      </right>
      <top style="medium">
        <color auto="1"/>
      </top>
      <bottom/>
      <diagonal/>
    </border>
    <border>
      <left style="medium">
        <color indexed="64"/>
      </left>
      <right style="medium">
        <color auto="1"/>
      </right>
      <top/>
      <bottom style="medium">
        <color auto="1"/>
      </bottom>
      <diagonal/>
    </border>
    <border>
      <left style="medium">
        <color indexed="64"/>
      </left>
      <right style="medium">
        <color auto="1"/>
      </right>
      <top/>
      <bottom/>
      <diagonal/>
    </border>
    <border>
      <left/>
      <right/>
      <top style="thin">
        <color theme="4"/>
      </top>
      <bottom style="double">
        <color theme="4"/>
      </bottom>
      <diagonal/>
    </border>
    <border>
      <left/>
      <right style="medium">
        <color auto="1"/>
      </right>
      <top style="thin">
        <color theme="4"/>
      </top>
      <bottom style="double">
        <color theme="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3">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3" fillId="0" borderId="17" applyNumberFormat="0" applyFill="0" applyAlignment="0" applyProtection="0"/>
    <xf numFmtId="0" fontId="20" fillId="0" borderId="0"/>
    <xf numFmtId="0" fontId="21" fillId="0" borderId="0" applyNumberFormat="0" applyFill="0" applyBorder="0" applyAlignment="0" applyProtection="0">
      <alignment vertical="top"/>
      <protection locked="0"/>
    </xf>
    <xf numFmtId="44" fontId="20" fillId="0" borderId="0" applyFont="0" applyFill="0" applyBorder="0" applyAlignment="0" applyProtection="0"/>
    <xf numFmtId="9" fontId="20" fillId="0" borderId="0" applyFon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cellStyleXfs>
  <cellXfs count="338">
    <xf numFmtId="0" fontId="0" fillId="0" borderId="0" xfId="0"/>
    <xf numFmtId="0" fontId="0" fillId="0" borderId="0" xfId="0" applyAlignment="1">
      <alignment horizontal="center"/>
    </xf>
    <xf numFmtId="0" fontId="0" fillId="4" borderId="0" xfId="0" applyFill="1"/>
    <xf numFmtId="0" fontId="3" fillId="4" borderId="0" xfId="0" applyFont="1" applyFill="1" applyAlignment="1">
      <alignment horizontal="center"/>
    </xf>
    <xf numFmtId="0" fontId="3" fillId="4" borderId="0" xfId="0" applyFont="1" applyFill="1"/>
    <xf numFmtId="43" fontId="0" fillId="0" borderId="0" xfId="0" applyNumberFormat="1"/>
    <xf numFmtId="165" fontId="0" fillId="0" borderId="0" xfId="0" applyNumberFormat="1"/>
    <xf numFmtId="0" fontId="0" fillId="0" borderId="1" xfId="0" applyBorder="1"/>
    <xf numFmtId="0" fontId="3" fillId="0" borderId="2" xfId="0" applyFont="1" applyBorder="1" applyAlignment="1">
      <alignment horizontal="center"/>
    </xf>
    <xf numFmtId="0" fontId="6" fillId="0" borderId="2" xfId="0" applyFont="1" applyBorder="1" applyAlignment="1">
      <alignment horizontal="center"/>
    </xf>
    <xf numFmtId="0" fontId="0" fillId="0" borderId="4" xfId="0" applyBorder="1"/>
    <xf numFmtId="3" fontId="0" fillId="0" borderId="0" xfId="0" applyNumberFormat="1" applyAlignment="1">
      <alignment vertical="top" wrapText="1"/>
    </xf>
    <xf numFmtId="0" fontId="6" fillId="0" borderId="0" xfId="0" applyFont="1" applyAlignment="1">
      <alignment horizontal="center"/>
    </xf>
    <xf numFmtId="3" fontId="2" fillId="0" borderId="5" xfId="0" applyNumberFormat="1" applyFont="1" applyBorder="1"/>
    <xf numFmtId="3" fontId="6" fillId="0" borderId="0" xfId="0" applyNumberFormat="1" applyFont="1"/>
    <xf numFmtId="0" fontId="6" fillId="0" borderId="0" xfId="0" applyFont="1" applyAlignment="1">
      <alignment vertical="top" wrapText="1"/>
    </xf>
    <xf numFmtId="3" fontId="6" fillId="0" borderId="0" xfId="0" applyNumberFormat="1" applyFont="1" applyAlignment="1">
      <alignment vertical="top" wrapText="1"/>
    </xf>
    <xf numFmtId="0" fontId="0" fillId="0" borderId="6" xfId="0" applyBorder="1"/>
    <xf numFmtId="0" fontId="3" fillId="0" borderId="0" xfId="0" applyFont="1" applyAlignment="1">
      <alignment horizontal="right"/>
    </xf>
    <xf numFmtId="0" fontId="3" fillId="0" borderId="0" xfId="0" applyFont="1"/>
    <xf numFmtId="164" fontId="3" fillId="0" borderId="0" xfId="1" applyNumberFormat="1" applyFont="1" applyAlignment="1"/>
    <xf numFmtId="0" fontId="0" fillId="0" borderId="5" xfId="0" applyBorder="1"/>
    <xf numFmtId="0" fontId="0" fillId="0" borderId="8" xfId="0" applyBorder="1"/>
    <xf numFmtId="0" fontId="0" fillId="0" borderId="9" xfId="0" applyBorder="1"/>
    <xf numFmtId="165" fontId="3" fillId="0" borderId="0" xfId="0" applyNumberFormat="1" applyFont="1"/>
    <xf numFmtId="0" fontId="3" fillId="7" borderId="0" xfId="0" applyFont="1" applyFill="1" applyAlignment="1">
      <alignment horizontal="left"/>
    </xf>
    <xf numFmtId="164" fontId="3" fillId="7" borderId="0" xfId="1" applyNumberFormat="1" applyFont="1" applyFill="1" applyAlignment="1">
      <alignment horizontal="left"/>
    </xf>
    <xf numFmtId="164" fontId="3" fillId="7" borderId="0" xfId="1" applyNumberFormat="1" applyFont="1" applyFill="1"/>
    <xf numFmtId="0" fontId="3" fillId="7" borderId="0" xfId="0" applyFont="1" applyFill="1" applyAlignment="1">
      <alignment horizontal="center"/>
    </xf>
    <xf numFmtId="164" fontId="3" fillId="7" borderId="0" xfId="0" applyNumberFormat="1" applyFont="1" applyFill="1"/>
    <xf numFmtId="0" fontId="3" fillId="7" borderId="0" xfId="0" applyFont="1" applyFill="1" applyAlignment="1">
      <alignment horizontal="right" wrapText="1"/>
    </xf>
    <xf numFmtId="0" fontId="3" fillId="7" borderId="0" xfId="0" applyFont="1" applyFill="1"/>
    <xf numFmtId="0" fontId="0" fillId="0" borderId="0" xfId="0" applyAlignment="1">
      <alignment wrapText="1"/>
    </xf>
    <xf numFmtId="10" fontId="0" fillId="0" borderId="0" xfId="0" applyNumberFormat="1"/>
    <xf numFmtId="41" fontId="0" fillId="0" borderId="0" xfId="0" applyNumberFormat="1"/>
    <xf numFmtId="42" fontId="0" fillId="0" borderId="0" xfId="0" applyNumberFormat="1"/>
    <xf numFmtId="0" fontId="3" fillId="0" borderId="0" xfId="0" applyFont="1" applyAlignment="1">
      <alignment horizontal="center"/>
    </xf>
    <xf numFmtId="0" fontId="0" fillId="0" borderId="0" xfId="0" applyAlignment="1">
      <alignment horizontal="left"/>
    </xf>
    <xf numFmtId="0" fontId="9" fillId="9" borderId="13" xfId="0" applyFont="1" applyFill="1" applyBorder="1" applyAlignment="1">
      <alignment horizontal="center"/>
    </xf>
    <xf numFmtId="0" fontId="0" fillId="4" borderId="0" xfId="0" applyFill="1" applyAlignment="1">
      <alignment horizontal="center"/>
    </xf>
    <xf numFmtId="0" fontId="9" fillId="8" borderId="13" xfId="0" applyFont="1" applyFill="1" applyBorder="1" applyAlignment="1">
      <alignment horizontal="center"/>
    </xf>
    <xf numFmtId="0" fontId="4" fillId="7" borderId="0" xfId="0" applyFont="1" applyFill="1" applyAlignment="1">
      <alignment horizontal="right"/>
    </xf>
    <xf numFmtId="0" fontId="0" fillId="0" borderId="16" xfId="0" applyBorder="1" applyAlignment="1">
      <alignment horizontal="center"/>
    </xf>
    <xf numFmtId="0" fontId="0" fillId="0" borderId="0" xfId="0" applyAlignment="1">
      <alignment horizontal="right"/>
    </xf>
    <xf numFmtId="0" fontId="3" fillId="0" borderId="0" xfId="0" applyFont="1" applyAlignment="1">
      <alignment horizontal="left"/>
    </xf>
    <xf numFmtId="0" fontId="3" fillId="0" borderId="0" xfId="0" applyFont="1" applyAlignment="1">
      <alignment vertical="top" wrapText="1"/>
    </xf>
    <xf numFmtId="41" fontId="3" fillId="0" borderId="0" xfId="0" applyNumberFormat="1" applyFont="1"/>
    <xf numFmtId="0" fontId="8" fillId="4" borderId="0" xfId="0" applyFont="1" applyFill="1" applyAlignment="1">
      <alignment horizontal="center"/>
    </xf>
    <xf numFmtId="9" fontId="3" fillId="7" borderId="0" xfId="4" applyFont="1" applyFill="1"/>
    <xf numFmtId="0" fontId="12" fillId="0" borderId="3" xfId="0" applyFont="1" applyBorder="1" applyAlignment="1">
      <alignment horizontal="center"/>
    </xf>
    <xf numFmtId="0" fontId="3" fillId="0" borderId="0" xfId="0" applyFont="1" applyAlignment="1">
      <alignment horizontal="center" vertical="top" wrapText="1"/>
    </xf>
    <xf numFmtId="0" fontId="5" fillId="7" borderId="0" xfId="0" applyFont="1" applyFill="1"/>
    <xf numFmtId="0" fontId="13" fillId="0" borderId="0" xfId="0" applyFont="1" applyAlignment="1">
      <alignment vertical="center"/>
    </xf>
    <xf numFmtId="0" fontId="3" fillId="8" borderId="5" xfId="0" applyFont="1" applyFill="1" applyBorder="1"/>
    <xf numFmtId="0" fontId="3" fillId="0" borderId="16" xfId="0" applyFont="1" applyBorder="1" applyAlignment="1">
      <alignment horizontal="left" indent="1"/>
    </xf>
    <xf numFmtId="0" fontId="0" fillId="0" borderId="16" xfId="0" applyBorder="1" applyAlignment="1">
      <alignment horizontal="left" indent="1"/>
    </xf>
    <xf numFmtId="0" fontId="0" fillId="14" borderId="0" xfId="0" applyFill="1"/>
    <xf numFmtId="0" fontId="0" fillId="5" borderId="0" xfId="0" applyFill="1"/>
    <xf numFmtId="41" fontId="7" fillId="0" borderId="16" xfId="0" applyNumberFormat="1" applyFont="1" applyBorder="1"/>
    <xf numFmtId="43" fontId="0" fillId="0" borderId="0" xfId="5" applyFont="1"/>
    <xf numFmtId="165" fontId="0" fillId="0" borderId="0" xfId="5" applyNumberFormat="1" applyFont="1"/>
    <xf numFmtId="0" fontId="18" fillId="0" borderId="0" xfId="0" applyFont="1"/>
    <xf numFmtId="9" fontId="3" fillId="7" borderId="0" xfId="4" applyFont="1" applyFill="1" applyAlignment="1">
      <alignment horizontal="right" vertical="center"/>
    </xf>
    <xf numFmtId="165" fontId="3" fillId="0" borderId="1" xfId="0" applyNumberFormat="1" applyFont="1" applyBorder="1"/>
    <xf numFmtId="43" fontId="0" fillId="0" borderId="2" xfId="0" applyNumberFormat="1" applyBorder="1"/>
    <xf numFmtId="0" fontId="0" fillId="0" borderId="2" xfId="0" applyBorder="1"/>
    <xf numFmtId="0" fontId="0" fillId="0" borderId="3" xfId="0" applyBorder="1"/>
    <xf numFmtId="0" fontId="19" fillId="0" borderId="4" xfId="0" applyFont="1" applyBorder="1" applyAlignment="1">
      <alignment horizontal="center" vertical="top" wrapText="1"/>
    </xf>
    <xf numFmtId="0" fontId="19" fillId="0" borderId="0" xfId="0" applyFont="1" applyAlignment="1">
      <alignment horizontal="center" vertical="top" wrapText="1"/>
    </xf>
    <xf numFmtId="0" fontId="19" fillId="0" borderId="6" xfId="0" applyFont="1" applyBorder="1" applyAlignment="1">
      <alignment horizontal="center" vertical="top" wrapText="1"/>
    </xf>
    <xf numFmtId="0" fontId="19" fillId="0" borderId="7" xfId="0" applyFont="1" applyBorder="1" applyAlignment="1">
      <alignment horizontal="center" vertical="top" wrapText="1"/>
    </xf>
    <xf numFmtId="2" fontId="0" fillId="0" borderId="7" xfId="0" applyNumberFormat="1" applyBorder="1"/>
    <xf numFmtId="42" fontId="0" fillId="0" borderId="7" xfId="0" applyNumberFormat="1" applyBorder="1"/>
    <xf numFmtId="44" fontId="0" fillId="0" borderId="8" xfId="0" applyNumberFormat="1" applyBorder="1"/>
    <xf numFmtId="0" fontId="19" fillId="0" borderId="1" xfId="0" applyFont="1" applyBorder="1" applyAlignment="1">
      <alignment horizontal="center" vertical="top" wrapText="1"/>
    </xf>
    <xf numFmtId="0" fontId="19" fillId="0" borderId="2" xfId="0" applyFont="1" applyBorder="1" applyAlignment="1">
      <alignment horizontal="center" vertical="top" wrapText="1"/>
    </xf>
    <xf numFmtId="2" fontId="0" fillId="0" borderId="0" xfId="0" applyNumberFormat="1"/>
    <xf numFmtId="2" fontId="3" fillId="0" borderId="17" xfId="6" applyNumberFormat="1"/>
    <xf numFmtId="0" fontId="3" fillId="0" borderId="17" xfId="6"/>
    <xf numFmtId="44" fontId="3" fillId="0" borderId="18" xfId="6" applyNumberFormat="1" applyBorder="1"/>
    <xf numFmtId="0" fontId="0" fillId="0" borderId="7" xfId="0" applyBorder="1"/>
    <xf numFmtId="0" fontId="0" fillId="7" borderId="0" xfId="0" applyFill="1" applyAlignment="1">
      <alignment horizontal="center"/>
    </xf>
    <xf numFmtId="0" fontId="0" fillId="15" borderId="14" xfId="0" applyFill="1" applyBorder="1" applyAlignment="1">
      <alignment horizontal="center" wrapText="1"/>
    </xf>
    <xf numFmtId="0" fontId="14" fillId="11" borderId="0" xfId="0" applyFont="1" applyFill="1" applyAlignment="1">
      <alignment horizontal="left" vertical="center" indent="1"/>
    </xf>
    <xf numFmtId="0" fontId="0" fillId="11" borderId="0" xfId="0" applyFill="1" applyAlignment="1">
      <alignment horizontal="center"/>
    </xf>
    <xf numFmtId="165" fontId="0" fillId="6" borderId="12" xfId="3" applyNumberFormat="1" applyFont="1" applyFill="1" applyBorder="1" applyAlignment="1">
      <alignment horizontal="center"/>
    </xf>
    <xf numFmtId="0" fontId="8" fillId="4" borderId="14" xfId="0" applyFont="1" applyFill="1" applyBorder="1" applyAlignment="1">
      <alignment horizontal="center"/>
    </xf>
    <xf numFmtId="0" fontId="8" fillId="4" borderId="15" xfId="0" applyFont="1" applyFill="1" applyBorder="1" applyAlignment="1">
      <alignment horizontal="center"/>
    </xf>
    <xf numFmtId="0" fontId="0" fillId="3" borderId="0" xfId="0" applyFill="1"/>
    <xf numFmtId="165" fontId="0" fillId="16" borderId="16" xfId="0" applyNumberFormat="1" applyFill="1" applyBorder="1" applyAlignment="1">
      <alignment horizontal="center"/>
    </xf>
    <xf numFmtId="0" fontId="0" fillId="3" borderId="14" xfId="0" applyFill="1" applyBorder="1" applyAlignment="1">
      <alignment horizontal="center"/>
    </xf>
    <xf numFmtId="0" fontId="8" fillId="4" borderId="12" xfId="0" applyFont="1" applyFill="1" applyBorder="1" applyAlignment="1">
      <alignment horizontal="center"/>
    </xf>
    <xf numFmtId="0" fontId="0" fillId="11" borderId="16" xfId="0" applyFill="1" applyBorder="1"/>
    <xf numFmtId="0" fontId="0" fillId="0" borderId="16" xfId="0" applyBorder="1"/>
    <xf numFmtId="165" fontId="0" fillId="6" borderId="1" xfId="3" applyNumberFormat="1" applyFont="1" applyFill="1" applyBorder="1" applyAlignment="1">
      <alignment horizontal="center"/>
    </xf>
    <xf numFmtId="165" fontId="0" fillId="6" borderId="2" xfId="3" applyNumberFormat="1" applyFont="1" applyFill="1" applyBorder="1" applyAlignment="1">
      <alignment horizontal="center"/>
    </xf>
    <xf numFmtId="0" fontId="0" fillId="15" borderId="16" xfId="0" applyFill="1" applyBorder="1" applyAlignment="1">
      <alignment horizontal="center"/>
    </xf>
    <xf numFmtId="0" fontId="2" fillId="0" borderId="16" xfId="0" applyFont="1" applyBorder="1" applyAlignment="1">
      <alignment horizontal="center"/>
    </xf>
    <xf numFmtId="0" fontId="0" fillId="14" borderId="16" xfId="0" applyFill="1" applyBorder="1" applyAlignment="1">
      <alignment horizontal="center"/>
    </xf>
    <xf numFmtId="0" fontId="3" fillId="0" borderId="16" xfId="0" applyFont="1" applyBorder="1"/>
    <xf numFmtId="0" fontId="0" fillId="11" borderId="15" xfId="0" applyFill="1" applyBorder="1"/>
    <xf numFmtId="165" fontId="0" fillId="11" borderId="16" xfId="3" applyNumberFormat="1" applyFont="1" applyFill="1" applyBorder="1" applyAlignment="1">
      <alignment horizontal="center"/>
    </xf>
    <xf numFmtId="165" fontId="0" fillId="0" borderId="16" xfId="3" applyNumberFormat="1" applyFont="1" applyBorder="1" applyAlignment="1">
      <alignment horizontal="center"/>
    </xf>
    <xf numFmtId="165" fontId="0" fillId="17" borderId="16" xfId="3" applyNumberFormat="1" applyFont="1" applyFill="1" applyBorder="1" applyAlignment="1">
      <alignment horizontal="center"/>
    </xf>
    <xf numFmtId="165" fontId="0" fillId="0" borderId="0" xfId="3" applyNumberFormat="1" applyFont="1" applyBorder="1"/>
    <xf numFmtId="165" fontId="3" fillId="0" borderId="0" xfId="3" applyNumberFormat="1" applyFont="1" applyBorder="1"/>
    <xf numFmtId="165" fontId="0" fillId="18" borderId="16" xfId="3" applyNumberFormat="1" applyFont="1" applyFill="1" applyBorder="1" applyAlignment="1">
      <alignment horizontal="center"/>
    </xf>
    <xf numFmtId="0" fontId="0" fillId="0" borderId="16" xfId="0" applyBorder="1" applyAlignment="1">
      <alignment horizontal="right"/>
    </xf>
    <xf numFmtId="0" fontId="0" fillId="0" borderId="15" xfId="0" applyBorder="1" applyAlignment="1">
      <alignment horizontal="right"/>
    </xf>
    <xf numFmtId="0" fontId="8" fillId="5" borderId="12" xfId="0" applyFont="1" applyFill="1" applyBorder="1" applyAlignment="1">
      <alignment horizontal="center"/>
    </xf>
    <xf numFmtId="0" fontId="0" fillId="15" borderId="14" xfId="0" applyFill="1" applyBorder="1" applyAlignment="1">
      <alignment horizontal="center"/>
    </xf>
    <xf numFmtId="0" fontId="0" fillId="15" borderId="15" xfId="0" applyFill="1" applyBorder="1" applyAlignment="1">
      <alignment horizontal="center"/>
    </xf>
    <xf numFmtId="165" fontId="0" fillId="6" borderId="11" xfId="3" applyNumberFormat="1" applyFont="1" applyFill="1" applyBorder="1" applyAlignment="1">
      <alignment horizontal="center"/>
    </xf>
    <xf numFmtId="165" fontId="0" fillId="6" borderId="10" xfId="3" applyNumberFormat="1" applyFont="1" applyFill="1" applyBorder="1" applyAlignment="1">
      <alignment horizontal="center"/>
    </xf>
    <xf numFmtId="0" fontId="22" fillId="0" borderId="0" xfId="0" applyFont="1"/>
    <xf numFmtId="165" fontId="0" fillId="11" borderId="0" xfId="5" applyNumberFormat="1" applyFont="1" applyFill="1"/>
    <xf numFmtId="0" fontId="0" fillId="11" borderId="0" xfId="0" applyFill="1"/>
    <xf numFmtId="165" fontId="0" fillId="11" borderId="0" xfId="0" applyNumberFormat="1" applyFill="1"/>
    <xf numFmtId="165" fontId="0" fillId="14" borderId="0" xfId="5" applyNumberFormat="1" applyFont="1" applyFill="1"/>
    <xf numFmtId="165" fontId="0" fillId="14" borderId="0" xfId="0" applyNumberFormat="1" applyFill="1"/>
    <xf numFmtId="9" fontId="0" fillId="11" borderId="0" xfId="4" applyFont="1" applyFill="1"/>
    <xf numFmtId="9" fontId="0" fillId="14" borderId="0" xfId="4" applyFont="1" applyFill="1"/>
    <xf numFmtId="9" fontId="0" fillId="0" borderId="0" xfId="4" applyFont="1"/>
    <xf numFmtId="165" fontId="0" fillId="0" borderId="19" xfId="0" applyNumberFormat="1" applyBorder="1"/>
    <xf numFmtId="0" fontId="17" fillId="0" borderId="0" xfId="12"/>
    <xf numFmtId="0" fontId="0" fillId="7" borderId="0" xfId="0" applyFill="1"/>
    <xf numFmtId="165" fontId="0" fillId="0" borderId="0" xfId="5" applyNumberFormat="1" applyFont="1" applyAlignment="1">
      <alignment horizontal="center"/>
    </xf>
    <xf numFmtId="165" fontId="0" fillId="7" borderId="0" xfId="5" applyNumberFormat="1" applyFont="1" applyFill="1"/>
    <xf numFmtId="165" fontId="0" fillId="0" borderId="4" xfId="0" applyNumberFormat="1" applyBorder="1"/>
    <xf numFmtId="165" fontId="12" fillId="0" borderId="12" xfId="3" applyNumberFormat="1" applyFont="1" applyFill="1" applyBorder="1" applyAlignment="1">
      <alignment horizontal="center" vertical="center"/>
    </xf>
    <xf numFmtId="166" fontId="12" fillId="0" borderId="12" xfId="1" applyNumberFormat="1" applyFont="1" applyBorder="1" applyAlignment="1">
      <alignment horizontal="center"/>
    </xf>
    <xf numFmtId="0" fontId="23" fillId="0" borderId="9" xfId="0" applyFont="1" applyBorder="1" applyAlignment="1">
      <alignment horizontal="left"/>
    </xf>
    <xf numFmtId="0" fontId="23" fillId="0" borderId="10" xfId="0" applyFont="1" applyBorder="1" applyAlignment="1">
      <alignment horizontal="center"/>
    </xf>
    <xf numFmtId="0" fontId="23" fillId="0" borderId="11" xfId="0" applyFont="1" applyBorder="1" applyAlignment="1">
      <alignment horizontal="center"/>
    </xf>
    <xf numFmtId="165" fontId="12" fillId="8" borderId="12" xfId="3" applyNumberFormat="1" applyFont="1" applyFill="1" applyBorder="1" applyAlignment="1">
      <alignment horizontal="center" vertical="center"/>
    </xf>
    <xf numFmtId="37" fontId="12" fillId="8" borderId="12" xfId="5" applyNumberFormat="1" applyFont="1" applyFill="1" applyBorder="1" applyAlignment="1">
      <alignment horizontal="center" vertical="center"/>
    </xf>
    <xf numFmtId="166" fontId="12" fillId="8" borderId="12" xfId="1" applyNumberFormat="1" applyFont="1" applyFill="1" applyBorder="1" applyAlignment="1">
      <alignment horizontal="center"/>
    </xf>
    <xf numFmtId="0" fontId="23" fillId="8" borderId="9" xfId="0" applyFont="1" applyFill="1" applyBorder="1" applyAlignment="1">
      <alignment horizontal="left"/>
    </xf>
    <xf numFmtId="0" fontId="23" fillId="8" borderId="10" xfId="0" applyFont="1" applyFill="1" applyBorder="1" applyAlignment="1">
      <alignment horizontal="center"/>
    </xf>
    <xf numFmtId="0" fontId="23" fillId="8" borderId="11" xfId="0" applyFont="1" applyFill="1" applyBorder="1" applyAlignment="1">
      <alignment horizontal="center"/>
    </xf>
    <xf numFmtId="37" fontId="12" fillId="0" borderId="12" xfId="5" applyNumberFormat="1" applyFont="1" applyFill="1" applyBorder="1" applyAlignment="1">
      <alignment horizontal="center" vertical="center"/>
    </xf>
    <xf numFmtId="37" fontId="12" fillId="12" borderId="12" xfId="5" applyNumberFormat="1" applyFont="1" applyFill="1" applyBorder="1" applyAlignment="1">
      <alignment horizontal="center" vertical="center"/>
    </xf>
    <xf numFmtId="166" fontId="12" fillId="12" borderId="12" xfId="1" applyNumberFormat="1" applyFont="1" applyFill="1" applyBorder="1" applyAlignment="1">
      <alignment horizontal="center"/>
    </xf>
    <xf numFmtId="1" fontId="12" fillId="8" borderId="12" xfId="5" applyNumberFormat="1" applyFont="1" applyFill="1" applyBorder="1" applyAlignment="1">
      <alignment horizontal="center" vertical="center"/>
    </xf>
    <xf numFmtId="166" fontId="12" fillId="0" borderId="12" xfId="5" applyNumberFormat="1" applyFont="1" applyFill="1" applyBorder="1" applyAlignment="1">
      <alignment horizontal="center" vertical="center"/>
    </xf>
    <xf numFmtId="165" fontId="0" fillId="19" borderId="14" xfId="0" applyNumberFormat="1" applyFill="1" applyBorder="1"/>
    <xf numFmtId="165" fontId="0" fillId="19" borderId="16" xfId="0" applyNumberFormat="1" applyFill="1" applyBorder="1"/>
    <xf numFmtId="165" fontId="0" fillId="19" borderId="15" xfId="0" applyNumberFormat="1" applyFill="1" applyBorder="1"/>
    <xf numFmtId="166" fontId="12" fillId="8" borderId="12" xfId="5" applyNumberFormat="1" applyFont="1" applyFill="1" applyBorder="1" applyAlignment="1">
      <alignment horizontal="center" vertical="center"/>
    </xf>
    <xf numFmtId="9" fontId="12" fillId="8" borderId="12" xfId="4" applyFont="1" applyFill="1" applyBorder="1" applyAlignment="1">
      <alignment horizontal="center" vertical="center"/>
    </xf>
    <xf numFmtId="44" fontId="0" fillId="0" borderId="0" xfId="0" applyNumberFormat="1"/>
    <xf numFmtId="164" fontId="0" fillId="0" borderId="16" xfId="0" applyNumberFormat="1" applyBorder="1"/>
    <xf numFmtId="164" fontId="0" fillId="14" borderId="15" xfId="0" applyNumberFormat="1" applyFill="1" applyBorder="1"/>
    <xf numFmtId="164" fontId="0" fillId="0" borderId="0" xfId="0" applyNumberFormat="1" applyAlignment="1">
      <alignment wrapText="1"/>
    </xf>
    <xf numFmtId="49" fontId="0" fillId="0" borderId="8" xfId="3" applyNumberFormat="1" applyFont="1" applyBorder="1" applyAlignment="1">
      <alignment horizontal="center"/>
    </xf>
    <xf numFmtId="165" fontId="0" fillId="0" borderId="5" xfId="3" applyNumberFormat="1" applyFont="1" applyBorder="1" applyAlignment="1"/>
    <xf numFmtId="165" fontId="12" fillId="0" borderId="5" xfId="3" applyNumberFormat="1" applyFont="1" applyBorder="1" applyAlignment="1"/>
    <xf numFmtId="0" fontId="0" fillId="0" borderId="12" xfId="0" applyBorder="1" applyAlignment="1">
      <alignment horizontal="center"/>
    </xf>
    <xf numFmtId="165" fontId="0" fillId="0" borderId="5" xfId="3" applyNumberFormat="1" applyFont="1" applyFill="1" applyBorder="1" applyAlignment="1"/>
    <xf numFmtId="165" fontId="3" fillId="8" borderId="5" xfId="3" applyNumberFormat="1" applyFont="1" applyFill="1" applyBorder="1" applyAlignment="1"/>
    <xf numFmtId="41" fontId="7" fillId="0" borderId="4" xfId="0" applyNumberFormat="1" applyFont="1" applyBorder="1"/>
    <xf numFmtId="41" fontId="7" fillId="0" borderId="5" xfId="0" applyNumberFormat="1" applyFont="1" applyBorder="1"/>
    <xf numFmtId="165" fontId="3" fillId="13" borderId="5" xfId="3" applyNumberFormat="1" applyFont="1" applyFill="1" applyBorder="1" applyAlignment="1"/>
    <xf numFmtId="165" fontId="1" fillId="0" borderId="5" xfId="3" applyNumberFormat="1" applyFont="1" applyBorder="1" applyAlignment="1"/>
    <xf numFmtId="165" fontId="3" fillId="0" borderId="3" xfId="0" applyNumberFormat="1" applyFont="1" applyBorder="1"/>
    <xf numFmtId="165" fontId="0" fillId="0" borderId="5" xfId="3" applyNumberFormat="1" applyFont="1" applyFill="1" applyBorder="1" applyAlignment="1">
      <alignment horizontal="center"/>
    </xf>
    <xf numFmtId="165" fontId="0" fillId="0" borderId="5" xfId="0" applyNumberFormat="1" applyBorder="1"/>
    <xf numFmtId="165" fontId="3" fillId="8" borderId="8" xfId="3" applyNumberFormat="1" applyFont="1" applyFill="1" applyBorder="1" applyAlignment="1"/>
    <xf numFmtId="165" fontId="3" fillId="0" borderId="11" xfId="0" applyNumberFormat="1" applyFont="1" applyBorder="1"/>
    <xf numFmtId="165" fontId="0" fillId="21" borderId="14" xfId="0" applyNumberFormat="1" applyFill="1" applyBorder="1"/>
    <xf numFmtId="165" fontId="0" fillId="21" borderId="16" xfId="0" applyNumberFormat="1" applyFill="1" applyBorder="1"/>
    <xf numFmtId="167" fontId="0" fillId="0" borderId="0" xfId="0" applyNumberFormat="1"/>
    <xf numFmtId="3" fontId="3" fillId="3" borderId="7" xfId="0" applyNumberFormat="1" applyFont="1" applyFill="1" applyBorder="1"/>
    <xf numFmtId="41" fontId="3" fillId="3" borderId="7" xfId="0" applyNumberFormat="1" applyFont="1" applyFill="1" applyBorder="1" applyAlignment="1">
      <alignment horizontal="center" vertical="top" wrapText="1"/>
    </xf>
    <xf numFmtId="38" fontId="5" fillId="3" borderId="8" xfId="0" applyNumberFormat="1" applyFont="1" applyFill="1" applyBorder="1" applyAlignment="1">
      <alignment horizontal="right"/>
    </xf>
    <xf numFmtId="0" fontId="0" fillId="11" borderId="9" xfId="0" applyFill="1" applyBorder="1"/>
    <xf numFmtId="9" fontId="0" fillId="11" borderId="11" xfId="0" applyNumberFormat="1" applyFill="1" applyBorder="1"/>
    <xf numFmtId="41" fontId="3" fillId="3" borderId="9" xfId="0" applyNumberFormat="1" applyFont="1" applyFill="1" applyBorder="1"/>
    <xf numFmtId="0" fontId="8" fillId="4" borderId="6" xfId="0" applyFont="1" applyFill="1" applyBorder="1" applyAlignment="1">
      <alignment horizontal="center"/>
    </xf>
    <xf numFmtId="0" fontId="8" fillId="4" borderId="7" xfId="0" applyFont="1" applyFill="1" applyBorder="1" applyAlignment="1">
      <alignment horizontal="center"/>
    </xf>
    <xf numFmtId="0" fontId="8" fillId="5" borderId="8" xfId="0" applyFont="1" applyFill="1" applyBorder="1" applyAlignment="1">
      <alignment horizontal="center"/>
    </xf>
    <xf numFmtId="0" fontId="8" fillId="4" borderId="8" xfId="0" applyFont="1" applyFill="1" applyBorder="1" applyAlignment="1">
      <alignment horizontal="center"/>
    </xf>
    <xf numFmtId="166" fontId="0" fillId="0" borderId="0" xfId="0" applyNumberFormat="1"/>
    <xf numFmtId="0" fontId="0" fillId="20" borderId="20" xfId="0" applyFill="1" applyBorder="1"/>
    <xf numFmtId="0" fontId="0" fillId="22" borderId="20" xfId="0" applyFill="1" applyBorder="1"/>
    <xf numFmtId="0" fontId="0" fillId="23" borderId="20" xfId="0" applyFill="1" applyBorder="1"/>
    <xf numFmtId="164" fontId="0" fillId="20" borderId="20" xfId="1" applyNumberFormat="1" applyFont="1" applyFill="1" applyBorder="1"/>
    <xf numFmtId="164" fontId="0" fillId="23" borderId="20" xfId="1" applyNumberFormat="1" applyFont="1" applyFill="1" applyBorder="1"/>
    <xf numFmtId="164" fontId="0" fillId="22" borderId="20" xfId="1" applyNumberFormat="1" applyFont="1" applyFill="1" applyBorder="1"/>
    <xf numFmtId="0" fontId="0" fillId="23" borderId="20" xfId="0" applyFill="1" applyBorder="1" applyAlignment="1">
      <alignment horizontal="center"/>
    </xf>
    <xf numFmtId="0" fontId="0" fillId="12" borderId="0" xfId="0" applyFill="1"/>
    <xf numFmtId="0" fontId="0" fillId="19" borderId="20" xfId="0" applyFill="1" applyBorder="1"/>
    <xf numFmtId="37" fontId="12" fillId="19" borderId="20" xfId="5" applyNumberFormat="1" applyFont="1" applyFill="1" applyBorder="1" applyAlignment="1">
      <alignment horizontal="center" vertical="center"/>
    </xf>
    <xf numFmtId="166" fontId="12" fillId="19" borderId="20" xfId="1" applyNumberFormat="1" applyFont="1" applyFill="1" applyBorder="1" applyAlignment="1">
      <alignment horizontal="center"/>
    </xf>
    <xf numFmtId="0" fontId="0" fillId="20" borderId="21" xfId="0" applyFill="1" applyBorder="1"/>
    <xf numFmtId="164" fontId="0" fillId="20" borderId="21" xfId="1" applyNumberFormat="1" applyFont="1" applyFill="1" applyBorder="1"/>
    <xf numFmtId="0" fontId="0" fillId="15" borderId="20" xfId="0" applyFill="1" applyBorder="1" applyAlignment="1">
      <alignment horizontal="center"/>
    </xf>
    <xf numFmtId="0" fontId="0" fillId="17" borderId="0" xfId="0" applyFill="1"/>
    <xf numFmtId="0" fontId="0" fillId="24" borderId="0" xfId="0" applyFill="1"/>
    <xf numFmtId="166" fontId="12" fillId="17" borderId="20" xfId="1" applyNumberFormat="1" applyFont="1" applyFill="1" applyBorder="1" applyAlignment="1">
      <alignment horizontal="center"/>
    </xf>
    <xf numFmtId="0" fontId="0" fillId="17" borderId="20" xfId="0" applyFill="1" applyBorder="1"/>
    <xf numFmtId="0" fontId="0" fillId="14" borderId="20" xfId="0" applyFill="1" applyBorder="1"/>
    <xf numFmtId="164" fontId="0" fillId="14" borderId="20" xfId="1" applyNumberFormat="1" applyFont="1" applyFill="1" applyBorder="1"/>
    <xf numFmtId="0" fontId="0" fillId="26" borderId="20" xfId="0" applyFill="1" applyBorder="1"/>
    <xf numFmtId="164" fontId="0" fillId="26" borderId="20" xfId="1" applyNumberFormat="1" applyFont="1" applyFill="1" applyBorder="1"/>
    <xf numFmtId="0" fontId="17" fillId="4" borderId="0" xfId="12" applyFill="1" applyAlignment="1">
      <alignment horizontal="center"/>
    </xf>
    <xf numFmtId="9" fontId="0" fillId="22" borderId="20" xfId="4" applyFont="1" applyFill="1" applyBorder="1" applyAlignment="1">
      <alignment horizontal="center"/>
    </xf>
    <xf numFmtId="0" fontId="0" fillId="26" borderId="13" xfId="0" applyFill="1" applyBorder="1"/>
    <xf numFmtId="0" fontId="0" fillId="8" borderId="0" xfId="0" applyFill="1"/>
    <xf numFmtId="0" fontId="0" fillId="8" borderId="0" xfId="0" applyFill="1" applyAlignment="1">
      <alignment horizontal="center"/>
    </xf>
    <xf numFmtId="0" fontId="0" fillId="0" borderId="6" xfId="0" applyBorder="1" applyAlignment="1">
      <alignment wrapText="1"/>
    </xf>
    <xf numFmtId="0" fontId="17" fillId="4" borderId="0" xfId="12" applyFill="1" applyBorder="1" applyAlignment="1">
      <alignment horizontal="center"/>
    </xf>
    <xf numFmtId="0" fontId="0" fillId="2" borderId="0" xfId="0" applyFill="1"/>
    <xf numFmtId="164" fontId="0" fillId="2" borderId="0" xfId="1" applyNumberFormat="1" applyFont="1" applyFill="1"/>
    <xf numFmtId="0" fontId="17" fillId="0" borderId="0" xfId="11" applyFill="1" applyAlignment="1">
      <alignment horizontal="left" vertical="center" indent="1"/>
    </xf>
    <xf numFmtId="0" fontId="0" fillId="10" borderId="0" xfId="0" applyFill="1"/>
    <xf numFmtId="0" fontId="0" fillId="11" borderId="20" xfId="0" applyFill="1" applyBorder="1"/>
    <xf numFmtId="0" fontId="0" fillId="18" borderId="20" xfId="0" applyFill="1" applyBorder="1"/>
    <xf numFmtId="0" fontId="0" fillId="18" borderId="20" xfId="0" applyFill="1" applyBorder="1" applyAlignment="1">
      <alignment horizontal="center"/>
    </xf>
    <xf numFmtId="9" fontId="0" fillId="18" borderId="20" xfId="4" applyFont="1" applyFill="1" applyBorder="1" applyAlignment="1">
      <alignment horizontal="center"/>
    </xf>
    <xf numFmtId="0" fontId="12" fillId="18" borderId="20" xfId="5" applyNumberFormat="1" applyFont="1" applyFill="1" applyBorder="1" applyAlignment="1">
      <alignment horizontal="center" vertical="center"/>
    </xf>
    <xf numFmtId="0" fontId="0" fillId="11" borderId="20" xfId="0" applyFill="1" applyBorder="1" applyAlignment="1">
      <alignment horizontal="center"/>
    </xf>
    <xf numFmtId="165" fontId="0" fillId="20" borderId="21" xfId="0" applyNumberFormat="1" applyFill="1" applyBorder="1"/>
    <xf numFmtId="0" fontId="3" fillId="22" borderId="20" xfId="0" applyFont="1" applyFill="1" applyBorder="1"/>
    <xf numFmtId="164" fontId="0" fillId="22" borderId="20" xfId="1" applyNumberFormat="1" applyFont="1" applyFill="1" applyBorder="1" applyAlignment="1">
      <alignment horizontal="center"/>
    </xf>
    <xf numFmtId="0" fontId="3" fillId="17" borderId="20" xfId="0" applyFont="1" applyFill="1" applyBorder="1"/>
    <xf numFmtId="0" fontId="0" fillId="19" borderId="13" xfId="0" applyFill="1" applyBorder="1"/>
    <xf numFmtId="164" fontId="0" fillId="10" borderId="0" xfId="0" applyNumberFormat="1" applyFill="1"/>
    <xf numFmtId="166" fontId="0" fillId="10" borderId="0" xfId="0" applyNumberFormat="1" applyFill="1"/>
    <xf numFmtId="164" fontId="0" fillId="18" borderId="20" xfId="1" applyNumberFormat="1" applyFont="1" applyFill="1" applyBorder="1" applyAlignment="1">
      <alignment horizontal="center"/>
    </xf>
    <xf numFmtId="164" fontId="12" fillId="18" borderId="20" xfId="1" applyNumberFormat="1" applyFont="1" applyFill="1" applyBorder="1" applyAlignment="1">
      <alignment horizontal="center" vertical="center"/>
    </xf>
    <xf numFmtId="165" fontId="0" fillId="17" borderId="15" xfId="3" applyNumberFormat="1" applyFont="1" applyFill="1" applyBorder="1" applyAlignment="1">
      <alignment horizontal="center"/>
    </xf>
    <xf numFmtId="9" fontId="3" fillId="3" borderId="11" xfId="0" applyNumberFormat="1" applyFont="1" applyFill="1" applyBorder="1"/>
    <xf numFmtId="0" fontId="24" fillId="0" borderId="0" xfId="0" applyFont="1" applyAlignment="1">
      <alignment horizontal="right"/>
    </xf>
    <xf numFmtId="0" fontId="3" fillId="0" borderId="9" xfId="0" applyFont="1" applyBorder="1" applyAlignment="1">
      <alignment horizontal="center"/>
    </xf>
    <xf numFmtId="0" fontId="3" fillId="0" borderId="10" xfId="0" applyFont="1" applyBorder="1" applyAlignment="1">
      <alignment horizontal="center"/>
    </xf>
    <xf numFmtId="0" fontId="3" fillId="0" borderId="11" xfId="0" applyFont="1" applyBorder="1" applyAlignment="1">
      <alignment horizontal="center"/>
    </xf>
    <xf numFmtId="0" fontId="0" fillId="0" borderId="6" xfId="0" applyBorder="1" applyAlignment="1">
      <alignment horizontal="center"/>
    </xf>
    <xf numFmtId="0" fontId="3" fillId="0" borderId="6" xfId="0" applyFont="1"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0" fillId="0" borderId="9" xfId="0" applyBorder="1" applyAlignment="1">
      <alignment horizontal="center"/>
    </xf>
    <xf numFmtId="0" fontId="24" fillId="0" borderId="4" xfId="0" applyFont="1" applyBorder="1"/>
    <xf numFmtId="0" fontId="3" fillId="0" borderId="4" xfId="0" applyFont="1" applyBorder="1"/>
    <xf numFmtId="165" fontId="25" fillId="0" borderId="9" xfId="0" applyNumberFormat="1" applyFont="1" applyBorder="1"/>
    <xf numFmtId="42" fontId="3" fillId="7" borderId="0" xfId="0" applyNumberFormat="1" applyFont="1" applyFill="1"/>
    <xf numFmtId="166" fontId="0" fillId="0" borderId="0" xfId="0" applyNumberFormat="1" applyAlignment="1">
      <alignment horizontal="center"/>
    </xf>
    <xf numFmtId="166" fontId="0" fillId="0" borderId="10" xfId="0" applyNumberFormat="1" applyBorder="1" applyAlignment="1">
      <alignment horizontal="center"/>
    </xf>
    <xf numFmtId="166" fontId="0" fillId="0" borderId="5" xfId="0" applyNumberFormat="1" applyBorder="1" applyAlignment="1">
      <alignment horizontal="center"/>
    </xf>
    <xf numFmtId="166" fontId="0" fillId="0" borderId="11" xfId="0" applyNumberFormat="1" applyBorder="1" applyAlignment="1">
      <alignment horizontal="center"/>
    </xf>
    <xf numFmtId="166" fontId="0" fillId="0" borderId="10" xfId="0" applyNumberFormat="1" applyBorder="1"/>
    <xf numFmtId="166" fontId="0" fillId="0" borderId="11" xfId="0" applyNumberFormat="1" applyBorder="1"/>
    <xf numFmtId="165" fontId="0" fillId="0" borderId="0" xfId="5" applyNumberFormat="1" applyFont="1" applyFill="1"/>
    <xf numFmtId="0" fontId="7" fillId="0" borderId="0" xfId="0" applyFont="1"/>
    <xf numFmtId="0" fontId="0" fillId="27" borderId="14" xfId="0" applyFill="1" applyBorder="1" applyAlignment="1">
      <alignment horizontal="center"/>
    </xf>
    <xf numFmtId="165" fontId="0" fillId="21" borderId="15" xfId="0" applyNumberFormat="1" applyFill="1" applyBorder="1"/>
    <xf numFmtId="0" fontId="0" fillId="19" borderId="16" xfId="0" applyFill="1" applyBorder="1" applyAlignment="1">
      <alignment horizontal="center"/>
    </xf>
    <xf numFmtId="165" fontId="0" fillId="14" borderId="14" xfId="0" applyNumberFormat="1" applyFill="1" applyBorder="1"/>
    <xf numFmtId="165" fontId="0" fillId="14" borderId="15" xfId="0" applyNumberFormat="1" applyFill="1" applyBorder="1"/>
    <xf numFmtId="165" fontId="0" fillId="28" borderId="15" xfId="0" applyNumberFormat="1" applyFill="1" applyBorder="1"/>
    <xf numFmtId="1" fontId="0" fillId="0" borderId="14" xfId="0" applyNumberFormat="1" applyBorder="1"/>
    <xf numFmtId="0" fontId="19" fillId="0" borderId="0" xfId="0" applyFont="1"/>
    <xf numFmtId="41" fontId="7" fillId="7" borderId="1" xfId="0" applyNumberFormat="1" applyFont="1" applyFill="1" applyBorder="1"/>
    <xf numFmtId="41" fontId="7" fillId="25" borderId="4" xfId="0" applyNumberFormat="1" applyFont="1" applyFill="1" applyBorder="1"/>
    <xf numFmtId="41" fontId="7" fillId="25" borderId="16" xfId="0" applyNumberFormat="1" applyFont="1" applyFill="1" applyBorder="1"/>
    <xf numFmtId="41" fontId="7" fillId="25" borderId="6" xfId="0" applyNumberFormat="1" applyFont="1" applyFill="1" applyBorder="1"/>
    <xf numFmtId="41" fontId="7" fillId="25" borderId="15" xfId="0" applyNumberFormat="1" applyFont="1" applyFill="1" applyBorder="1"/>
    <xf numFmtId="41" fontId="7" fillId="7" borderId="12" xfId="0" applyNumberFormat="1" applyFont="1" applyFill="1" applyBorder="1"/>
    <xf numFmtId="41" fontId="7" fillId="0" borderId="1" xfId="0" applyNumberFormat="1" applyFont="1" applyBorder="1"/>
    <xf numFmtId="41" fontId="7" fillId="0" borderId="14" xfId="0" applyNumberFormat="1" applyFont="1" applyBorder="1"/>
    <xf numFmtId="166" fontId="12" fillId="14" borderId="12" xfId="5" applyNumberFormat="1" applyFont="1" applyFill="1" applyBorder="1" applyAlignment="1">
      <alignment horizontal="center" vertical="center"/>
    </xf>
    <xf numFmtId="166" fontId="12" fillId="7" borderId="12" xfId="5" applyNumberFormat="1" applyFont="1" applyFill="1" applyBorder="1" applyAlignment="1">
      <alignment horizontal="center" vertical="center"/>
    </xf>
    <xf numFmtId="165" fontId="3" fillId="3" borderId="7" xfId="0" applyNumberFormat="1" applyFont="1" applyFill="1" applyBorder="1"/>
    <xf numFmtId="165" fontId="12" fillId="0" borderId="0" xfId="5" applyNumberFormat="1" applyFont="1"/>
    <xf numFmtId="165" fontId="2" fillId="0" borderId="5" xfId="5" applyNumberFormat="1" applyFont="1" applyBorder="1"/>
    <xf numFmtId="165" fontId="3" fillId="11" borderId="0" xfId="5" applyNumberFormat="1" applyFont="1" applyFill="1"/>
    <xf numFmtId="165" fontId="3" fillId="11" borderId="0" xfId="5" applyNumberFormat="1" applyFont="1" applyFill="1" applyAlignment="1">
      <alignment horizontal="center" vertical="top" wrapText="1"/>
    </xf>
    <xf numFmtId="165" fontId="5" fillId="11" borderId="5" xfId="5" applyNumberFormat="1" applyFont="1" applyFill="1" applyBorder="1" applyAlignment="1">
      <alignment horizontal="right"/>
    </xf>
    <xf numFmtId="165" fontId="6" fillId="0" borderId="0" xfId="5" applyNumberFormat="1" applyFont="1" applyAlignment="1">
      <alignment horizontal="center"/>
    </xf>
    <xf numFmtId="165" fontId="0" fillId="0" borderId="0" xfId="5" applyNumberFormat="1" applyFont="1" applyAlignment="1">
      <alignment vertical="top" wrapText="1"/>
    </xf>
    <xf numFmtId="165" fontId="3" fillId="11" borderId="7" xfId="5" applyNumberFormat="1" applyFont="1" applyFill="1" applyBorder="1" applyAlignment="1">
      <alignment vertical="top" wrapText="1"/>
    </xf>
    <xf numFmtId="165" fontId="2" fillId="0" borderId="7" xfId="5" applyNumberFormat="1" applyFont="1" applyBorder="1"/>
    <xf numFmtId="165" fontId="2" fillId="0" borderId="8" xfId="5" applyNumberFormat="1" applyFont="1" applyBorder="1"/>
    <xf numFmtId="165" fontId="3" fillId="11" borderId="0" xfId="5" applyNumberFormat="1" applyFont="1" applyFill="1" applyAlignment="1">
      <alignment vertical="top" wrapText="1"/>
    </xf>
    <xf numFmtId="165" fontId="0" fillId="0" borderId="0" xfId="5" applyNumberFormat="1" applyFont="1" applyAlignment="1">
      <alignment wrapText="1"/>
    </xf>
    <xf numFmtId="165" fontId="0" fillId="0" borderId="4" xfId="5" applyNumberFormat="1" applyFont="1" applyBorder="1" applyAlignment="1">
      <alignment wrapText="1"/>
    </xf>
    <xf numFmtId="165" fontId="3" fillId="0" borderId="4" xfId="5" applyNumberFormat="1" applyFont="1" applyBorder="1" applyAlignment="1">
      <alignment horizontal="center"/>
    </xf>
    <xf numFmtId="165" fontId="0" fillId="0" borderId="6" xfId="5" applyNumberFormat="1" applyFont="1" applyBorder="1"/>
    <xf numFmtId="0" fontId="0" fillId="29" borderId="0" xfId="0" applyFill="1" applyAlignment="1">
      <alignment horizontal="center"/>
    </xf>
    <xf numFmtId="0" fontId="8" fillId="4" borderId="9" xfId="0" applyFont="1" applyFill="1" applyBorder="1"/>
    <xf numFmtId="0" fontId="8" fillId="4" borderId="10" xfId="0" applyFont="1" applyFill="1" applyBorder="1"/>
    <xf numFmtId="165" fontId="0" fillId="6" borderId="4" xfId="3" applyNumberFormat="1" applyFont="1" applyFill="1" applyBorder="1" applyAlignment="1"/>
    <xf numFmtId="165" fontId="0" fillId="6" borderId="0" xfId="3" applyNumberFormat="1" applyFont="1" applyFill="1" applyBorder="1" applyAlignment="1"/>
    <xf numFmtId="0" fontId="0" fillId="30" borderId="9" xfId="0" applyFill="1" applyBorder="1"/>
    <xf numFmtId="9" fontId="0" fillId="30" borderId="11" xfId="0" applyNumberFormat="1" applyFill="1" applyBorder="1"/>
    <xf numFmtId="165" fontId="3" fillId="30" borderId="7" xfId="5" applyNumberFormat="1" applyFont="1" applyFill="1" applyBorder="1"/>
    <xf numFmtId="1" fontId="12" fillId="0" borderId="12" xfId="5" applyNumberFormat="1" applyFont="1" applyFill="1" applyBorder="1" applyAlignment="1">
      <alignment horizontal="center" vertical="center"/>
    </xf>
    <xf numFmtId="9" fontId="12" fillId="0" borderId="12" xfId="4" applyFont="1" applyFill="1" applyBorder="1" applyAlignment="1">
      <alignment horizontal="center" vertical="center"/>
    </xf>
    <xf numFmtId="9" fontId="0" fillId="0" borderId="11" xfId="0" applyNumberFormat="1" applyBorder="1" applyAlignment="1">
      <alignment horizontal="center"/>
    </xf>
    <xf numFmtId="165" fontId="3" fillId="30" borderId="6" xfId="5" applyNumberFormat="1" applyFont="1" applyFill="1" applyBorder="1"/>
    <xf numFmtId="165" fontId="3" fillId="30" borderId="12" xfId="5" applyNumberFormat="1" applyFont="1" applyFill="1" applyBorder="1" applyAlignment="1">
      <alignment horizontal="center"/>
    </xf>
    <xf numFmtId="165" fontId="2" fillId="7" borderId="3" xfId="5" applyNumberFormat="1" applyFont="1" applyFill="1" applyBorder="1"/>
    <xf numFmtId="165" fontId="2" fillId="7" borderId="5" xfId="5" applyNumberFormat="1" applyFont="1" applyFill="1" applyBorder="1" applyAlignment="1">
      <alignment horizontal="center"/>
    </xf>
    <xf numFmtId="165" fontId="2" fillId="7" borderId="5" xfId="5" applyNumberFormat="1" applyFont="1" applyFill="1" applyBorder="1"/>
    <xf numFmtId="165" fontId="2" fillId="7" borderId="3" xfId="5" applyNumberFormat="1" applyFont="1" applyFill="1" applyBorder="1" applyAlignment="1">
      <alignment horizontal="center"/>
    </xf>
    <xf numFmtId="164" fontId="3" fillId="30" borderId="11" xfId="1" applyNumberFormat="1" applyFont="1" applyFill="1" applyBorder="1" applyAlignment="1">
      <alignment horizontal="center" vertical="top" wrapText="1"/>
    </xf>
    <xf numFmtId="164" fontId="3" fillId="30" borderId="12" xfId="1" applyNumberFormat="1" applyFont="1" applyFill="1" applyBorder="1" applyAlignment="1">
      <alignment horizontal="center" vertical="top" wrapText="1"/>
    </xf>
    <xf numFmtId="1" fontId="0" fillId="0" borderId="16" xfId="0" applyNumberFormat="1" applyBorder="1"/>
    <xf numFmtId="0" fontId="0" fillId="4" borderId="0" xfId="0" applyFill="1" applyAlignment="1">
      <alignment horizontal="left"/>
    </xf>
    <xf numFmtId="166" fontId="12" fillId="31" borderId="12" xfId="5" applyNumberFormat="1" applyFont="1" applyFill="1" applyBorder="1" applyAlignment="1">
      <alignment horizontal="center" vertical="center"/>
    </xf>
    <xf numFmtId="14" fontId="0" fillId="4" borderId="0" xfId="0" applyNumberFormat="1" applyFill="1" applyAlignment="1">
      <alignment horizontal="center"/>
    </xf>
    <xf numFmtId="0" fontId="0" fillId="18" borderId="0" xfId="0" applyFill="1"/>
    <xf numFmtId="0" fontId="0" fillId="32" borderId="0" xfId="0" applyFill="1"/>
    <xf numFmtId="164" fontId="0" fillId="18" borderId="0" xfId="1" applyNumberFormat="1" applyFont="1" applyFill="1"/>
    <xf numFmtId="164" fontId="0" fillId="32" borderId="0" xfId="1" applyNumberFormat="1" applyFont="1" applyFill="1"/>
    <xf numFmtId="164" fontId="0" fillId="25" borderId="0" xfId="1" applyNumberFormat="1" applyFont="1" applyFill="1"/>
    <xf numFmtId="165" fontId="0" fillId="0" borderId="1" xfId="0" applyNumberFormat="1" applyBorder="1"/>
    <xf numFmtId="0" fontId="17" fillId="8" borderId="9" xfId="12" applyFill="1" applyBorder="1" applyAlignment="1">
      <alignment horizontal="left"/>
    </xf>
    <xf numFmtId="0" fontId="23" fillId="8" borderId="10" xfId="0" applyFont="1" applyFill="1" applyBorder="1" applyAlignment="1">
      <alignment horizontal="left"/>
    </xf>
    <xf numFmtId="0" fontId="8" fillId="4" borderId="0" xfId="0" applyFont="1" applyFill="1" applyAlignment="1">
      <alignment horizontal="right"/>
    </xf>
    <xf numFmtId="0" fontId="8" fillId="4" borderId="0" xfId="0" applyFont="1" applyFill="1"/>
    <xf numFmtId="43" fontId="23" fillId="8" borderId="10" xfId="0" applyNumberFormat="1" applyFont="1" applyFill="1" applyBorder="1" applyAlignment="1">
      <alignment horizontal="center"/>
    </xf>
    <xf numFmtId="0" fontId="11" fillId="0" borderId="3" xfId="0" applyFont="1" applyBorder="1" applyAlignment="1">
      <alignment horizontal="center"/>
    </xf>
    <xf numFmtId="0" fontId="3" fillId="0" borderId="5" xfId="0" applyFont="1" applyBorder="1"/>
    <xf numFmtId="0" fontId="0" fillId="0" borderId="5" xfId="0" applyBorder="1" applyAlignment="1">
      <alignment horizontal="left" indent="1"/>
    </xf>
    <xf numFmtId="0" fontId="12" fillId="0" borderId="5" xfId="0" applyFont="1" applyBorder="1" applyAlignment="1">
      <alignment horizontal="left" indent="1"/>
    </xf>
    <xf numFmtId="0" fontId="3" fillId="8" borderId="5" xfId="0" applyFont="1" applyFill="1" applyBorder="1" applyAlignment="1">
      <alignment horizontal="left" indent="1"/>
    </xf>
    <xf numFmtId="0" fontId="3" fillId="0" borderId="5" xfId="0" applyFont="1" applyBorder="1" applyAlignment="1">
      <alignment horizontal="left"/>
    </xf>
    <xf numFmtId="0" fontId="3" fillId="0" borderId="5" xfId="0" applyFont="1" applyBorder="1" applyAlignment="1">
      <alignment horizontal="left" indent="1"/>
    </xf>
    <xf numFmtId="0" fontId="3" fillId="13" borderId="5" xfId="0" applyFont="1" applyFill="1" applyBorder="1" applyAlignment="1">
      <alignment horizontal="left" indent="1"/>
    </xf>
    <xf numFmtId="0" fontId="3" fillId="0" borderId="8" xfId="0" applyFont="1" applyBorder="1"/>
    <xf numFmtId="0" fontId="3" fillId="0" borderId="3" xfId="0" applyFont="1" applyBorder="1"/>
    <xf numFmtId="0" fontId="3" fillId="0" borderId="12" xfId="0" applyFont="1" applyBorder="1"/>
    <xf numFmtId="165" fontId="0" fillId="0" borderId="5" xfId="3" applyNumberFormat="1" applyFont="1" applyBorder="1" applyAlignment="1">
      <alignment horizontal="center"/>
    </xf>
    <xf numFmtId="0" fontId="3" fillId="0" borderId="0" xfId="0" applyFont="1" applyAlignment="1">
      <alignment horizontal="center" vertical="top" wrapText="1"/>
    </xf>
    <xf numFmtId="0" fontId="8" fillId="4" borderId="0" xfId="0" applyFont="1" applyFill="1" applyAlignment="1">
      <alignment horizontal="center"/>
    </xf>
    <xf numFmtId="0" fontId="8" fillId="4" borderId="5" xfId="0" applyFont="1" applyFill="1" applyBorder="1" applyAlignment="1">
      <alignment horizontal="center"/>
    </xf>
    <xf numFmtId="0" fontId="0" fillId="4" borderId="0" xfId="0" applyFill="1" applyAlignment="1">
      <alignment horizontal="center"/>
    </xf>
  </cellXfs>
  <cellStyles count="13">
    <cellStyle name="Comma" xfId="5" builtinId="3"/>
    <cellStyle name="Comma 2" xfId="3" xr:uid="{949799C6-5251-4E66-9C26-9C9B789EFD18}"/>
    <cellStyle name="Currency" xfId="1" builtinId="4"/>
    <cellStyle name="Currency 2" xfId="9" xr:uid="{F87CAB3F-798C-40B4-8243-C19D69B8DD04}"/>
    <cellStyle name="Hyperlink" xfId="12" builtinId="8"/>
    <cellStyle name="Hyperlink 2" xfId="8" xr:uid="{C48F0FCB-0260-4049-A823-1BE61D013A73}"/>
    <cellStyle name="Hyperlink 2 2" xfId="11" xr:uid="{4DEB46B4-B3AF-4799-B017-473B48F49BD3}"/>
    <cellStyle name="Normal" xfId="0" builtinId="0"/>
    <cellStyle name="Normal 2" xfId="7" xr:uid="{A5DEBC13-CDED-40ED-AA35-C7CB718873CC}"/>
    <cellStyle name="Percent" xfId="4" builtinId="5"/>
    <cellStyle name="Percent 2" xfId="2" xr:uid="{3A5602F1-8757-4026-B8A4-B968F907081A}"/>
    <cellStyle name="Percent 3" xfId="10" xr:uid="{F0F518AF-A9CC-4849-9814-564DE798755B}"/>
    <cellStyle name="Total" xfId="6" builtinId="25"/>
  </cellStyles>
  <dxfs count="23">
    <dxf>
      <font>
        <color rgb="FFFF0000"/>
      </font>
    </dxf>
    <dxf>
      <font>
        <color rgb="FFFF0000"/>
      </font>
    </dxf>
    <dxf>
      <font>
        <color rgb="FFFF0000"/>
      </font>
    </dxf>
    <dxf>
      <font>
        <color rgb="FFFF0000"/>
      </font>
    </dxf>
    <dxf>
      <fill>
        <patternFill>
          <bgColor rgb="FF0070C0"/>
        </patternFill>
      </fill>
    </dxf>
    <dxf>
      <fill>
        <patternFill>
          <bgColor rgb="FFFF99CC"/>
        </patternFill>
      </fill>
    </dxf>
    <dxf>
      <fill>
        <patternFill>
          <bgColor rgb="FF92D050"/>
        </patternFill>
      </fill>
    </dxf>
    <dxf>
      <font>
        <color rgb="FFFF0000"/>
      </font>
    </dxf>
    <dxf>
      <font>
        <color rgb="FFFF0000"/>
      </font>
    </dxf>
    <dxf>
      <font>
        <color rgb="FFFF0000"/>
      </font>
    </dxf>
    <dxf>
      <font>
        <color rgb="FFFF0000"/>
      </font>
    </dxf>
    <dxf>
      <fill>
        <patternFill>
          <bgColor rgb="FFFFFF00"/>
        </patternFill>
      </fill>
    </dxf>
    <dxf>
      <fill>
        <patternFill patternType="none">
          <bgColor auto="1"/>
        </patternFill>
      </fill>
    </dxf>
    <dxf>
      <fill>
        <patternFill>
          <bgColor rgb="FFFFFF00"/>
        </patternFill>
      </fill>
    </dxf>
    <dxf>
      <font>
        <color rgb="FFFF0000"/>
      </font>
    </dxf>
    <dxf>
      <font>
        <color rgb="FFFF0000"/>
      </font>
    </dxf>
    <dxf>
      <fill>
        <patternFill>
          <bgColor rgb="FFFFFF00"/>
        </patternFill>
      </fill>
    </dxf>
    <dxf>
      <fill>
        <patternFill patternType="solid">
          <bgColor theme="0"/>
        </patternFill>
      </fill>
    </dxf>
    <dxf>
      <fill>
        <patternFill>
          <bgColor rgb="FF00B0F0"/>
        </patternFill>
      </fill>
    </dxf>
    <dxf>
      <border>
        <right/>
      </border>
    </dxf>
    <dxf>
      <border>
        <right style="thin">
          <color auto="1"/>
        </right>
        <vertical/>
        <horizontal/>
      </border>
    </dxf>
    <dxf>
      <fill>
        <patternFill patternType="solid">
          <bgColor theme="0"/>
        </patternFill>
      </fill>
    </dxf>
    <dxf>
      <fill>
        <patternFill patternType="solid">
          <bgColor theme="0"/>
        </patternFill>
      </fill>
    </dxf>
  </dxfs>
  <tableStyles count="0" defaultTableStyle="TableStyleMedium2" defaultPivotStyle="PivotStyleLight16"/>
  <colors>
    <mruColors>
      <color rgb="FFB972F4"/>
      <color rgb="FF8CDA8C"/>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13</xdr:col>
      <xdr:colOff>50812</xdr:colOff>
      <xdr:row>243</xdr:row>
      <xdr:rowOff>21144</xdr:rowOff>
    </xdr:from>
    <xdr:to>
      <xdr:col>13</xdr:col>
      <xdr:colOff>1777653</xdr:colOff>
      <xdr:row>244</xdr:row>
      <xdr:rowOff>156015</xdr:rowOff>
    </xdr:to>
    <xdr:sp macro="" textlink="">
      <xdr:nvSpPr>
        <xdr:cNvPr id="63" name="Arrow: Right 62">
          <a:extLst>
            <a:ext uri="{FF2B5EF4-FFF2-40B4-BE49-F238E27FC236}">
              <a16:creationId xmlns:a16="http://schemas.microsoft.com/office/drawing/2014/main" id="{818883F1-496C-48AF-9A96-4523ECF10E3A}"/>
            </a:ext>
          </a:extLst>
        </xdr:cNvPr>
        <xdr:cNvSpPr/>
      </xdr:nvSpPr>
      <xdr:spPr>
        <a:xfrm>
          <a:off x="16567162" y="41473944"/>
          <a:ext cx="1726841" cy="3253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1627572</xdr:colOff>
      <xdr:row>27</xdr:row>
      <xdr:rowOff>67512</xdr:rowOff>
    </xdr:from>
    <xdr:to>
      <xdr:col>29</xdr:col>
      <xdr:colOff>316242</xdr:colOff>
      <xdr:row>31</xdr:row>
      <xdr:rowOff>24345</xdr:rowOff>
    </xdr:to>
    <xdr:sp macro="" textlink="">
      <xdr:nvSpPr>
        <xdr:cNvPr id="118" name="Arrow: Right 117">
          <a:extLst>
            <a:ext uri="{FF2B5EF4-FFF2-40B4-BE49-F238E27FC236}">
              <a16:creationId xmlns:a16="http://schemas.microsoft.com/office/drawing/2014/main" id="{A311DA0F-CFC1-4624-8587-A096073727AD}"/>
            </a:ext>
          </a:extLst>
        </xdr:cNvPr>
        <xdr:cNvSpPr/>
      </xdr:nvSpPr>
      <xdr:spPr>
        <a:xfrm rot="3538461">
          <a:off x="50013223" y="5593361"/>
          <a:ext cx="773261" cy="33513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354104</xdr:colOff>
      <xdr:row>27</xdr:row>
      <xdr:rowOff>174810</xdr:rowOff>
    </xdr:from>
    <xdr:to>
      <xdr:col>26</xdr:col>
      <xdr:colOff>689239</xdr:colOff>
      <xdr:row>31</xdr:row>
      <xdr:rowOff>31645</xdr:rowOff>
    </xdr:to>
    <xdr:sp macro="" textlink="">
      <xdr:nvSpPr>
        <xdr:cNvPr id="117" name="Arrow: Right 116">
          <a:extLst>
            <a:ext uri="{FF2B5EF4-FFF2-40B4-BE49-F238E27FC236}">
              <a16:creationId xmlns:a16="http://schemas.microsoft.com/office/drawing/2014/main" id="{70D8B404-5507-4CEC-92FA-9F251EB17831}"/>
            </a:ext>
          </a:extLst>
        </xdr:cNvPr>
        <xdr:cNvSpPr/>
      </xdr:nvSpPr>
      <xdr:spPr>
        <a:xfrm rot="3538461">
          <a:off x="45932254" y="5650660"/>
          <a:ext cx="663659" cy="33513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86591</xdr:colOff>
      <xdr:row>256</xdr:row>
      <xdr:rowOff>121227</xdr:rowOff>
    </xdr:from>
    <xdr:to>
      <xdr:col>13</xdr:col>
      <xdr:colOff>1813432</xdr:colOff>
      <xdr:row>258</xdr:row>
      <xdr:rowOff>65598</xdr:rowOff>
    </xdr:to>
    <xdr:sp macro="" textlink="">
      <xdr:nvSpPr>
        <xdr:cNvPr id="64" name="Arrow: Right 63">
          <a:extLst>
            <a:ext uri="{FF2B5EF4-FFF2-40B4-BE49-F238E27FC236}">
              <a16:creationId xmlns:a16="http://schemas.microsoft.com/office/drawing/2014/main" id="{E6AF8F46-5A40-468B-82FC-ADF39FBD6F06}"/>
            </a:ext>
          </a:extLst>
        </xdr:cNvPr>
        <xdr:cNvSpPr/>
      </xdr:nvSpPr>
      <xdr:spPr>
        <a:xfrm>
          <a:off x="21176062" y="44619786"/>
          <a:ext cx="1726841" cy="3253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870857</xdr:colOff>
      <xdr:row>167</xdr:row>
      <xdr:rowOff>190499</xdr:rowOff>
    </xdr:from>
    <xdr:to>
      <xdr:col>14</xdr:col>
      <xdr:colOff>3053201</xdr:colOff>
      <xdr:row>169</xdr:row>
      <xdr:rowOff>55547</xdr:rowOff>
    </xdr:to>
    <xdr:sp macro="" textlink="">
      <xdr:nvSpPr>
        <xdr:cNvPr id="58" name="Arrow: Right 57">
          <a:extLst>
            <a:ext uri="{FF2B5EF4-FFF2-40B4-BE49-F238E27FC236}">
              <a16:creationId xmlns:a16="http://schemas.microsoft.com/office/drawing/2014/main" id="{4D584929-2BC8-4700-8D5C-126E1E4D54F0}"/>
            </a:ext>
          </a:extLst>
        </xdr:cNvPr>
        <xdr:cNvSpPr/>
      </xdr:nvSpPr>
      <xdr:spPr>
        <a:xfrm>
          <a:off x="20968607" y="27132642"/>
          <a:ext cx="5162308" cy="24604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507818</xdr:colOff>
      <xdr:row>25</xdr:row>
      <xdr:rowOff>89647</xdr:rowOff>
    </xdr:from>
    <xdr:to>
      <xdr:col>23</xdr:col>
      <xdr:colOff>842953</xdr:colOff>
      <xdr:row>28</xdr:row>
      <xdr:rowOff>159394</xdr:rowOff>
    </xdr:to>
    <xdr:sp macro="" textlink="">
      <xdr:nvSpPr>
        <xdr:cNvPr id="71" name="Arrow: Right 70">
          <a:extLst>
            <a:ext uri="{FF2B5EF4-FFF2-40B4-BE49-F238E27FC236}">
              <a16:creationId xmlns:a16="http://schemas.microsoft.com/office/drawing/2014/main" id="{293913E6-A59C-4EC8-ADDF-9C380EB716FA}"/>
            </a:ext>
          </a:extLst>
        </xdr:cNvPr>
        <xdr:cNvSpPr/>
      </xdr:nvSpPr>
      <xdr:spPr>
        <a:xfrm rot="5400000">
          <a:off x="36594585" y="5173291"/>
          <a:ext cx="663659" cy="33513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35392</xdr:colOff>
      <xdr:row>47</xdr:row>
      <xdr:rowOff>107673</xdr:rowOff>
    </xdr:from>
    <xdr:to>
      <xdr:col>19</xdr:col>
      <xdr:colOff>1492331</xdr:colOff>
      <xdr:row>55</xdr:row>
      <xdr:rowOff>88185</xdr:rowOff>
    </xdr:to>
    <xdr:sp macro="" textlink="">
      <xdr:nvSpPr>
        <xdr:cNvPr id="15" name="TextBox 14">
          <a:extLst>
            <a:ext uri="{FF2B5EF4-FFF2-40B4-BE49-F238E27FC236}">
              <a16:creationId xmlns:a16="http://schemas.microsoft.com/office/drawing/2014/main" id="{D8ECCBF5-FE3A-45AA-8A05-AEFA7C0F9BF0}"/>
            </a:ext>
          </a:extLst>
        </xdr:cNvPr>
        <xdr:cNvSpPr txBox="1"/>
      </xdr:nvSpPr>
      <xdr:spPr>
        <a:xfrm>
          <a:off x="25529262" y="10113064"/>
          <a:ext cx="1456939" cy="15707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Checks</a:t>
          </a:r>
          <a:r>
            <a:rPr lang="en-US" sz="1100" baseline="0"/>
            <a:t> how many times deductions are found in template (Columns B - I)</a:t>
          </a:r>
          <a:br>
            <a:rPr lang="en-US" sz="1100" baseline="0"/>
          </a:br>
          <a:r>
            <a:rPr lang="en-US" sz="1100" baseline="0"/>
            <a:t>If delete row, change/ rearrange equations to make sure they are in the correct row.</a:t>
          </a:r>
          <a:endParaRPr lang="en-US" sz="1100"/>
        </a:p>
      </xdr:txBody>
    </xdr:sp>
    <xdr:clientData/>
  </xdr:twoCellAnchor>
  <xdr:twoCellAnchor editAs="oneCell">
    <xdr:from>
      <xdr:col>35</xdr:col>
      <xdr:colOff>545441</xdr:colOff>
      <xdr:row>83</xdr:row>
      <xdr:rowOff>6006</xdr:rowOff>
    </xdr:from>
    <xdr:to>
      <xdr:col>41</xdr:col>
      <xdr:colOff>681154</xdr:colOff>
      <xdr:row>117</xdr:row>
      <xdr:rowOff>169998</xdr:rowOff>
    </xdr:to>
    <xdr:pic>
      <xdr:nvPicPr>
        <xdr:cNvPr id="20" name="Picture 19" descr="A chart with numbers and text&#10;&#10;Description automatically generated with medium confidence">
          <a:extLst>
            <a:ext uri="{FF2B5EF4-FFF2-40B4-BE49-F238E27FC236}">
              <a16:creationId xmlns:a16="http://schemas.microsoft.com/office/drawing/2014/main" id="{819FA43E-F3B7-ACB7-8D7A-94AD9F06F15D}"/>
            </a:ext>
          </a:extLst>
        </xdr:cNvPr>
        <xdr:cNvPicPr>
          <a:picLocks noChangeAspect="1"/>
        </xdr:cNvPicPr>
      </xdr:nvPicPr>
      <xdr:blipFill>
        <a:blip xmlns:r="http://schemas.openxmlformats.org/officeDocument/2006/relationships" r:embed="rId1"/>
        <a:stretch>
          <a:fillRect/>
        </a:stretch>
      </xdr:blipFill>
      <xdr:spPr>
        <a:xfrm>
          <a:off x="64434379" y="15698444"/>
          <a:ext cx="8493898" cy="6772026"/>
        </a:xfrm>
        <a:prstGeom prst="rect">
          <a:avLst/>
        </a:prstGeom>
      </xdr:spPr>
    </xdr:pic>
    <xdr:clientData/>
  </xdr:twoCellAnchor>
  <xdr:twoCellAnchor editAs="oneCell">
    <xdr:from>
      <xdr:col>32</xdr:col>
      <xdr:colOff>992168</xdr:colOff>
      <xdr:row>82</xdr:row>
      <xdr:rowOff>136197</xdr:rowOff>
    </xdr:from>
    <xdr:to>
      <xdr:col>35</xdr:col>
      <xdr:colOff>220076</xdr:colOff>
      <xdr:row>120</xdr:row>
      <xdr:rowOff>94908</xdr:rowOff>
    </xdr:to>
    <xdr:pic>
      <xdr:nvPicPr>
        <xdr:cNvPr id="21" name="Picture 20" descr="A chart with numbers and text&#10;&#10;Description automatically generated with medium confidence">
          <a:extLst>
            <a:ext uri="{FF2B5EF4-FFF2-40B4-BE49-F238E27FC236}">
              <a16:creationId xmlns:a16="http://schemas.microsoft.com/office/drawing/2014/main" id="{67A9D7DC-9453-A5EE-044E-7A44CD0134B1}"/>
            </a:ext>
          </a:extLst>
        </xdr:cNvPr>
        <xdr:cNvPicPr>
          <a:picLocks noChangeAspect="1"/>
        </xdr:cNvPicPr>
      </xdr:nvPicPr>
      <xdr:blipFill>
        <a:blip xmlns:r="http://schemas.openxmlformats.org/officeDocument/2006/relationships" r:embed="rId2"/>
        <a:stretch>
          <a:fillRect/>
        </a:stretch>
      </xdr:blipFill>
      <xdr:spPr>
        <a:xfrm>
          <a:off x="56825986" y="17662197"/>
          <a:ext cx="10069090" cy="7672432"/>
        </a:xfrm>
        <a:prstGeom prst="rect">
          <a:avLst/>
        </a:prstGeom>
      </xdr:spPr>
    </xdr:pic>
    <xdr:clientData/>
  </xdr:twoCellAnchor>
  <xdr:twoCellAnchor>
    <xdr:from>
      <xdr:col>11</xdr:col>
      <xdr:colOff>461841</xdr:colOff>
      <xdr:row>168</xdr:row>
      <xdr:rowOff>40022</xdr:rowOff>
    </xdr:from>
    <xdr:to>
      <xdr:col>12</xdr:col>
      <xdr:colOff>1033341</xdr:colOff>
      <xdr:row>169</xdr:row>
      <xdr:rowOff>81643</xdr:rowOff>
    </xdr:to>
    <xdr:sp macro="" textlink="">
      <xdr:nvSpPr>
        <xdr:cNvPr id="57" name="TextBox 56">
          <a:extLst>
            <a:ext uri="{FF2B5EF4-FFF2-40B4-BE49-F238E27FC236}">
              <a16:creationId xmlns:a16="http://schemas.microsoft.com/office/drawing/2014/main" id="{93A075F9-7A7C-4BAC-8F09-132BF5799F80}"/>
            </a:ext>
          </a:extLst>
        </xdr:cNvPr>
        <xdr:cNvSpPr txBox="1"/>
      </xdr:nvSpPr>
      <xdr:spPr>
        <a:xfrm>
          <a:off x="20509165" y="28435728"/>
          <a:ext cx="1815352" cy="232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You Must Change</a:t>
          </a:r>
        </a:p>
      </xdr:txBody>
    </xdr:sp>
    <xdr:clientData/>
  </xdr:twoCellAnchor>
  <xdr:twoCellAnchor>
    <xdr:from>
      <xdr:col>18</xdr:col>
      <xdr:colOff>593427</xdr:colOff>
      <xdr:row>45</xdr:row>
      <xdr:rowOff>87454</xdr:rowOff>
    </xdr:from>
    <xdr:to>
      <xdr:col>18</xdr:col>
      <xdr:colOff>827046</xdr:colOff>
      <xdr:row>49</xdr:row>
      <xdr:rowOff>3409</xdr:rowOff>
    </xdr:to>
    <xdr:sp macro="" textlink="">
      <xdr:nvSpPr>
        <xdr:cNvPr id="65" name="Arrow: Right 64">
          <a:extLst>
            <a:ext uri="{FF2B5EF4-FFF2-40B4-BE49-F238E27FC236}">
              <a16:creationId xmlns:a16="http://schemas.microsoft.com/office/drawing/2014/main" id="{AE27C1CB-DF2D-4678-B57B-5628A281641E}"/>
            </a:ext>
          </a:extLst>
        </xdr:cNvPr>
        <xdr:cNvSpPr/>
      </xdr:nvSpPr>
      <xdr:spPr>
        <a:xfrm rot="16200000">
          <a:off x="28049788" y="9072622"/>
          <a:ext cx="722779" cy="2336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0</xdr:colOff>
      <xdr:row>23</xdr:row>
      <xdr:rowOff>0</xdr:rowOff>
    </xdr:from>
    <xdr:to>
      <xdr:col>23</xdr:col>
      <xdr:colOff>1455964</xdr:colOff>
      <xdr:row>27</xdr:row>
      <xdr:rowOff>0</xdr:rowOff>
    </xdr:to>
    <xdr:sp macro="" textlink="">
      <xdr:nvSpPr>
        <xdr:cNvPr id="70" name="TextBox 69">
          <a:extLst>
            <a:ext uri="{FF2B5EF4-FFF2-40B4-BE49-F238E27FC236}">
              <a16:creationId xmlns:a16="http://schemas.microsoft.com/office/drawing/2014/main" id="{37074707-6114-47C8-9F7D-2B518B3F7F30}"/>
            </a:ext>
          </a:extLst>
        </xdr:cNvPr>
        <xdr:cNvSpPr txBox="1"/>
      </xdr:nvSpPr>
      <xdr:spPr>
        <a:xfrm>
          <a:off x="36251029" y="4527176"/>
          <a:ext cx="1455964" cy="784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Edit the Dropdown Menu</a:t>
          </a:r>
          <a:r>
            <a:rPr lang="en-US" sz="1100" baseline="0"/>
            <a:t> to edit the equations (Deduction Values</a:t>
          </a:r>
        </a:p>
        <a:p>
          <a:endParaRPr lang="en-US" sz="1100"/>
        </a:p>
      </xdr:txBody>
    </xdr:sp>
    <xdr:clientData/>
  </xdr:twoCellAnchor>
  <xdr:twoCellAnchor>
    <xdr:from>
      <xdr:col>13</xdr:col>
      <xdr:colOff>64627</xdr:colOff>
      <xdr:row>238</xdr:row>
      <xdr:rowOff>10573</xdr:rowOff>
    </xdr:from>
    <xdr:to>
      <xdr:col>13</xdr:col>
      <xdr:colOff>1791468</xdr:colOff>
      <xdr:row>239</xdr:row>
      <xdr:rowOff>145444</xdr:rowOff>
    </xdr:to>
    <xdr:sp macro="" textlink="">
      <xdr:nvSpPr>
        <xdr:cNvPr id="74" name="Arrow: Right 73">
          <a:extLst>
            <a:ext uri="{FF2B5EF4-FFF2-40B4-BE49-F238E27FC236}">
              <a16:creationId xmlns:a16="http://schemas.microsoft.com/office/drawing/2014/main" id="{D1F039D3-3B01-42A3-87D0-6D6C6AB4EAF8}"/>
            </a:ext>
          </a:extLst>
        </xdr:cNvPr>
        <xdr:cNvSpPr/>
      </xdr:nvSpPr>
      <xdr:spPr>
        <a:xfrm>
          <a:off x="19394774" y="38099367"/>
          <a:ext cx="1726841" cy="3253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738644</xdr:colOff>
      <xdr:row>237</xdr:row>
      <xdr:rowOff>144657</xdr:rowOff>
    </xdr:from>
    <xdr:to>
      <xdr:col>13</xdr:col>
      <xdr:colOff>290409</xdr:colOff>
      <xdr:row>240</xdr:row>
      <xdr:rowOff>23794</xdr:rowOff>
    </xdr:to>
    <xdr:sp macro="" textlink="">
      <xdr:nvSpPr>
        <xdr:cNvPr id="75" name="TextBox 74">
          <a:extLst>
            <a:ext uri="{FF2B5EF4-FFF2-40B4-BE49-F238E27FC236}">
              <a16:creationId xmlns:a16="http://schemas.microsoft.com/office/drawing/2014/main" id="{43393D0F-2E79-43F4-8066-3E2C1ABE28B6}"/>
            </a:ext>
          </a:extLst>
        </xdr:cNvPr>
        <xdr:cNvSpPr txBox="1"/>
      </xdr:nvSpPr>
      <xdr:spPr>
        <a:xfrm>
          <a:off x="20785968" y="42525304"/>
          <a:ext cx="1916206" cy="4506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t>Client 1</a:t>
          </a:r>
        </a:p>
      </xdr:txBody>
    </xdr:sp>
    <xdr:clientData/>
  </xdr:twoCellAnchor>
  <xdr:oneCellAnchor>
    <xdr:from>
      <xdr:col>2</xdr:col>
      <xdr:colOff>1050001</xdr:colOff>
      <xdr:row>333</xdr:row>
      <xdr:rowOff>85317</xdr:rowOff>
    </xdr:from>
    <xdr:ext cx="7875490" cy="937629"/>
    <xdr:sp macro="" textlink="">
      <xdr:nvSpPr>
        <xdr:cNvPr id="76" name="Rectangle 75">
          <a:extLst>
            <a:ext uri="{FF2B5EF4-FFF2-40B4-BE49-F238E27FC236}">
              <a16:creationId xmlns:a16="http://schemas.microsoft.com/office/drawing/2014/main" id="{318AA130-183A-3DC9-EC08-AFA072C4D7CF}"/>
            </a:ext>
          </a:extLst>
        </xdr:cNvPr>
        <xdr:cNvSpPr/>
      </xdr:nvSpPr>
      <xdr:spPr>
        <a:xfrm>
          <a:off x="6031576" y="46786392"/>
          <a:ext cx="7875490"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Child</a:t>
          </a:r>
          <a:r>
            <a:rPr lang="en-US" sz="5400" b="0" cap="none" spc="0" baseline="0">
              <a:ln w="0"/>
              <a:solidFill>
                <a:schemeClr val="tx1"/>
              </a:solidFill>
              <a:effectLst>
                <a:outerShdw blurRad="38100" dist="19050" dir="2700000" algn="tl" rotWithShape="0">
                  <a:schemeClr val="dk1">
                    <a:alpha val="40000"/>
                  </a:schemeClr>
                </a:outerShdw>
              </a:effectLst>
            </a:rPr>
            <a:t> Tax Credit Calculation</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239393</xdr:colOff>
      <xdr:row>149</xdr:row>
      <xdr:rowOff>129989</xdr:rowOff>
    </xdr:from>
    <xdr:ext cx="10969157" cy="937629"/>
    <xdr:sp macro="" textlink="">
      <xdr:nvSpPr>
        <xdr:cNvPr id="77" name="Rectangle 76">
          <a:extLst>
            <a:ext uri="{FF2B5EF4-FFF2-40B4-BE49-F238E27FC236}">
              <a16:creationId xmlns:a16="http://schemas.microsoft.com/office/drawing/2014/main" id="{3AF5774C-53D6-4B31-A263-E62779CC396B}"/>
            </a:ext>
          </a:extLst>
        </xdr:cNvPr>
        <xdr:cNvSpPr/>
      </xdr:nvSpPr>
      <xdr:spPr>
        <a:xfrm>
          <a:off x="28623893" y="28133489"/>
          <a:ext cx="10969157"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Employer / Employee Taxes Calculator</a:t>
          </a:r>
        </a:p>
      </xdr:txBody>
    </xdr:sp>
    <xdr:clientData/>
  </xdr:oneCellAnchor>
  <xdr:oneCellAnchor>
    <xdr:from>
      <xdr:col>3</xdr:col>
      <xdr:colOff>298614</xdr:colOff>
      <xdr:row>354</xdr:row>
      <xdr:rowOff>78922</xdr:rowOff>
    </xdr:from>
    <xdr:ext cx="11181011" cy="937629"/>
    <xdr:sp macro="" textlink="">
      <xdr:nvSpPr>
        <xdr:cNvPr id="78" name="Rectangle 77">
          <a:extLst>
            <a:ext uri="{FF2B5EF4-FFF2-40B4-BE49-F238E27FC236}">
              <a16:creationId xmlns:a16="http://schemas.microsoft.com/office/drawing/2014/main" id="{144555B7-17E5-4D59-8E6A-5AF7713B61CE}"/>
            </a:ext>
          </a:extLst>
        </xdr:cNvPr>
        <xdr:cNvSpPr/>
      </xdr:nvSpPr>
      <xdr:spPr>
        <a:xfrm>
          <a:off x="6956589" y="50637622"/>
          <a:ext cx="11181011"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Individual</a:t>
          </a:r>
          <a:r>
            <a:rPr lang="en-US" sz="5400" b="0" cap="none" spc="0" baseline="0">
              <a:ln w="0"/>
              <a:solidFill>
                <a:schemeClr val="tx1"/>
              </a:solidFill>
              <a:effectLst>
                <a:outerShdw blurRad="38100" dist="19050" dir="2700000" algn="tl" rotWithShape="0">
                  <a:schemeClr val="dk1">
                    <a:alpha val="40000"/>
                  </a:schemeClr>
                </a:outerShdw>
              </a:effectLst>
            </a:rPr>
            <a:t> State Withholding Calculator</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32</xdr:col>
      <xdr:colOff>952138</xdr:colOff>
      <xdr:row>154</xdr:row>
      <xdr:rowOff>78441</xdr:rowOff>
    </xdr:from>
    <xdr:ext cx="8918146" cy="937629"/>
    <xdr:sp macro="" textlink="">
      <xdr:nvSpPr>
        <xdr:cNvPr id="79" name="Rectangle 78">
          <a:extLst>
            <a:ext uri="{FF2B5EF4-FFF2-40B4-BE49-F238E27FC236}">
              <a16:creationId xmlns:a16="http://schemas.microsoft.com/office/drawing/2014/main" id="{F22F3815-92A7-4561-89F8-B21ED53E03F3}"/>
            </a:ext>
          </a:extLst>
        </xdr:cNvPr>
        <xdr:cNvSpPr/>
      </xdr:nvSpPr>
      <xdr:spPr>
        <a:xfrm>
          <a:off x="48521109" y="22871206"/>
          <a:ext cx="8918146"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Federal </a:t>
          </a:r>
          <a:r>
            <a:rPr lang="en-US" sz="5400" b="0" cap="none" spc="0" baseline="0">
              <a:ln w="0"/>
              <a:solidFill>
                <a:schemeClr val="tx1"/>
              </a:solidFill>
              <a:effectLst>
                <a:outerShdw blurRad="38100" dist="19050" dir="2700000" algn="tl" rotWithShape="0">
                  <a:schemeClr val="dk1">
                    <a:alpha val="40000"/>
                  </a:schemeClr>
                </a:outerShdw>
              </a:effectLst>
            </a:rPr>
            <a:t>Withholding Calculator</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41</xdr:col>
      <xdr:colOff>988115</xdr:colOff>
      <xdr:row>83</xdr:row>
      <xdr:rowOff>10754</xdr:rowOff>
    </xdr:from>
    <xdr:to>
      <xdr:col>51</xdr:col>
      <xdr:colOff>415450</xdr:colOff>
      <xdr:row>117</xdr:row>
      <xdr:rowOff>28965</xdr:rowOff>
    </xdr:to>
    <xdr:pic>
      <xdr:nvPicPr>
        <xdr:cNvPr id="81" name="Picture 80">
          <a:extLst>
            <a:ext uri="{FF2B5EF4-FFF2-40B4-BE49-F238E27FC236}">
              <a16:creationId xmlns:a16="http://schemas.microsoft.com/office/drawing/2014/main" id="{B42F357C-D8F3-2E63-3BA0-B539D1CC4AA1}"/>
            </a:ext>
          </a:extLst>
        </xdr:cNvPr>
        <xdr:cNvPicPr>
          <a:picLocks noChangeAspect="1"/>
        </xdr:cNvPicPr>
      </xdr:nvPicPr>
      <xdr:blipFill>
        <a:blip xmlns:r="http://schemas.openxmlformats.org/officeDocument/2006/relationships" r:embed="rId3"/>
        <a:stretch>
          <a:fillRect/>
        </a:stretch>
      </xdr:blipFill>
      <xdr:spPr>
        <a:xfrm>
          <a:off x="73235240" y="15893692"/>
          <a:ext cx="9116223" cy="6653030"/>
        </a:xfrm>
        <a:prstGeom prst="rect">
          <a:avLst/>
        </a:prstGeom>
      </xdr:spPr>
    </xdr:pic>
    <xdr:clientData/>
  </xdr:twoCellAnchor>
  <xdr:oneCellAnchor>
    <xdr:from>
      <xdr:col>32</xdr:col>
      <xdr:colOff>1079969</xdr:colOff>
      <xdr:row>54</xdr:row>
      <xdr:rowOff>185376</xdr:rowOff>
    </xdr:from>
    <xdr:ext cx="5114029" cy="937629"/>
    <xdr:sp macro="" textlink="">
      <xdr:nvSpPr>
        <xdr:cNvPr id="82" name="Rectangle 81">
          <a:extLst>
            <a:ext uri="{FF2B5EF4-FFF2-40B4-BE49-F238E27FC236}">
              <a16:creationId xmlns:a16="http://schemas.microsoft.com/office/drawing/2014/main" id="{80A0B82F-6D57-4A69-BCF3-1610459262ED}"/>
            </a:ext>
          </a:extLst>
        </xdr:cNvPr>
        <xdr:cNvSpPr/>
      </xdr:nvSpPr>
      <xdr:spPr>
        <a:xfrm>
          <a:off x="58991969" y="10472376"/>
          <a:ext cx="5114029"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2022 Restructure</a:t>
          </a:r>
        </a:p>
      </xdr:txBody>
    </xdr:sp>
    <xdr:clientData/>
  </xdr:oneCellAnchor>
  <xdr:oneCellAnchor>
    <xdr:from>
      <xdr:col>14</xdr:col>
      <xdr:colOff>62359</xdr:colOff>
      <xdr:row>21</xdr:row>
      <xdr:rowOff>632</xdr:rowOff>
    </xdr:from>
    <xdr:ext cx="5114029" cy="937629"/>
    <xdr:sp macro="" textlink="">
      <xdr:nvSpPr>
        <xdr:cNvPr id="87" name="Rectangle 86">
          <a:extLst>
            <a:ext uri="{FF2B5EF4-FFF2-40B4-BE49-F238E27FC236}">
              <a16:creationId xmlns:a16="http://schemas.microsoft.com/office/drawing/2014/main" id="{063664FD-7493-257E-4249-B3F5C9444B81}"/>
            </a:ext>
          </a:extLst>
        </xdr:cNvPr>
        <xdr:cNvSpPr/>
      </xdr:nvSpPr>
      <xdr:spPr>
        <a:xfrm>
          <a:off x="23140073" y="3701775"/>
          <a:ext cx="5114029" cy="937629"/>
        </a:xfrm>
        <a:prstGeom prst="rect">
          <a:avLst/>
        </a:prstGeom>
        <a:noFill/>
      </xdr:spPr>
      <xdr:txBody>
        <a:bodyPr wrap="none" lIns="91440" tIns="45720" rIns="91440" bIns="45720">
          <a:spAutoFit/>
        </a:bodyPr>
        <a:lstStyle/>
        <a:p>
          <a:pPr algn="ctr"/>
          <a:r>
            <a:rPr lang="en-US" sz="5400" b="1" cap="none" spc="0">
              <a:ln w="22225">
                <a:solidFill>
                  <a:schemeClr val="accent2"/>
                </a:solidFill>
                <a:prstDash val="solid"/>
              </a:ln>
              <a:solidFill>
                <a:schemeClr val="accent2">
                  <a:lumMod val="40000"/>
                  <a:lumOff val="60000"/>
                </a:schemeClr>
              </a:solidFill>
              <a:effectLst/>
            </a:rPr>
            <a:t>2024 Restructure</a:t>
          </a:r>
        </a:p>
      </xdr:txBody>
    </xdr:sp>
    <xdr:clientData/>
  </xdr:oneCellAnchor>
  <xdr:twoCellAnchor>
    <xdr:from>
      <xdr:col>18</xdr:col>
      <xdr:colOff>85725</xdr:colOff>
      <xdr:row>48</xdr:row>
      <xdr:rowOff>133350</xdr:rowOff>
    </xdr:from>
    <xdr:to>
      <xdr:col>18</xdr:col>
      <xdr:colOff>1542249</xdr:colOff>
      <xdr:row>53</xdr:row>
      <xdr:rowOff>0</xdr:rowOff>
    </xdr:to>
    <xdr:sp macro="" textlink="">
      <xdr:nvSpPr>
        <xdr:cNvPr id="89" name="TextBox 88">
          <a:extLst>
            <a:ext uri="{FF2B5EF4-FFF2-40B4-BE49-F238E27FC236}">
              <a16:creationId xmlns:a16="http://schemas.microsoft.com/office/drawing/2014/main" id="{5AF9DE0F-395C-465C-819C-BA5B4A511E53}"/>
            </a:ext>
          </a:extLst>
        </xdr:cNvPr>
        <xdr:cNvSpPr txBox="1"/>
      </xdr:nvSpPr>
      <xdr:spPr>
        <a:xfrm>
          <a:off x="29517975" y="14249400"/>
          <a:ext cx="1456524"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Employee</a:t>
          </a:r>
          <a:r>
            <a:rPr lang="en-US" sz="1100" baseline="0"/>
            <a:t> &amp; Employer Taxes to balance equation, add it to the end of the equation</a:t>
          </a:r>
          <a:endParaRPr lang="en-US" sz="1100"/>
        </a:p>
      </xdr:txBody>
    </xdr:sp>
    <xdr:clientData/>
  </xdr:twoCellAnchor>
  <xdr:oneCellAnchor>
    <xdr:from>
      <xdr:col>4</xdr:col>
      <xdr:colOff>171450</xdr:colOff>
      <xdr:row>179</xdr:row>
      <xdr:rowOff>57150</xdr:rowOff>
    </xdr:from>
    <xdr:ext cx="5114029" cy="937629"/>
    <xdr:sp macro="" textlink="">
      <xdr:nvSpPr>
        <xdr:cNvPr id="90" name="Rectangle 89">
          <a:extLst>
            <a:ext uri="{FF2B5EF4-FFF2-40B4-BE49-F238E27FC236}">
              <a16:creationId xmlns:a16="http://schemas.microsoft.com/office/drawing/2014/main" id="{46EF8463-BEB0-47BF-BAED-8C105AE3E945}"/>
            </a:ext>
          </a:extLst>
        </xdr:cNvPr>
        <xdr:cNvSpPr/>
      </xdr:nvSpPr>
      <xdr:spPr>
        <a:xfrm>
          <a:off x="8429625" y="29403675"/>
          <a:ext cx="5114029" cy="937629"/>
        </a:xfrm>
        <a:prstGeom prst="rect">
          <a:avLst/>
        </a:prstGeom>
        <a:noFill/>
      </xdr:spPr>
      <xdr:txBody>
        <a:bodyPr wrap="none" lIns="91440" tIns="45720" rIns="91440" bIns="45720">
          <a:spAutoFit/>
        </a:bodyPr>
        <a:lstStyle/>
        <a:p>
          <a:pPr algn="ctr"/>
          <a:r>
            <a:rPr lang="en-US" sz="5400" b="1" cap="none" spc="0">
              <a:ln w="22225">
                <a:solidFill>
                  <a:schemeClr val="accent2"/>
                </a:solidFill>
                <a:prstDash val="solid"/>
              </a:ln>
              <a:solidFill>
                <a:schemeClr val="accent2">
                  <a:lumMod val="40000"/>
                  <a:lumOff val="60000"/>
                </a:schemeClr>
              </a:solidFill>
              <a:effectLst/>
            </a:rPr>
            <a:t>2024 Restructure</a:t>
          </a:r>
        </a:p>
      </xdr:txBody>
    </xdr:sp>
    <xdr:clientData/>
  </xdr:oneCellAnchor>
  <xdr:oneCellAnchor>
    <xdr:from>
      <xdr:col>4</xdr:col>
      <xdr:colOff>714375</xdr:colOff>
      <xdr:row>153</xdr:row>
      <xdr:rowOff>161925</xdr:rowOff>
    </xdr:from>
    <xdr:ext cx="5114029" cy="937629"/>
    <xdr:sp macro="" textlink="">
      <xdr:nvSpPr>
        <xdr:cNvPr id="91" name="Rectangle 90">
          <a:extLst>
            <a:ext uri="{FF2B5EF4-FFF2-40B4-BE49-F238E27FC236}">
              <a16:creationId xmlns:a16="http://schemas.microsoft.com/office/drawing/2014/main" id="{DA36EE28-DFC8-4901-9EF9-049A2B9AB385}"/>
            </a:ext>
          </a:extLst>
        </xdr:cNvPr>
        <xdr:cNvSpPr/>
      </xdr:nvSpPr>
      <xdr:spPr>
        <a:xfrm>
          <a:off x="8972550" y="24060150"/>
          <a:ext cx="5114029"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2022 Restructure</a:t>
          </a:r>
        </a:p>
      </xdr:txBody>
    </xdr:sp>
    <xdr:clientData/>
  </xdr:oneCellAnchor>
  <xdr:oneCellAnchor>
    <xdr:from>
      <xdr:col>4</xdr:col>
      <xdr:colOff>381000</xdr:colOff>
      <xdr:row>205</xdr:row>
      <xdr:rowOff>95250</xdr:rowOff>
    </xdr:from>
    <xdr:ext cx="5114029" cy="937629"/>
    <xdr:sp macro="" textlink="">
      <xdr:nvSpPr>
        <xdr:cNvPr id="92" name="Rectangle 91">
          <a:extLst>
            <a:ext uri="{FF2B5EF4-FFF2-40B4-BE49-F238E27FC236}">
              <a16:creationId xmlns:a16="http://schemas.microsoft.com/office/drawing/2014/main" id="{C1DEFE88-4484-45C7-969A-FF5E796B1370}"/>
            </a:ext>
          </a:extLst>
        </xdr:cNvPr>
        <xdr:cNvSpPr/>
      </xdr:nvSpPr>
      <xdr:spPr>
        <a:xfrm>
          <a:off x="8639175" y="34956750"/>
          <a:ext cx="5114029" cy="937629"/>
        </a:xfrm>
        <a:prstGeom prst="rect">
          <a:avLst/>
        </a:prstGeom>
        <a:noFill/>
      </xdr:spPr>
      <xdr:txBody>
        <a:bodyPr wrap="none" lIns="91440" tIns="45720" rIns="91440" bIns="45720">
          <a:spAutoFit/>
        </a:bodyPr>
        <a:lstStyle/>
        <a:p>
          <a:pPr algn="ctr"/>
          <a:r>
            <a:rPr lang="en-US" sz="5400" b="1" cap="none" spc="0">
              <a:ln w="22225">
                <a:solidFill>
                  <a:schemeClr val="accent2"/>
                </a:solidFill>
                <a:prstDash val="solid"/>
              </a:ln>
              <a:solidFill>
                <a:schemeClr val="accent2">
                  <a:lumMod val="40000"/>
                  <a:lumOff val="60000"/>
                </a:schemeClr>
              </a:solidFill>
              <a:effectLst/>
            </a:rPr>
            <a:t>2024 Restructure</a:t>
          </a:r>
        </a:p>
      </xdr:txBody>
    </xdr:sp>
    <xdr:clientData/>
  </xdr:oneCellAnchor>
  <xdr:oneCellAnchor>
    <xdr:from>
      <xdr:col>31</xdr:col>
      <xdr:colOff>100472</xdr:colOff>
      <xdr:row>271</xdr:row>
      <xdr:rowOff>161082</xdr:rowOff>
    </xdr:from>
    <xdr:ext cx="7686216" cy="937629"/>
    <xdr:sp macro="" textlink="">
      <xdr:nvSpPr>
        <xdr:cNvPr id="6" name="Rectangle 5">
          <a:extLst>
            <a:ext uri="{FF2B5EF4-FFF2-40B4-BE49-F238E27FC236}">
              <a16:creationId xmlns:a16="http://schemas.microsoft.com/office/drawing/2014/main" id="{61B95D31-178C-4D9E-80D2-7869BEFA2949}"/>
            </a:ext>
          </a:extLst>
        </xdr:cNvPr>
        <xdr:cNvSpPr/>
      </xdr:nvSpPr>
      <xdr:spPr>
        <a:xfrm>
          <a:off x="52154597" y="47952770"/>
          <a:ext cx="7686216" cy="93762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401(k) Benefit</a:t>
          </a:r>
          <a:r>
            <a:rPr lang="en-US" sz="5400" b="0" cap="none" spc="0" baseline="0">
              <a:ln w="0"/>
              <a:solidFill>
                <a:schemeClr val="tx1"/>
              </a:solidFill>
              <a:effectLst>
                <a:outerShdw blurRad="38100" dist="19050" dir="2700000" algn="tl" rotWithShape="0">
                  <a:schemeClr val="dk1">
                    <a:alpha val="40000"/>
                  </a:schemeClr>
                </a:outerShdw>
              </a:effectLst>
            </a:rPr>
            <a:t> Calculator</a:t>
          </a:r>
        </a:p>
      </xdr:txBody>
    </xdr:sp>
    <xdr:clientData/>
  </xdr:oneCellAnchor>
  <xdr:twoCellAnchor>
    <xdr:from>
      <xdr:col>11</xdr:col>
      <xdr:colOff>717177</xdr:colOff>
      <xdr:row>60</xdr:row>
      <xdr:rowOff>33618</xdr:rowOff>
    </xdr:from>
    <xdr:to>
      <xdr:col>11</xdr:col>
      <xdr:colOff>963707</xdr:colOff>
      <xdr:row>63</xdr:row>
      <xdr:rowOff>168090</xdr:rowOff>
    </xdr:to>
    <xdr:sp macro="" textlink="">
      <xdr:nvSpPr>
        <xdr:cNvPr id="5" name="Arrow: Right 4">
          <a:extLst>
            <a:ext uri="{FF2B5EF4-FFF2-40B4-BE49-F238E27FC236}">
              <a16:creationId xmlns:a16="http://schemas.microsoft.com/office/drawing/2014/main" id="{6BEAFC3F-F01A-455A-86BC-6E1EB03A536E}"/>
            </a:ext>
          </a:extLst>
        </xdr:cNvPr>
        <xdr:cNvSpPr/>
      </xdr:nvSpPr>
      <xdr:spPr>
        <a:xfrm rot="5400000">
          <a:off x="19134044" y="12163986"/>
          <a:ext cx="705972" cy="246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3180069</xdr:colOff>
      <xdr:row>53</xdr:row>
      <xdr:rowOff>75238</xdr:rowOff>
    </xdr:from>
    <xdr:to>
      <xdr:col>12</xdr:col>
      <xdr:colOff>507467</xdr:colOff>
      <xdr:row>61</xdr:row>
      <xdr:rowOff>168088</xdr:rowOff>
    </xdr:to>
    <xdr:sp macro="" textlink="">
      <xdr:nvSpPr>
        <xdr:cNvPr id="104" name="TextBox 103">
          <a:extLst>
            <a:ext uri="{FF2B5EF4-FFF2-40B4-BE49-F238E27FC236}">
              <a16:creationId xmlns:a16="http://schemas.microsoft.com/office/drawing/2014/main" id="{81E84340-3E41-4817-AC86-3A6EBB8A81C2}"/>
            </a:ext>
          </a:extLst>
        </xdr:cNvPr>
        <xdr:cNvSpPr txBox="1"/>
      </xdr:nvSpPr>
      <xdr:spPr>
        <a:xfrm>
          <a:off x="19899245" y="11393179"/>
          <a:ext cx="1899398" cy="17064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Allowable</a:t>
          </a:r>
          <a:r>
            <a:rPr lang="en-US" sz="1100" baseline="0"/>
            <a:t> Realestate Losses from non professional. Number in here shows the maximum amount they are allowed to deduct</a:t>
          </a:r>
          <a:br>
            <a:rPr lang="en-US" sz="1100" baseline="0"/>
          </a:br>
          <a:br>
            <a:rPr lang="en-US" sz="1100" baseline="0"/>
          </a:br>
          <a:r>
            <a:rPr lang="en-US" sz="1100" baseline="0"/>
            <a:t>Enter the AGI to the left of this cell to see how much is allowable to deduct</a:t>
          </a:r>
        </a:p>
        <a:p>
          <a:endParaRPr lang="en-US" sz="1100" baseline="0"/>
        </a:p>
        <a:p>
          <a:endParaRPr lang="en-US" sz="1100"/>
        </a:p>
      </xdr:txBody>
    </xdr:sp>
    <xdr:clientData/>
  </xdr:twoCellAnchor>
  <xdr:oneCellAnchor>
    <xdr:from>
      <xdr:col>25</xdr:col>
      <xdr:colOff>774622</xdr:colOff>
      <xdr:row>377</xdr:row>
      <xdr:rowOff>187539</xdr:rowOff>
    </xdr:from>
    <xdr:ext cx="6317499" cy="937629"/>
    <xdr:sp macro="" textlink="">
      <xdr:nvSpPr>
        <xdr:cNvPr id="105" name="Rectangle 104">
          <a:extLst>
            <a:ext uri="{FF2B5EF4-FFF2-40B4-BE49-F238E27FC236}">
              <a16:creationId xmlns:a16="http://schemas.microsoft.com/office/drawing/2014/main" id="{5E32013B-0343-460C-AF9A-1A853B20E2AD}"/>
            </a:ext>
          </a:extLst>
        </xdr:cNvPr>
        <xdr:cNvSpPr/>
      </xdr:nvSpPr>
      <xdr:spPr>
        <a:xfrm>
          <a:off x="43027522" y="70262964"/>
          <a:ext cx="6317499"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W-2 Maximum 401(k)</a:t>
          </a:r>
          <a:endParaRPr lang="en-US" sz="54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24</xdr:col>
      <xdr:colOff>1094618</xdr:colOff>
      <xdr:row>437</xdr:row>
      <xdr:rowOff>2482</xdr:rowOff>
    </xdr:from>
    <xdr:ext cx="7558865" cy="937629"/>
    <xdr:sp macro="" textlink="">
      <xdr:nvSpPr>
        <xdr:cNvPr id="106" name="Rectangle 105">
          <a:extLst>
            <a:ext uri="{FF2B5EF4-FFF2-40B4-BE49-F238E27FC236}">
              <a16:creationId xmlns:a16="http://schemas.microsoft.com/office/drawing/2014/main" id="{92DE6FEB-A0C3-4A91-B2B8-BF658891A400}"/>
            </a:ext>
          </a:extLst>
        </xdr:cNvPr>
        <xdr:cNvSpPr/>
      </xdr:nvSpPr>
      <xdr:spPr>
        <a:xfrm>
          <a:off x="41890193" y="81507907"/>
          <a:ext cx="7558865"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Business Maximum 401(k)</a:t>
          </a:r>
          <a:endParaRPr lang="en-US" sz="54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28</xdr:col>
      <xdr:colOff>730183</xdr:colOff>
      <xdr:row>322</xdr:row>
      <xdr:rowOff>208605</xdr:rowOff>
    </xdr:from>
    <xdr:ext cx="2787837" cy="937629"/>
    <xdr:sp macro="" textlink="">
      <xdr:nvSpPr>
        <xdr:cNvPr id="107" name="Rectangle 106">
          <a:extLst>
            <a:ext uri="{FF2B5EF4-FFF2-40B4-BE49-F238E27FC236}">
              <a16:creationId xmlns:a16="http://schemas.microsoft.com/office/drawing/2014/main" id="{3E71D030-29A1-4E61-B389-FEF121309300}"/>
            </a:ext>
          </a:extLst>
        </xdr:cNvPr>
        <xdr:cNvSpPr/>
      </xdr:nvSpPr>
      <xdr:spPr>
        <a:xfrm>
          <a:off x="47555083" y="58654005"/>
          <a:ext cx="2787837" cy="937629"/>
        </a:xfrm>
        <a:prstGeom prst="rect">
          <a:avLst/>
        </a:prstGeom>
        <a:noFill/>
      </xdr:spPr>
      <xdr:txBody>
        <a:bodyPr wrap="square" lIns="91440" tIns="45720" rIns="91440" bIns="45720">
          <a:spAutoFit/>
        </a:bodyPr>
        <a:lstStyle/>
        <a:p>
          <a:pPr algn="ctr"/>
          <a:r>
            <a:rPr lang="en-US" sz="5400" b="0" cap="none" spc="0" baseline="0">
              <a:ln w="0"/>
              <a:solidFill>
                <a:schemeClr val="tx1"/>
              </a:solidFill>
              <a:effectLst>
                <a:outerShdw blurRad="38100" dist="19050" dir="2700000" algn="tl" rotWithShape="0">
                  <a:schemeClr val="dk1">
                    <a:alpha val="40000"/>
                  </a:schemeClr>
                </a:outerShdw>
              </a:effectLst>
            </a:rPr>
            <a:t>Current</a:t>
          </a:r>
        </a:p>
      </xdr:txBody>
    </xdr:sp>
    <xdr:clientData/>
  </xdr:oneCellAnchor>
  <xdr:oneCellAnchor>
    <xdr:from>
      <xdr:col>30</xdr:col>
      <xdr:colOff>159006</xdr:colOff>
      <xdr:row>372</xdr:row>
      <xdr:rowOff>137628</xdr:rowOff>
    </xdr:from>
    <xdr:ext cx="937629" cy="4649363"/>
    <xdr:sp macro="" textlink="">
      <xdr:nvSpPr>
        <xdr:cNvPr id="110" name="Rectangle 109">
          <a:extLst>
            <a:ext uri="{FF2B5EF4-FFF2-40B4-BE49-F238E27FC236}">
              <a16:creationId xmlns:a16="http://schemas.microsoft.com/office/drawing/2014/main" id="{12ED4F47-C952-4D01-9216-5B44D22C3878}"/>
            </a:ext>
          </a:extLst>
        </xdr:cNvPr>
        <xdr:cNvSpPr/>
      </xdr:nvSpPr>
      <xdr:spPr>
        <a:xfrm rot="16200000">
          <a:off x="46671089" y="72449920"/>
          <a:ext cx="4649363" cy="93762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Person One</a:t>
          </a:r>
          <a:endParaRPr lang="en-US" sz="54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30</xdr:col>
      <xdr:colOff>163286</xdr:colOff>
      <xdr:row>391</xdr:row>
      <xdr:rowOff>42182</xdr:rowOff>
    </xdr:from>
    <xdr:ext cx="937629" cy="4649363"/>
    <xdr:sp macro="" textlink="">
      <xdr:nvSpPr>
        <xdr:cNvPr id="111" name="Rectangle 110">
          <a:extLst>
            <a:ext uri="{FF2B5EF4-FFF2-40B4-BE49-F238E27FC236}">
              <a16:creationId xmlns:a16="http://schemas.microsoft.com/office/drawing/2014/main" id="{B77D6B00-A50E-4C36-9BFB-BFA61B900FA2}"/>
            </a:ext>
          </a:extLst>
        </xdr:cNvPr>
        <xdr:cNvSpPr/>
      </xdr:nvSpPr>
      <xdr:spPr>
        <a:xfrm rot="16200000">
          <a:off x="46675369" y="76926474"/>
          <a:ext cx="4649363" cy="93762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Person Two</a:t>
          </a:r>
          <a:endParaRPr lang="en-US" sz="54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30</xdr:col>
      <xdr:colOff>149679</xdr:colOff>
      <xdr:row>324</xdr:row>
      <xdr:rowOff>118382</xdr:rowOff>
    </xdr:from>
    <xdr:ext cx="937629" cy="4649363"/>
    <xdr:sp macro="" textlink="">
      <xdr:nvSpPr>
        <xdr:cNvPr id="112" name="Rectangle 111">
          <a:extLst>
            <a:ext uri="{FF2B5EF4-FFF2-40B4-BE49-F238E27FC236}">
              <a16:creationId xmlns:a16="http://schemas.microsoft.com/office/drawing/2014/main" id="{730BCAA4-EC1E-41A2-B595-0909426E1854}"/>
            </a:ext>
          </a:extLst>
        </xdr:cNvPr>
        <xdr:cNvSpPr/>
      </xdr:nvSpPr>
      <xdr:spPr>
        <a:xfrm rot="16200000">
          <a:off x="46661762" y="60619674"/>
          <a:ext cx="4649363" cy="93762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Person One</a:t>
          </a:r>
          <a:endParaRPr lang="en-US" sz="54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30</xdr:col>
      <xdr:colOff>49184</xdr:colOff>
      <xdr:row>343</xdr:row>
      <xdr:rowOff>152400</xdr:rowOff>
    </xdr:from>
    <xdr:ext cx="937629" cy="4649363"/>
    <xdr:sp macro="" textlink="">
      <xdr:nvSpPr>
        <xdr:cNvPr id="113" name="Rectangle 112">
          <a:extLst>
            <a:ext uri="{FF2B5EF4-FFF2-40B4-BE49-F238E27FC236}">
              <a16:creationId xmlns:a16="http://schemas.microsoft.com/office/drawing/2014/main" id="{ED266B2E-0CB7-4711-A3A4-E8F9A0646F5C}"/>
            </a:ext>
          </a:extLst>
        </xdr:cNvPr>
        <xdr:cNvSpPr/>
      </xdr:nvSpPr>
      <xdr:spPr>
        <a:xfrm rot="16200000">
          <a:off x="48999667" y="63187342"/>
          <a:ext cx="4649363" cy="93762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Person Two</a:t>
          </a:r>
          <a:endParaRPr lang="en-US" sz="54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30</xdr:col>
      <xdr:colOff>170089</xdr:colOff>
      <xdr:row>421</xdr:row>
      <xdr:rowOff>27215</xdr:rowOff>
    </xdr:from>
    <xdr:ext cx="937629" cy="4649363"/>
    <xdr:sp macro="" textlink="">
      <xdr:nvSpPr>
        <xdr:cNvPr id="114" name="Rectangle 113">
          <a:extLst>
            <a:ext uri="{FF2B5EF4-FFF2-40B4-BE49-F238E27FC236}">
              <a16:creationId xmlns:a16="http://schemas.microsoft.com/office/drawing/2014/main" id="{91941BE0-EA21-462A-B036-BE6E18774B0E}"/>
            </a:ext>
          </a:extLst>
        </xdr:cNvPr>
        <xdr:cNvSpPr/>
      </xdr:nvSpPr>
      <xdr:spPr>
        <a:xfrm rot="16200000">
          <a:off x="46682172" y="83579007"/>
          <a:ext cx="4649363" cy="93762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Person One</a:t>
          </a:r>
          <a:endParaRPr lang="en-US" sz="54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30</xdr:col>
      <xdr:colOff>60069</xdr:colOff>
      <xdr:row>439</xdr:row>
      <xdr:rowOff>112744</xdr:rowOff>
    </xdr:from>
    <xdr:ext cx="937629" cy="4649363"/>
    <xdr:sp macro="" textlink="">
      <xdr:nvSpPr>
        <xdr:cNvPr id="115" name="Rectangle 114">
          <a:extLst>
            <a:ext uri="{FF2B5EF4-FFF2-40B4-BE49-F238E27FC236}">
              <a16:creationId xmlns:a16="http://schemas.microsoft.com/office/drawing/2014/main" id="{111F8DDC-5DA4-446C-A292-297F2BB01816}"/>
            </a:ext>
          </a:extLst>
        </xdr:cNvPr>
        <xdr:cNvSpPr/>
      </xdr:nvSpPr>
      <xdr:spPr>
        <a:xfrm rot="16200000">
          <a:off x="46572152" y="88046036"/>
          <a:ext cx="4649363" cy="93762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Person Two</a:t>
          </a:r>
          <a:endParaRPr lang="en-US" sz="54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27</xdr:col>
      <xdr:colOff>1203272</xdr:colOff>
      <xdr:row>292</xdr:row>
      <xdr:rowOff>64354</xdr:rowOff>
    </xdr:from>
    <xdr:ext cx="4708072" cy="1782924"/>
    <xdr:sp macro="" textlink="">
      <xdr:nvSpPr>
        <xdr:cNvPr id="116" name="Rectangle 115">
          <a:extLst>
            <a:ext uri="{FF2B5EF4-FFF2-40B4-BE49-F238E27FC236}">
              <a16:creationId xmlns:a16="http://schemas.microsoft.com/office/drawing/2014/main" id="{91A73DF7-0E65-4EAF-B019-336F751B6F25}"/>
            </a:ext>
          </a:extLst>
        </xdr:cNvPr>
        <xdr:cNvSpPr/>
      </xdr:nvSpPr>
      <xdr:spPr>
        <a:xfrm>
          <a:off x="47485247" y="51527929"/>
          <a:ext cx="4708072" cy="1782924"/>
        </a:xfrm>
        <a:prstGeom prst="rect">
          <a:avLst/>
        </a:prstGeom>
        <a:noFill/>
      </xdr:spPr>
      <xdr:txBody>
        <a:bodyPr wrap="square" lIns="91440" tIns="45720" rIns="91440" bIns="45720">
          <a:spAutoFit/>
        </a:bodyPr>
        <a:lstStyle/>
        <a:p>
          <a:pPr algn="ctr"/>
          <a:r>
            <a:rPr lang="en-US" sz="5400" b="0" cap="none" spc="0" baseline="0">
              <a:ln w="0"/>
              <a:solidFill>
                <a:schemeClr val="tx1"/>
              </a:solidFill>
              <a:effectLst>
                <a:outerShdw blurRad="38100" dist="19050" dir="2700000" algn="tl" rotWithShape="0">
                  <a:schemeClr val="dk1">
                    <a:alpha val="40000"/>
                  </a:schemeClr>
                </a:outerShdw>
              </a:effectLst>
            </a:rPr>
            <a:t>Enter Information</a:t>
          </a:r>
        </a:p>
      </xdr:txBody>
    </xdr:sp>
    <xdr:clientData/>
  </xdr:oneCellAnchor>
  <xdr:twoCellAnchor>
    <xdr:from>
      <xdr:col>13</xdr:col>
      <xdr:colOff>50812</xdr:colOff>
      <xdr:row>243</xdr:row>
      <xdr:rowOff>21144</xdr:rowOff>
    </xdr:from>
    <xdr:to>
      <xdr:col>13</xdr:col>
      <xdr:colOff>1777653</xdr:colOff>
      <xdr:row>244</xdr:row>
      <xdr:rowOff>156015</xdr:rowOff>
    </xdr:to>
    <xdr:sp macro="" textlink="">
      <xdr:nvSpPr>
        <xdr:cNvPr id="73" name="Arrow: Right 72">
          <a:extLst>
            <a:ext uri="{FF2B5EF4-FFF2-40B4-BE49-F238E27FC236}">
              <a16:creationId xmlns:a16="http://schemas.microsoft.com/office/drawing/2014/main" id="{71772692-7AAD-432F-BFB3-52FB4AB1D57A}"/>
            </a:ext>
          </a:extLst>
        </xdr:cNvPr>
        <xdr:cNvSpPr/>
      </xdr:nvSpPr>
      <xdr:spPr>
        <a:xfrm>
          <a:off x="21140283" y="40709703"/>
          <a:ext cx="1726841" cy="3253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762557</xdr:colOff>
      <xdr:row>243</xdr:row>
      <xdr:rowOff>11044</xdr:rowOff>
    </xdr:from>
    <xdr:to>
      <xdr:col>13</xdr:col>
      <xdr:colOff>314322</xdr:colOff>
      <xdr:row>245</xdr:row>
      <xdr:rowOff>78280</xdr:rowOff>
    </xdr:to>
    <xdr:sp macro="" textlink="">
      <xdr:nvSpPr>
        <xdr:cNvPr id="93" name="TextBox 92">
          <a:extLst>
            <a:ext uri="{FF2B5EF4-FFF2-40B4-BE49-F238E27FC236}">
              <a16:creationId xmlns:a16="http://schemas.microsoft.com/office/drawing/2014/main" id="{278B1409-644E-4F80-B9B5-149F46C020B3}"/>
            </a:ext>
          </a:extLst>
        </xdr:cNvPr>
        <xdr:cNvSpPr txBox="1"/>
      </xdr:nvSpPr>
      <xdr:spPr>
        <a:xfrm>
          <a:off x="20809881" y="43557103"/>
          <a:ext cx="1916206" cy="4482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t>Client 2</a:t>
          </a:r>
        </a:p>
      </xdr:txBody>
    </xdr:sp>
    <xdr:clientData/>
  </xdr:twoCellAnchor>
  <xdr:twoCellAnchor>
    <xdr:from>
      <xdr:col>280</xdr:col>
      <xdr:colOff>1320248</xdr:colOff>
      <xdr:row>112</xdr:row>
      <xdr:rowOff>77857</xdr:rowOff>
    </xdr:from>
    <xdr:to>
      <xdr:col>290</xdr:col>
      <xdr:colOff>561074</xdr:colOff>
      <xdr:row>222</xdr:row>
      <xdr:rowOff>121993</xdr:rowOff>
    </xdr:to>
    <xdr:sp macro="" textlink="">
      <xdr:nvSpPr>
        <xdr:cNvPr id="56" name="TextBox 55">
          <a:extLst>
            <a:ext uri="{FF2B5EF4-FFF2-40B4-BE49-F238E27FC236}">
              <a16:creationId xmlns:a16="http://schemas.microsoft.com/office/drawing/2014/main" id="{D5E859D8-3D8E-4ECD-B225-9984333A5D69}"/>
            </a:ext>
          </a:extLst>
        </xdr:cNvPr>
        <xdr:cNvSpPr txBox="1"/>
      </xdr:nvSpPr>
      <xdr:spPr>
        <a:xfrm>
          <a:off x="258536661" y="21885966"/>
          <a:ext cx="6198217" cy="16261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If B1=2022 &amp; B2=MFJ</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IY9&lt;41050, IY9*.0535</a:t>
          </a:r>
          <a:endParaRPr lang="en-US">
            <a:effectLst/>
          </a:endParaRPr>
        </a:p>
        <a:p>
          <a:r>
            <a:rPr lang="en-US" sz="1100">
              <a:solidFill>
                <a:schemeClr val="dk1"/>
              </a:solidFill>
              <a:effectLst/>
              <a:latin typeface="+mn-lt"/>
              <a:ea typeface="+mn-ea"/>
              <a:cs typeface="+mn-cs"/>
            </a:rPr>
            <a:t>IY9&lt;163060, (IY9-41050)*.068+(41050*.0535)</a:t>
          </a:r>
          <a:endParaRPr lang="en-US">
            <a:effectLst/>
          </a:endParaRPr>
        </a:p>
        <a:p>
          <a:r>
            <a:rPr lang="en-US" sz="1100">
              <a:solidFill>
                <a:schemeClr val="dk1"/>
              </a:solidFill>
              <a:effectLst/>
              <a:latin typeface="+mn-lt"/>
              <a:ea typeface="+mn-ea"/>
              <a:cs typeface="+mn-cs"/>
            </a:rPr>
            <a:t>IY9&lt;284810, (IY9-163060)*.0785+((163060-41050)*.068) + (41050*.0535)</a:t>
          </a:r>
          <a:endParaRPr lang="en-US">
            <a:effectLst/>
          </a:endParaRPr>
        </a:p>
        <a:p>
          <a:r>
            <a:rPr lang="en-US" sz="1100">
              <a:solidFill>
                <a:schemeClr val="dk1"/>
              </a:solidFill>
              <a:effectLst/>
              <a:latin typeface="+mn-lt"/>
              <a:ea typeface="+mn-ea"/>
              <a:cs typeface="+mn-cs"/>
            </a:rPr>
            <a:t>IY9&gt;284810, (IY9-284810)*.0985+((284810-163060)*.0785)+((163060-41050)*.068) + (41050*.0535)</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If B1=2022 &amp; B2=MFS</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IY9&lt;20525, IY9*.0535</a:t>
          </a:r>
          <a:endParaRPr lang="en-US">
            <a:effectLst/>
          </a:endParaRPr>
        </a:p>
        <a:p>
          <a:r>
            <a:rPr lang="en-US" sz="1100">
              <a:solidFill>
                <a:schemeClr val="dk1"/>
              </a:solidFill>
              <a:effectLst/>
              <a:latin typeface="+mn-lt"/>
              <a:ea typeface="+mn-ea"/>
              <a:cs typeface="+mn-cs"/>
            </a:rPr>
            <a:t>IY9&lt;81530, (IY9-20525)*.068+(20525*.0535)</a:t>
          </a:r>
          <a:endParaRPr lang="en-US">
            <a:effectLst/>
          </a:endParaRPr>
        </a:p>
        <a:p>
          <a:r>
            <a:rPr lang="en-US" sz="1100">
              <a:solidFill>
                <a:schemeClr val="dk1"/>
              </a:solidFill>
              <a:effectLst/>
              <a:latin typeface="+mn-lt"/>
              <a:ea typeface="+mn-ea"/>
              <a:cs typeface="+mn-cs"/>
            </a:rPr>
            <a:t>IY9&lt;142405, (IY9-81530)*.0785+((81530-20525)*.068) + (20525*.0535)</a:t>
          </a:r>
          <a:endParaRPr lang="en-US">
            <a:effectLst/>
          </a:endParaRPr>
        </a:p>
        <a:p>
          <a:r>
            <a:rPr lang="en-US" sz="1100">
              <a:solidFill>
                <a:schemeClr val="dk1"/>
              </a:solidFill>
              <a:effectLst/>
              <a:latin typeface="+mn-lt"/>
              <a:ea typeface="+mn-ea"/>
              <a:cs typeface="+mn-cs"/>
            </a:rPr>
            <a:t>IY9&gt;142405, (IY9-142405)*.0985+((142405-81530)*.0785)+((81530-20525)*.068) + (20525*.0535)</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If B1=2022 &amp; B2=HOH</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IY9&lt;34570, IY9*.0535</a:t>
          </a:r>
          <a:endParaRPr lang="en-US">
            <a:effectLst/>
          </a:endParaRPr>
        </a:p>
        <a:p>
          <a:r>
            <a:rPr lang="en-US" sz="1100">
              <a:solidFill>
                <a:schemeClr val="dk1"/>
              </a:solidFill>
              <a:effectLst/>
              <a:latin typeface="+mn-lt"/>
              <a:ea typeface="+mn-ea"/>
              <a:cs typeface="+mn-cs"/>
            </a:rPr>
            <a:t>IY9&lt;138890, (IY9-34570)*.068+(34570*.0535)</a:t>
          </a:r>
          <a:endParaRPr lang="en-US">
            <a:effectLst/>
          </a:endParaRPr>
        </a:p>
        <a:p>
          <a:r>
            <a:rPr lang="en-US" sz="1100">
              <a:solidFill>
                <a:schemeClr val="dk1"/>
              </a:solidFill>
              <a:effectLst/>
              <a:latin typeface="+mn-lt"/>
              <a:ea typeface="+mn-ea"/>
              <a:cs typeface="+mn-cs"/>
            </a:rPr>
            <a:t>IY9&lt;227600, (IY9-138890)*.0785+((138890-34570)*.068) + (34570*.0535)</a:t>
          </a:r>
          <a:endParaRPr lang="en-US">
            <a:effectLst/>
          </a:endParaRPr>
        </a:p>
        <a:p>
          <a:r>
            <a:rPr lang="en-US" sz="1100">
              <a:solidFill>
                <a:schemeClr val="dk1"/>
              </a:solidFill>
              <a:effectLst/>
              <a:latin typeface="+mn-lt"/>
              <a:ea typeface="+mn-ea"/>
              <a:cs typeface="+mn-cs"/>
            </a:rPr>
            <a:t>IY9&gt;227600, (IY9-227600)*.0985+((227600-138890)*.0785)+((138890-34570)*.068) + (34570*.0535)</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If B1=2022 &amp; B2=Single</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IY9&lt;28080, IY9*.0535</a:t>
          </a:r>
          <a:endParaRPr lang="en-US">
            <a:effectLst/>
          </a:endParaRPr>
        </a:p>
        <a:p>
          <a:r>
            <a:rPr lang="en-US" sz="1100">
              <a:solidFill>
                <a:schemeClr val="dk1"/>
              </a:solidFill>
              <a:effectLst/>
              <a:latin typeface="+mn-lt"/>
              <a:ea typeface="+mn-ea"/>
              <a:cs typeface="+mn-cs"/>
            </a:rPr>
            <a:t>IY9&lt;92230, (IY9-28080)*.068+(28080*.0535)</a:t>
          </a:r>
          <a:endParaRPr lang="en-US">
            <a:effectLst/>
          </a:endParaRPr>
        </a:p>
        <a:p>
          <a:r>
            <a:rPr lang="en-US" sz="1100">
              <a:solidFill>
                <a:schemeClr val="dk1"/>
              </a:solidFill>
              <a:effectLst/>
              <a:latin typeface="+mn-lt"/>
              <a:ea typeface="+mn-ea"/>
              <a:cs typeface="+mn-cs"/>
            </a:rPr>
            <a:t>IY9&lt;171220, (IY9-92230)*.0785+((92230-28080)*.068) + (28080*.0535)</a:t>
          </a:r>
          <a:endParaRPr lang="en-US">
            <a:effectLst/>
          </a:endParaRPr>
        </a:p>
        <a:p>
          <a:r>
            <a:rPr lang="en-US" sz="1100">
              <a:solidFill>
                <a:schemeClr val="dk1"/>
              </a:solidFill>
              <a:effectLst/>
              <a:latin typeface="+mn-lt"/>
              <a:ea typeface="+mn-ea"/>
              <a:cs typeface="+mn-cs"/>
            </a:rPr>
            <a:t>IY9&gt;171220, (IY9-171220)*.0985+((171220-92230)*.0785)+((92230-28080)*.068) + (28080*.0535)</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If B1=2023 &amp; B2=MFJ</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IY9&lt;43950, IY9*.0535</a:t>
          </a:r>
          <a:endParaRPr lang="en-US">
            <a:effectLst/>
          </a:endParaRPr>
        </a:p>
        <a:p>
          <a:r>
            <a:rPr lang="en-US" sz="1100">
              <a:solidFill>
                <a:schemeClr val="dk1"/>
              </a:solidFill>
              <a:effectLst/>
              <a:latin typeface="+mn-lt"/>
              <a:ea typeface="+mn-ea"/>
              <a:cs typeface="+mn-cs"/>
            </a:rPr>
            <a:t>IY9&lt;174610, (IY9-43950)*.068+(43950*.0535)</a:t>
          </a:r>
          <a:endParaRPr lang="en-US">
            <a:effectLst/>
          </a:endParaRPr>
        </a:p>
        <a:p>
          <a:r>
            <a:rPr lang="en-US" sz="1100">
              <a:solidFill>
                <a:schemeClr val="dk1"/>
              </a:solidFill>
              <a:effectLst/>
              <a:latin typeface="+mn-lt"/>
              <a:ea typeface="+mn-ea"/>
              <a:cs typeface="+mn-cs"/>
            </a:rPr>
            <a:t>IY9&lt;304970, (IY9-174610)*.0785+((174610-43950)*.068) + (43950*.0535)</a:t>
          </a:r>
          <a:endParaRPr lang="en-US">
            <a:effectLst/>
          </a:endParaRPr>
        </a:p>
        <a:p>
          <a:r>
            <a:rPr lang="en-US" sz="1100">
              <a:solidFill>
                <a:schemeClr val="dk1"/>
              </a:solidFill>
              <a:effectLst/>
              <a:latin typeface="+mn-lt"/>
              <a:ea typeface="+mn-ea"/>
              <a:cs typeface="+mn-cs"/>
            </a:rPr>
            <a:t>IY9&gt;304970, (IY9-304970)*.0985+((304970-174610)*.0785)+((174610-43950)*.068) + (43950*.0535)</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If B1=2023 &amp; B2=MFS</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IY9&lt;21975, IY9*.0535</a:t>
          </a:r>
          <a:endParaRPr lang="en-US">
            <a:effectLst/>
          </a:endParaRPr>
        </a:p>
        <a:p>
          <a:r>
            <a:rPr lang="en-US" sz="1100">
              <a:solidFill>
                <a:schemeClr val="dk1"/>
              </a:solidFill>
              <a:effectLst/>
              <a:latin typeface="+mn-lt"/>
              <a:ea typeface="+mn-ea"/>
              <a:cs typeface="+mn-cs"/>
            </a:rPr>
            <a:t>IY9&lt;87305, (IY9-21975)*.068+(21975*.0535)</a:t>
          </a:r>
          <a:endParaRPr lang="en-US">
            <a:effectLst/>
          </a:endParaRPr>
        </a:p>
        <a:p>
          <a:r>
            <a:rPr lang="en-US" sz="1100">
              <a:solidFill>
                <a:schemeClr val="dk1"/>
              </a:solidFill>
              <a:effectLst/>
              <a:latin typeface="+mn-lt"/>
              <a:ea typeface="+mn-ea"/>
              <a:cs typeface="+mn-cs"/>
            </a:rPr>
            <a:t>IY9&lt;152485, (IY9-87305)*.0785+((87305-21975)*.068) + (21975*.0535)</a:t>
          </a:r>
          <a:endParaRPr lang="en-US">
            <a:effectLst/>
          </a:endParaRPr>
        </a:p>
        <a:p>
          <a:r>
            <a:rPr lang="en-US" sz="1100">
              <a:solidFill>
                <a:schemeClr val="dk1"/>
              </a:solidFill>
              <a:effectLst/>
              <a:latin typeface="+mn-lt"/>
              <a:ea typeface="+mn-ea"/>
              <a:cs typeface="+mn-cs"/>
            </a:rPr>
            <a:t>IY9&gt;152485, (IY9-152485)*.0985+((152485-87305)*.0785)+((87305-21975)*.068) + (21975*.0535)</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If B1=2023 &amp; B2=HOH</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IY9&lt;37010, IY9*.0535</a:t>
          </a:r>
          <a:endParaRPr lang="en-US">
            <a:effectLst/>
          </a:endParaRPr>
        </a:p>
        <a:p>
          <a:r>
            <a:rPr lang="en-US" sz="1100">
              <a:solidFill>
                <a:schemeClr val="dk1"/>
              </a:solidFill>
              <a:effectLst/>
              <a:latin typeface="+mn-lt"/>
              <a:ea typeface="+mn-ea"/>
              <a:cs typeface="+mn-cs"/>
            </a:rPr>
            <a:t>IY9&lt;148730, (IY9-37010)*.068+(37010*.0535)</a:t>
          </a:r>
          <a:endParaRPr lang="en-US">
            <a:effectLst/>
          </a:endParaRPr>
        </a:p>
        <a:p>
          <a:r>
            <a:rPr lang="en-US" sz="1100">
              <a:solidFill>
                <a:schemeClr val="dk1"/>
              </a:solidFill>
              <a:effectLst/>
              <a:latin typeface="+mn-lt"/>
              <a:ea typeface="+mn-ea"/>
              <a:cs typeface="+mn-cs"/>
            </a:rPr>
            <a:t>IY9&lt;243720, (IY9-148730)*.0785+((148730-37010)*.068) + (37010*.0535)</a:t>
          </a:r>
          <a:endParaRPr lang="en-US">
            <a:effectLst/>
          </a:endParaRPr>
        </a:p>
        <a:p>
          <a:r>
            <a:rPr lang="en-US" sz="1100">
              <a:solidFill>
                <a:schemeClr val="dk1"/>
              </a:solidFill>
              <a:effectLst/>
              <a:latin typeface="+mn-lt"/>
              <a:ea typeface="+mn-ea"/>
              <a:cs typeface="+mn-cs"/>
            </a:rPr>
            <a:t>IY9&gt;243720, (IY9-243720)*.0985+((243720-148730)*.0785)+((148730-37010)*.068) + (37010*.0535)</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If B1=2023 &amp; B2=Single</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IY9&lt;30070, IY9*.0535</a:t>
          </a:r>
          <a:endParaRPr lang="en-US">
            <a:effectLst/>
          </a:endParaRPr>
        </a:p>
        <a:p>
          <a:r>
            <a:rPr lang="en-US" sz="1100">
              <a:solidFill>
                <a:schemeClr val="dk1"/>
              </a:solidFill>
              <a:effectLst/>
              <a:latin typeface="+mn-lt"/>
              <a:ea typeface="+mn-ea"/>
              <a:cs typeface="+mn-cs"/>
            </a:rPr>
            <a:t>IY9&lt;98760, (IY9-30070)*.068+(30070*.0535)</a:t>
          </a:r>
          <a:endParaRPr lang="en-US">
            <a:effectLst/>
          </a:endParaRPr>
        </a:p>
        <a:p>
          <a:r>
            <a:rPr lang="en-US" sz="1100">
              <a:solidFill>
                <a:schemeClr val="dk1"/>
              </a:solidFill>
              <a:effectLst/>
              <a:latin typeface="+mn-lt"/>
              <a:ea typeface="+mn-ea"/>
              <a:cs typeface="+mn-cs"/>
            </a:rPr>
            <a:t>IY9&lt;183340, (IY9-98760)*.0785+((98760-30070)*.068) + (30070*.0535)</a:t>
          </a:r>
          <a:endParaRPr lang="en-US">
            <a:effectLst/>
          </a:endParaRPr>
        </a:p>
        <a:p>
          <a:r>
            <a:rPr lang="en-US" sz="1100">
              <a:solidFill>
                <a:schemeClr val="dk1"/>
              </a:solidFill>
              <a:effectLst/>
              <a:latin typeface="+mn-lt"/>
              <a:ea typeface="+mn-ea"/>
              <a:cs typeface="+mn-cs"/>
            </a:rPr>
            <a:t>IY9&gt;183340, (IY9-183340)*.0985+((183340-98760)*.0785)+((98760-30070)*.068) + (30070*.0535)</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If B1=2024 &amp; B2=MFJ</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IY9&lt;46330, IY9*.0535</a:t>
          </a:r>
          <a:endParaRPr lang="en-US">
            <a:effectLst/>
          </a:endParaRPr>
        </a:p>
        <a:p>
          <a:r>
            <a:rPr lang="en-US" sz="1100">
              <a:solidFill>
                <a:schemeClr val="dk1"/>
              </a:solidFill>
              <a:effectLst/>
              <a:latin typeface="+mn-lt"/>
              <a:ea typeface="+mn-ea"/>
              <a:cs typeface="+mn-cs"/>
            </a:rPr>
            <a:t>IY9&lt;184040, (IY9-46330)*.068+(46330*.0535)</a:t>
          </a:r>
          <a:endParaRPr lang="en-US">
            <a:effectLst/>
          </a:endParaRPr>
        </a:p>
        <a:p>
          <a:r>
            <a:rPr lang="en-US" sz="1100">
              <a:solidFill>
                <a:schemeClr val="dk1"/>
              </a:solidFill>
              <a:effectLst/>
              <a:latin typeface="+mn-lt"/>
              <a:ea typeface="+mn-ea"/>
              <a:cs typeface="+mn-cs"/>
            </a:rPr>
            <a:t>IY9&lt;321450, (IY9-184040)*.0785+((184040-46330)*.068) + (46330*.0535)</a:t>
          </a:r>
          <a:endParaRPr lang="en-US">
            <a:effectLst/>
          </a:endParaRPr>
        </a:p>
        <a:p>
          <a:r>
            <a:rPr lang="en-US" sz="1100">
              <a:solidFill>
                <a:schemeClr val="dk1"/>
              </a:solidFill>
              <a:effectLst/>
              <a:latin typeface="+mn-lt"/>
              <a:ea typeface="+mn-ea"/>
              <a:cs typeface="+mn-cs"/>
            </a:rPr>
            <a:t>IY9&gt;321450, (IY9-321450)*.0985+((321450-184040)*.0785)+((184040-46330)*.068) + (46630*.0535)</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If B1=2024 &amp; B2=MFS</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IY9&lt;23165, IY9*.0535</a:t>
          </a:r>
          <a:endParaRPr lang="en-US">
            <a:effectLst/>
          </a:endParaRPr>
        </a:p>
        <a:p>
          <a:r>
            <a:rPr lang="en-US" sz="1100">
              <a:solidFill>
                <a:schemeClr val="dk1"/>
              </a:solidFill>
              <a:effectLst/>
              <a:latin typeface="+mn-lt"/>
              <a:ea typeface="+mn-ea"/>
              <a:cs typeface="+mn-cs"/>
            </a:rPr>
            <a:t>IY9&lt;92020, (IY9-23165)*.068+(23165*.0535)</a:t>
          </a:r>
          <a:endParaRPr lang="en-US">
            <a:effectLst/>
          </a:endParaRPr>
        </a:p>
        <a:p>
          <a:r>
            <a:rPr lang="en-US" sz="1100">
              <a:solidFill>
                <a:schemeClr val="dk1"/>
              </a:solidFill>
              <a:effectLst/>
              <a:latin typeface="+mn-lt"/>
              <a:ea typeface="+mn-ea"/>
              <a:cs typeface="+mn-cs"/>
            </a:rPr>
            <a:t>IY9&lt;160725, (IY9-92020)*.0785+((92020-23165)*.068) + (23165*.0535)</a:t>
          </a:r>
          <a:endParaRPr lang="en-US">
            <a:effectLst/>
          </a:endParaRPr>
        </a:p>
        <a:p>
          <a:r>
            <a:rPr lang="en-US" sz="1100">
              <a:solidFill>
                <a:schemeClr val="dk1"/>
              </a:solidFill>
              <a:effectLst/>
              <a:latin typeface="+mn-lt"/>
              <a:ea typeface="+mn-ea"/>
              <a:cs typeface="+mn-cs"/>
            </a:rPr>
            <a:t>IY9&gt;160725, (IY9-160725)*.0985+((160725-92020)*.0785)+((92020-23165)*.068) + (23165*.0535)</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If B1=2024 &amp; B2=HOH</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IY9&lt;39010, IY9*.0535</a:t>
          </a:r>
          <a:endParaRPr lang="en-US">
            <a:effectLst/>
          </a:endParaRPr>
        </a:p>
        <a:p>
          <a:r>
            <a:rPr lang="en-US" sz="1100">
              <a:solidFill>
                <a:schemeClr val="dk1"/>
              </a:solidFill>
              <a:effectLst/>
              <a:latin typeface="+mn-lt"/>
              <a:ea typeface="+mn-ea"/>
              <a:cs typeface="+mn-cs"/>
            </a:rPr>
            <a:t>IY9&lt;156760, (IY9-39010)*.068+(39010*.0535)</a:t>
          </a:r>
          <a:endParaRPr lang="en-US">
            <a:effectLst/>
          </a:endParaRPr>
        </a:p>
        <a:p>
          <a:r>
            <a:rPr lang="en-US" sz="1100">
              <a:solidFill>
                <a:schemeClr val="dk1"/>
              </a:solidFill>
              <a:effectLst/>
              <a:latin typeface="+mn-lt"/>
              <a:ea typeface="+mn-ea"/>
              <a:cs typeface="+mn-cs"/>
            </a:rPr>
            <a:t>IY9&lt;256880, (IY9-156760)*.0785+((156760-39010)*.068) + (39010*.0535)</a:t>
          </a:r>
          <a:endParaRPr lang="en-US">
            <a:effectLst/>
          </a:endParaRPr>
        </a:p>
        <a:p>
          <a:r>
            <a:rPr lang="en-US" sz="1100">
              <a:solidFill>
                <a:schemeClr val="dk1"/>
              </a:solidFill>
              <a:effectLst/>
              <a:latin typeface="+mn-lt"/>
              <a:ea typeface="+mn-ea"/>
              <a:cs typeface="+mn-cs"/>
            </a:rPr>
            <a:t>IY9&gt;256880, (IY9-256880)*.0985+((256880-156760)*.0785)+((156760-39010)*.068) + (39010*.0535)</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If B1=2024 &amp; B2=Single</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IY9&lt;31690, IY9*.0535</a:t>
          </a:r>
          <a:endParaRPr lang="en-US">
            <a:effectLst/>
          </a:endParaRPr>
        </a:p>
        <a:p>
          <a:r>
            <a:rPr lang="en-US" sz="1100">
              <a:solidFill>
                <a:schemeClr val="dk1"/>
              </a:solidFill>
              <a:effectLst/>
              <a:latin typeface="+mn-lt"/>
              <a:ea typeface="+mn-ea"/>
              <a:cs typeface="+mn-cs"/>
            </a:rPr>
            <a:t>IY9&lt;104090, (IY9-31690)*.068+(31690*.0535)</a:t>
          </a:r>
          <a:endParaRPr lang="en-US">
            <a:effectLst/>
          </a:endParaRPr>
        </a:p>
        <a:p>
          <a:r>
            <a:rPr lang="en-US" sz="1100">
              <a:solidFill>
                <a:schemeClr val="dk1"/>
              </a:solidFill>
              <a:effectLst/>
              <a:latin typeface="+mn-lt"/>
              <a:ea typeface="+mn-ea"/>
              <a:cs typeface="+mn-cs"/>
            </a:rPr>
            <a:t>IY9&lt;193240, (IY9-104090)*.0785+((104090-31690)*.068) + (31690*.0535)</a:t>
          </a:r>
          <a:endParaRPr lang="en-US">
            <a:effectLst/>
          </a:endParaRPr>
        </a:p>
        <a:p>
          <a:r>
            <a:rPr lang="en-US" sz="1100">
              <a:solidFill>
                <a:schemeClr val="dk1"/>
              </a:solidFill>
              <a:effectLst/>
              <a:latin typeface="+mn-lt"/>
              <a:ea typeface="+mn-ea"/>
              <a:cs typeface="+mn-cs"/>
            </a:rPr>
            <a:t>IY9&gt;193240, (IY9-193240)*.0985+((193240-104090)*.0785)+((104090-31690)*.068) + (31690*.0535)</a:t>
          </a:r>
          <a:endParaRPr lang="en-US">
            <a:effectLst/>
          </a:endParaRPr>
        </a:p>
        <a:p>
          <a:r>
            <a:rPr lang="en-US" sz="1100">
              <a:solidFill>
                <a:schemeClr val="dk1"/>
              </a:solidFill>
              <a:effectLst/>
              <a:latin typeface="+mn-lt"/>
              <a:ea typeface="+mn-ea"/>
              <a:cs typeface="+mn-cs"/>
            </a:rPr>
            <a:t> </a:t>
          </a:r>
          <a:endParaRPr lang="en-US">
            <a:effectLst/>
          </a:endParaRPr>
        </a:p>
        <a:p>
          <a:endParaRPr lang="en-US" sz="1100"/>
        </a:p>
      </xdr:txBody>
    </xdr:sp>
    <xdr:clientData/>
  </xdr:twoCellAnchor>
  <xdr:twoCellAnchor>
    <xdr:from>
      <xdr:col>12</xdr:col>
      <xdr:colOff>859971</xdr:colOff>
      <xdr:row>181</xdr:row>
      <xdr:rowOff>2721</xdr:rowOff>
    </xdr:from>
    <xdr:to>
      <xdr:col>14</xdr:col>
      <xdr:colOff>3042315</xdr:colOff>
      <xdr:row>182</xdr:row>
      <xdr:rowOff>58269</xdr:rowOff>
    </xdr:to>
    <xdr:sp macro="" textlink="">
      <xdr:nvSpPr>
        <xdr:cNvPr id="54" name="Arrow: Right 53">
          <a:extLst>
            <a:ext uri="{FF2B5EF4-FFF2-40B4-BE49-F238E27FC236}">
              <a16:creationId xmlns:a16="http://schemas.microsoft.com/office/drawing/2014/main" id="{8619C9BB-604F-4D93-AB0E-50AA9E6ABDEB}"/>
            </a:ext>
          </a:extLst>
        </xdr:cNvPr>
        <xdr:cNvSpPr/>
      </xdr:nvSpPr>
      <xdr:spPr>
        <a:xfrm>
          <a:off x="20957721" y="29448578"/>
          <a:ext cx="5162308" cy="24604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327691</xdr:colOff>
      <xdr:row>181</xdr:row>
      <xdr:rowOff>20332</xdr:rowOff>
    </xdr:from>
    <xdr:to>
      <xdr:col>12</xdr:col>
      <xdr:colOff>899191</xdr:colOff>
      <xdr:row>182</xdr:row>
      <xdr:rowOff>61953</xdr:rowOff>
    </xdr:to>
    <xdr:sp macro="" textlink="">
      <xdr:nvSpPr>
        <xdr:cNvPr id="69" name="TextBox 68">
          <a:extLst>
            <a:ext uri="{FF2B5EF4-FFF2-40B4-BE49-F238E27FC236}">
              <a16:creationId xmlns:a16="http://schemas.microsoft.com/office/drawing/2014/main" id="{42C4C2CC-CB12-4C10-8ABF-4E8F35CC3A6D}"/>
            </a:ext>
          </a:extLst>
        </xdr:cNvPr>
        <xdr:cNvSpPr txBox="1"/>
      </xdr:nvSpPr>
      <xdr:spPr>
        <a:xfrm>
          <a:off x="20375015" y="30914950"/>
          <a:ext cx="1815352" cy="232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You Must Change</a:t>
          </a:r>
        </a:p>
      </xdr:txBody>
    </xdr:sp>
    <xdr:clientData/>
  </xdr:twoCellAnchor>
  <xdr:twoCellAnchor>
    <xdr:from>
      <xdr:col>12</xdr:col>
      <xdr:colOff>903514</xdr:colOff>
      <xdr:row>194</xdr:row>
      <xdr:rowOff>19049</xdr:rowOff>
    </xdr:from>
    <xdr:to>
      <xdr:col>14</xdr:col>
      <xdr:colOff>3085858</xdr:colOff>
      <xdr:row>195</xdr:row>
      <xdr:rowOff>74597</xdr:rowOff>
    </xdr:to>
    <xdr:sp macro="" textlink="">
      <xdr:nvSpPr>
        <xdr:cNvPr id="72" name="Arrow: Right 71">
          <a:extLst>
            <a:ext uri="{FF2B5EF4-FFF2-40B4-BE49-F238E27FC236}">
              <a16:creationId xmlns:a16="http://schemas.microsoft.com/office/drawing/2014/main" id="{83768FD1-160B-4CCE-8BF9-9F937B0BE0AC}"/>
            </a:ext>
          </a:extLst>
        </xdr:cNvPr>
        <xdr:cNvSpPr/>
      </xdr:nvSpPr>
      <xdr:spPr>
        <a:xfrm>
          <a:off x="21001264" y="31791728"/>
          <a:ext cx="5162308" cy="24604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528116</xdr:colOff>
      <xdr:row>194</xdr:row>
      <xdr:rowOff>3043</xdr:rowOff>
    </xdr:from>
    <xdr:to>
      <xdr:col>12</xdr:col>
      <xdr:colOff>1099616</xdr:colOff>
      <xdr:row>195</xdr:row>
      <xdr:rowOff>44664</xdr:rowOff>
    </xdr:to>
    <xdr:sp macro="" textlink="">
      <xdr:nvSpPr>
        <xdr:cNvPr id="94" name="TextBox 93">
          <a:extLst>
            <a:ext uri="{FF2B5EF4-FFF2-40B4-BE49-F238E27FC236}">
              <a16:creationId xmlns:a16="http://schemas.microsoft.com/office/drawing/2014/main" id="{C875FFC6-E90F-4FE7-80CA-85A97588F278}"/>
            </a:ext>
          </a:extLst>
        </xdr:cNvPr>
        <xdr:cNvSpPr txBox="1"/>
      </xdr:nvSpPr>
      <xdr:spPr>
        <a:xfrm>
          <a:off x="20575440" y="33418984"/>
          <a:ext cx="1815352" cy="232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You Must Change</a:t>
          </a:r>
        </a:p>
      </xdr:txBody>
    </xdr:sp>
    <xdr:clientData/>
  </xdr:twoCellAnchor>
  <xdr:twoCellAnchor>
    <xdr:from>
      <xdr:col>12</xdr:col>
      <xdr:colOff>865414</xdr:colOff>
      <xdr:row>207</xdr:row>
      <xdr:rowOff>21770</xdr:rowOff>
    </xdr:from>
    <xdr:to>
      <xdr:col>14</xdr:col>
      <xdr:colOff>3047758</xdr:colOff>
      <xdr:row>208</xdr:row>
      <xdr:rowOff>77318</xdr:rowOff>
    </xdr:to>
    <xdr:sp macro="" textlink="">
      <xdr:nvSpPr>
        <xdr:cNvPr id="95" name="Arrow: Right 94">
          <a:extLst>
            <a:ext uri="{FF2B5EF4-FFF2-40B4-BE49-F238E27FC236}">
              <a16:creationId xmlns:a16="http://schemas.microsoft.com/office/drawing/2014/main" id="{B931EBF9-D3E1-48D6-B648-F09EB94D08E6}"/>
            </a:ext>
          </a:extLst>
        </xdr:cNvPr>
        <xdr:cNvSpPr/>
      </xdr:nvSpPr>
      <xdr:spPr>
        <a:xfrm>
          <a:off x="20963164" y="34121270"/>
          <a:ext cx="5162308" cy="24604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512428</xdr:colOff>
      <xdr:row>207</xdr:row>
      <xdr:rowOff>61793</xdr:rowOff>
    </xdr:from>
    <xdr:to>
      <xdr:col>12</xdr:col>
      <xdr:colOff>1083928</xdr:colOff>
      <xdr:row>208</xdr:row>
      <xdr:rowOff>24973</xdr:rowOff>
    </xdr:to>
    <xdr:sp macro="" textlink="">
      <xdr:nvSpPr>
        <xdr:cNvPr id="96" name="TextBox 95">
          <a:extLst>
            <a:ext uri="{FF2B5EF4-FFF2-40B4-BE49-F238E27FC236}">
              <a16:creationId xmlns:a16="http://schemas.microsoft.com/office/drawing/2014/main" id="{745DADBD-4AB1-40AC-B8DD-FA7093BD45E7}"/>
            </a:ext>
          </a:extLst>
        </xdr:cNvPr>
        <xdr:cNvSpPr txBox="1"/>
      </xdr:nvSpPr>
      <xdr:spPr>
        <a:xfrm>
          <a:off x="20559752" y="36066293"/>
          <a:ext cx="1815352" cy="232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You Must Change</a:t>
          </a:r>
        </a:p>
      </xdr:txBody>
    </xdr:sp>
    <xdr:clientData/>
  </xdr:twoCellAnchor>
  <xdr:twoCellAnchor>
    <xdr:from>
      <xdr:col>13</xdr:col>
      <xdr:colOff>86591</xdr:colOff>
      <xdr:row>251</xdr:row>
      <xdr:rowOff>121227</xdr:rowOff>
    </xdr:from>
    <xdr:to>
      <xdr:col>13</xdr:col>
      <xdr:colOff>1813432</xdr:colOff>
      <xdr:row>253</xdr:row>
      <xdr:rowOff>65598</xdr:rowOff>
    </xdr:to>
    <xdr:sp macro="" textlink="">
      <xdr:nvSpPr>
        <xdr:cNvPr id="97" name="Arrow: Right 96">
          <a:extLst>
            <a:ext uri="{FF2B5EF4-FFF2-40B4-BE49-F238E27FC236}">
              <a16:creationId xmlns:a16="http://schemas.microsoft.com/office/drawing/2014/main" id="{15C3900A-8F41-4BEE-A1D0-ADE7508F7F95}"/>
            </a:ext>
          </a:extLst>
        </xdr:cNvPr>
        <xdr:cNvSpPr/>
      </xdr:nvSpPr>
      <xdr:spPr>
        <a:xfrm>
          <a:off x="21145500" y="43468636"/>
          <a:ext cx="1726841" cy="32537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2587667</xdr:colOff>
      <xdr:row>256</xdr:row>
      <xdr:rowOff>7020</xdr:rowOff>
    </xdr:from>
    <xdr:to>
      <xdr:col>13</xdr:col>
      <xdr:colOff>632748</xdr:colOff>
      <xdr:row>258</xdr:row>
      <xdr:rowOff>54246</xdr:rowOff>
    </xdr:to>
    <xdr:sp macro="" textlink="">
      <xdr:nvSpPr>
        <xdr:cNvPr id="98" name="TextBox 97">
          <a:extLst>
            <a:ext uri="{FF2B5EF4-FFF2-40B4-BE49-F238E27FC236}">
              <a16:creationId xmlns:a16="http://schemas.microsoft.com/office/drawing/2014/main" id="{DDC29E8B-58D8-4862-AF74-CBD16CAB7205}"/>
            </a:ext>
          </a:extLst>
        </xdr:cNvPr>
        <xdr:cNvSpPr txBox="1"/>
      </xdr:nvSpPr>
      <xdr:spPr>
        <a:xfrm>
          <a:off x="19306843" y="46096814"/>
          <a:ext cx="3737670" cy="4394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t>Additional Medicare</a:t>
          </a:r>
        </a:p>
      </xdr:txBody>
    </xdr:sp>
    <xdr:clientData/>
  </xdr:twoCellAnchor>
  <xdr:twoCellAnchor>
    <xdr:from>
      <xdr:col>10</xdr:col>
      <xdr:colOff>2857900</xdr:colOff>
      <xdr:row>251</xdr:row>
      <xdr:rowOff>109458</xdr:rowOff>
    </xdr:from>
    <xdr:to>
      <xdr:col>13</xdr:col>
      <xdr:colOff>776807</xdr:colOff>
      <xdr:row>253</xdr:row>
      <xdr:rowOff>118263</xdr:rowOff>
    </xdr:to>
    <xdr:sp macro="" textlink="">
      <xdr:nvSpPr>
        <xdr:cNvPr id="100" name="TextBox 99">
          <a:extLst>
            <a:ext uri="{FF2B5EF4-FFF2-40B4-BE49-F238E27FC236}">
              <a16:creationId xmlns:a16="http://schemas.microsoft.com/office/drawing/2014/main" id="{929E6C15-F664-4B2B-9C22-9906201E5DD3}"/>
            </a:ext>
          </a:extLst>
        </xdr:cNvPr>
        <xdr:cNvSpPr txBox="1"/>
      </xdr:nvSpPr>
      <xdr:spPr>
        <a:xfrm>
          <a:off x="19577076" y="45224340"/>
          <a:ext cx="3611496" cy="4010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t>Self Employment</a:t>
          </a:r>
        </a:p>
      </xdr:txBody>
    </xdr:sp>
    <xdr:clientData/>
  </xdr:twoCellAnchor>
  <xdr:twoCellAnchor>
    <xdr:from>
      <xdr:col>13</xdr:col>
      <xdr:colOff>163607</xdr:colOff>
      <xdr:row>259</xdr:row>
      <xdr:rowOff>68356</xdr:rowOff>
    </xdr:from>
    <xdr:to>
      <xdr:col>13</xdr:col>
      <xdr:colOff>1890448</xdr:colOff>
      <xdr:row>260</xdr:row>
      <xdr:rowOff>133350</xdr:rowOff>
    </xdr:to>
    <xdr:sp macro="" textlink="">
      <xdr:nvSpPr>
        <xdr:cNvPr id="102" name="Arrow: Right 101">
          <a:extLst>
            <a:ext uri="{FF2B5EF4-FFF2-40B4-BE49-F238E27FC236}">
              <a16:creationId xmlns:a16="http://schemas.microsoft.com/office/drawing/2014/main" id="{6C8EF261-6BDD-4386-866B-EFC6DBFD706D}"/>
            </a:ext>
          </a:extLst>
        </xdr:cNvPr>
        <xdr:cNvSpPr/>
      </xdr:nvSpPr>
      <xdr:spPr>
        <a:xfrm>
          <a:off x="21242432" y="44988256"/>
          <a:ext cx="1726841" cy="255494"/>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2160216</xdr:colOff>
      <xdr:row>258</xdr:row>
      <xdr:rowOff>174251</xdr:rowOff>
    </xdr:from>
    <xdr:to>
      <xdr:col>13</xdr:col>
      <xdr:colOff>843472</xdr:colOff>
      <xdr:row>261</xdr:row>
      <xdr:rowOff>21450</xdr:rowOff>
    </xdr:to>
    <xdr:sp macro="" textlink="">
      <xdr:nvSpPr>
        <xdr:cNvPr id="103" name="TextBox 102">
          <a:extLst>
            <a:ext uri="{FF2B5EF4-FFF2-40B4-BE49-F238E27FC236}">
              <a16:creationId xmlns:a16="http://schemas.microsoft.com/office/drawing/2014/main" id="{C50BB5B8-0D3A-483B-B401-4088B156913E}"/>
            </a:ext>
          </a:extLst>
        </xdr:cNvPr>
        <xdr:cNvSpPr txBox="1"/>
      </xdr:nvSpPr>
      <xdr:spPr>
        <a:xfrm>
          <a:off x="18879392" y="46656251"/>
          <a:ext cx="4375845" cy="4411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t>Total Employee/Employer</a:t>
          </a:r>
        </a:p>
      </xdr:txBody>
    </xdr:sp>
    <xdr:clientData/>
  </xdr:twoCellAnchor>
  <xdr:twoCellAnchor>
    <xdr:from>
      <xdr:col>13</xdr:col>
      <xdr:colOff>145677</xdr:colOff>
      <xdr:row>246</xdr:row>
      <xdr:rowOff>112059</xdr:rowOff>
    </xdr:from>
    <xdr:to>
      <xdr:col>13</xdr:col>
      <xdr:colOff>1870917</xdr:colOff>
      <xdr:row>248</xdr:row>
      <xdr:rowOff>45224</xdr:rowOff>
    </xdr:to>
    <xdr:sp macro="" textlink="">
      <xdr:nvSpPr>
        <xdr:cNvPr id="46" name="Arrow: Right 45">
          <a:extLst>
            <a:ext uri="{FF2B5EF4-FFF2-40B4-BE49-F238E27FC236}">
              <a16:creationId xmlns:a16="http://schemas.microsoft.com/office/drawing/2014/main" id="{BBB6CABB-B8C6-421F-B87F-6EC742C89BD2}"/>
            </a:ext>
          </a:extLst>
        </xdr:cNvPr>
        <xdr:cNvSpPr/>
      </xdr:nvSpPr>
      <xdr:spPr>
        <a:xfrm>
          <a:off x="21235148" y="43064206"/>
          <a:ext cx="1725240" cy="33657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3221692</xdr:colOff>
      <xdr:row>246</xdr:row>
      <xdr:rowOff>84044</xdr:rowOff>
    </xdr:from>
    <xdr:to>
      <xdr:col>13</xdr:col>
      <xdr:colOff>593111</xdr:colOff>
      <xdr:row>248</xdr:row>
      <xdr:rowOff>134470</xdr:rowOff>
    </xdr:to>
    <xdr:sp macro="" textlink="">
      <xdr:nvSpPr>
        <xdr:cNvPr id="59" name="TextBox 58">
          <a:extLst>
            <a:ext uri="{FF2B5EF4-FFF2-40B4-BE49-F238E27FC236}">
              <a16:creationId xmlns:a16="http://schemas.microsoft.com/office/drawing/2014/main" id="{14C58D9F-A05E-4223-9F97-5948122B701A}"/>
            </a:ext>
          </a:extLst>
        </xdr:cNvPr>
        <xdr:cNvSpPr txBox="1"/>
      </xdr:nvSpPr>
      <xdr:spPr>
        <a:xfrm>
          <a:off x="19940868" y="44212809"/>
          <a:ext cx="3064008" cy="4538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t>Fed Withholding</a:t>
          </a:r>
        </a:p>
      </xdr:txBody>
    </xdr:sp>
    <xdr:clientData/>
  </xdr:twoCellAnchor>
  <xdr:oneCellAnchor>
    <xdr:from>
      <xdr:col>1</xdr:col>
      <xdr:colOff>860482</xdr:colOff>
      <xdr:row>294</xdr:row>
      <xdr:rowOff>71871</xdr:rowOff>
    </xdr:from>
    <xdr:ext cx="16477909" cy="937629"/>
    <xdr:sp macro="" textlink="">
      <xdr:nvSpPr>
        <xdr:cNvPr id="61" name="Rectangle 60">
          <a:extLst>
            <a:ext uri="{FF2B5EF4-FFF2-40B4-BE49-F238E27FC236}">
              <a16:creationId xmlns:a16="http://schemas.microsoft.com/office/drawing/2014/main" id="{AC8998AB-5748-4097-8D4B-01D4EBF9208E}"/>
            </a:ext>
          </a:extLst>
        </xdr:cNvPr>
        <xdr:cNvSpPr/>
      </xdr:nvSpPr>
      <xdr:spPr>
        <a:xfrm>
          <a:off x="4462664" y="52926962"/>
          <a:ext cx="16477909"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Long Term Capital Gains Calculation &amp; Actual Tax Equation</a:t>
          </a:r>
          <a:endParaRPr lang="en-US" sz="5400" b="0" cap="none" spc="0" baseline="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24</xdr:col>
      <xdr:colOff>1801499</xdr:colOff>
      <xdr:row>27</xdr:row>
      <xdr:rowOff>113782</xdr:rowOff>
    </xdr:from>
    <xdr:to>
      <xdr:col>25</xdr:col>
      <xdr:colOff>332487</xdr:colOff>
      <xdr:row>31</xdr:row>
      <xdr:rowOff>33434</xdr:rowOff>
    </xdr:to>
    <xdr:sp macro="" textlink="">
      <xdr:nvSpPr>
        <xdr:cNvPr id="60" name="Arrow: Right 59">
          <a:extLst>
            <a:ext uri="{FF2B5EF4-FFF2-40B4-BE49-F238E27FC236}">
              <a16:creationId xmlns:a16="http://schemas.microsoft.com/office/drawing/2014/main" id="{E3C831F9-E1D6-46B2-9D24-BD60A85CCC91}"/>
            </a:ext>
          </a:extLst>
        </xdr:cNvPr>
        <xdr:cNvSpPr/>
      </xdr:nvSpPr>
      <xdr:spPr>
        <a:xfrm rot="3538461">
          <a:off x="43863211" y="5621040"/>
          <a:ext cx="726476" cy="33513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1647265</xdr:colOff>
      <xdr:row>25</xdr:row>
      <xdr:rowOff>145676</xdr:rowOff>
    </xdr:from>
    <xdr:to>
      <xdr:col>26</xdr:col>
      <xdr:colOff>33617</xdr:colOff>
      <xdr:row>27</xdr:row>
      <xdr:rowOff>190499</xdr:rowOff>
    </xdr:to>
    <xdr:sp macro="" textlink="">
      <xdr:nvSpPr>
        <xdr:cNvPr id="62" name="TextBox 61">
          <a:extLst>
            <a:ext uri="{FF2B5EF4-FFF2-40B4-BE49-F238E27FC236}">
              <a16:creationId xmlns:a16="http://schemas.microsoft.com/office/drawing/2014/main" id="{EF10E390-C459-4367-9F88-12C6D66EF0F1}"/>
            </a:ext>
          </a:extLst>
        </xdr:cNvPr>
        <xdr:cNvSpPr txBox="1"/>
      </xdr:nvSpPr>
      <xdr:spPr>
        <a:xfrm>
          <a:off x="43904647" y="5065058"/>
          <a:ext cx="1871382" cy="437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Person 1 for</a:t>
          </a:r>
          <a:r>
            <a:rPr lang="en-US" sz="1100" baseline="0"/>
            <a:t> 401(k) Reasonable Compensation</a:t>
          </a:r>
        </a:p>
        <a:p>
          <a:endParaRPr lang="en-US" sz="1100"/>
        </a:p>
      </xdr:txBody>
    </xdr:sp>
    <xdr:clientData/>
  </xdr:twoCellAnchor>
  <xdr:twoCellAnchor>
    <xdr:from>
      <xdr:col>28</xdr:col>
      <xdr:colOff>1183822</xdr:colOff>
      <xdr:row>25</xdr:row>
      <xdr:rowOff>111258</xdr:rowOff>
    </xdr:from>
    <xdr:to>
      <xdr:col>30</xdr:col>
      <xdr:colOff>285750</xdr:colOff>
      <xdr:row>27</xdr:row>
      <xdr:rowOff>176893</xdr:rowOff>
    </xdr:to>
    <xdr:sp macro="" textlink="">
      <xdr:nvSpPr>
        <xdr:cNvPr id="101" name="TextBox 100">
          <a:extLst>
            <a:ext uri="{FF2B5EF4-FFF2-40B4-BE49-F238E27FC236}">
              <a16:creationId xmlns:a16="http://schemas.microsoft.com/office/drawing/2014/main" id="{7B93E707-7FCA-42E4-8F7F-99BFC2DB5695}"/>
            </a:ext>
          </a:extLst>
        </xdr:cNvPr>
        <xdr:cNvSpPr txBox="1"/>
      </xdr:nvSpPr>
      <xdr:spPr>
        <a:xfrm>
          <a:off x="49788536" y="5023437"/>
          <a:ext cx="2041071" cy="4602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Person 2 for</a:t>
          </a:r>
          <a:r>
            <a:rPr lang="en-US" sz="1100" baseline="0"/>
            <a:t> 401(k) </a:t>
          </a:r>
          <a:r>
            <a:rPr lang="en-US" sz="1100" baseline="0">
              <a:solidFill>
                <a:schemeClr val="dk1"/>
              </a:solidFill>
              <a:effectLst/>
              <a:latin typeface="+mn-lt"/>
              <a:ea typeface="+mn-ea"/>
              <a:cs typeface="+mn-cs"/>
            </a:rPr>
            <a:t>Reasonable Compensation</a:t>
          </a:r>
          <a:endParaRPr lang="en-US">
            <a:effectLst/>
          </a:endParaRPr>
        </a:p>
        <a:p>
          <a:endParaRPr lang="en-US" sz="1100" baseline="0"/>
        </a:p>
        <a:p>
          <a:endParaRPr lang="en-US" sz="1100"/>
        </a:p>
      </xdr:txBody>
    </xdr:sp>
    <xdr:clientData/>
  </xdr:twoCellAnchor>
  <xdr:twoCellAnchor>
    <xdr:from>
      <xdr:col>26</xdr:col>
      <xdr:colOff>168089</xdr:colOff>
      <xdr:row>26</xdr:row>
      <xdr:rowOff>156883</xdr:rowOff>
    </xdr:from>
    <xdr:to>
      <xdr:col>27</xdr:col>
      <xdr:colOff>189700</xdr:colOff>
      <xdr:row>28</xdr:row>
      <xdr:rowOff>190500</xdr:rowOff>
    </xdr:to>
    <xdr:sp macro="" textlink="">
      <xdr:nvSpPr>
        <xdr:cNvPr id="109" name="TextBox 108">
          <a:extLst>
            <a:ext uri="{FF2B5EF4-FFF2-40B4-BE49-F238E27FC236}">
              <a16:creationId xmlns:a16="http://schemas.microsoft.com/office/drawing/2014/main" id="{FFA75BA7-6FA6-477E-916B-24BDE6880A35}"/>
            </a:ext>
          </a:extLst>
        </xdr:cNvPr>
        <xdr:cNvSpPr txBox="1"/>
      </xdr:nvSpPr>
      <xdr:spPr>
        <a:xfrm>
          <a:off x="45910501" y="5266765"/>
          <a:ext cx="1455964" cy="437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 of People getting 401(k)</a:t>
          </a:r>
          <a:endParaRPr lang="en-US" sz="1100" baseline="0"/>
        </a:p>
        <a:p>
          <a:endParaRPr lang="en-US" sz="1100"/>
        </a:p>
      </xdr:txBody>
    </xdr:sp>
    <xdr:clientData/>
  </xdr:twoCellAnchor>
  <xdr:oneCellAnchor>
    <xdr:from>
      <xdr:col>22</xdr:col>
      <xdr:colOff>1622537</xdr:colOff>
      <xdr:row>18</xdr:row>
      <xdr:rowOff>57150</xdr:rowOff>
    </xdr:from>
    <xdr:ext cx="6078460" cy="937629"/>
    <xdr:sp macro="" textlink="">
      <xdr:nvSpPr>
        <xdr:cNvPr id="108" name="Rectangle 107">
          <a:extLst>
            <a:ext uri="{FF2B5EF4-FFF2-40B4-BE49-F238E27FC236}">
              <a16:creationId xmlns:a16="http://schemas.microsoft.com/office/drawing/2014/main" id="{61F6F9E1-3AC1-488E-BC1C-59E19CA7D365}"/>
            </a:ext>
          </a:extLst>
        </xdr:cNvPr>
        <xdr:cNvSpPr/>
      </xdr:nvSpPr>
      <xdr:spPr>
        <a:xfrm>
          <a:off x="41332262" y="3543300"/>
          <a:ext cx="6078460" cy="937629"/>
        </a:xfrm>
        <a:prstGeom prst="rect">
          <a:avLst/>
        </a:prstGeom>
        <a:noFill/>
      </xdr:spPr>
      <xdr:txBody>
        <a:bodyPr wrap="none" lIns="91440" tIns="45720" rIns="91440" bIns="45720">
          <a:spAutoFit/>
        </a:bodyPr>
        <a:lstStyle/>
        <a:p>
          <a:pPr algn="ctr"/>
          <a:r>
            <a:rPr lang="en-US" sz="5400" b="0" cap="none" spc="0" baseline="0">
              <a:ln w="0"/>
              <a:solidFill>
                <a:schemeClr val="tx1"/>
              </a:solidFill>
              <a:effectLst>
                <a:outerShdw blurRad="38100" dist="19050" dir="2700000" algn="tl" rotWithShape="0">
                  <a:schemeClr val="dk1">
                    <a:alpha val="40000"/>
                  </a:schemeClr>
                </a:outerShdw>
              </a:effectLst>
            </a:rPr>
            <a:t>Strategy Calculations</a:t>
          </a:r>
        </a:p>
      </xdr:txBody>
    </xdr:sp>
    <xdr:clientData/>
  </xdr:oneCellAnchor>
  <xdr:oneCellAnchor>
    <xdr:from>
      <xdr:col>19</xdr:col>
      <xdr:colOff>728448</xdr:colOff>
      <xdr:row>92</xdr:row>
      <xdr:rowOff>124281</xdr:rowOff>
    </xdr:from>
    <xdr:ext cx="10637977" cy="937629"/>
    <xdr:sp macro="" textlink="">
      <xdr:nvSpPr>
        <xdr:cNvPr id="3" name="Rectangle 2">
          <a:extLst>
            <a:ext uri="{FF2B5EF4-FFF2-40B4-BE49-F238E27FC236}">
              <a16:creationId xmlns:a16="http://schemas.microsoft.com/office/drawing/2014/main" id="{40DFB4A1-C0BD-4317-89F1-69D8C0DFE76F}"/>
            </a:ext>
          </a:extLst>
        </xdr:cNvPr>
        <xdr:cNvSpPr/>
      </xdr:nvSpPr>
      <xdr:spPr>
        <a:xfrm>
          <a:off x="35943734" y="19460031"/>
          <a:ext cx="10637977" cy="937629"/>
        </a:xfrm>
        <a:prstGeom prst="rect">
          <a:avLst/>
        </a:prstGeom>
        <a:noFill/>
      </xdr:spPr>
      <xdr:txBody>
        <a:bodyPr wrap="none" lIns="91440" tIns="45720" rIns="91440" bIns="45720">
          <a:spAutoFit/>
        </a:bodyPr>
        <a:lstStyle/>
        <a:p>
          <a:pPr algn="ctr"/>
          <a:r>
            <a:rPr lang="en-US" sz="5400" b="0" cap="none" spc="0" baseline="0">
              <a:ln w="0"/>
              <a:solidFill>
                <a:schemeClr val="tx1"/>
              </a:solidFill>
              <a:effectLst>
                <a:outerShdw blurRad="38100" dist="19050" dir="2700000" algn="tl" rotWithShape="0">
                  <a:schemeClr val="dk1">
                    <a:alpha val="40000"/>
                  </a:schemeClr>
                </a:outerShdw>
              </a:effectLst>
            </a:rPr>
            <a:t>Qualified Business Income Deduction</a:t>
          </a:r>
        </a:p>
      </xdr:txBody>
    </xdr:sp>
    <xdr:clientData/>
  </xdr:oneCellAnchor>
  <xdr:twoCellAnchor>
    <xdr:from>
      <xdr:col>18</xdr:col>
      <xdr:colOff>635600</xdr:colOff>
      <xdr:row>29</xdr:row>
      <xdr:rowOff>90164</xdr:rowOff>
    </xdr:from>
    <xdr:to>
      <xdr:col>20</xdr:col>
      <xdr:colOff>917299</xdr:colOff>
      <xdr:row>31</xdr:row>
      <xdr:rowOff>34683</xdr:rowOff>
    </xdr:to>
    <xdr:sp macro="" textlink="">
      <xdr:nvSpPr>
        <xdr:cNvPr id="4" name="Arrow: Right 3">
          <a:extLst>
            <a:ext uri="{FF2B5EF4-FFF2-40B4-BE49-F238E27FC236}">
              <a16:creationId xmlns:a16="http://schemas.microsoft.com/office/drawing/2014/main" id="{2B620662-DB2E-4978-B7BA-40B72915526F}"/>
            </a:ext>
          </a:extLst>
        </xdr:cNvPr>
        <xdr:cNvSpPr/>
      </xdr:nvSpPr>
      <xdr:spPr>
        <a:xfrm>
          <a:off x="34055926" y="6517468"/>
          <a:ext cx="3578177" cy="34208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66261</xdr:colOff>
      <xdr:row>25</xdr:row>
      <xdr:rowOff>165652</xdr:rowOff>
    </xdr:from>
    <xdr:to>
      <xdr:col>19</xdr:col>
      <xdr:colOff>1522225</xdr:colOff>
      <xdr:row>29</xdr:row>
      <xdr:rowOff>157370</xdr:rowOff>
    </xdr:to>
    <xdr:sp macro="" textlink="">
      <xdr:nvSpPr>
        <xdr:cNvPr id="8" name="TextBox 7">
          <a:extLst>
            <a:ext uri="{FF2B5EF4-FFF2-40B4-BE49-F238E27FC236}">
              <a16:creationId xmlns:a16="http://schemas.microsoft.com/office/drawing/2014/main" id="{5F654C7C-FB70-412A-A641-772C116E897F}"/>
            </a:ext>
          </a:extLst>
        </xdr:cNvPr>
        <xdr:cNvSpPr txBox="1"/>
      </xdr:nvSpPr>
      <xdr:spPr>
        <a:xfrm>
          <a:off x="35134826" y="5806109"/>
          <a:ext cx="1455964" cy="778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Amounts in red are based on strategy box to the right.</a:t>
          </a:r>
          <a:endParaRPr lang="en-US" sz="1100"/>
        </a:p>
      </xdr:txBody>
    </xdr:sp>
    <xdr:clientData/>
  </xdr:twoCellAnchor>
  <xdr:oneCellAnchor>
    <xdr:from>
      <xdr:col>17</xdr:col>
      <xdr:colOff>342025</xdr:colOff>
      <xdr:row>55</xdr:row>
      <xdr:rowOff>12180</xdr:rowOff>
    </xdr:from>
    <xdr:ext cx="2526681" cy="1388555"/>
    <xdr:sp macro="" textlink="">
      <xdr:nvSpPr>
        <xdr:cNvPr id="10" name="Rectangle 9">
          <a:extLst>
            <a:ext uri="{FF2B5EF4-FFF2-40B4-BE49-F238E27FC236}">
              <a16:creationId xmlns:a16="http://schemas.microsoft.com/office/drawing/2014/main" id="{32331AAC-CD69-4688-BB57-B536EA6DA243}"/>
            </a:ext>
          </a:extLst>
        </xdr:cNvPr>
        <xdr:cNvSpPr/>
      </xdr:nvSpPr>
      <xdr:spPr>
        <a:xfrm>
          <a:off x="32222760" y="11733533"/>
          <a:ext cx="2526681" cy="1388555"/>
        </a:xfrm>
        <a:prstGeom prst="rect">
          <a:avLst/>
        </a:prstGeom>
        <a:noFill/>
      </xdr:spPr>
      <xdr:txBody>
        <a:bodyPr wrap="none" lIns="91440" tIns="45720" rIns="91440" bIns="45720">
          <a:noAutofit/>
        </a:bodyPr>
        <a:lstStyle/>
        <a:p>
          <a:pPr algn="ctr"/>
          <a:r>
            <a:rPr lang="en-US" sz="40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Shawn Quick</a:t>
          </a:r>
          <a:br>
            <a:rPr lang="en-US" sz="40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br>
          <a:r>
            <a:rPr lang="en-US" sz="40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Deductions</a:t>
          </a:r>
        </a:p>
      </xdr:txBody>
    </xdr:sp>
    <xdr:clientData/>
  </xdr:oneCellAnchor>
  <xdr:oneCellAnchor>
    <xdr:from>
      <xdr:col>58</xdr:col>
      <xdr:colOff>794536</xdr:colOff>
      <xdr:row>46</xdr:row>
      <xdr:rowOff>108858</xdr:rowOff>
    </xdr:from>
    <xdr:ext cx="7933134" cy="937629"/>
    <xdr:sp macro="" textlink="">
      <xdr:nvSpPr>
        <xdr:cNvPr id="11" name="Rectangle 10">
          <a:extLst>
            <a:ext uri="{FF2B5EF4-FFF2-40B4-BE49-F238E27FC236}">
              <a16:creationId xmlns:a16="http://schemas.microsoft.com/office/drawing/2014/main" id="{A1A38FA3-173E-4913-9FB4-BD971F905F8D}"/>
            </a:ext>
          </a:extLst>
        </xdr:cNvPr>
        <xdr:cNvSpPr/>
      </xdr:nvSpPr>
      <xdr:spPr>
        <a:xfrm>
          <a:off x="91254822" y="10055679"/>
          <a:ext cx="7933134" cy="937629"/>
        </a:xfrm>
        <a:prstGeom prst="rect">
          <a:avLst/>
        </a:prstGeom>
        <a:noFill/>
      </xdr:spPr>
      <xdr:txBody>
        <a:bodyPr wrap="none" lIns="91440" tIns="45720" rIns="91440" bIns="45720">
          <a:spAutoFit/>
        </a:bodyPr>
        <a:lstStyle/>
        <a:p>
          <a:pPr algn="ctr"/>
          <a:r>
            <a:rPr lang="en-US" sz="5400" b="0" cap="none" spc="0" baseline="0">
              <a:ln w="0"/>
              <a:solidFill>
                <a:schemeClr val="tx1"/>
              </a:solidFill>
              <a:effectLst>
                <a:outerShdw blurRad="38100" dist="19050" dir="2700000" algn="tl" rotWithShape="0">
                  <a:schemeClr val="dk1">
                    <a:alpha val="40000"/>
                  </a:schemeClr>
                </a:outerShdw>
              </a:effectLst>
            </a:rPr>
            <a:t>Net Investment Income Tax</a:t>
          </a:r>
        </a:p>
      </xdr:txBody>
    </xdr:sp>
    <xdr:clientData/>
  </xdr:oneCellAnchor>
  <xdr:twoCellAnchor>
    <xdr:from>
      <xdr:col>59</xdr:col>
      <xdr:colOff>324970</xdr:colOff>
      <xdr:row>40</xdr:row>
      <xdr:rowOff>123265</xdr:rowOff>
    </xdr:from>
    <xdr:to>
      <xdr:col>66</xdr:col>
      <xdr:colOff>616324</xdr:colOff>
      <xdr:row>47</xdr:row>
      <xdr:rowOff>78441</xdr:rowOff>
    </xdr:to>
    <xdr:sp macro="" textlink="">
      <xdr:nvSpPr>
        <xdr:cNvPr id="9" name="TextBox 8">
          <a:extLst>
            <a:ext uri="{FF2B5EF4-FFF2-40B4-BE49-F238E27FC236}">
              <a16:creationId xmlns:a16="http://schemas.microsoft.com/office/drawing/2014/main" id="{30AC409F-2F2A-4AA6-8D6E-39394AE4F757}"/>
            </a:ext>
          </a:extLst>
        </xdr:cNvPr>
        <xdr:cNvSpPr txBox="1"/>
      </xdr:nvSpPr>
      <xdr:spPr>
        <a:xfrm>
          <a:off x="91585676" y="8819030"/>
          <a:ext cx="6622677" cy="13671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Look at tax return and make sure initial year is the same inputs and carry over the extra numbers that are reported to this schedule. </a:t>
          </a:r>
        </a:p>
        <a:p>
          <a:endParaRPr lang="en-US" sz="1400" baseline="0"/>
        </a:p>
        <a:p>
          <a:r>
            <a:rPr lang="en-US" sz="1400" baseline="0"/>
            <a:t>if you are </a:t>
          </a:r>
          <a:r>
            <a:rPr lang="en-US" sz="1400" b="1" baseline="0"/>
            <a:t>reallocating</a:t>
          </a:r>
          <a:r>
            <a:rPr lang="en-US" sz="1400" baseline="0"/>
            <a:t> the </a:t>
          </a:r>
          <a:r>
            <a:rPr lang="en-US" sz="1400" b="1" baseline="0"/>
            <a:t>dividends and interest</a:t>
          </a:r>
          <a:r>
            <a:rPr lang="en-US" sz="1400" baseline="0"/>
            <a:t>, be sure that the values are kept here as if they are not in the same cell, </a:t>
          </a:r>
          <a:r>
            <a:rPr lang="en-US" sz="1400" b="1" baseline="0"/>
            <a:t>they will not be considered</a:t>
          </a:r>
        </a:p>
        <a:p>
          <a:endParaRPr lang="en-US" sz="1100"/>
        </a:p>
      </xdr:txBody>
    </xdr:sp>
    <xdr:clientData/>
  </xdr:twoCellAnchor>
  <xdr:twoCellAnchor editAs="oneCell">
    <xdr:from>
      <xdr:col>86</xdr:col>
      <xdr:colOff>459441</xdr:colOff>
      <xdr:row>27</xdr:row>
      <xdr:rowOff>134471</xdr:rowOff>
    </xdr:from>
    <xdr:to>
      <xdr:col>95</xdr:col>
      <xdr:colOff>375371</xdr:colOff>
      <xdr:row>47</xdr:row>
      <xdr:rowOff>187148</xdr:rowOff>
    </xdr:to>
    <xdr:pic>
      <xdr:nvPicPr>
        <xdr:cNvPr id="23" name="Picture 22">
          <a:extLst>
            <a:ext uri="{FF2B5EF4-FFF2-40B4-BE49-F238E27FC236}">
              <a16:creationId xmlns:a16="http://schemas.microsoft.com/office/drawing/2014/main" id="{E08949EF-169C-AF3D-41F7-B6A7A580780C}"/>
            </a:ext>
          </a:extLst>
        </xdr:cNvPr>
        <xdr:cNvPicPr>
          <a:picLocks noChangeAspect="1"/>
        </xdr:cNvPicPr>
      </xdr:nvPicPr>
      <xdr:blipFill>
        <a:blip xmlns:r="http://schemas.openxmlformats.org/officeDocument/2006/relationships" r:embed="rId4"/>
        <a:stretch>
          <a:fillRect/>
        </a:stretch>
      </xdr:blipFill>
      <xdr:spPr>
        <a:xfrm>
          <a:off x="113986235" y="6208059"/>
          <a:ext cx="7849695" cy="4086795"/>
        </a:xfrm>
        <a:prstGeom prst="rect">
          <a:avLst/>
        </a:prstGeom>
      </xdr:spPr>
    </xdr:pic>
    <xdr:clientData/>
  </xdr:twoCellAnchor>
  <xdr:twoCellAnchor editAs="oneCell">
    <xdr:from>
      <xdr:col>76</xdr:col>
      <xdr:colOff>414618</xdr:colOff>
      <xdr:row>30</xdr:row>
      <xdr:rowOff>145676</xdr:rowOff>
    </xdr:from>
    <xdr:to>
      <xdr:col>86</xdr:col>
      <xdr:colOff>565872</xdr:colOff>
      <xdr:row>48</xdr:row>
      <xdr:rowOff>30186</xdr:rowOff>
    </xdr:to>
    <xdr:pic>
      <xdr:nvPicPr>
        <xdr:cNvPr id="24" name="Picture 23">
          <a:extLst>
            <a:ext uri="{FF2B5EF4-FFF2-40B4-BE49-F238E27FC236}">
              <a16:creationId xmlns:a16="http://schemas.microsoft.com/office/drawing/2014/main" id="{7799797E-ED8C-1830-EDF7-50B297A54252}"/>
            </a:ext>
          </a:extLst>
        </xdr:cNvPr>
        <xdr:cNvPicPr>
          <a:picLocks noChangeAspect="1"/>
        </xdr:cNvPicPr>
      </xdr:nvPicPr>
      <xdr:blipFill>
        <a:blip xmlns:r="http://schemas.openxmlformats.org/officeDocument/2006/relationships" r:embed="rId5"/>
        <a:stretch>
          <a:fillRect/>
        </a:stretch>
      </xdr:blipFill>
      <xdr:spPr>
        <a:xfrm>
          <a:off x="106242971" y="6824382"/>
          <a:ext cx="7849695" cy="3515216"/>
        </a:xfrm>
        <a:prstGeom prst="rect">
          <a:avLst/>
        </a:prstGeom>
      </xdr:spPr>
    </xdr:pic>
    <xdr:clientData/>
  </xdr:twoCellAnchor>
  <xdr:twoCellAnchor>
    <xdr:from>
      <xdr:col>23</xdr:col>
      <xdr:colOff>0</xdr:colOff>
      <xdr:row>11</xdr:row>
      <xdr:rowOff>33617</xdr:rowOff>
    </xdr:from>
    <xdr:to>
      <xdr:col>23</xdr:col>
      <xdr:colOff>1455964</xdr:colOff>
      <xdr:row>12</xdr:row>
      <xdr:rowOff>224118</xdr:rowOff>
    </xdr:to>
    <xdr:sp macro="" textlink="">
      <xdr:nvSpPr>
        <xdr:cNvPr id="14" name="TextBox 13">
          <a:extLst>
            <a:ext uri="{FF2B5EF4-FFF2-40B4-BE49-F238E27FC236}">
              <a16:creationId xmlns:a16="http://schemas.microsoft.com/office/drawing/2014/main" id="{CA8E3E2D-C611-46E4-805A-4CCEF3193DE4}"/>
            </a:ext>
          </a:extLst>
        </xdr:cNvPr>
        <xdr:cNvSpPr txBox="1"/>
      </xdr:nvSpPr>
      <xdr:spPr>
        <a:xfrm>
          <a:off x="42481500" y="2723029"/>
          <a:ext cx="1455964" cy="515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 green</a:t>
          </a:r>
          <a:r>
            <a:rPr lang="en-US" sz="1100" baseline="0"/>
            <a:t> portions are the equations above</a:t>
          </a:r>
        </a:p>
        <a:p>
          <a:endParaRPr lang="en-US" sz="1100"/>
        </a:p>
      </xdr:txBody>
    </xdr:sp>
    <xdr:clientData/>
  </xdr:twoCellAnchor>
  <xdr:twoCellAnchor>
    <xdr:from>
      <xdr:col>23</xdr:col>
      <xdr:colOff>560295</xdr:colOff>
      <xdr:row>8</xdr:row>
      <xdr:rowOff>168089</xdr:rowOff>
    </xdr:from>
    <xdr:to>
      <xdr:col>23</xdr:col>
      <xdr:colOff>895430</xdr:colOff>
      <xdr:row>11</xdr:row>
      <xdr:rowOff>36130</xdr:rowOff>
    </xdr:to>
    <xdr:sp macro="" textlink="">
      <xdr:nvSpPr>
        <xdr:cNvPr id="16" name="Arrow: Right 15">
          <a:extLst>
            <a:ext uri="{FF2B5EF4-FFF2-40B4-BE49-F238E27FC236}">
              <a16:creationId xmlns:a16="http://schemas.microsoft.com/office/drawing/2014/main" id="{319D1A79-1230-46C9-8078-08B1408AC557}"/>
            </a:ext>
          </a:extLst>
        </xdr:cNvPr>
        <xdr:cNvSpPr/>
      </xdr:nvSpPr>
      <xdr:spPr>
        <a:xfrm rot="16200000">
          <a:off x="42877533" y="2226145"/>
          <a:ext cx="663659" cy="33513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netorgft5088070-my.sharepoint.com/personal/casey_genwealth360_com/Documents/Simple%20Solar%20Model%20for%20Purchasers_V.18%20(003).xlsm?web=1"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5F850-CD22-462E-B4E7-7AD149F0E8AA}">
  <sheetPr codeName="Sheet1">
    <tabColor rgb="FFFFFF00"/>
  </sheetPr>
  <dimension ref="A1:VX468"/>
  <sheetViews>
    <sheetView tabSelected="1" topLeftCell="A55" zoomScaleNormal="100" workbookViewId="0">
      <selection activeCell="B85" sqref="B85"/>
    </sheetView>
  </sheetViews>
  <sheetFormatPr defaultRowHeight="15" x14ac:dyDescent="0.25"/>
  <cols>
    <col min="1" max="1" width="60.7109375" bestFit="1" customWidth="1"/>
    <col min="2" max="2" width="20.7109375" bestFit="1" customWidth="1"/>
    <col min="3" max="3" width="25.140625" customWidth="1"/>
    <col min="4" max="9" width="24" customWidth="1"/>
    <col min="10" max="10" width="24" hidden="1" customWidth="1"/>
    <col min="11" max="11" width="49.85546875" bestFit="1" customWidth="1"/>
    <col min="12" max="12" width="18.7109375" customWidth="1"/>
    <col min="13" max="13" width="16.85546875" customWidth="1"/>
    <col min="14" max="14" width="32.5703125" customWidth="1"/>
    <col min="15" max="15" width="47.42578125" bestFit="1" customWidth="1"/>
    <col min="16" max="16" width="32.28515625" bestFit="1" customWidth="1"/>
    <col min="17" max="17" width="29.7109375" bestFit="1" customWidth="1"/>
    <col min="18" max="21" width="24.7109375" customWidth="1"/>
    <col min="22" max="22" width="32.28515625" customWidth="1"/>
    <col min="23" max="23" width="27.85546875" bestFit="1" customWidth="1"/>
    <col min="24" max="24" width="24.7109375" customWidth="1"/>
    <col min="25" max="25" width="25.140625" customWidth="1"/>
    <col min="26" max="26" width="27" bestFit="1" customWidth="1"/>
    <col min="27" max="27" width="25.140625" customWidth="1"/>
    <col min="28" max="28" width="21.5703125" customWidth="1"/>
    <col min="29" max="29" width="21" customWidth="1"/>
    <col min="30" max="30" width="24.7109375" customWidth="1"/>
    <col min="31" max="31" width="19.42578125" bestFit="1" customWidth="1"/>
    <col min="32" max="32" width="12.42578125" bestFit="1" customWidth="1"/>
    <col min="33" max="33" width="90.85546875" customWidth="1"/>
    <col min="34" max="34" width="17.140625" bestFit="1" customWidth="1"/>
    <col min="35" max="35" width="54.42578125" bestFit="1" customWidth="1"/>
    <col min="36" max="36" width="25.28515625" bestFit="1" customWidth="1"/>
    <col min="37" max="44" width="20.140625" customWidth="1"/>
    <col min="45" max="48" width="10.28515625" bestFit="1" customWidth="1"/>
    <col min="49" max="49" width="10.28515625" customWidth="1"/>
    <col min="50" max="50" width="21.140625" bestFit="1" customWidth="1"/>
    <col min="51" max="59" width="12.42578125" bestFit="1" customWidth="1"/>
    <col min="60" max="60" width="12.42578125" customWidth="1"/>
    <col min="61" max="61" width="21.140625" bestFit="1" customWidth="1"/>
    <col min="62" max="62" width="10.28515625" bestFit="1" customWidth="1"/>
    <col min="63" max="69" width="12.7109375" bestFit="1" customWidth="1"/>
    <col min="70" max="70" width="12.7109375" customWidth="1"/>
    <col min="71" max="71" width="10.28515625" bestFit="1" customWidth="1"/>
    <col min="72" max="72" width="21.140625" bestFit="1" customWidth="1"/>
    <col min="73" max="80" width="10.28515625" bestFit="1" customWidth="1"/>
    <col min="81" max="81" width="10.28515625" customWidth="1"/>
    <col min="82" max="82" width="10.28515625" bestFit="1" customWidth="1"/>
    <col min="83" max="83" width="21.140625" bestFit="1" customWidth="1"/>
    <col min="84" max="84" width="9.5703125" bestFit="1" customWidth="1"/>
    <col min="85" max="91" width="11.5703125" bestFit="1" customWidth="1"/>
    <col min="92" max="92" width="11.5703125" customWidth="1"/>
    <col min="93" max="93" width="18" customWidth="1"/>
    <col min="94" max="94" width="21.140625" bestFit="1" customWidth="1"/>
    <col min="95" max="102" width="10.28515625" bestFit="1" customWidth="1"/>
    <col min="103" max="103" width="10.28515625" customWidth="1"/>
    <col min="104" max="104" width="10.28515625" bestFit="1" customWidth="1"/>
    <col min="105" max="105" width="36.140625" bestFit="1" customWidth="1"/>
    <col min="106" max="114" width="15.7109375" customWidth="1"/>
    <col min="115" max="115" width="10.28515625" customWidth="1"/>
    <col min="116" max="116" width="21.140625" bestFit="1" customWidth="1"/>
    <col min="117" max="124" width="11.28515625" bestFit="1" customWidth="1"/>
    <col min="125" max="125" width="11.28515625" customWidth="1"/>
    <col min="126" max="126" width="11.28515625" bestFit="1" customWidth="1"/>
    <col min="127" max="127" width="21.140625" bestFit="1" customWidth="1"/>
    <col min="128" max="135" width="20.7109375" bestFit="1" customWidth="1"/>
    <col min="136" max="136" width="20.7109375" customWidth="1"/>
    <col min="137" max="137" width="18.42578125" bestFit="1" customWidth="1"/>
    <col min="138" max="138" width="21.140625" bestFit="1" customWidth="1"/>
    <col min="139" max="146" width="10.28515625" bestFit="1" customWidth="1"/>
    <col min="147" max="147" width="10.28515625" customWidth="1"/>
    <col min="148" max="148" width="10.28515625" bestFit="1" customWidth="1"/>
    <col min="149" max="149" width="21.140625" bestFit="1" customWidth="1"/>
    <col min="150" max="157" width="10.28515625" bestFit="1" customWidth="1"/>
    <col min="158" max="158" width="10.28515625" customWidth="1"/>
    <col min="159" max="159" width="10.28515625" bestFit="1" customWidth="1"/>
    <col min="160" max="160" width="21.140625" bestFit="1" customWidth="1"/>
    <col min="161" max="168" width="10.28515625" bestFit="1" customWidth="1"/>
    <col min="169" max="169" width="10.28515625" customWidth="1"/>
    <col min="170" max="170" width="10.28515625" bestFit="1" customWidth="1"/>
    <col min="171" max="171" width="21.140625" bestFit="1" customWidth="1"/>
    <col min="172" max="180" width="10.28515625" bestFit="1" customWidth="1"/>
    <col min="181" max="181" width="10.28515625" customWidth="1"/>
    <col min="182" max="182" width="21.140625" bestFit="1" customWidth="1"/>
    <col min="183" max="190" width="10.28515625" bestFit="1" customWidth="1"/>
    <col min="191" max="191" width="10.28515625" customWidth="1"/>
    <col min="192" max="192" width="10.28515625" bestFit="1" customWidth="1"/>
    <col min="193" max="193" width="21.140625" bestFit="1" customWidth="1"/>
    <col min="194" max="200" width="10.28515625" bestFit="1" customWidth="1"/>
    <col min="201" max="202" width="10.28515625" customWidth="1"/>
    <col min="203" max="203" width="10.28515625" bestFit="1" customWidth="1"/>
    <col min="204" max="204" width="21.140625" bestFit="1" customWidth="1"/>
    <col min="205" max="212" width="10.28515625" bestFit="1" customWidth="1"/>
    <col min="213" max="213" width="10.28515625" customWidth="1"/>
    <col min="214" max="214" width="10.28515625" bestFit="1" customWidth="1"/>
    <col min="215" max="215" width="21.140625" bestFit="1" customWidth="1"/>
    <col min="216" max="223" width="10.28515625" bestFit="1" customWidth="1"/>
    <col min="224" max="224" width="10.28515625" customWidth="1"/>
    <col min="225" max="225" width="10.28515625" bestFit="1" customWidth="1"/>
    <col min="226" max="226" width="21.140625" bestFit="1" customWidth="1"/>
    <col min="227" max="234" width="10.28515625" bestFit="1" customWidth="1"/>
    <col min="235" max="235" width="10.28515625" customWidth="1"/>
    <col min="236" max="236" width="10.28515625" bestFit="1" customWidth="1"/>
    <col min="237" max="237" width="21.140625" bestFit="1" customWidth="1"/>
    <col min="238" max="245" width="10.28515625" bestFit="1" customWidth="1"/>
    <col min="246" max="246" width="10.28515625" customWidth="1"/>
    <col min="247" max="247" width="10.28515625" bestFit="1" customWidth="1"/>
    <col min="248" max="248" width="21.140625" bestFit="1" customWidth="1"/>
    <col min="249" max="256" width="10.28515625" bestFit="1" customWidth="1"/>
    <col min="257" max="257" width="10.28515625" customWidth="1"/>
    <col min="258" max="258" width="10.28515625" bestFit="1" customWidth="1"/>
    <col min="259" max="259" width="21.140625" bestFit="1" customWidth="1"/>
    <col min="260" max="260" width="14" bestFit="1" customWidth="1"/>
    <col min="261" max="267" width="19.85546875" bestFit="1" customWidth="1"/>
    <col min="268" max="268" width="19.85546875" customWidth="1"/>
    <col min="269" max="269" width="10.28515625" bestFit="1" customWidth="1"/>
    <col min="270" max="270" width="21.140625" bestFit="1" customWidth="1"/>
    <col min="271" max="278" width="10.28515625" bestFit="1" customWidth="1"/>
    <col min="279" max="279" width="10.28515625" customWidth="1"/>
    <col min="280" max="280" width="10.28515625" bestFit="1" customWidth="1"/>
    <col min="281" max="281" width="21.140625" bestFit="1" customWidth="1"/>
    <col min="282" max="282" width="11" bestFit="1" customWidth="1"/>
    <col min="283" max="289" width="10.28515625" bestFit="1" customWidth="1"/>
    <col min="290" max="290" width="10.28515625" customWidth="1"/>
    <col min="291" max="291" width="10.28515625" bestFit="1" customWidth="1"/>
    <col min="292" max="292" width="21.140625" bestFit="1" customWidth="1"/>
    <col min="293" max="293" width="11.85546875" bestFit="1" customWidth="1"/>
    <col min="294" max="300" width="10.28515625" bestFit="1" customWidth="1"/>
    <col min="301" max="301" width="10.28515625" customWidth="1"/>
    <col min="302" max="302" width="10.28515625" bestFit="1" customWidth="1"/>
    <col min="303" max="303" width="41.42578125" bestFit="1" customWidth="1"/>
    <col min="304" max="312" width="13.28515625" bestFit="1" customWidth="1"/>
    <col min="313" max="313" width="10.28515625" bestFit="1" customWidth="1"/>
    <col min="314" max="314" width="21.140625" bestFit="1" customWidth="1"/>
    <col min="315" max="322" width="10.28515625" bestFit="1" customWidth="1"/>
    <col min="323" max="323" width="10.28515625" customWidth="1"/>
    <col min="324" max="324" width="10.28515625" bestFit="1" customWidth="1"/>
    <col min="325" max="325" width="21.140625" bestFit="1" customWidth="1"/>
    <col min="326" max="333" width="10.28515625" bestFit="1" customWidth="1"/>
    <col min="334" max="334" width="10.28515625" customWidth="1"/>
    <col min="335" max="335" width="10.28515625" bestFit="1" customWidth="1"/>
    <col min="336" max="336" width="21.140625" bestFit="1" customWidth="1"/>
    <col min="337" max="344" width="12.42578125" bestFit="1" customWidth="1"/>
    <col min="345" max="345" width="12.42578125" customWidth="1"/>
    <col min="346" max="346" width="12.42578125" bestFit="1" customWidth="1"/>
    <col min="347" max="347" width="21.140625" bestFit="1" customWidth="1"/>
    <col min="348" max="348" width="16" bestFit="1" customWidth="1"/>
    <col min="349" max="355" width="10.28515625" bestFit="1" customWidth="1"/>
    <col min="356" max="356" width="10.28515625" customWidth="1"/>
    <col min="357" max="357" width="10.28515625" bestFit="1" customWidth="1"/>
    <col min="358" max="358" width="21.140625" bestFit="1" customWidth="1"/>
    <col min="359" max="359" width="11.28515625" bestFit="1" customWidth="1"/>
    <col min="360" max="366" width="10.28515625" bestFit="1" customWidth="1"/>
    <col min="367" max="367" width="10.28515625" customWidth="1"/>
    <col min="368" max="368" width="10.28515625" bestFit="1" customWidth="1"/>
    <col min="369" max="369" width="21.140625" bestFit="1" customWidth="1"/>
    <col min="370" max="370" width="12.140625" bestFit="1" customWidth="1"/>
    <col min="371" max="376" width="10.28515625" bestFit="1" customWidth="1"/>
    <col min="377" max="378" width="11.42578125" customWidth="1"/>
    <col min="379" max="379" width="10.28515625" bestFit="1" customWidth="1"/>
    <col min="380" max="380" width="21.140625" bestFit="1" customWidth="1"/>
    <col min="381" max="388" width="10.28515625" bestFit="1" customWidth="1"/>
    <col min="389" max="389" width="10.28515625" customWidth="1"/>
    <col min="390" max="390" width="10.28515625" bestFit="1" customWidth="1"/>
    <col min="391" max="391" width="21.140625" bestFit="1" customWidth="1"/>
    <col min="392" max="392" width="14.5703125" bestFit="1" customWidth="1"/>
    <col min="393" max="399" width="10.28515625" bestFit="1" customWidth="1"/>
    <col min="400" max="400" width="10.28515625" customWidth="1"/>
    <col min="401" max="401" width="10.28515625" bestFit="1" customWidth="1"/>
    <col min="402" max="402" width="21.140625" bestFit="1" customWidth="1"/>
    <col min="403" max="403" width="13.42578125" bestFit="1" customWidth="1"/>
    <col min="404" max="410" width="10.28515625" bestFit="1" customWidth="1"/>
    <col min="411" max="411" width="10.28515625" customWidth="1"/>
    <col min="412" max="412" width="10.28515625" bestFit="1" customWidth="1"/>
    <col min="413" max="413" width="21.140625" bestFit="1" customWidth="1"/>
    <col min="414" max="421" width="10.28515625" bestFit="1" customWidth="1"/>
    <col min="422" max="422" width="10.28515625" customWidth="1"/>
    <col min="423" max="423" width="10.28515625" bestFit="1" customWidth="1"/>
    <col min="424" max="424" width="21.140625" bestFit="1" customWidth="1"/>
    <col min="425" max="425" width="10.5703125" bestFit="1" customWidth="1"/>
    <col min="426" max="432" width="10.28515625" bestFit="1" customWidth="1"/>
    <col min="433" max="433" width="10.28515625" customWidth="1"/>
    <col min="434" max="434" width="10.28515625" bestFit="1" customWidth="1"/>
    <col min="435" max="435" width="21.140625" bestFit="1" customWidth="1"/>
    <col min="436" max="443" width="10.28515625" bestFit="1" customWidth="1"/>
    <col min="444" max="444" width="10.28515625" customWidth="1"/>
    <col min="445" max="445" width="10.28515625" bestFit="1" customWidth="1"/>
    <col min="446" max="446" width="21.140625" bestFit="1" customWidth="1"/>
    <col min="447" max="447" width="13.42578125" bestFit="1" customWidth="1"/>
    <col min="448" max="454" width="10.28515625" bestFit="1" customWidth="1"/>
    <col min="455" max="455" width="10.28515625" customWidth="1"/>
    <col min="456" max="456" width="10.28515625" bestFit="1" customWidth="1"/>
    <col min="457" max="457" width="21.140625" bestFit="1" customWidth="1"/>
    <col min="458" max="458" width="13.5703125" bestFit="1" customWidth="1"/>
    <col min="459" max="466" width="10.28515625" bestFit="1" customWidth="1"/>
    <col min="467" max="467" width="10.28515625" customWidth="1"/>
    <col min="468" max="468" width="21.140625" bestFit="1" customWidth="1"/>
    <col min="469" max="469" width="14.7109375" bestFit="1" customWidth="1"/>
    <col min="470" max="476" width="10.28515625" bestFit="1" customWidth="1"/>
    <col min="477" max="477" width="10.28515625" customWidth="1"/>
    <col min="478" max="478" width="10.28515625" bestFit="1" customWidth="1"/>
    <col min="479" max="479" width="21.140625" bestFit="1" customWidth="1"/>
    <col min="480" max="480" width="13.5703125" bestFit="1" customWidth="1"/>
    <col min="481" max="487" width="12.42578125" bestFit="1" customWidth="1"/>
    <col min="488" max="488" width="12.42578125" customWidth="1"/>
    <col min="489" max="489" width="12.42578125" bestFit="1" customWidth="1"/>
    <col min="490" max="490" width="21.140625" bestFit="1" customWidth="1"/>
    <col min="491" max="491" width="11.28515625" bestFit="1" customWidth="1"/>
    <col min="492" max="499" width="10.28515625" bestFit="1" customWidth="1"/>
    <col min="500" max="500" width="10.28515625" customWidth="1"/>
    <col min="501" max="501" width="21.140625" bestFit="1" customWidth="1"/>
    <col min="502" max="509" width="12.42578125" bestFit="1" customWidth="1"/>
    <col min="510" max="510" width="12.42578125" customWidth="1"/>
    <col min="511" max="511" width="12.42578125" bestFit="1" customWidth="1"/>
    <col min="512" max="512" width="21.140625" bestFit="1" customWidth="1"/>
    <col min="513" max="520" width="10.28515625" bestFit="1" customWidth="1"/>
    <col min="521" max="521" width="10.28515625" customWidth="1"/>
    <col min="522" max="522" width="10.28515625" bestFit="1" customWidth="1"/>
    <col min="523" max="523" width="21.140625" bestFit="1" customWidth="1"/>
    <col min="524" max="532" width="10.28515625" bestFit="1" customWidth="1"/>
    <col min="533" max="533" width="10.28515625" customWidth="1"/>
    <col min="534" max="534" width="21.140625" bestFit="1" customWidth="1"/>
    <col min="535" max="542" width="10.28515625" bestFit="1" customWidth="1"/>
    <col min="543" max="543" width="10.28515625" customWidth="1"/>
    <col min="544" max="544" width="10.28515625" bestFit="1" customWidth="1"/>
    <col min="545" max="545" width="21.140625" bestFit="1" customWidth="1"/>
    <col min="546" max="554" width="12.42578125" bestFit="1" customWidth="1"/>
    <col min="555" max="555" width="12.42578125" customWidth="1"/>
    <col min="556" max="556" width="21.140625" bestFit="1" customWidth="1"/>
    <col min="557" max="557" width="13.7109375" bestFit="1" customWidth="1"/>
    <col min="558" max="565" width="10.28515625" bestFit="1" customWidth="1"/>
    <col min="566" max="566" width="10.28515625" customWidth="1"/>
    <col min="567" max="567" width="21.140625" bestFit="1" customWidth="1"/>
    <col min="568" max="568" width="10.7109375" bestFit="1" customWidth="1"/>
    <col min="569" max="576" width="10.28515625" bestFit="1" customWidth="1"/>
    <col min="577" max="577" width="10.28515625" customWidth="1"/>
    <col min="578" max="578" width="21.140625" bestFit="1" customWidth="1"/>
    <col min="579" max="587" width="12.42578125" bestFit="1" customWidth="1"/>
    <col min="588" max="588" width="13.85546875" bestFit="1" customWidth="1"/>
  </cols>
  <sheetData>
    <row r="1" spans="1:592" x14ac:dyDescent="0.25">
      <c r="A1" s="2" t="s">
        <v>97</v>
      </c>
      <c r="B1" s="3" t="s">
        <v>81</v>
      </c>
      <c r="C1" s="3" t="s">
        <v>81</v>
      </c>
      <c r="D1" s="3" t="s">
        <v>81</v>
      </c>
      <c r="E1" s="3" t="s">
        <v>81</v>
      </c>
      <c r="F1" s="3" t="s">
        <v>81</v>
      </c>
      <c r="G1" s="3" t="s">
        <v>81</v>
      </c>
      <c r="H1" s="3" t="s">
        <v>81</v>
      </c>
      <c r="I1" s="3" t="s">
        <v>81</v>
      </c>
      <c r="J1" s="3" t="str">
        <f t="shared" ref="J1:J10" si="0">B1</f>
        <v>[Fill if Necessary]</v>
      </c>
      <c r="K1" s="205" t="s">
        <v>360</v>
      </c>
      <c r="Q1" s="63" t="s">
        <v>212</v>
      </c>
      <c r="R1" s="64"/>
      <c r="S1" s="65" t="s">
        <v>213</v>
      </c>
      <c r="T1" s="65" t="s">
        <v>214</v>
      </c>
      <c r="U1" s="66" t="s">
        <v>215</v>
      </c>
      <c r="AN1" s="214" t="s">
        <v>63</v>
      </c>
      <c r="AO1" s="214"/>
      <c r="AP1" s="214"/>
      <c r="AQ1" s="214"/>
      <c r="AR1" s="214"/>
      <c r="AS1" s="214"/>
      <c r="AT1" s="214"/>
      <c r="AU1" s="214"/>
      <c r="AV1" s="214"/>
      <c r="AW1" s="214"/>
      <c r="AX1" s="214"/>
      <c r="AY1" s="214" t="s">
        <v>152</v>
      </c>
      <c r="AZ1" s="214"/>
      <c r="BA1" s="214"/>
      <c r="BB1" s="214"/>
      <c r="BC1" s="214"/>
      <c r="BD1" s="214"/>
      <c r="BE1" s="214"/>
      <c r="BF1" s="214"/>
      <c r="BG1" s="214"/>
      <c r="BH1" s="214"/>
      <c r="BI1" s="214"/>
      <c r="BJ1" s="214" t="s">
        <v>153</v>
      </c>
      <c r="BK1" s="214"/>
      <c r="BL1" s="214"/>
      <c r="BM1" s="214"/>
      <c r="BN1" s="214"/>
      <c r="BO1" s="214"/>
      <c r="BP1" s="214"/>
      <c r="BQ1" s="214"/>
      <c r="BR1" s="214"/>
      <c r="BS1" s="214"/>
      <c r="BT1" s="214"/>
      <c r="BU1" s="214" t="s">
        <v>154</v>
      </c>
      <c r="BV1" s="214"/>
      <c r="BW1" s="214"/>
      <c r="BX1" s="214"/>
      <c r="BY1" s="214"/>
      <c r="BZ1" s="214"/>
      <c r="CA1" s="214"/>
      <c r="CB1" s="214"/>
      <c r="CC1" s="214"/>
      <c r="CD1" s="214"/>
      <c r="CE1" s="214"/>
      <c r="CF1" s="214" t="s">
        <v>155</v>
      </c>
      <c r="CG1" s="214"/>
      <c r="CH1" s="214"/>
      <c r="CI1" s="214"/>
      <c r="CJ1" s="214"/>
      <c r="CK1" s="214"/>
      <c r="CL1" s="214"/>
      <c r="CM1" s="214"/>
      <c r="CN1" s="214"/>
      <c r="CO1" s="214"/>
      <c r="CP1" s="214"/>
      <c r="CQ1" s="214" t="s">
        <v>156</v>
      </c>
      <c r="CR1" s="214"/>
      <c r="CS1" s="214"/>
      <c r="CT1" s="214"/>
      <c r="CU1" s="214"/>
      <c r="CV1" s="214"/>
      <c r="CW1" s="214"/>
      <c r="CX1" s="214"/>
      <c r="CY1" s="214"/>
      <c r="CZ1" s="214"/>
      <c r="DA1" s="214"/>
      <c r="DB1" s="214" t="s">
        <v>157</v>
      </c>
      <c r="DC1" s="214"/>
      <c r="DD1" s="214"/>
      <c r="DE1" s="214"/>
      <c r="DF1" s="214"/>
      <c r="DG1" s="214"/>
      <c r="DH1" s="214"/>
      <c r="DI1" s="214"/>
      <c r="DJ1" s="214"/>
      <c r="DK1" s="214"/>
      <c r="DL1" s="214"/>
      <c r="DM1" s="214" t="s">
        <v>158</v>
      </c>
      <c r="DN1" s="214"/>
      <c r="DO1" s="214"/>
      <c r="DP1" s="214"/>
      <c r="DQ1" s="214"/>
      <c r="DR1" s="214"/>
      <c r="DS1" s="214"/>
      <c r="DT1" s="214"/>
      <c r="DU1" s="214"/>
      <c r="DV1" s="214"/>
      <c r="DW1" s="214"/>
      <c r="DX1" s="214" t="s">
        <v>159</v>
      </c>
      <c r="DY1" s="214"/>
      <c r="DZ1" s="214"/>
      <c r="EA1" s="214"/>
      <c r="EB1" s="214"/>
      <c r="EC1" s="214"/>
      <c r="ED1" s="214"/>
      <c r="EE1" s="214"/>
      <c r="EF1" s="214"/>
      <c r="EG1" s="214"/>
      <c r="EH1" s="214"/>
      <c r="EI1" s="214" t="s">
        <v>160</v>
      </c>
      <c r="EJ1" s="214"/>
      <c r="EK1" s="214"/>
      <c r="EL1" s="214"/>
      <c r="EM1" s="214"/>
      <c r="EN1" s="214"/>
      <c r="EO1" s="214"/>
      <c r="EP1" s="214"/>
      <c r="EQ1" s="214"/>
      <c r="ER1" s="214"/>
      <c r="ES1" s="214"/>
      <c r="ET1" s="214" t="s">
        <v>161</v>
      </c>
      <c r="EU1" s="214"/>
      <c r="EV1" s="214"/>
      <c r="EW1" s="214"/>
      <c r="EX1" s="214"/>
      <c r="EY1" s="214"/>
      <c r="EZ1" s="214"/>
      <c r="FA1" s="214"/>
      <c r="FB1" s="214"/>
      <c r="FC1" s="214"/>
      <c r="FD1" s="214"/>
      <c r="FE1" s="214" t="s">
        <v>162</v>
      </c>
      <c r="FF1" s="214"/>
      <c r="FG1" s="214"/>
      <c r="FH1" s="214"/>
      <c r="FI1" s="214"/>
      <c r="FJ1" s="214"/>
      <c r="FK1" s="214"/>
      <c r="FL1" s="214"/>
      <c r="FM1" s="214"/>
      <c r="FN1" s="214"/>
      <c r="FO1" s="214"/>
      <c r="FP1" s="214" t="s">
        <v>163</v>
      </c>
      <c r="FQ1" s="214"/>
      <c r="FR1" s="214"/>
      <c r="FS1" s="214"/>
      <c r="FT1" s="214"/>
      <c r="FU1" s="214"/>
      <c r="FV1" s="214"/>
      <c r="FW1" s="214"/>
      <c r="FX1" s="214"/>
      <c r="FY1" s="214"/>
      <c r="FZ1" s="214"/>
      <c r="GA1" s="214" t="s">
        <v>164</v>
      </c>
      <c r="GB1" s="214"/>
      <c r="GC1" s="214"/>
      <c r="GD1" s="214"/>
      <c r="GE1" s="214"/>
      <c r="GF1" s="214"/>
      <c r="GG1" s="214"/>
      <c r="GH1" s="214"/>
      <c r="GI1" s="214"/>
      <c r="GJ1" s="214"/>
      <c r="GK1" s="214"/>
      <c r="GL1" s="214" t="s">
        <v>165</v>
      </c>
      <c r="GM1" s="214"/>
      <c r="GN1" s="214"/>
      <c r="GO1" s="214"/>
      <c r="GP1" s="214"/>
      <c r="GQ1" s="214"/>
      <c r="GR1" s="214"/>
      <c r="GS1" s="214"/>
      <c r="GT1" s="214"/>
      <c r="GU1" s="214"/>
      <c r="GV1" s="214"/>
      <c r="GW1" s="214" t="s">
        <v>166</v>
      </c>
      <c r="GX1" s="214"/>
      <c r="GY1" s="214"/>
      <c r="GZ1" s="214"/>
      <c r="HA1" s="214"/>
      <c r="HB1" s="214"/>
      <c r="HC1" s="214"/>
      <c r="HD1" s="214"/>
      <c r="HE1" s="214"/>
      <c r="HF1" s="214"/>
      <c r="HG1" s="214"/>
      <c r="HH1" s="214" t="s">
        <v>167</v>
      </c>
      <c r="HI1" s="214"/>
      <c r="HJ1" s="214"/>
      <c r="HK1" s="214"/>
      <c r="HL1" s="214"/>
      <c r="HM1" s="214"/>
      <c r="HN1" s="214"/>
      <c r="HO1" s="214"/>
      <c r="HP1" s="214"/>
      <c r="HQ1" s="214"/>
      <c r="HR1" s="214"/>
      <c r="HS1" s="214" t="s">
        <v>168</v>
      </c>
      <c r="HT1" s="214"/>
      <c r="HU1" s="214"/>
      <c r="HV1" s="214"/>
      <c r="HW1" s="214"/>
      <c r="HX1" s="214"/>
      <c r="HY1" s="214"/>
      <c r="HZ1" s="214"/>
      <c r="IA1" s="214"/>
      <c r="IB1" s="214"/>
      <c r="IC1" s="214"/>
      <c r="ID1" s="214" t="s">
        <v>169</v>
      </c>
      <c r="IE1" s="214"/>
      <c r="IF1" s="214"/>
      <c r="IG1" s="214"/>
      <c r="IH1" s="214"/>
      <c r="II1" s="214"/>
      <c r="IJ1" s="214"/>
      <c r="IK1" s="214"/>
      <c r="IL1" s="214"/>
      <c r="IM1" s="214"/>
      <c r="IN1" s="214"/>
      <c r="IO1" s="214" t="s">
        <v>170</v>
      </c>
      <c r="IP1" s="214"/>
      <c r="IQ1" s="214"/>
      <c r="IR1" s="214"/>
      <c r="IS1" s="214"/>
      <c r="IT1" s="214"/>
      <c r="IU1" s="214"/>
      <c r="IV1" s="214"/>
      <c r="IW1" s="214"/>
      <c r="IX1" s="214"/>
      <c r="IY1" s="214"/>
      <c r="IZ1" s="214" t="s">
        <v>171</v>
      </c>
      <c r="JA1" s="214"/>
      <c r="JB1" s="214"/>
      <c r="JC1" s="214"/>
      <c r="JD1" s="214"/>
      <c r="JE1" s="214"/>
      <c r="JF1" s="214"/>
      <c r="JG1" s="214"/>
      <c r="JH1" s="214"/>
      <c r="JI1" s="214"/>
      <c r="JJ1" s="214"/>
      <c r="JK1" s="214" t="s">
        <v>172</v>
      </c>
      <c r="JL1" s="214"/>
      <c r="JM1" s="214"/>
      <c r="JN1" s="214"/>
      <c r="JO1" s="214"/>
      <c r="JP1" s="214"/>
      <c r="JQ1" s="214"/>
      <c r="JR1" s="214"/>
      <c r="JS1" s="214"/>
      <c r="JT1" s="214"/>
      <c r="JU1" s="214"/>
      <c r="JV1" s="214" t="s">
        <v>173</v>
      </c>
      <c r="JW1" s="214"/>
      <c r="JX1" s="214"/>
      <c r="JY1" s="214"/>
      <c r="JZ1" s="214"/>
      <c r="KA1" s="214"/>
      <c r="KB1" s="214"/>
      <c r="KC1" s="214"/>
      <c r="KD1" s="214"/>
      <c r="KE1" s="214"/>
      <c r="KF1" s="214"/>
      <c r="KG1" s="214" t="s">
        <v>174</v>
      </c>
      <c r="KH1" s="214"/>
      <c r="KI1" s="214"/>
      <c r="KJ1" s="214"/>
      <c r="KK1" s="214"/>
      <c r="KL1" s="214"/>
      <c r="KM1" s="214"/>
      <c r="KN1" s="214"/>
      <c r="KO1" s="214"/>
      <c r="KP1" s="214"/>
      <c r="KQ1" s="214"/>
      <c r="KR1" s="214" t="s">
        <v>175</v>
      </c>
      <c r="KS1" s="214"/>
      <c r="KT1" s="214"/>
      <c r="KU1" s="214"/>
      <c r="KV1" s="214"/>
      <c r="KW1" s="214"/>
      <c r="KX1" s="214"/>
      <c r="KY1" s="214"/>
      <c r="KZ1" s="214"/>
      <c r="LA1" s="214"/>
      <c r="LB1" s="214"/>
      <c r="LC1" s="214" t="s">
        <v>176</v>
      </c>
      <c r="LD1" s="214"/>
      <c r="LE1" s="214"/>
      <c r="LF1" s="214"/>
      <c r="LG1" s="214"/>
      <c r="LH1" s="214"/>
      <c r="LI1" s="214"/>
      <c r="LJ1" s="214"/>
      <c r="LK1" s="214"/>
      <c r="LL1" s="214"/>
      <c r="LM1" s="214"/>
      <c r="LN1" s="214" t="s">
        <v>177</v>
      </c>
      <c r="LO1" s="214"/>
      <c r="LP1" s="214"/>
      <c r="LQ1" s="214"/>
      <c r="LR1" s="214"/>
      <c r="LS1" s="214"/>
      <c r="LT1" s="214"/>
      <c r="LU1" s="214"/>
      <c r="LV1" s="214"/>
      <c r="LW1" s="214"/>
      <c r="LX1" s="214"/>
      <c r="LY1" s="214" t="s">
        <v>178</v>
      </c>
      <c r="LZ1" s="214"/>
      <c r="MA1" s="214"/>
      <c r="MB1" s="214"/>
      <c r="MC1" s="214"/>
      <c r="MD1" s="214"/>
      <c r="ME1" s="214"/>
      <c r="MF1" s="214"/>
      <c r="MG1" s="214"/>
      <c r="MH1" s="214"/>
      <c r="MI1" s="214"/>
      <c r="MJ1" s="214" t="s">
        <v>179</v>
      </c>
      <c r="MK1" s="214"/>
      <c r="ML1" s="214"/>
      <c r="MM1" s="214"/>
      <c r="MN1" s="214"/>
      <c r="MO1" s="214"/>
      <c r="MP1" s="214"/>
      <c r="MQ1" s="214"/>
      <c r="MR1" s="214"/>
      <c r="MS1" s="214"/>
      <c r="MT1" s="214"/>
      <c r="MU1" s="214" t="s">
        <v>180</v>
      </c>
      <c r="MV1" s="214"/>
      <c r="MW1" s="214"/>
      <c r="MX1" s="214"/>
      <c r="MY1" s="214"/>
      <c r="MZ1" s="214"/>
      <c r="NA1" s="214"/>
      <c r="NB1" s="214"/>
      <c r="NC1" s="214"/>
      <c r="ND1" s="214"/>
      <c r="NE1" s="214"/>
      <c r="NF1" s="214" t="s">
        <v>181</v>
      </c>
      <c r="NG1" s="214"/>
      <c r="NH1" s="214"/>
      <c r="NI1" s="214"/>
      <c r="NJ1" s="214"/>
      <c r="NK1" s="214"/>
      <c r="NL1" s="214"/>
      <c r="NM1" s="214"/>
      <c r="NN1" s="214"/>
      <c r="NO1" s="214"/>
      <c r="NP1" s="214"/>
      <c r="NQ1" s="214" t="s">
        <v>182</v>
      </c>
      <c r="NR1" s="214"/>
      <c r="NS1" s="214"/>
      <c r="NT1" s="214"/>
      <c r="NU1" s="214"/>
      <c r="NV1" s="214"/>
      <c r="NW1" s="214"/>
      <c r="NX1" s="214"/>
      <c r="NY1" s="214"/>
      <c r="NZ1" s="214"/>
      <c r="OA1" s="214"/>
      <c r="OB1" s="214" t="s">
        <v>183</v>
      </c>
      <c r="OC1" s="214"/>
      <c r="OD1" s="214"/>
      <c r="OE1" s="214"/>
      <c r="OF1" s="214"/>
      <c r="OG1" s="214"/>
      <c r="OH1" s="214"/>
      <c r="OI1" s="214"/>
      <c r="OJ1" s="214"/>
      <c r="OK1" s="214"/>
      <c r="OL1" s="214"/>
      <c r="OM1" s="214" t="s">
        <v>184</v>
      </c>
      <c r="ON1" s="214"/>
      <c r="OO1" s="214"/>
      <c r="OP1" s="214"/>
      <c r="OQ1" s="214"/>
      <c r="OR1" s="214"/>
      <c r="OS1" s="214"/>
      <c r="OT1" s="214"/>
      <c r="OU1" s="214"/>
      <c r="OV1" s="214"/>
      <c r="OW1" s="214"/>
      <c r="OX1" s="214" t="s">
        <v>185</v>
      </c>
      <c r="OY1" s="214"/>
      <c r="OZ1" s="214"/>
      <c r="PA1" s="214"/>
      <c r="PB1" s="214"/>
      <c r="PC1" s="214"/>
      <c r="PD1" s="214"/>
      <c r="PE1" s="214"/>
      <c r="PF1" s="214"/>
      <c r="PG1" s="214"/>
      <c r="PH1" s="214"/>
      <c r="PI1" s="214" t="s">
        <v>186</v>
      </c>
      <c r="PJ1" s="214"/>
      <c r="PK1" s="214"/>
      <c r="PL1" s="214"/>
      <c r="PM1" s="214"/>
      <c r="PN1" s="214"/>
      <c r="PO1" s="214"/>
      <c r="PP1" s="214"/>
      <c r="PQ1" s="214"/>
      <c r="PR1" s="214"/>
      <c r="PS1" s="214"/>
      <c r="PT1" s="214" t="s">
        <v>187</v>
      </c>
      <c r="PU1" s="214"/>
      <c r="PV1" s="214"/>
      <c r="PW1" s="214"/>
      <c r="PX1" s="214"/>
      <c r="PY1" s="214"/>
      <c r="PZ1" s="214"/>
      <c r="QA1" s="214"/>
      <c r="QB1" s="214"/>
      <c r="QC1" s="214"/>
      <c r="QD1" s="214"/>
      <c r="QE1" s="214" t="s">
        <v>188</v>
      </c>
      <c r="QF1" s="214"/>
      <c r="QG1" s="214"/>
      <c r="QH1" s="214"/>
      <c r="QI1" s="214"/>
      <c r="QJ1" s="214"/>
      <c r="QK1" s="214"/>
      <c r="QL1" s="214"/>
      <c r="QM1" s="214"/>
      <c r="QN1" s="214"/>
      <c r="QO1" s="214"/>
      <c r="QP1" s="214" t="s">
        <v>189</v>
      </c>
      <c r="QQ1" s="214"/>
      <c r="QR1" s="214"/>
      <c r="QS1" s="214"/>
      <c r="QT1" s="214"/>
      <c r="QU1" s="214"/>
      <c r="QV1" s="214"/>
      <c r="QW1" s="214"/>
      <c r="QX1" s="214"/>
      <c r="QY1" s="214"/>
      <c r="QZ1" s="214"/>
      <c r="RA1" s="214" t="s">
        <v>190</v>
      </c>
      <c r="RB1" s="214"/>
      <c r="RC1" s="214"/>
      <c r="RD1" s="214"/>
      <c r="RE1" s="214"/>
      <c r="RF1" s="214"/>
      <c r="RG1" s="214"/>
      <c r="RH1" s="214"/>
      <c r="RI1" s="214"/>
      <c r="RJ1" s="214"/>
      <c r="RK1" s="214"/>
      <c r="RL1" s="214" t="s">
        <v>191</v>
      </c>
      <c r="RM1" s="214"/>
      <c r="RN1" s="214"/>
      <c r="RO1" s="214"/>
      <c r="RP1" s="214"/>
      <c r="RQ1" s="214"/>
      <c r="RR1" s="214"/>
      <c r="RS1" s="214"/>
      <c r="RT1" s="214"/>
      <c r="RU1" s="214"/>
      <c r="RV1" s="214"/>
      <c r="RW1" s="214" t="s">
        <v>192</v>
      </c>
      <c r="RX1" s="214"/>
      <c r="RY1" s="214"/>
      <c r="RZ1" s="214"/>
      <c r="SA1" s="214"/>
      <c r="SB1" s="214"/>
      <c r="SC1" s="214"/>
      <c r="SD1" s="214"/>
      <c r="SE1" s="214"/>
      <c r="SF1" s="214"/>
      <c r="SG1" s="214"/>
      <c r="SH1" s="214" t="s">
        <v>193</v>
      </c>
      <c r="SI1" s="214"/>
      <c r="SJ1" s="214"/>
      <c r="SK1" s="214"/>
      <c r="SL1" s="214"/>
      <c r="SM1" s="214"/>
      <c r="SN1" s="214"/>
      <c r="SO1" s="214"/>
      <c r="SP1" s="214"/>
      <c r="SQ1" s="214"/>
      <c r="SR1" s="214"/>
      <c r="SS1" s="214" t="s">
        <v>194</v>
      </c>
      <c r="ST1" s="214"/>
      <c r="SU1" s="214"/>
      <c r="SV1" s="214"/>
      <c r="SW1" s="214"/>
      <c r="SX1" s="214"/>
      <c r="SY1" s="214"/>
      <c r="SZ1" s="214"/>
      <c r="TA1" s="214"/>
      <c r="TB1" s="214"/>
      <c r="TC1" s="214"/>
      <c r="TD1" s="214" t="s">
        <v>195</v>
      </c>
      <c r="TE1" s="214"/>
      <c r="TF1" s="214"/>
      <c r="TG1" s="214"/>
      <c r="TH1" s="214"/>
      <c r="TI1" s="214"/>
      <c r="TJ1" s="214"/>
      <c r="TK1" s="214"/>
      <c r="TL1" s="214"/>
      <c r="TM1" s="214"/>
      <c r="TN1" s="214"/>
      <c r="TO1" s="214" t="s">
        <v>196</v>
      </c>
      <c r="TP1" s="214"/>
      <c r="TQ1" s="214"/>
      <c r="TR1" s="214"/>
      <c r="TS1" s="214"/>
      <c r="TT1" s="214"/>
      <c r="TU1" s="214"/>
      <c r="TV1" s="214"/>
      <c r="TW1" s="214"/>
      <c r="TX1" s="214"/>
      <c r="TY1" s="214"/>
      <c r="TZ1" s="214" t="s">
        <v>197</v>
      </c>
      <c r="UA1" s="214"/>
      <c r="UB1" s="214"/>
      <c r="UC1" s="214"/>
      <c r="UD1" s="214"/>
      <c r="UE1" s="214"/>
      <c r="UF1" s="214"/>
      <c r="UG1" s="214"/>
      <c r="UH1" s="214"/>
      <c r="UI1" s="214"/>
      <c r="UJ1" s="214"/>
      <c r="UK1" s="214" t="s">
        <v>198</v>
      </c>
      <c r="UL1" s="214"/>
      <c r="UM1" s="214"/>
      <c r="UN1" s="214"/>
      <c r="UO1" s="214"/>
      <c r="UP1" s="214"/>
      <c r="UQ1" s="214"/>
      <c r="UR1" s="214"/>
      <c r="US1" s="214"/>
      <c r="UT1" s="214"/>
      <c r="UU1" s="214"/>
      <c r="UV1" s="214" t="s">
        <v>199</v>
      </c>
      <c r="UW1" s="214"/>
      <c r="UX1" s="214"/>
      <c r="UY1" s="214"/>
      <c r="UZ1" s="214"/>
      <c r="VA1" s="214"/>
      <c r="VB1" s="214"/>
      <c r="VC1" s="214"/>
      <c r="VD1" s="214"/>
      <c r="VE1" s="214"/>
      <c r="VF1" s="214"/>
      <c r="VG1" s="214" t="s">
        <v>200</v>
      </c>
      <c r="VH1" s="214"/>
      <c r="VI1" s="214"/>
      <c r="VJ1" s="214"/>
      <c r="VK1" s="214"/>
      <c r="VL1" s="214"/>
      <c r="VM1" s="214"/>
      <c r="VN1" s="214"/>
      <c r="VO1" s="214"/>
      <c r="VP1" s="214"/>
      <c r="VQ1" s="214"/>
      <c r="VR1" s="214"/>
      <c r="VS1" s="214"/>
      <c r="VT1" s="59">
        <v>0</v>
      </c>
    </row>
    <row r="2" spans="1:592" ht="38.25" x14ac:dyDescent="0.25">
      <c r="A2" s="2" t="s">
        <v>3</v>
      </c>
      <c r="B2" s="3" t="s">
        <v>82</v>
      </c>
      <c r="C2" s="3" t="s">
        <v>82</v>
      </c>
      <c r="D2" s="3" t="s">
        <v>82</v>
      </c>
      <c r="E2" s="3" t="s">
        <v>82</v>
      </c>
      <c r="F2" s="3" t="s">
        <v>82</v>
      </c>
      <c r="G2" s="3" t="s">
        <v>82</v>
      </c>
      <c r="H2" s="3" t="s">
        <v>82</v>
      </c>
      <c r="I2" s="3" t="s">
        <v>82</v>
      </c>
      <c r="J2" s="3" t="str">
        <f t="shared" si="0"/>
        <v>-</v>
      </c>
      <c r="K2" s="211" t="s">
        <v>381</v>
      </c>
      <c r="Q2" s="67" t="s">
        <v>216</v>
      </c>
      <c r="R2" s="68"/>
      <c r="T2" s="35"/>
      <c r="U2" s="21"/>
      <c r="X2" s="312" t="s">
        <v>581</v>
      </c>
      <c r="AN2" s="60" t="e">
        <f>AN17</f>
        <v>#VALUE!</v>
      </c>
      <c r="AO2" s="60" t="e">
        <f t="shared" ref="AO2:AU2" si="1">AO17</f>
        <v>#VALUE!</v>
      </c>
      <c r="AP2" s="60" t="e">
        <f t="shared" si="1"/>
        <v>#VALUE!</v>
      </c>
      <c r="AQ2" s="60" t="e">
        <f t="shared" si="1"/>
        <v>#VALUE!</v>
      </c>
      <c r="AR2" s="60" t="e">
        <f t="shared" si="1"/>
        <v>#VALUE!</v>
      </c>
      <c r="AS2" s="60" t="e">
        <f t="shared" si="1"/>
        <v>#VALUE!</v>
      </c>
      <c r="AT2" s="60" t="e">
        <f t="shared" si="1"/>
        <v>#VALUE!</v>
      </c>
      <c r="AU2" s="60" t="e">
        <f t="shared" si="1"/>
        <v>#VALUE!</v>
      </c>
      <c r="AV2" s="60" t="e">
        <f t="shared" ref="AV2" si="2">AV17</f>
        <v>#VALUE!</v>
      </c>
      <c r="AW2" s="60"/>
      <c r="AX2" s="60"/>
      <c r="AY2" s="60" t="s">
        <v>201</v>
      </c>
      <c r="AZ2" s="60" t="s">
        <v>201</v>
      </c>
      <c r="BA2" s="60" t="s">
        <v>201</v>
      </c>
      <c r="BB2" s="60" t="s">
        <v>201</v>
      </c>
      <c r="BC2" s="60" t="s">
        <v>201</v>
      </c>
      <c r="BD2" s="60" t="s">
        <v>201</v>
      </c>
      <c r="BE2" s="60" t="s">
        <v>201</v>
      </c>
      <c r="BF2" s="60" t="s">
        <v>201</v>
      </c>
      <c r="BG2" s="60" t="s">
        <v>201</v>
      </c>
      <c r="BH2" s="60"/>
      <c r="BI2" s="60"/>
      <c r="BJ2" s="60" t="str">
        <f t="shared" ref="BJ2:BQ2" si="3">BJ17</f>
        <v>Check Inputs</v>
      </c>
      <c r="BK2" s="60" t="str">
        <f t="shared" si="3"/>
        <v>Check Inputs</v>
      </c>
      <c r="BL2" s="60" t="str">
        <f t="shared" si="3"/>
        <v>Check Inputs</v>
      </c>
      <c r="BM2" s="60" t="str">
        <f t="shared" si="3"/>
        <v>Check Inputs</v>
      </c>
      <c r="BN2" s="60" t="str">
        <f t="shared" si="3"/>
        <v>Check Inputs</v>
      </c>
      <c r="BO2" s="60" t="str">
        <f t="shared" si="3"/>
        <v>Check Inputs</v>
      </c>
      <c r="BP2" s="60" t="str">
        <f t="shared" si="3"/>
        <v>Check Inputs</v>
      </c>
      <c r="BQ2" s="60" t="str">
        <f t="shared" si="3"/>
        <v>Check Inputs</v>
      </c>
      <c r="BR2" s="60" t="str">
        <f t="shared" ref="BR2" si="4">BR17</f>
        <v>Check Inputs</v>
      </c>
      <c r="BS2" s="60"/>
      <c r="BT2" s="60"/>
      <c r="BU2" s="60">
        <f>BU17</f>
        <v>0</v>
      </c>
      <c r="BV2" s="60">
        <f t="shared" ref="BV2:CB2" si="5">BV17</f>
        <v>0</v>
      </c>
      <c r="BW2" s="60">
        <f t="shared" si="5"/>
        <v>0</v>
      </c>
      <c r="BX2" s="60">
        <f t="shared" si="5"/>
        <v>0</v>
      </c>
      <c r="BY2" s="60">
        <f t="shared" si="5"/>
        <v>0</v>
      </c>
      <c r="BZ2" s="60">
        <f t="shared" si="5"/>
        <v>0</v>
      </c>
      <c r="CA2" s="60">
        <f t="shared" si="5"/>
        <v>0</v>
      </c>
      <c r="CB2" s="60">
        <f t="shared" si="5"/>
        <v>0</v>
      </c>
      <c r="CC2" s="60">
        <f t="shared" ref="CC2" si="6">CC17</f>
        <v>0</v>
      </c>
      <c r="CD2" s="60"/>
      <c r="CE2" s="60"/>
      <c r="CF2" s="60" t="e">
        <f>CF17</f>
        <v>#VALUE!</v>
      </c>
      <c r="CG2" s="60" t="e">
        <f t="shared" ref="CG2:CM2" si="7">CG17</f>
        <v>#VALUE!</v>
      </c>
      <c r="CH2" s="60" t="e">
        <f t="shared" si="7"/>
        <v>#VALUE!</v>
      </c>
      <c r="CI2" s="60" t="e">
        <f t="shared" si="7"/>
        <v>#VALUE!</v>
      </c>
      <c r="CJ2" s="60" t="e">
        <f t="shared" si="7"/>
        <v>#VALUE!</v>
      </c>
      <c r="CK2" s="60" t="e">
        <f t="shared" si="7"/>
        <v>#VALUE!</v>
      </c>
      <c r="CL2" s="60" t="e">
        <f t="shared" si="7"/>
        <v>#VALUE!</v>
      </c>
      <c r="CM2" s="60" t="e">
        <f t="shared" si="7"/>
        <v>#VALUE!</v>
      </c>
      <c r="CN2" s="60" t="e">
        <f t="shared" ref="CN2" si="8">CN17</f>
        <v>#VALUE!</v>
      </c>
      <c r="CO2" s="60"/>
      <c r="CP2" s="60"/>
      <c r="CQ2" s="60">
        <f>CQ17</f>
        <v>0</v>
      </c>
      <c r="CR2" s="60">
        <f t="shared" ref="CR2:CX2" si="9">CR17</f>
        <v>0</v>
      </c>
      <c r="CS2" s="60">
        <f t="shared" si="9"/>
        <v>0</v>
      </c>
      <c r="CT2" s="60">
        <f t="shared" si="9"/>
        <v>0</v>
      </c>
      <c r="CU2" s="60">
        <f t="shared" si="9"/>
        <v>0</v>
      </c>
      <c r="CV2" s="60">
        <f t="shared" si="9"/>
        <v>0</v>
      </c>
      <c r="CW2" s="60">
        <f t="shared" si="9"/>
        <v>0</v>
      </c>
      <c r="CX2" s="60">
        <f t="shared" si="9"/>
        <v>0</v>
      </c>
      <c r="CY2" s="60" t="e">
        <f t="shared" ref="CY2" si="10">CY17</f>
        <v>#VALUE!</v>
      </c>
      <c r="CZ2" s="60"/>
      <c r="DA2" s="60"/>
      <c r="DB2" s="60">
        <f t="shared" ref="DB2" si="11">DB21</f>
        <v>0</v>
      </c>
      <c r="DC2" s="60">
        <f t="shared" ref="DC2:DI2" si="12">DC21</f>
        <v>0</v>
      </c>
      <c r="DD2" s="60">
        <f t="shared" si="12"/>
        <v>0</v>
      </c>
      <c r="DE2" s="60">
        <f t="shared" si="12"/>
        <v>0</v>
      </c>
      <c r="DF2" s="60">
        <f t="shared" si="12"/>
        <v>0</v>
      </c>
      <c r="DG2" s="60">
        <f t="shared" si="12"/>
        <v>0</v>
      </c>
      <c r="DH2" s="60">
        <f t="shared" si="12"/>
        <v>0</v>
      </c>
      <c r="DI2" s="60">
        <f t="shared" si="12"/>
        <v>0</v>
      </c>
      <c r="DJ2" s="60">
        <f t="shared" ref="DJ2" si="13">DJ21</f>
        <v>0</v>
      </c>
      <c r="DK2" s="60"/>
      <c r="DL2" s="60"/>
      <c r="DM2" s="60">
        <f>DM17</f>
        <v>0</v>
      </c>
      <c r="DN2" s="60">
        <f t="shared" ref="DN2:DT2" si="14">DN17</f>
        <v>0</v>
      </c>
      <c r="DO2" s="60">
        <f t="shared" si="14"/>
        <v>0</v>
      </c>
      <c r="DP2" s="60">
        <f t="shared" si="14"/>
        <v>0</v>
      </c>
      <c r="DQ2" s="60">
        <f t="shared" si="14"/>
        <v>0</v>
      </c>
      <c r="DR2" s="60">
        <f t="shared" si="14"/>
        <v>0</v>
      </c>
      <c r="DS2" s="60">
        <f t="shared" si="14"/>
        <v>0</v>
      </c>
      <c r="DT2" s="60">
        <f t="shared" si="14"/>
        <v>0</v>
      </c>
      <c r="DU2" s="60">
        <f t="shared" ref="DU2" si="15">DU17</f>
        <v>0</v>
      </c>
      <c r="DV2" s="60"/>
      <c r="DW2" s="60"/>
      <c r="DX2" s="60" t="s">
        <v>452</v>
      </c>
      <c r="DY2" s="60" t="s">
        <v>452</v>
      </c>
      <c r="DZ2" s="60" t="s">
        <v>452</v>
      </c>
      <c r="EA2" s="60" t="s">
        <v>452</v>
      </c>
      <c r="EB2" s="60" t="s">
        <v>452</v>
      </c>
      <c r="EC2" s="60" t="s">
        <v>452</v>
      </c>
      <c r="ED2" s="60" t="s">
        <v>452</v>
      </c>
      <c r="EE2" s="60" t="s">
        <v>452</v>
      </c>
      <c r="EF2" s="60" t="s">
        <v>452</v>
      </c>
      <c r="EH2" s="60"/>
      <c r="EI2" s="60">
        <f t="shared" ref="EI2:EP2" si="16">EI17</f>
        <v>0</v>
      </c>
      <c r="EJ2" s="60">
        <f t="shared" si="16"/>
        <v>0</v>
      </c>
      <c r="EK2" s="60">
        <f t="shared" si="16"/>
        <v>0</v>
      </c>
      <c r="EL2" s="60">
        <f t="shared" si="16"/>
        <v>0</v>
      </c>
      <c r="EM2" s="60">
        <f t="shared" si="16"/>
        <v>0</v>
      </c>
      <c r="EN2" s="60">
        <f t="shared" si="16"/>
        <v>0</v>
      </c>
      <c r="EO2" s="60">
        <f t="shared" si="16"/>
        <v>0</v>
      </c>
      <c r="EP2" s="60">
        <f t="shared" si="16"/>
        <v>0</v>
      </c>
      <c r="EQ2" s="60">
        <f t="shared" ref="EQ2" si="17">EQ17</f>
        <v>0</v>
      </c>
      <c r="ER2" s="60"/>
      <c r="ES2" s="60"/>
      <c r="ET2" s="60" t="e">
        <f>ET17</f>
        <v>#VALUE!</v>
      </c>
      <c r="EU2" s="60" t="e">
        <f t="shared" ref="EU2:FA2" si="18">EU17</f>
        <v>#VALUE!</v>
      </c>
      <c r="EV2" s="60" t="e">
        <f t="shared" si="18"/>
        <v>#VALUE!</v>
      </c>
      <c r="EW2" s="60" t="e">
        <f t="shared" si="18"/>
        <v>#VALUE!</v>
      </c>
      <c r="EX2" s="60" t="e">
        <f t="shared" si="18"/>
        <v>#VALUE!</v>
      </c>
      <c r="EY2" s="60" t="e">
        <f t="shared" si="18"/>
        <v>#VALUE!</v>
      </c>
      <c r="EZ2" s="60" t="e">
        <f t="shared" si="18"/>
        <v>#VALUE!</v>
      </c>
      <c r="FA2" s="60" t="e">
        <f t="shared" si="18"/>
        <v>#VALUE!</v>
      </c>
      <c r="FB2" s="60" t="e">
        <f t="shared" ref="FB2" si="19">FB17</f>
        <v>#VALUE!</v>
      </c>
      <c r="FC2" s="60"/>
      <c r="FD2" s="60"/>
      <c r="FE2" s="60" t="e">
        <f>FE17</f>
        <v>#VALUE!</v>
      </c>
      <c r="FF2" s="60" t="e">
        <f t="shared" ref="FF2:FL2" si="20">FF17</f>
        <v>#VALUE!</v>
      </c>
      <c r="FG2" s="60" t="e">
        <f t="shared" si="20"/>
        <v>#VALUE!</v>
      </c>
      <c r="FH2" s="60" t="e">
        <f t="shared" si="20"/>
        <v>#VALUE!</v>
      </c>
      <c r="FI2" s="60" t="e">
        <f t="shared" si="20"/>
        <v>#VALUE!</v>
      </c>
      <c r="FJ2" s="60" t="e">
        <f t="shared" si="20"/>
        <v>#VALUE!</v>
      </c>
      <c r="FK2" s="60" t="e">
        <f t="shared" si="20"/>
        <v>#VALUE!</v>
      </c>
      <c r="FL2" s="60" t="e">
        <f t="shared" si="20"/>
        <v>#VALUE!</v>
      </c>
      <c r="FM2" s="60" t="e">
        <f t="shared" ref="FM2" si="21">FM17</f>
        <v>#VALUE!</v>
      </c>
      <c r="FN2" s="60"/>
      <c r="FO2" s="60"/>
      <c r="FP2" s="60">
        <f>FP17</f>
        <v>0</v>
      </c>
      <c r="FQ2" s="60">
        <f>FQ17</f>
        <v>0</v>
      </c>
      <c r="FR2" s="60">
        <f t="shared" ref="FR2:FW2" si="22">FR17</f>
        <v>0</v>
      </c>
      <c r="FS2" s="60">
        <f t="shared" si="22"/>
        <v>0</v>
      </c>
      <c r="FT2" s="60">
        <f t="shared" si="22"/>
        <v>0</v>
      </c>
      <c r="FU2" s="60">
        <f t="shared" si="22"/>
        <v>0</v>
      </c>
      <c r="FV2" s="60">
        <f t="shared" si="22"/>
        <v>0</v>
      </c>
      <c r="FW2" s="60">
        <f t="shared" si="22"/>
        <v>0</v>
      </c>
      <c r="FX2" s="60"/>
      <c r="FY2" s="60"/>
      <c r="FZ2" s="60"/>
      <c r="GA2" s="60" t="e">
        <f t="shared" ref="GA2:GH2" si="23">GA17</f>
        <v>#VALUE!</v>
      </c>
      <c r="GB2" s="60" t="e">
        <f t="shared" si="23"/>
        <v>#VALUE!</v>
      </c>
      <c r="GC2" s="60" t="e">
        <f t="shared" si="23"/>
        <v>#VALUE!</v>
      </c>
      <c r="GD2" s="60" t="e">
        <f t="shared" si="23"/>
        <v>#VALUE!</v>
      </c>
      <c r="GE2" s="60" t="e">
        <f t="shared" si="23"/>
        <v>#VALUE!</v>
      </c>
      <c r="GF2" s="60" t="e">
        <f t="shared" si="23"/>
        <v>#VALUE!</v>
      </c>
      <c r="GG2" s="60" t="e">
        <f t="shared" si="23"/>
        <v>#VALUE!</v>
      </c>
      <c r="GH2" s="60" t="e">
        <f t="shared" si="23"/>
        <v>#VALUE!</v>
      </c>
      <c r="GI2" s="60" t="e">
        <f t="shared" ref="GI2" si="24">GI17</f>
        <v>#VALUE!</v>
      </c>
      <c r="GJ2" s="60"/>
      <c r="GK2" s="60"/>
      <c r="GL2" s="60" t="e">
        <f>GL17</f>
        <v>#VALUE!</v>
      </c>
      <c r="GM2" s="60" t="e">
        <f t="shared" ref="GM2:GS2" si="25">GM17</f>
        <v>#VALUE!</v>
      </c>
      <c r="GN2" s="60" t="e">
        <f t="shared" si="25"/>
        <v>#VALUE!</v>
      </c>
      <c r="GO2" s="60" t="e">
        <f t="shared" si="25"/>
        <v>#VALUE!</v>
      </c>
      <c r="GP2" s="60" t="e">
        <f t="shared" si="25"/>
        <v>#VALUE!</v>
      </c>
      <c r="GQ2" s="60" t="e">
        <f t="shared" si="25"/>
        <v>#VALUE!</v>
      </c>
      <c r="GR2" s="60" t="e">
        <f t="shared" si="25"/>
        <v>#VALUE!</v>
      </c>
      <c r="GS2" s="60" t="e">
        <f t="shared" si="25"/>
        <v>#VALUE!</v>
      </c>
      <c r="GT2" s="60" t="e">
        <f t="shared" ref="GT2" si="26">GT17</f>
        <v>#VALUE!</v>
      </c>
      <c r="GU2" s="60"/>
      <c r="GV2" s="60"/>
      <c r="GW2" s="60" t="e">
        <f>GW17</f>
        <v>#VALUE!</v>
      </c>
      <c r="GX2" s="60" t="e">
        <f t="shared" ref="GX2:HD2" si="27">GX17</f>
        <v>#VALUE!</v>
      </c>
      <c r="GY2" s="60" t="e">
        <f t="shared" si="27"/>
        <v>#VALUE!</v>
      </c>
      <c r="GZ2" s="60" t="e">
        <f t="shared" si="27"/>
        <v>#VALUE!</v>
      </c>
      <c r="HA2" s="60" t="e">
        <f t="shared" si="27"/>
        <v>#VALUE!</v>
      </c>
      <c r="HB2" s="60" t="e">
        <f t="shared" si="27"/>
        <v>#VALUE!</v>
      </c>
      <c r="HC2" s="60" t="e">
        <f t="shared" si="27"/>
        <v>#VALUE!</v>
      </c>
      <c r="HD2" s="60" t="e">
        <f t="shared" si="27"/>
        <v>#VALUE!</v>
      </c>
      <c r="HE2" s="60" t="e">
        <f t="shared" ref="HE2" si="28">HE17</f>
        <v>#VALUE!</v>
      </c>
      <c r="HF2" s="60"/>
      <c r="HG2" s="60"/>
      <c r="HH2" s="60" t="e">
        <f>HH17</f>
        <v>#VALUE!</v>
      </c>
      <c r="HI2" s="60" t="e">
        <f t="shared" ref="HI2:HO2" si="29">HI17</f>
        <v>#VALUE!</v>
      </c>
      <c r="HJ2" s="60" t="e">
        <f t="shared" si="29"/>
        <v>#VALUE!</v>
      </c>
      <c r="HK2" s="60" t="e">
        <f t="shared" si="29"/>
        <v>#VALUE!</v>
      </c>
      <c r="HL2" s="60" t="e">
        <f t="shared" si="29"/>
        <v>#VALUE!</v>
      </c>
      <c r="HM2" s="60" t="e">
        <f t="shared" si="29"/>
        <v>#VALUE!</v>
      </c>
      <c r="HN2" s="60" t="e">
        <f t="shared" si="29"/>
        <v>#VALUE!</v>
      </c>
      <c r="HO2" s="60" t="e">
        <f t="shared" si="29"/>
        <v>#VALUE!</v>
      </c>
      <c r="HP2" s="60" t="e">
        <f t="shared" ref="HP2" si="30">HP17</f>
        <v>#VALUE!</v>
      </c>
      <c r="HQ2" s="60"/>
      <c r="HR2" s="60"/>
      <c r="HS2" s="60" t="e">
        <f>HS17</f>
        <v>#VALUE!</v>
      </c>
      <c r="HT2" s="60" t="e">
        <f t="shared" ref="HT2:HZ2" si="31">HT17</f>
        <v>#VALUE!</v>
      </c>
      <c r="HU2" s="60" t="e">
        <f t="shared" si="31"/>
        <v>#VALUE!</v>
      </c>
      <c r="HV2" s="60" t="e">
        <f t="shared" si="31"/>
        <v>#VALUE!</v>
      </c>
      <c r="HW2" s="60" t="e">
        <f t="shared" si="31"/>
        <v>#VALUE!</v>
      </c>
      <c r="HX2" s="60" t="e">
        <f t="shared" si="31"/>
        <v>#VALUE!</v>
      </c>
      <c r="HY2" s="60" t="e">
        <f t="shared" si="31"/>
        <v>#VALUE!</v>
      </c>
      <c r="HZ2" s="60" t="e">
        <f t="shared" si="31"/>
        <v>#VALUE!</v>
      </c>
      <c r="IA2" s="60" t="e">
        <f t="shared" ref="IA2" si="32">IA17</f>
        <v>#VALUE!</v>
      </c>
      <c r="IB2" s="60"/>
      <c r="IC2" s="60"/>
      <c r="ID2" s="60" t="e">
        <f>ID17</f>
        <v>#VALUE!</v>
      </c>
      <c r="IE2" s="60" t="e">
        <f t="shared" ref="IE2:IK2" si="33">IE17</f>
        <v>#VALUE!</v>
      </c>
      <c r="IF2" s="60" t="e">
        <f t="shared" si="33"/>
        <v>#VALUE!</v>
      </c>
      <c r="IG2" s="60" t="e">
        <f t="shared" si="33"/>
        <v>#VALUE!</v>
      </c>
      <c r="IH2" s="60" t="e">
        <f t="shared" si="33"/>
        <v>#VALUE!</v>
      </c>
      <c r="II2" s="60" t="e">
        <f t="shared" si="33"/>
        <v>#VALUE!</v>
      </c>
      <c r="IJ2" s="60" t="e">
        <f t="shared" si="33"/>
        <v>#VALUE!</v>
      </c>
      <c r="IK2" s="60" t="e">
        <f t="shared" si="33"/>
        <v>#VALUE!</v>
      </c>
      <c r="IL2" s="60" t="e">
        <f t="shared" ref="IL2" si="34">IL17</f>
        <v>#VALUE!</v>
      </c>
      <c r="IM2" s="60"/>
      <c r="IN2" s="60"/>
      <c r="IO2" s="60" t="e">
        <f t="shared" ref="IO2:IW2" si="35">IO16</f>
        <v>#VALUE!</v>
      </c>
      <c r="IP2" s="60" t="e">
        <f t="shared" si="35"/>
        <v>#VALUE!</v>
      </c>
      <c r="IQ2" s="60" t="e">
        <f t="shared" si="35"/>
        <v>#VALUE!</v>
      </c>
      <c r="IR2" s="60" t="e">
        <f t="shared" si="35"/>
        <v>#VALUE!</v>
      </c>
      <c r="IS2" s="60" t="e">
        <f t="shared" si="35"/>
        <v>#VALUE!</v>
      </c>
      <c r="IT2" s="60" t="e">
        <f t="shared" si="35"/>
        <v>#VALUE!</v>
      </c>
      <c r="IU2" s="60" t="e">
        <f t="shared" si="35"/>
        <v>#VALUE!</v>
      </c>
      <c r="IV2" s="60" t="e">
        <f t="shared" si="35"/>
        <v>#VALUE!</v>
      </c>
      <c r="IW2" s="60" t="e">
        <f t="shared" si="35"/>
        <v>#VALUE!</v>
      </c>
      <c r="IX2" s="60"/>
      <c r="IY2" s="60"/>
      <c r="IZ2" s="60" t="e">
        <f t="shared" ref="IZ2:JH2" si="36">IZ17</f>
        <v>#VALUE!</v>
      </c>
      <c r="JA2" s="60" t="e">
        <f t="shared" si="36"/>
        <v>#VALUE!</v>
      </c>
      <c r="JB2" s="60" t="e">
        <f t="shared" si="36"/>
        <v>#VALUE!</v>
      </c>
      <c r="JC2" s="60" t="e">
        <f t="shared" si="36"/>
        <v>#VALUE!</v>
      </c>
      <c r="JD2" s="60" t="e">
        <f t="shared" si="36"/>
        <v>#VALUE!</v>
      </c>
      <c r="JE2" s="60" t="e">
        <f t="shared" si="36"/>
        <v>#VALUE!</v>
      </c>
      <c r="JF2" s="60" t="e">
        <f t="shared" si="36"/>
        <v>#VALUE!</v>
      </c>
      <c r="JG2" s="60" t="e">
        <f t="shared" si="36"/>
        <v>#VALUE!</v>
      </c>
      <c r="JH2" s="60" t="e">
        <f t="shared" si="36"/>
        <v>#VALUE!</v>
      </c>
      <c r="JI2" s="60"/>
      <c r="JJ2" s="60"/>
      <c r="JK2" s="60" t="e">
        <f t="shared" ref="JK2:JS2" si="37">JK17</f>
        <v>#VALUE!</v>
      </c>
      <c r="JL2" s="60" t="e">
        <f t="shared" si="37"/>
        <v>#VALUE!</v>
      </c>
      <c r="JM2" s="60" t="e">
        <f t="shared" si="37"/>
        <v>#VALUE!</v>
      </c>
      <c r="JN2" s="60" t="e">
        <f t="shared" si="37"/>
        <v>#VALUE!</v>
      </c>
      <c r="JO2" s="60" t="e">
        <f t="shared" si="37"/>
        <v>#VALUE!</v>
      </c>
      <c r="JP2" s="60" t="e">
        <f t="shared" si="37"/>
        <v>#VALUE!</v>
      </c>
      <c r="JQ2" s="60" t="e">
        <f t="shared" si="37"/>
        <v>#VALUE!</v>
      </c>
      <c r="JR2" s="60" t="e">
        <f t="shared" si="37"/>
        <v>#VALUE!</v>
      </c>
      <c r="JS2" s="60" t="e">
        <f t="shared" si="37"/>
        <v>#VALUE!</v>
      </c>
      <c r="JT2" s="60"/>
      <c r="JU2" s="60"/>
      <c r="JV2" s="60" t="e">
        <f>JV17</f>
        <v>#VALUE!</v>
      </c>
      <c r="JW2" s="60" t="e">
        <f t="shared" ref="JW2:KC2" si="38">JW17</f>
        <v>#VALUE!</v>
      </c>
      <c r="JX2" s="60" t="e">
        <f t="shared" si="38"/>
        <v>#VALUE!</v>
      </c>
      <c r="JY2" s="60" t="e">
        <f t="shared" si="38"/>
        <v>#VALUE!</v>
      </c>
      <c r="JZ2" s="60" t="e">
        <f t="shared" si="38"/>
        <v>#VALUE!</v>
      </c>
      <c r="KA2" s="60" t="e">
        <f t="shared" si="38"/>
        <v>#VALUE!</v>
      </c>
      <c r="KB2" s="60" t="e">
        <f t="shared" si="38"/>
        <v>#VALUE!</v>
      </c>
      <c r="KC2" s="60" t="e">
        <f t="shared" si="38"/>
        <v>#VALUE!</v>
      </c>
      <c r="KD2" s="60" t="e">
        <f t="shared" ref="KD2" si="39">KD17</f>
        <v>#VALUE!</v>
      </c>
      <c r="KE2" s="60"/>
      <c r="KF2" s="60"/>
      <c r="KG2" s="60" t="e">
        <f>KG17</f>
        <v>#VALUE!</v>
      </c>
      <c r="KH2" s="60" t="e">
        <f t="shared" ref="KH2:KN2" si="40">KH17</f>
        <v>#VALUE!</v>
      </c>
      <c r="KI2" s="60" t="e">
        <f t="shared" si="40"/>
        <v>#VALUE!</v>
      </c>
      <c r="KJ2" s="60" t="e">
        <f t="shared" si="40"/>
        <v>#VALUE!</v>
      </c>
      <c r="KK2" s="60" t="e">
        <f t="shared" si="40"/>
        <v>#VALUE!</v>
      </c>
      <c r="KL2" s="60" t="e">
        <f t="shared" si="40"/>
        <v>#VALUE!</v>
      </c>
      <c r="KM2" s="60" t="e">
        <f t="shared" si="40"/>
        <v>#VALUE!</v>
      </c>
      <c r="KN2" s="60" t="e">
        <f t="shared" si="40"/>
        <v>#VALUE!</v>
      </c>
      <c r="KO2" s="60" t="e">
        <f t="shared" ref="KO2" si="41">KO17</f>
        <v>#VALUE!</v>
      </c>
      <c r="KP2" s="60"/>
      <c r="KQ2" s="60"/>
      <c r="KR2" s="60" t="e">
        <f t="shared" ref="KR2:KY2" si="42">KR39</f>
        <v>#DIV/0!</v>
      </c>
      <c r="KS2" s="60" t="e">
        <f t="shared" si="42"/>
        <v>#DIV/0!</v>
      </c>
      <c r="KT2" s="60" t="e">
        <f t="shared" si="42"/>
        <v>#DIV/0!</v>
      </c>
      <c r="KU2" s="60" t="e">
        <f t="shared" si="42"/>
        <v>#DIV/0!</v>
      </c>
      <c r="KV2" s="60" t="e">
        <f t="shared" si="42"/>
        <v>#DIV/0!</v>
      </c>
      <c r="KW2" s="60" t="e">
        <f t="shared" si="42"/>
        <v>#DIV/0!</v>
      </c>
      <c r="KX2" s="60" t="e">
        <f t="shared" si="42"/>
        <v>#DIV/0!</v>
      </c>
      <c r="KY2" s="60" t="e">
        <f t="shared" si="42"/>
        <v>#DIV/0!</v>
      </c>
      <c r="KZ2" s="60" t="e">
        <f t="shared" ref="KZ2" si="43">KZ39</f>
        <v>#DIV/0!</v>
      </c>
      <c r="LB2" s="60"/>
      <c r="LC2" s="60" t="e">
        <f>LC17</f>
        <v>#VALUE!</v>
      </c>
      <c r="LD2" s="60" t="e">
        <f t="shared" ref="LD2:LJ2" si="44">LD17</f>
        <v>#VALUE!</v>
      </c>
      <c r="LE2" s="60" t="e">
        <f t="shared" si="44"/>
        <v>#VALUE!</v>
      </c>
      <c r="LF2" s="60" t="e">
        <f t="shared" si="44"/>
        <v>#VALUE!</v>
      </c>
      <c r="LG2" s="60" t="e">
        <f t="shared" si="44"/>
        <v>#VALUE!</v>
      </c>
      <c r="LH2" s="60" t="e">
        <f t="shared" si="44"/>
        <v>#VALUE!</v>
      </c>
      <c r="LI2" s="60" t="e">
        <f t="shared" si="44"/>
        <v>#VALUE!</v>
      </c>
      <c r="LJ2" s="60" t="e">
        <f t="shared" si="44"/>
        <v>#VALUE!</v>
      </c>
      <c r="LK2" s="60" t="e">
        <f t="shared" ref="LK2" si="45">LK17</f>
        <v>#VALUE!</v>
      </c>
      <c r="LL2" s="60"/>
      <c r="LM2" s="60"/>
      <c r="LN2" s="60">
        <f>LN17</f>
        <v>0</v>
      </c>
      <c r="LO2" s="60">
        <f t="shared" ref="LO2:LU2" si="46">LO17</f>
        <v>0</v>
      </c>
      <c r="LP2" s="60">
        <f t="shared" si="46"/>
        <v>0</v>
      </c>
      <c r="LQ2" s="60">
        <f t="shared" si="46"/>
        <v>0</v>
      </c>
      <c r="LR2" s="60">
        <f t="shared" si="46"/>
        <v>0</v>
      </c>
      <c r="LS2" s="60">
        <f t="shared" si="46"/>
        <v>0</v>
      </c>
      <c r="LT2" s="60">
        <f t="shared" si="46"/>
        <v>0</v>
      </c>
      <c r="LU2" s="60">
        <f t="shared" si="46"/>
        <v>0</v>
      </c>
      <c r="LV2" s="60">
        <f t="shared" ref="LV2" si="47">LV17</f>
        <v>0</v>
      </c>
      <c r="LW2" s="60"/>
      <c r="LX2" s="60"/>
      <c r="LY2" s="60" t="s">
        <v>201</v>
      </c>
      <c r="LZ2" s="60" t="s">
        <v>201</v>
      </c>
      <c r="MA2" s="60" t="s">
        <v>201</v>
      </c>
      <c r="MB2" s="60" t="s">
        <v>201</v>
      </c>
      <c r="MC2" s="60" t="s">
        <v>201</v>
      </c>
      <c r="MD2" s="60" t="s">
        <v>201</v>
      </c>
      <c r="ME2" s="60" t="s">
        <v>201</v>
      </c>
      <c r="MF2" s="60" t="s">
        <v>201</v>
      </c>
      <c r="MG2" s="60" t="s">
        <v>201</v>
      </c>
      <c r="MH2" s="60"/>
      <c r="MI2" s="60"/>
      <c r="MJ2" s="60" t="s">
        <v>233</v>
      </c>
      <c r="MK2" s="60" t="s">
        <v>233</v>
      </c>
      <c r="ML2" s="60" t="s">
        <v>233</v>
      </c>
      <c r="MM2" s="60" t="s">
        <v>233</v>
      </c>
      <c r="MN2" s="60" t="s">
        <v>233</v>
      </c>
      <c r="MO2" s="60" t="s">
        <v>233</v>
      </c>
      <c r="MP2" s="60" t="s">
        <v>233</v>
      </c>
      <c r="MQ2" s="60" t="s">
        <v>233</v>
      </c>
      <c r="MR2" s="60" t="s">
        <v>233</v>
      </c>
      <c r="MS2" s="60"/>
      <c r="MT2" s="60"/>
      <c r="MU2" s="60">
        <f t="shared" ref="MU2:NB2" si="48">MU17</f>
        <v>0</v>
      </c>
      <c r="MV2" s="60">
        <f t="shared" si="48"/>
        <v>0</v>
      </c>
      <c r="MW2" s="60">
        <f t="shared" si="48"/>
        <v>0</v>
      </c>
      <c r="MX2" s="60">
        <f t="shared" si="48"/>
        <v>0</v>
      </c>
      <c r="MY2" s="60">
        <f t="shared" si="48"/>
        <v>0</v>
      </c>
      <c r="MZ2" s="60">
        <f t="shared" si="48"/>
        <v>0</v>
      </c>
      <c r="NA2" s="60">
        <f t="shared" si="48"/>
        <v>0</v>
      </c>
      <c r="NB2" s="60">
        <f t="shared" si="48"/>
        <v>0</v>
      </c>
      <c r="NC2" s="60">
        <f t="shared" ref="NC2" si="49">NC17</f>
        <v>0</v>
      </c>
      <c r="ND2" s="60"/>
      <c r="NE2" s="60"/>
      <c r="NF2" s="60" t="e">
        <f>NF17</f>
        <v>#VALUE!</v>
      </c>
      <c r="NG2" s="60" t="e">
        <f t="shared" ref="NG2:NM2" si="50">NG17</f>
        <v>#VALUE!</v>
      </c>
      <c r="NH2" s="60" t="e">
        <f t="shared" si="50"/>
        <v>#VALUE!</v>
      </c>
      <c r="NI2" s="60" t="e">
        <f t="shared" si="50"/>
        <v>#VALUE!</v>
      </c>
      <c r="NJ2" s="60" t="e">
        <f t="shared" si="50"/>
        <v>#VALUE!</v>
      </c>
      <c r="NK2" s="60" t="e">
        <f t="shared" si="50"/>
        <v>#VALUE!</v>
      </c>
      <c r="NL2" s="60" t="e">
        <f t="shared" si="50"/>
        <v>#VALUE!</v>
      </c>
      <c r="NM2" s="60" t="e">
        <f t="shared" si="50"/>
        <v>#VALUE!</v>
      </c>
      <c r="NN2" s="60" t="e">
        <f t="shared" ref="NN2" si="51">NN17</f>
        <v>#VALUE!</v>
      </c>
      <c r="NO2" s="60"/>
      <c r="NP2" s="60"/>
      <c r="NQ2" s="60" t="e">
        <f t="shared" ref="NQ2:NX2" si="52">NQ24+NQ30</f>
        <v>#VALUE!</v>
      </c>
      <c r="NR2" s="60" t="e">
        <f t="shared" si="52"/>
        <v>#VALUE!</v>
      </c>
      <c r="NS2" s="60" t="e">
        <f t="shared" si="52"/>
        <v>#VALUE!</v>
      </c>
      <c r="NT2" s="60" t="e">
        <f t="shared" si="52"/>
        <v>#VALUE!</v>
      </c>
      <c r="NU2" s="60" t="e">
        <f t="shared" si="52"/>
        <v>#VALUE!</v>
      </c>
      <c r="NV2" s="60" t="e">
        <f t="shared" si="52"/>
        <v>#VALUE!</v>
      </c>
      <c r="NW2" s="60" t="e">
        <f t="shared" si="52"/>
        <v>#VALUE!</v>
      </c>
      <c r="NX2" s="60" t="e">
        <f t="shared" si="52"/>
        <v>#VALUE!</v>
      </c>
      <c r="NY2" s="60" t="e">
        <f t="shared" ref="NY2" si="53">NY24+NY30</f>
        <v>#VALUE!</v>
      </c>
      <c r="NZ2" s="60"/>
      <c r="OA2" s="60"/>
      <c r="OB2" s="60" t="e">
        <f>OB17</f>
        <v>#VALUE!</v>
      </c>
      <c r="OC2" s="60" t="e">
        <f t="shared" ref="OC2:OI2" si="54">OC17</f>
        <v>#VALUE!</v>
      </c>
      <c r="OD2" s="60" t="e">
        <f t="shared" si="54"/>
        <v>#VALUE!</v>
      </c>
      <c r="OE2" s="60" t="e">
        <f t="shared" si="54"/>
        <v>#VALUE!</v>
      </c>
      <c r="OF2" s="60" t="e">
        <f t="shared" si="54"/>
        <v>#VALUE!</v>
      </c>
      <c r="OG2" s="60" t="e">
        <f t="shared" si="54"/>
        <v>#VALUE!</v>
      </c>
      <c r="OH2" s="60" t="e">
        <f t="shared" si="54"/>
        <v>#VALUE!</v>
      </c>
      <c r="OI2" s="60" t="e">
        <f t="shared" si="54"/>
        <v>#VALUE!</v>
      </c>
      <c r="OJ2" s="60" t="e">
        <f t="shared" ref="OJ2" si="55">OJ17</f>
        <v>#VALUE!</v>
      </c>
      <c r="OK2" s="60"/>
      <c r="OL2" s="60"/>
      <c r="OM2" s="60" t="e">
        <f>OM17</f>
        <v>#VALUE!</v>
      </c>
      <c r="ON2" s="60" t="e">
        <f t="shared" ref="ON2:OT2" si="56">ON17</f>
        <v>#VALUE!</v>
      </c>
      <c r="OO2" s="60" t="e">
        <f t="shared" si="56"/>
        <v>#VALUE!</v>
      </c>
      <c r="OP2" s="60" t="e">
        <f t="shared" si="56"/>
        <v>#VALUE!</v>
      </c>
      <c r="OQ2" s="60" t="e">
        <f t="shared" si="56"/>
        <v>#VALUE!</v>
      </c>
      <c r="OR2" s="60" t="e">
        <f t="shared" si="56"/>
        <v>#VALUE!</v>
      </c>
      <c r="OS2" s="60" t="e">
        <f t="shared" si="56"/>
        <v>#VALUE!</v>
      </c>
      <c r="OT2" s="60" t="e">
        <f t="shared" si="56"/>
        <v>#VALUE!</v>
      </c>
      <c r="OU2" s="60" t="e">
        <f t="shared" ref="OU2" si="57">OU17</f>
        <v>#VALUE!</v>
      </c>
      <c r="OV2" s="60"/>
      <c r="OW2" s="60"/>
      <c r="OX2" s="60" t="e">
        <f>OX17</f>
        <v>#VALUE!</v>
      </c>
      <c r="OY2" s="60" t="e">
        <f t="shared" ref="OY2:PE2" si="58">OY17</f>
        <v>#VALUE!</v>
      </c>
      <c r="OZ2" s="60" t="e">
        <f t="shared" si="58"/>
        <v>#VALUE!</v>
      </c>
      <c r="PA2" s="60" t="e">
        <f t="shared" si="58"/>
        <v>#VALUE!</v>
      </c>
      <c r="PB2" s="60" t="e">
        <f t="shared" si="58"/>
        <v>#VALUE!</v>
      </c>
      <c r="PC2" s="60" t="e">
        <f t="shared" si="58"/>
        <v>#VALUE!</v>
      </c>
      <c r="PD2" s="60" t="e">
        <f t="shared" si="58"/>
        <v>#VALUE!</v>
      </c>
      <c r="PE2" s="60" t="e">
        <f t="shared" si="58"/>
        <v>#VALUE!</v>
      </c>
      <c r="PF2" s="60" t="e">
        <f t="shared" ref="PF2" si="59">PF17</f>
        <v>#VALUE!</v>
      </c>
      <c r="PG2" s="60"/>
      <c r="PH2" s="60"/>
      <c r="PI2" s="60" t="e">
        <f>PI17</f>
        <v>#VALUE!</v>
      </c>
      <c r="PJ2" s="60" t="e">
        <f t="shared" ref="PJ2:PP2" si="60">PJ17</f>
        <v>#VALUE!</v>
      </c>
      <c r="PK2" s="60" t="e">
        <f t="shared" si="60"/>
        <v>#VALUE!</v>
      </c>
      <c r="PL2" s="60" t="e">
        <f t="shared" si="60"/>
        <v>#VALUE!</v>
      </c>
      <c r="PM2" s="60" t="e">
        <f t="shared" si="60"/>
        <v>#VALUE!</v>
      </c>
      <c r="PN2" s="60" t="e">
        <f t="shared" si="60"/>
        <v>#VALUE!</v>
      </c>
      <c r="PO2" s="60" t="e">
        <f t="shared" si="60"/>
        <v>#VALUE!</v>
      </c>
      <c r="PP2" s="60" t="e">
        <f t="shared" si="60"/>
        <v>#VALUE!</v>
      </c>
      <c r="PQ2" s="60" t="e">
        <f t="shared" ref="PQ2" si="61">PQ17</f>
        <v>#VALUE!</v>
      </c>
      <c r="PR2" s="60"/>
      <c r="PS2" s="60"/>
      <c r="PT2" s="60" t="e">
        <f>PT17</f>
        <v>#VALUE!</v>
      </c>
      <c r="PU2" s="60" t="e">
        <f t="shared" ref="PU2:QA2" si="62">PU17</f>
        <v>#VALUE!</v>
      </c>
      <c r="PV2" s="60" t="e">
        <f t="shared" si="62"/>
        <v>#VALUE!</v>
      </c>
      <c r="PW2" s="60" t="e">
        <f t="shared" si="62"/>
        <v>#VALUE!</v>
      </c>
      <c r="PX2" s="60" t="e">
        <f t="shared" si="62"/>
        <v>#VALUE!</v>
      </c>
      <c r="PY2" s="60" t="e">
        <f t="shared" si="62"/>
        <v>#VALUE!</v>
      </c>
      <c r="PZ2" s="60" t="e">
        <f t="shared" si="62"/>
        <v>#VALUE!</v>
      </c>
      <c r="QA2" s="60" t="e">
        <f t="shared" si="62"/>
        <v>#VALUE!</v>
      </c>
      <c r="QB2" s="60" t="e">
        <f t="shared" ref="QB2" si="63">QB17</f>
        <v>#VALUE!</v>
      </c>
      <c r="QC2" s="60"/>
      <c r="QD2" s="60"/>
      <c r="QE2" s="60">
        <f>QE17</f>
        <v>0</v>
      </c>
      <c r="QF2" s="60">
        <f t="shared" ref="QF2:QL2" si="64">QF17</f>
        <v>0</v>
      </c>
      <c r="QG2" s="60">
        <f t="shared" si="64"/>
        <v>0</v>
      </c>
      <c r="QH2" s="60">
        <f t="shared" si="64"/>
        <v>0</v>
      </c>
      <c r="QI2" s="60">
        <f t="shared" si="64"/>
        <v>0</v>
      </c>
      <c r="QJ2" s="60">
        <f t="shared" si="64"/>
        <v>0</v>
      </c>
      <c r="QK2" s="60">
        <f t="shared" si="64"/>
        <v>0</v>
      </c>
      <c r="QL2" s="60">
        <f t="shared" si="64"/>
        <v>0</v>
      </c>
      <c r="QM2" s="60">
        <f t="shared" ref="QM2" si="65">QM17</f>
        <v>0</v>
      </c>
      <c r="QN2" s="60"/>
      <c r="QO2" s="60"/>
      <c r="QP2" s="60" t="e">
        <f>QP17</f>
        <v>#VALUE!</v>
      </c>
      <c r="QQ2" s="60" t="e">
        <f t="shared" ref="QQ2:QW2" si="66">QQ17</f>
        <v>#VALUE!</v>
      </c>
      <c r="QR2" s="60" t="e">
        <f t="shared" si="66"/>
        <v>#VALUE!</v>
      </c>
      <c r="QS2" s="60" t="e">
        <f t="shared" si="66"/>
        <v>#VALUE!</v>
      </c>
      <c r="QT2" s="60" t="e">
        <f t="shared" si="66"/>
        <v>#VALUE!</v>
      </c>
      <c r="QU2" s="60" t="e">
        <f t="shared" si="66"/>
        <v>#VALUE!</v>
      </c>
      <c r="QV2" s="60" t="e">
        <f t="shared" si="66"/>
        <v>#VALUE!</v>
      </c>
      <c r="QW2" s="60" t="e">
        <f t="shared" si="66"/>
        <v>#VALUE!</v>
      </c>
      <c r="QX2" s="60" t="e">
        <f t="shared" ref="QX2" si="67">QX17</f>
        <v>#VALUE!</v>
      </c>
      <c r="QY2" s="60"/>
      <c r="QZ2" s="60"/>
      <c r="RA2" s="60" t="e">
        <f>RA17</f>
        <v>#VALUE!</v>
      </c>
      <c r="RB2" s="60" t="e">
        <f t="shared" ref="RB2:RH2" si="68">RB17</f>
        <v>#VALUE!</v>
      </c>
      <c r="RC2" s="60" t="e">
        <f t="shared" si="68"/>
        <v>#VALUE!</v>
      </c>
      <c r="RD2" s="60" t="e">
        <f t="shared" si="68"/>
        <v>#VALUE!</v>
      </c>
      <c r="RE2" s="60" t="e">
        <f t="shared" si="68"/>
        <v>#VALUE!</v>
      </c>
      <c r="RF2" s="60" t="e">
        <f t="shared" si="68"/>
        <v>#VALUE!</v>
      </c>
      <c r="RG2" s="60" t="e">
        <f t="shared" si="68"/>
        <v>#VALUE!</v>
      </c>
      <c r="RH2" s="60" t="e">
        <f t="shared" si="68"/>
        <v>#VALUE!</v>
      </c>
      <c r="RI2" s="60" t="e">
        <f t="shared" ref="RI2" si="69">RI17</f>
        <v>#VALUE!</v>
      </c>
      <c r="RJ2" s="60"/>
      <c r="RK2" s="60"/>
      <c r="RL2" s="60" t="s">
        <v>233</v>
      </c>
      <c r="RM2" s="60" t="s">
        <v>233</v>
      </c>
      <c r="RN2" s="60" t="s">
        <v>233</v>
      </c>
      <c r="RO2" s="60" t="s">
        <v>233</v>
      </c>
      <c r="RP2" s="60" t="s">
        <v>233</v>
      </c>
      <c r="RQ2" s="60" t="s">
        <v>233</v>
      </c>
      <c r="RR2" s="60" t="s">
        <v>233</v>
      </c>
      <c r="RS2" s="60" t="s">
        <v>233</v>
      </c>
      <c r="RT2" s="60" t="s">
        <v>233</v>
      </c>
      <c r="RU2" s="60"/>
      <c r="RV2" s="60"/>
      <c r="RW2" s="60" t="s">
        <v>233</v>
      </c>
      <c r="RX2" s="60" t="s">
        <v>233</v>
      </c>
      <c r="RY2" s="60" t="s">
        <v>233</v>
      </c>
      <c r="RZ2" s="60" t="s">
        <v>233</v>
      </c>
      <c r="SA2" s="60" t="s">
        <v>233</v>
      </c>
      <c r="SB2" s="60" t="s">
        <v>233</v>
      </c>
      <c r="SC2" s="60" t="s">
        <v>233</v>
      </c>
      <c r="SD2" s="60" t="s">
        <v>233</v>
      </c>
      <c r="SE2" s="60" t="s">
        <v>233</v>
      </c>
      <c r="SF2" s="60"/>
      <c r="SG2" s="60"/>
      <c r="SH2" s="60" t="s">
        <v>201</v>
      </c>
      <c r="SI2" s="60" t="s">
        <v>201</v>
      </c>
      <c r="SJ2" s="60" t="s">
        <v>201</v>
      </c>
      <c r="SK2" s="60" t="s">
        <v>201</v>
      </c>
      <c r="SL2" s="60" t="s">
        <v>201</v>
      </c>
      <c r="SM2" s="60" t="s">
        <v>201</v>
      </c>
      <c r="SN2" s="60" t="s">
        <v>201</v>
      </c>
      <c r="SO2" s="60" t="s">
        <v>201</v>
      </c>
      <c r="SP2" s="60" t="s">
        <v>201</v>
      </c>
      <c r="SQ2" s="60"/>
      <c r="SR2" s="60"/>
      <c r="SS2" s="60" t="e">
        <f>SS17</f>
        <v>#VALUE!</v>
      </c>
      <c r="ST2" s="60" t="e">
        <f t="shared" ref="ST2:SZ2" si="70">ST17</f>
        <v>#VALUE!</v>
      </c>
      <c r="SU2" s="60" t="e">
        <f t="shared" si="70"/>
        <v>#VALUE!</v>
      </c>
      <c r="SV2" s="60" t="e">
        <f t="shared" si="70"/>
        <v>#VALUE!</v>
      </c>
      <c r="SW2" s="60" t="e">
        <f t="shared" si="70"/>
        <v>#VALUE!</v>
      </c>
      <c r="SX2" s="60" t="e">
        <f t="shared" si="70"/>
        <v>#VALUE!</v>
      </c>
      <c r="SY2" s="60" t="e">
        <f t="shared" si="70"/>
        <v>#VALUE!</v>
      </c>
      <c r="SZ2" s="60" t="e">
        <f t="shared" si="70"/>
        <v>#VALUE!</v>
      </c>
      <c r="TA2" s="60" t="e">
        <f t="shared" ref="TA2" si="71">TA17</f>
        <v>#VALUE!</v>
      </c>
      <c r="TB2" s="60"/>
      <c r="TC2" s="60"/>
      <c r="TD2" s="60" t="e">
        <f>TD17</f>
        <v>#VALUE!</v>
      </c>
      <c r="TE2" s="60" t="e">
        <f t="shared" ref="TE2:TK2" si="72">TE17</f>
        <v>#VALUE!</v>
      </c>
      <c r="TF2" s="60" t="e">
        <f t="shared" si="72"/>
        <v>#VALUE!</v>
      </c>
      <c r="TG2" s="60" t="e">
        <f t="shared" si="72"/>
        <v>#VALUE!</v>
      </c>
      <c r="TH2" s="60" t="e">
        <f t="shared" si="72"/>
        <v>#VALUE!</v>
      </c>
      <c r="TI2" s="60" t="e">
        <f t="shared" si="72"/>
        <v>#VALUE!</v>
      </c>
      <c r="TJ2" s="60" t="e">
        <f t="shared" si="72"/>
        <v>#VALUE!</v>
      </c>
      <c r="TK2" s="60" t="e">
        <f t="shared" si="72"/>
        <v>#VALUE!</v>
      </c>
      <c r="TL2" s="60" t="e">
        <f t="shared" ref="TL2" si="73">TL17</f>
        <v>#VALUE!</v>
      </c>
      <c r="TM2" s="60"/>
      <c r="TN2" s="60"/>
      <c r="TO2" s="60">
        <f>TO17</f>
        <v>0</v>
      </c>
      <c r="TP2" s="60">
        <f t="shared" ref="TP2:TV2" si="74">TP17</f>
        <v>0</v>
      </c>
      <c r="TQ2" s="60">
        <f t="shared" si="74"/>
        <v>0</v>
      </c>
      <c r="TR2" s="60">
        <f t="shared" si="74"/>
        <v>0</v>
      </c>
      <c r="TS2" s="60">
        <f t="shared" si="74"/>
        <v>0</v>
      </c>
      <c r="TT2" s="60">
        <f t="shared" si="74"/>
        <v>0</v>
      </c>
      <c r="TU2" s="60">
        <f t="shared" si="74"/>
        <v>0</v>
      </c>
      <c r="TV2" s="60">
        <f t="shared" si="74"/>
        <v>0</v>
      </c>
      <c r="TW2" s="60">
        <f t="shared" ref="TW2" si="75">TW17</f>
        <v>0</v>
      </c>
      <c r="TX2" s="60"/>
      <c r="TY2" s="60"/>
      <c r="TZ2" s="60" t="s">
        <v>201</v>
      </c>
      <c r="UA2" s="60" t="s">
        <v>201</v>
      </c>
      <c r="UB2" s="60" t="s">
        <v>201</v>
      </c>
      <c r="UC2" s="60" t="s">
        <v>201</v>
      </c>
      <c r="UD2" s="60" t="s">
        <v>201</v>
      </c>
      <c r="UE2" s="60" t="s">
        <v>201</v>
      </c>
      <c r="UF2" s="60" t="s">
        <v>201</v>
      </c>
      <c r="UG2" s="60" t="s">
        <v>201</v>
      </c>
      <c r="UH2" s="60" t="s">
        <v>201</v>
      </c>
      <c r="UI2" s="60"/>
      <c r="UJ2" s="60"/>
      <c r="UK2" s="60" t="e">
        <f>UK17</f>
        <v>#VALUE!</v>
      </c>
      <c r="UL2" s="60" t="e">
        <f t="shared" ref="UL2:UR2" si="76">UL17</f>
        <v>#VALUE!</v>
      </c>
      <c r="UM2" s="60" t="e">
        <f t="shared" si="76"/>
        <v>#VALUE!</v>
      </c>
      <c r="UN2" s="60" t="e">
        <f t="shared" si="76"/>
        <v>#VALUE!</v>
      </c>
      <c r="UO2" s="60" t="e">
        <f t="shared" si="76"/>
        <v>#VALUE!</v>
      </c>
      <c r="UP2" s="60" t="e">
        <f t="shared" si="76"/>
        <v>#VALUE!</v>
      </c>
      <c r="UQ2" s="60" t="e">
        <f t="shared" si="76"/>
        <v>#VALUE!</v>
      </c>
      <c r="UR2" s="60" t="e">
        <f t="shared" si="76"/>
        <v>#VALUE!</v>
      </c>
      <c r="US2" s="60" t="e">
        <f t="shared" ref="US2" si="77">US17</f>
        <v>#VALUE!</v>
      </c>
      <c r="UT2" s="60"/>
      <c r="UU2" s="60"/>
      <c r="UV2" s="60" t="e">
        <f t="shared" ref="UV2:VD2" si="78">UV17</f>
        <v>#VALUE!</v>
      </c>
      <c r="UW2" s="60" t="e">
        <f t="shared" si="78"/>
        <v>#VALUE!</v>
      </c>
      <c r="UX2" s="60" t="e">
        <f t="shared" si="78"/>
        <v>#VALUE!</v>
      </c>
      <c r="UY2" s="60" t="e">
        <f t="shared" si="78"/>
        <v>#VALUE!</v>
      </c>
      <c r="UZ2" s="60" t="e">
        <f t="shared" si="78"/>
        <v>#VALUE!</v>
      </c>
      <c r="VA2" s="60" t="e">
        <f t="shared" si="78"/>
        <v>#VALUE!</v>
      </c>
      <c r="VB2" s="60" t="e">
        <f t="shared" si="78"/>
        <v>#VALUE!</v>
      </c>
      <c r="VC2" s="60" t="e">
        <f t="shared" si="78"/>
        <v>#VALUE!</v>
      </c>
      <c r="VD2" s="60" t="e">
        <f t="shared" si="78"/>
        <v>#VALUE!</v>
      </c>
      <c r="VE2" s="60"/>
      <c r="VF2" s="60"/>
      <c r="VG2" s="60" t="s">
        <v>201</v>
      </c>
      <c r="VH2" s="60" t="s">
        <v>201</v>
      </c>
      <c r="VI2" s="60" t="s">
        <v>201</v>
      </c>
      <c r="VJ2" s="60" t="s">
        <v>201</v>
      </c>
      <c r="VK2" s="60" t="s">
        <v>201</v>
      </c>
      <c r="VL2" s="60" t="s">
        <v>201</v>
      </c>
      <c r="VM2" s="60" t="s">
        <v>201</v>
      </c>
      <c r="VN2" s="60" t="s">
        <v>201</v>
      </c>
      <c r="VO2" s="60" t="s">
        <v>201</v>
      </c>
      <c r="VT2" s="59">
        <v>0</v>
      </c>
    </row>
    <row r="3" spans="1:592" x14ac:dyDescent="0.25">
      <c r="A3" s="2" t="s">
        <v>7</v>
      </c>
      <c r="B3" s="39" t="s">
        <v>62</v>
      </c>
      <c r="C3" s="39" t="s">
        <v>62</v>
      </c>
      <c r="D3" s="39" t="s">
        <v>62</v>
      </c>
      <c r="E3" s="39" t="s">
        <v>62</v>
      </c>
      <c r="F3" s="39" t="s">
        <v>62</v>
      </c>
      <c r="G3" s="39" t="s">
        <v>62</v>
      </c>
      <c r="H3" s="39" t="s">
        <v>62</v>
      </c>
      <c r="I3" s="39" t="s">
        <v>62</v>
      </c>
      <c r="J3" s="39" t="str">
        <f t="shared" si="0"/>
        <v>[Select State]</v>
      </c>
      <c r="K3" s="211" t="s">
        <v>382</v>
      </c>
      <c r="Q3" s="67"/>
      <c r="R3" s="68"/>
      <c r="T3" s="35"/>
      <c r="U3" s="21"/>
      <c r="X3" s="314">
        <v>60000</v>
      </c>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0"/>
      <c r="PK3" s="60"/>
      <c r="PL3" s="60"/>
      <c r="PM3" s="60"/>
      <c r="PN3" s="60"/>
      <c r="PO3" s="60"/>
      <c r="PP3" s="60"/>
      <c r="PQ3" s="60"/>
      <c r="PR3" s="60"/>
      <c r="PS3" s="60"/>
      <c r="PT3" s="60"/>
      <c r="PU3" s="60"/>
      <c r="PV3" s="60"/>
      <c r="PW3" s="60"/>
      <c r="PX3" s="60"/>
      <c r="PY3" s="60"/>
      <c r="PZ3" s="60"/>
      <c r="QA3" s="60"/>
      <c r="QB3" s="60"/>
      <c r="QC3" s="60"/>
      <c r="QD3" s="60"/>
      <c r="QE3" s="60"/>
      <c r="QF3" s="60"/>
      <c r="QG3" s="60"/>
      <c r="QH3" s="60"/>
      <c r="QI3" s="60"/>
      <c r="QJ3" s="60"/>
      <c r="QK3" s="60"/>
      <c r="QL3" s="60"/>
      <c r="QM3" s="60"/>
      <c r="QN3" s="60"/>
      <c r="QO3" s="60"/>
      <c r="QP3" s="60"/>
      <c r="QQ3" s="60"/>
      <c r="QR3" s="60"/>
      <c r="QS3" s="60"/>
      <c r="QT3" s="60"/>
      <c r="QU3" s="60"/>
      <c r="QV3" s="60"/>
      <c r="QW3" s="60"/>
      <c r="QX3" s="60"/>
      <c r="QY3" s="60"/>
      <c r="QZ3" s="60"/>
      <c r="RA3" s="60"/>
      <c r="RB3" s="60"/>
      <c r="RC3" s="60"/>
      <c r="RD3" s="60"/>
      <c r="RE3" s="60"/>
      <c r="RF3" s="60"/>
      <c r="RG3" s="60"/>
      <c r="RH3" s="60"/>
      <c r="RI3" s="60"/>
      <c r="RJ3" s="60"/>
      <c r="RK3" s="60"/>
      <c r="RL3" s="60"/>
      <c r="RM3" s="60"/>
      <c r="RN3" s="60"/>
      <c r="RO3" s="60"/>
      <c r="RP3" s="60"/>
      <c r="RQ3" s="60"/>
      <c r="RR3" s="60"/>
      <c r="RS3" s="60"/>
      <c r="RT3" s="60"/>
      <c r="RU3" s="60"/>
      <c r="RV3" s="60"/>
      <c r="RW3" s="60"/>
      <c r="RX3" s="60"/>
      <c r="RY3" s="60"/>
      <c r="RZ3" s="60"/>
      <c r="SA3" s="60"/>
      <c r="SB3" s="60"/>
      <c r="SC3" s="60"/>
      <c r="SD3" s="60"/>
      <c r="SE3" s="60"/>
      <c r="SF3" s="60"/>
      <c r="SG3" s="60"/>
      <c r="SH3" s="60"/>
      <c r="SI3" s="60"/>
      <c r="SJ3" s="60"/>
      <c r="SK3" s="60"/>
      <c r="SL3" s="60"/>
      <c r="SM3" s="60"/>
      <c r="SN3" s="60"/>
      <c r="SO3" s="60"/>
      <c r="SP3" s="60"/>
      <c r="SQ3" s="60"/>
      <c r="SR3" s="60"/>
      <c r="SS3" s="60"/>
      <c r="ST3" s="60"/>
      <c r="SU3" s="60"/>
      <c r="SV3" s="60"/>
      <c r="SW3" s="60"/>
      <c r="SX3" s="60"/>
      <c r="SY3" s="60"/>
      <c r="SZ3" s="60"/>
      <c r="TA3" s="60"/>
      <c r="TB3" s="60"/>
      <c r="TC3" s="60"/>
      <c r="TD3" s="60"/>
      <c r="TE3" s="60"/>
      <c r="TF3" s="60"/>
      <c r="TG3" s="60"/>
      <c r="TH3" s="60"/>
      <c r="TI3" s="60"/>
      <c r="TJ3" s="60"/>
      <c r="TK3" s="60"/>
      <c r="TL3" s="60"/>
      <c r="TM3" s="60"/>
      <c r="TN3" s="60"/>
      <c r="TO3" s="60"/>
      <c r="TP3" s="60"/>
      <c r="TQ3" s="60"/>
      <c r="TR3" s="60"/>
      <c r="TS3" s="60"/>
      <c r="TT3" s="60"/>
      <c r="TU3" s="60"/>
      <c r="TV3" s="60"/>
      <c r="TW3" s="60"/>
      <c r="TX3" s="60"/>
      <c r="TY3" s="60"/>
      <c r="TZ3" s="60"/>
      <c r="UA3" s="60"/>
      <c r="UB3" s="60"/>
      <c r="UC3" s="60"/>
      <c r="UD3" s="60"/>
      <c r="UE3" s="60"/>
      <c r="UF3" s="60"/>
      <c r="UG3" s="60"/>
      <c r="UH3" s="60"/>
      <c r="UI3" s="60"/>
      <c r="UJ3" s="60"/>
      <c r="UK3" s="60"/>
      <c r="UL3" s="60"/>
      <c r="UM3" s="60"/>
      <c r="UN3" s="60"/>
      <c r="UO3" s="60"/>
      <c r="UP3" s="60"/>
      <c r="UQ3" s="60"/>
      <c r="UR3" s="60"/>
      <c r="US3" s="60"/>
      <c r="UT3" s="60"/>
      <c r="UU3" s="60"/>
      <c r="UV3" s="60"/>
      <c r="UW3" s="60"/>
      <c r="UX3" s="60"/>
      <c r="UY3" s="60"/>
      <c r="UZ3" s="60"/>
      <c r="VA3" s="60"/>
      <c r="VB3" s="60"/>
      <c r="VC3" s="60"/>
      <c r="VD3" s="60"/>
      <c r="VE3" s="60"/>
      <c r="VF3" s="60"/>
      <c r="VG3" s="60"/>
      <c r="VH3" s="60"/>
      <c r="VI3" s="60"/>
      <c r="VJ3" s="60"/>
      <c r="VK3" s="60"/>
      <c r="VL3" s="60"/>
      <c r="VM3" s="60"/>
      <c r="VN3" s="60"/>
      <c r="VO3" s="60"/>
      <c r="VT3" s="59"/>
    </row>
    <row r="4" spans="1:592" x14ac:dyDescent="0.25">
      <c r="A4" s="2" t="s">
        <v>79</v>
      </c>
      <c r="B4" s="3" t="s">
        <v>82</v>
      </c>
      <c r="C4" s="3" t="s">
        <v>82</v>
      </c>
      <c r="D4" s="3" t="s">
        <v>82</v>
      </c>
      <c r="E4" s="3" t="s">
        <v>82</v>
      </c>
      <c r="F4" s="3" t="s">
        <v>82</v>
      </c>
      <c r="G4" s="3" t="s">
        <v>82</v>
      </c>
      <c r="H4" s="3" t="s">
        <v>82</v>
      </c>
      <c r="I4" s="3" t="s">
        <v>82</v>
      </c>
      <c r="J4" s="3" t="str">
        <f t="shared" si="0"/>
        <v>-</v>
      </c>
      <c r="K4" s="211" t="s">
        <v>383</v>
      </c>
      <c r="Q4" s="67"/>
      <c r="R4" s="68"/>
      <c r="T4" s="35"/>
      <c r="U4" s="21"/>
      <c r="X4" s="314">
        <v>-50000</v>
      </c>
      <c r="AN4" s="60"/>
      <c r="AO4" s="60"/>
      <c r="AP4" s="60"/>
      <c r="AQ4" s="60"/>
      <c r="AR4" s="60"/>
      <c r="AS4" s="60"/>
      <c r="AT4" s="60"/>
      <c r="AU4" s="60"/>
      <c r="AV4" s="60"/>
      <c r="AW4" s="60"/>
      <c r="AX4" s="60"/>
      <c r="AY4" s="60"/>
      <c r="AZ4" s="60"/>
      <c r="BA4" s="60"/>
      <c r="BB4" s="60"/>
      <c r="BC4" s="60"/>
      <c r="BD4" s="60"/>
      <c r="BE4" s="60"/>
      <c r="BF4" s="60"/>
      <c r="BG4" s="60"/>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DV4" s="60"/>
      <c r="DW4" s="60"/>
      <c r="DX4" s="60"/>
      <c r="DY4" s="60"/>
      <c r="DZ4" s="60"/>
      <c r="EA4" s="60"/>
      <c r="EB4" s="60"/>
      <c r="EC4" s="60"/>
      <c r="ED4" s="60"/>
      <c r="EE4" s="60"/>
      <c r="EF4" s="60"/>
      <c r="EH4" s="60"/>
      <c r="EI4" s="60"/>
      <c r="EJ4" s="60"/>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c r="FQ4" s="60"/>
      <c r="FR4" s="60"/>
      <c r="FS4" s="60"/>
      <c r="FT4" s="60"/>
      <c r="FU4" s="60"/>
      <c r="FV4" s="60"/>
      <c r="FW4" s="60"/>
      <c r="FX4" s="60"/>
      <c r="FY4" s="60"/>
      <c r="FZ4" s="60"/>
      <c r="GA4" s="60"/>
      <c r="GB4" s="60"/>
      <c r="GC4" s="60"/>
      <c r="GD4" s="60"/>
      <c r="GE4" s="60"/>
      <c r="GF4" s="60"/>
      <c r="GG4" s="60"/>
      <c r="GH4" s="60"/>
      <c r="GI4" s="60"/>
      <c r="GJ4" s="60"/>
      <c r="GK4" s="60"/>
      <c r="GL4" s="60"/>
      <c r="GM4" s="60"/>
      <c r="GN4" s="60"/>
      <c r="GO4" s="60"/>
      <c r="GP4" s="60"/>
      <c r="GQ4" s="60"/>
      <c r="GR4" s="60"/>
      <c r="GS4" s="60"/>
      <c r="GT4" s="60"/>
      <c r="GU4" s="60"/>
      <c r="GV4" s="60"/>
      <c r="GW4" s="60"/>
      <c r="GX4" s="60"/>
      <c r="GY4" s="60"/>
      <c r="GZ4" s="60"/>
      <c r="HA4" s="60"/>
      <c r="HB4" s="60"/>
      <c r="HC4" s="60"/>
      <c r="HD4" s="60"/>
      <c r="HE4" s="60"/>
      <c r="HF4" s="60"/>
      <c r="HG4" s="60"/>
      <c r="HH4" s="60"/>
      <c r="HI4" s="60"/>
      <c r="HJ4" s="60"/>
      <c r="HK4" s="60"/>
      <c r="HL4" s="60"/>
      <c r="HM4" s="60"/>
      <c r="HN4" s="60"/>
      <c r="HO4" s="60"/>
      <c r="HP4" s="60"/>
      <c r="HQ4" s="60"/>
      <c r="HR4" s="60"/>
      <c r="HS4" s="60"/>
      <c r="HT4" s="60"/>
      <c r="HU4" s="60"/>
      <c r="HV4" s="60"/>
      <c r="HW4" s="60"/>
      <c r="HX4" s="60"/>
      <c r="HY4" s="60"/>
      <c r="HZ4" s="60"/>
      <c r="IA4" s="60"/>
      <c r="IB4" s="60"/>
      <c r="IC4" s="60"/>
      <c r="ID4" s="60"/>
      <c r="IE4" s="60"/>
      <c r="IF4" s="60"/>
      <c r="IG4" s="60"/>
      <c r="IH4" s="60"/>
      <c r="II4" s="60"/>
      <c r="IJ4" s="60"/>
      <c r="IK4" s="60"/>
      <c r="IL4" s="60"/>
      <c r="IM4" s="60"/>
      <c r="IN4" s="60"/>
      <c r="IO4" s="60"/>
      <c r="IP4" s="60"/>
      <c r="IQ4" s="60"/>
      <c r="IR4" s="60"/>
      <c r="IS4" s="60"/>
      <c r="IT4" s="60"/>
      <c r="IU4" s="60"/>
      <c r="IV4" s="60"/>
      <c r="IW4" s="60"/>
      <c r="IX4" s="60"/>
      <c r="IY4" s="60"/>
      <c r="IZ4" s="60"/>
      <c r="JA4" s="60"/>
      <c r="JB4" s="60"/>
      <c r="JC4" s="60"/>
      <c r="JD4" s="60"/>
      <c r="JE4" s="60"/>
      <c r="JF4" s="60"/>
      <c r="JG4" s="60"/>
      <c r="JH4" s="60"/>
      <c r="JI4" s="60"/>
      <c r="JJ4" s="60"/>
      <c r="JK4" s="60"/>
      <c r="JL4" s="60"/>
      <c r="JM4" s="60"/>
      <c r="JN4" s="60"/>
      <c r="JO4" s="60"/>
      <c r="JP4" s="60"/>
      <c r="JQ4" s="60"/>
      <c r="JR4" s="60"/>
      <c r="JS4" s="60"/>
      <c r="JT4" s="60"/>
      <c r="JU4" s="60"/>
      <c r="JV4" s="60"/>
      <c r="JW4" s="60"/>
      <c r="JX4" s="60"/>
      <c r="JY4" s="60"/>
      <c r="JZ4" s="60"/>
      <c r="KA4" s="60"/>
      <c r="KB4" s="60"/>
      <c r="KC4" s="60"/>
      <c r="KD4" s="60"/>
      <c r="KE4" s="60"/>
      <c r="KF4" s="60"/>
      <c r="KG4" s="60"/>
      <c r="KH4" s="60"/>
      <c r="KI4" s="60"/>
      <c r="KJ4" s="60"/>
      <c r="KK4" s="60"/>
      <c r="KL4" s="60"/>
      <c r="KM4" s="60"/>
      <c r="KN4" s="60"/>
      <c r="KO4" s="60"/>
      <c r="KP4" s="60"/>
      <c r="KQ4" s="60"/>
      <c r="KR4" s="60"/>
      <c r="KS4" s="60"/>
      <c r="KT4" s="60"/>
      <c r="KU4" s="60"/>
      <c r="KV4" s="60"/>
      <c r="KW4" s="60"/>
      <c r="KX4" s="60"/>
      <c r="KY4" s="60"/>
      <c r="KZ4" s="60"/>
      <c r="LB4" s="60"/>
      <c r="LC4" s="60"/>
      <c r="LD4" s="60"/>
      <c r="LE4" s="60"/>
      <c r="LF4" s="60"/>
      <c r="LG4" s="60"/>
      <c r="LH4" s="60"/>
      <c r="LI4" s="60"/>
      <c r="LJ4" s="60"/>
      <c r="LK4" s="60"/>
      <c r="LL4" s="60"/>
      <c r="LM4" s="60"/>
      <c r="LN4" s="60"/>
      <c r="LO4" s="60"/>
      <c r="LP4" s="60"/>
      <c r="LQ4" s="60"/>
      <c r="LR4" s="60"/>
      <c r="LS4" s="60"/>
      <c r="LT4" s="60"/>
      <c r="LU4" s="60"/>
      <c r="LV4" s="60"/>
      <c r="LW4" s="60"/>
      <c r="LX4" s="60"/>
      <c r="LY4" s="60"/>
      <c r="LZ4" s="60"/>
      <c r="MA4" s="60"/>
      <c r="MB4" s="60"/>
      <c r="MC4" s="60"/>
      <c r="MD4" s="60"/>
      <c r="ME4" s="60"/>
      <c r="MF4" s="60"/>
      <c r="MG4" s="60"/>
      <c r="MH4" s="60"/>
      <c r="MI4" s="60"/>
      <c r="MJ4" s="60"/>
      <c r="MK4" s="60"/>
      <c r="ML4" s="60"/>
      <c r="MM4" s="60"/>
      <c r="MN4" s="60"/>
      <c r="MO4" s="60"/>
      <c r="MP4" s="60"/>
      <c r="MQ4" s="60"/>
      <c r="MR4" s="60"/>
      <c r="MS4" s="60"/>
      <c r="MT4" s="60"/>
      <c r="MU4" s="60"/>
      <c r="MV4" s="60"/>
      <c r="MW4" s="60"/>
      <c r="MX4" s="60"/>
      <c r="MY4" s="60"/>
      <c r="MZ4" s="60"/>
      <c r="NA4" s="60"/>
      <c r="NB4" s="60"/>
      <c r="NC4" s="60"/>
      <c r="ND4" s="60"/>
      <c r="NE4" s="60"/>
      <c r="NF4" s="60"/>
      <c r="NG4" s="60"/>
      <c r="NH4" s="60"/>
      <c r="NI4" s="60"/>
      <c r="NJ4" s="60"/>
      <c r="NK4" s="60"/>
      <c r="NL4" s="60"/>
      <c r="NM4" s="60"/>
      <c r="NN4" s="60"/>
      <c r="NO4" s="60"/>
      <c r="NP4" s="60"/>
      <c r="NQ4" s="60"/>
      <c r="NR4" s="60"/>
      <c r="NS4" s="60"/>
      <c r="NT4" s="60"/>
      <c r="NU4" s="60"/>
      <c r="NV4" s="60"/>
      <c r="NW4" s="60"/>
      <c r="NX4" s="60"/>
      <c r="NY4" s="60"/>
      <c r="NZ4" s="60"/>
      <c r="OA4" s="60"/>
      <c r="OB4" s="60"/>
      <c r="OC4" s="60"/>
      <c r="OD4" s="60"/>
      <c r="OE4" s="60"/>
      <c r="OF4" s="60"/>
      <c r="OG4" s="60"/>
      <c r="OH4" s="60"/>
      <c r="OI4" s="60"/>
      <c r="OJ4" s="60"/>
      <c r="OK4" s="60"/>
      <c r="OL4" s="60"/>
      <c r="OM4" s="60"/>
      <c r="ON4" s="60"/>
      <c r="OO4" s="60"/>
      <c r="OP4" s="60"/>
      <c r="OQ4" s="60"/>
      <c r="OR4" s="60"/>
      <c r="OS4" s="60"/>
      <c r="OT4" s="60"/>
      <c r="OU4" s="60"/>
      <c r="OV4" s="60"/>
      <c r="OW4" s="60"/>
      <c r="OX4" s="60"/>
      <c r="OY4" s="60"/>
      <c r="OZ4" s="60"/>
      <c r="PA4" s="60"/>
      <c r="PB4" s="60"/>
      <c r="PC4" s="60"/>
      <c r="PD4" s="60"/>
      <c r="PE4" s="60"/>
      <c r="PF4" s="60"/>
      <c r="PG4" s="60"/>
      <c r="PH4" s="60"/>
      <c r="PI4" s="60"/>
      <c r="PJ4" s="60"/>
      <c r="PK4" s="60"/>
      <c r="PL4" s="60"/>
      <c r="PM4" s="60"/>
      <c r="PN4" s="60"/>
      <c r="PO4" s="60"/>
      <c r="PP4" s="60"/>
      <c r="PQ4" s="60"/>
      <c r="PR4" s="60"/>
      <c r="PS4" s="60"/>
      <c r="PT4" s="60"/>
      <c r="PU4" s="60"/>
      <c r="PV4" s="60"/>
      <c r="PW4" s="60"/>
      <c r="PX4" s="60"/>
      <c r="PY4" s="60"/>
      <c r="PZ4" s="60"/>
      <c r="QA4" s="60"/>
      <c r="QB4" s="60"/>
      <c r="QC4" s="60"/>
      <c r="QD4" s="60"/>
      <c r="QE4" s="60"/>
      <c r="QF4" s="60"/>
      <c r="QG4" s="60"/>
      <c r="QH4" s="60"/>
      <c r="QI4" s="60"/>
      <c r="QJ4" s="60"/>
      <c r="QK4" s="60"/>
      <c r="QL4" s="60"/>
      <c r="QM4" s="60"/>
      <c r="QN4" s="60"/>
      <c r="QO4" s="60"/>
      <c r="QP4" s="60"/>
      <c r="QQ4" s="60"/>
      <c r="QR4" s="60"/>
      <c r="QS4" s="60"/>
      <c r="QT4" s="60"/>
      <c r="QU4" s="60"/>
      <c r="QV4" s="60"/>
      <c r="QW4" s="60"/>
      <c r="QX4" s="60"/>
      <c r="QY4" s="60"/>
      <c r="QZ4" s="60"/>
      <c r="RA4" s="60"/>
      <c r="RB4" s="60"/>
      <c r="RC4" s="60"/>
      <c r="RD4" s="60"/>
      <c r="RE4" s="60"/>
      <c r="RF4" s="60"/>
      <c r="RG4" s="60"/>
      <c r="RH4" s="60"/>
      <c r="RI4" s="60"/>
      <c r="RJ4" s="60"/>
      <c r="RK4" s="60"/>
      <c r="RL4" s="60"/>
      <c r="RM4" s="60"/>
      <c r="RN4" s="60"/>
      <c r="RO4" s="60"/>
      <c r="RP4" s="60"/>
      <c r="RQ4" s="60"/>
      <c r="RR4" s="60"/>
      <c r="RS4" s="60"/>
      <c r="RT4" s="60"/>
      <c r="RU4" s="60"/>
      <c r="RV4" s="60"/>
      <c r="RW4" s="60"/>
      <c r="RX4" s="60"/>
      <c r="RY4" s="60"/>
      <c r="RZ4" s="60"/>
      <c r="SA4" s="60"/>
      <c r="SB4" s="60"/>
      <c r="SC4" s="60"/>
      <c r="SD4" s="60"/>
      <c r="SE4" s="60"/>
      <c r="SF4" s="60"/>
      <c r="SG4" s="60"/>
      <c r="SH4" s="60"/>
      <c r="SI4" s="60"/>
      <c r="SJ4" s="60"/>
      <c r="SK4" s="60"/>
      <c r="SL4" s="60"/>
      <c r="SM4" s="60"/>
      <c r="SN4" s="60"/>
      <c r="SO4" s="60"/>
      <c r="SP4" s="60"/>
      <c r="SQ4" s="60"/>
      <c r="SR4" s="60"/>
      <c r="SS4" s="60"/>
      <c r="ST4" s="60"/>
      <c r="SU4" s="60"/>
      <c r="SV4" s="60"/>
      <c r="SW4" s="60"/>
      <c r="SX4" s="60"/>
      <c r="SY4" s="60"/>
      <c r="SZ4" s="60"/>
      <c r="TA4" s="60"/>
      <c r="TB4" s="60"/>
      <c r="TC4" s="60"/>
      <c r="TD4" s="60"/>
      <c r="TE4" s="60"/>
      <c r="TF4" s="60"/>
      <c r="TG4" s="60"/>
      <c r="TH4" s="60"/>
      <c r="TI4" s="60"/>
      <c r="TJ4" s="60"/>
      <c r="TK4" s="60"/>
      <c r="TL4" s="60"/>
      <c r="TM4" s="60"/>
      <c r="TN4" s="60"/>
      <c r="TO4" s="60"/>
      <c r="TP4" s="60"/>
      <c r="TQ4" s="60"/>
      <c r="TR4" s="60"/>
      <c r="TS4" s="60"/>
      <c r="TT4" s="60"/>
      <c r="TU4" s="60"/>
      <c r="TV4" s="60"/>
      <c r="TW4" s="60"/>
      <c r="TX4" s="60"/>
      <c r="TY4" s="60"/>
      <c r="TZ4" s="60"/>
      <c r="UA4" s="60"/>
      <c r="UB4" s="60"/>
      <c r="UC4" s="60"/>
      <c r="UD4" s="60"/>
      <c r="UE4" s="60"/>
      <c r="UF4" s="60"/>
      <c r="UG4" s="60"/>
      <c r="UH4" s="60"/>
      <c r="UI4" s="60"/>
      <c r="UJ4" s="60"/>
      <c r="UK4" s="60"/>
      <c r="UL4" s="60"/>
      <c r="UM4" s="60"/>
      <c r="UN4" s="60"/>
      <c r="UO4" s="60"/>
      <c r="UP4" s="60"/>
      <c r="UQ4" s="60"/>
      <c r="UR4" s="60"/>
      <c r="US4" s="60"/>
      <c r="UT4" s="60"/>
      <c r="UU4" s="60"/>
      <c r="UV4" s="60"/>
      <c r="UW4" s="60"/>
      <c r="UX4" s="60"/>
      <c r="UY4" s="60"/>
      <c r="UZ4" s="60"/>
      <c r="VA4" s="60"/>
      <c r="VB4" s="60"/>
      <c r="VC4" s="60"/>
      <c r="VD4" s="60"/>
      <c r="VE4" s="60"/>
      <c r="VF4" s="60"/>
      <c r="VG4" s="60"/>
      <c r="VH4" s="60"/>
      <c r="VI4" s="60"/>
      <c r="VJ4" s="60"/>
      <c r="VK4" s="60"/>
      <c r="VL4" s="60"/>
      <c r="VM4" s="60"/>
      <c r="VN4" s="60"/>
      <c r="VO4" s="60"/>
      <c r="VT4" s="59"/>
    </row>
    <row r="5" spans="1:592" x14ac:dyDescent="0.25">
      <c r="A5" s="2" t="s">
        <v>83</v>
      </c>
      <c r="B5" s="39" t="s">
        <v>62</v>
      </c>
      <c r="C5" s="39" t="s">
        <v>62</v>
      </c>
      <c r="D5" s="39" t="s">
        <v>62</v>
      </c>
      <c r="E5" s="39" t="s">
        <v>62</v>
      </c>
      <c r="F5" s="39" t="s">
        <v>62</v>
      </c>
      <c r="G5" s="39" t="s">
        <v>62</v>
      </c>
      <c r="H5" s="39" t="s">
        <v>62</v>
      </c>
      <c r="I5" s="39" t="s">
        <v>62</v>
      </c>
      <c r="J5" s="39" t="str">
        <f t="shared" si="0"/>
        <v>[Select State]</v>
      </c>
      <c r="K5" s="205" t="s">
        <v>386</v>
      </c>
      <c r="Q5" s="67"/>
      <c r="R5" s="68"/>
      <c r="T5" s="35"/>
      <c r="U5" s="21"/>
      <c r="X5" s="311" t="s">
        <v>583</v>
      </c>
      <c r="AN5" s="60"/>
      <c r="AO5" s="60"/>
      <c r="AP5" s="60"/>
      <c r="AQ5" s="60"/>
      <c r="AR5" s="60"/>
      <c r="AS5" s="60"/>
      <c r="AT5" s="60"/>
      <c r="AU5" s="60"/>
      <c r="AV5" s="60"/>
      <c r="AW5" s="60"/>
      <c r="AX5" s="60"/>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c r="CJ5" s="60"/>
      <c r="CK5" s="60"/>
      <c r="CL5" s="60"/>
      <c r="CM5" s="60"/>
      <c r="CN5" s="60"/>
      <c r="CO5" s="60"/>
      <c r="CP5" s="60"/>
      <c r="CQ5" s="60"/>
      <c r="CR5" s="60"/>
      <c r="CS5" s="60"/>
      <c r="CT5" s="60"/>
      <c r="CU5" s="60"/>
      <c r="CV5" s="60"/>
      <c r="CW5" s="60"/>
      <c r="CX5" s="60"/>
      <c r="CY5" s="60"/>
      <c r="CZ5" s="60"/>
      <c r="DA5" s="60"/>
      <c r="DB5" s="60"/>
      <c r="DC5" s="60"/>
      <c r="DD5" s="60"/>
      <c r="DE5" s="60"/>
      <c r="DF5" s="60"/>
      <c r="DG5" s="60"/>
      <c r="DH5" s="60"/>
      <c r="DI5" s="60"/>
      <c r="DJ5" s="60"/>
      <c r="DK5" s="60"/>
      <c r="DL5" s="60"/>
      <c r="DM5" s="60"/>
      <c r="DN5" s="60"/>
      <c r="DO5" s="60"/>
      <c r="DP5" s="60"/>
      <c r="DQ5" s="60"/>
      <c r="DR5" s="60"/>
      <c r="DS5" s="60"/>
      <c r="DT5" s="60"/>
      <c r="DU5" s="60"/>
      <c r="DV5" s="60"/>
      <c r="DW5" s="60"/>
      <c r="DX5" s="60"/>
      <c r="DY5" s="60"/>
      <c r="DZ5" s="60"/>
      <c r="EA5" s="60"/>
      <c r="EB5" s="60"/>
      <c r="EC5" s="60"/>
      <c r="ED5" s="60"/>
      <c r="EE5" s="60"/>
      <c r="EF5" s="60"/>
      <c r="EH5" s="60"/>
      <c r="EI5" s="60"/>
      <c r="EJ5" s="60"/>
      <c r="EK5" s="60"/>
      <c r="EL5" s="60"/>
      <c r="EM5" s="60"/>
      <c r="EN5" s="60"/>
      <c r="EO5" s="60"/>
      <c r="EP5" s="60"/>
      <c r="EQ5" s="60"/>
      <c r="ER5" s="60"/>
      <c r="ES5" s="60"/>
      <c r="ET5" s="60"/>
      <c r="EU5" s="60"/>
      <c r="EV5" s="60"/>
      <c r="EW5" s="60"/>
      <c r="EX5" s="60"/>
      <c r="EY5" s="60"/>
      <c r="EZ5" s="60"/>
      <c r="FA5" s="60"/>
      <c r="FB5" s="60"/>
      <c r="FC5" s="60"/>
      <c r="FD5" s="60"/>
      <c r="FE5" s="60"/>
      <c r="FF5" s="60"/>
      <c r="FG5" s="60"/>
      <c r="FH5" s="60"/>
      <c r="FI5" s="60"/>
      <c r="FJ5" s="60"/>
      <c r="FK5" s="60"/>
      <c r="FL5" s="60"/>
      <c r="FM5" s="60"/>
      <c r="FN5" s="60"/>
      <c r="FO5" s="60"/>
      <c r="FP5" s="60"/>
      <c r="FQ5" s="60"/>
      <c r="FR5" s="60"/>
      <c r="FS5" s="60"/>
      <c r="FT5" s="60"/>
      <c r="FU5" s="60"/>
      <c r="FV5" s="60"/>
      <c r="FW5" s="60"/>
      <c r="FX5" s="60"/>
      <c r="FY5" s="60"/>
      <c r="FZ5" s="60"/>
      <c r="GA5" s="60"/>
      <c r="GB5" s="60"/>
      <c r="GC5" s="60"/>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c r="HE5" s="60"/>
      <c r="HF5" s="60"/>
      <c r="HG5" s="60"/>
      <c r="HH5" s="60"/>
      <c r="HI5" s="60"/>
      <c r="HJ5" s="60"/>
      <c r="HK5" s="60"/>
      <c r="HL5" s="60"/>
      <c r="HM5" s="60"/>
      <c r="HN5" s="60"/>
      <c r="HO5" s="60"/>
      <c r="HP5" s="60"/>
      <c r="HQ5" s="60"/>
      <c r="HR5" s="60"/>
      <c r="HS5" s="60"/>
      <c r="HT5" s="60"/>
      <c r="HU5" s="60"/>
      <c r="HV5" s="60"/>
      <c r="HW5" s="60"/>
      <c r="HX5" s="60"/>
      <c r="HY5" s="60"/>
      <c r="HZ5" s="60"/>
      <c r="IA5" s="60"/>
      <c r="IB5" s="60"/>
      <c r="IC5" s="60"/>
      <c r="ID5" s="60"/>
      <c r="IE5" s="60"/>
      <c r="IF5" s="60"/>
      <c r="IG5" s="60"/>
      <c r="IH5" s="60"/>
      <c r="II5" s="60"/>
      <c r="IJ5" s="60"/>
      <c r="IK5" s="60"/>
      <c r="IL5" s="60"/>
      <c r="IM5" s="60"/>
      <c r="IN5" s="60"/>
      <c r="IO5" s="60"/>
      <c r="IP5" s="60"/>
      <c r="IQ5" s="60"/>
      <c r="IR5" s="60"/>
      <c r="IS5" s="60"/>
      <c r="IT5" s="60"/>
      <c r="IU5" s="60"/>
      <c r="IV5" s="60"/>
      <c r="IW5" s="60"/>
      <c r="IX5" s="60"/>
      <c r="IY5" s="60"/>
      <c r="IZ5" s="60"/>
      <c r="JA5" s="60"/>
      <c r="JB5" s="60"/>
      <c r="JC5" s="60"/>
      <c r="JD5" s="60"/>
      <c r="JE5" s="60"/>
      <c r="JF5" s="60"/>
      <c r="JG5" s="60"/>
      <c r="JH5" s="60"/>
      <c r="JI5" s="60"/>
      <c r="JJ5" s="60"/>
      <c r="JK5" s="60"/>
      <c r="JL5" s="60"/>
      <c r="JM5" s="60"/>
      <c r="JN5" s="60"/>
      <c r="JO5" s="60"/>
      <c r="JP5" s="60"/>
      <c r="JQ5" s="60"/>
      <c r="JR5" s="60"/>
      <c r="JS5" s="60"/>
      <c r="JT5" s="60"/>
      <c r="JU5" s="60"/>
      <c r="JV5" s="60"/>
      <c r="JW5" s="60"/>
      <c r="JX5" s="60"/>
      <c r="JY5" s="60"/>
      <c r="JZ5" s="60"/>
      <c r="KA5" s="60"/>
      <c r="KB5" s="60"/>
      <c r="KC5" s="60"/>
      <c r="KD5" s="60"/>
      <c r="KE5" s="60"/>
      <c r="KF5" s="60"/>
      <c r="KG5" s="60"/>
      <c r="KH5" s="60"/>
      <c r="KI5" s="60"/>
      <c r="KJ5" s="60"/>
      <c r="KK5" s="60"/>
      <c r="KL5" s="60"/>
      <c r="KM5" s="60"/>
      <c r="KN5" s="60"/>
      <c r="KO5" s="60"/>
      <c r="KP5" s="60"/>
      <c r="KQ5" s="60"/>
      <c r="KR5" s="60"/>
      <c r="KS5" s="60"/>
      <c r="KT5" s="60"/>
      <c r="KU5" s="60"/>
      <c r="KV5" s="60"/>
      <c r="KW5" s="60"/>
      <c r="KX5" s="60"/>
      <c r="KY5" s="60"/>
      <c r="KZ5" s="60"/>
      <c r="LB5" s="60"/>
      <c r="LC5" s="60"/>
      <c r="LD5" s="60"/>
      <c r="LE5" s="60"/>
      <c r="LF5" s="60"/>
      <c r="LG5" s="60"/>
      <c r="LH5" s="60"/>
      <c r="LI5" s="60"/>
      <c r="LJ5" s="60"/>
      <c r="LK5" s="60"/>
      <c r="LL5" s="60"/>
      <c r="LM5" s="60"/>
      <c r="LN5" s="60"/>
      <c r="LO5" s="60"/>
      <c r="LP5" s="60"/>
      <c r="LQ5" s="60"/>
      <c r="LR5" s="60"/>
      <c r="LS5" s="60"/>
      <c r="LT5" s="60"/>
      <c r="LU5" s="60"/>
      <c r="LV5" s="60"/>
      <c r="LW5" s="60"/>
      <c r="LX5" s="60"/>
      <c r="LY5" s="60"/>
      <c r="LZ5" s="60"/>
      <c r="MA5" s="60"/>
      <c r="MB5" s="60"/>
      <c r="MC5" s="60"/>
      <c r="MD5" s="60"/>
      <c r="ME5" s="60"/>
      <c r="MF5" s="60"/>
      <c r="MG5" s="60"/>
      <c r="MH5" s="60"/>
      <c r="MI5" s="60"/>
      <c r="MJ5" s="60"/>
      <c r="MK5" s="60"/>
      <c r="ML5" s="60"/>
      <c r="MM5" s="60"/>
      <c r="MN5" s="60"/>
      <c r="MO5" s="60"/>
      <c r="MP5" s="60"/>
      <c r="MQ5" s="60"/>
      <c r="MR5" s="60"/>
      <c r="MS5" s="60"/>
      <c r="MT5" s="60"/>
      <c r="MU5" s="60"/>
      <c r="MV5" s="60"/>
      <c r="MW5" s="60"/>
      <c r="MX5" s="60"/>
      <c r="MY5" s="60"/>
      <c r="MZ5" s="60"/>
      <c r="NA5" s="60"/>
      <c r="NB5" s="60"/>
      <c r="NC5" s="60"/>
      <c r="ND5" s="60"/>
      <c r="NE5" s="60"/>
      <c r="NF5" s="60"/>
      <c r="NG5" s="60"/>
      <c r="NH5" s="60"/>
      <c r="NI5" s="60"/>
      <c r="NJ5" s="60"/>
      <c r="NK5" s="60"/>
      <c r="NL5" s="60"/>
      <c r="NM5" s="60"/>
      <c r="NN5" s="60"/>
      <c r="NO5" s="60"/>
      <c r="NP5" s="60"/>
      <c r="NQ5" s="60"/>
      <c r="NR5" s="60"/>
      <c r="NS5" s="60"/>
      <c r="NT5" s="60"/>
      <c r="NU5" s="60"/>
      <c r="NV5" s="60"/>
      <c r="NW5" s="60"/>
      <c r="NX5" s="60"/>
      <c r="NY5" s="60"/>
      <c r="NZ5" s="60"/>
      <c r="OA5" s="60"/>
      <c r="OB5" s="60"/>
      <c r="OC5" s="60"/>
      <c r="OD5" s="60"/>
      <c r="OE5" s="60"/>
      <c r="OF5" s="60"/>
      <c r="OG5" s="60"/>
      <c r="OH5" s="60"/>
      <c r="OI5" s="60"/>
      <c r="OJ5" s="60"/>
      <c r="OK5" s="60"/>
      <c r="OL5" s="60"/>
      <c r="OM5" s="60"/>
      <c r="ON5" s="60"/>
      <c r="OO5" s="60"/>
      <c r="OP5" s="60"/>
      <c r="OQ5" s="60"/>
      <c r="OR5" s="60"/>
      <c r="OS5" s="60"/>
      <c r="OT5" s="60"/>
      <c r="OU5" s="60"/>
      <c r="OV5" s="60"/>
      <c r="OW5" s="60"/>
      <c r="OX5" s="60"/>
      <c r="OY5" s="60"/>
      <c r="OZ5" s="60"/>
      <c r="PA5" s="60"/>
      <c r="PB5" s="60"/>
      <c r="PC5" s="60"/>
      <c r="PD5" s="60"/>
      <c r="PE5" s="60"/>
      <c r="PF5" s="60"/>
      <c r="PG5" s="60"/>
      <c r="PH5" s="60"/>
      <c r="PI5" s="60"/>
      <c r="PJ5" s="60"/>
      <c r="PK5" s="60"/>
      <c r="PL5" s="60"/>
      <c r="PM5" s="60"/>
      <c r="PN5" s="60"/>
      <c r="PO5" s="60"/>
      <c r="PP5" s="60"/>
      <c r="PQ5" s="60"/>
      <c r="PR5" s="60"/>
      <c r="PS5" s="60"/>
      <c r="PT5" s="60"/>
      <c r="PU5" s="60"/>
      <c r="PV5" s="60"/>
      <c r="PW5" s="60"/>
      <c r="PX5" s="60"/>
      <c r="PY5" s="60"/>
      <c r="PZ5" s="60"/>
      <c r="QA5" s="60"/>
      <c r="QB5" s="60"/>
      <c r="QC5" s="60"/>
      <c r="QD5" s="60"/>
      <c r="QE5" s="60"/>
      <c r="QF5" s="60"/>
      <c r="QG5" s="60"/>
      <c r="QH5" s="60"/>
      <c r="QI5" s="60"/>
      <c r="QJ5" s="60"/>
      <c r="QK5" s="60"/>
      <c r="QL5" s="60"/>
      <c r="QM5" s="60"/>
      <c r="QN5" s="60"/>
      <c r="QO5" s="60"/>
      <c r="QP5" s="60"/>
      <c r="QQ5" s="60"/>
      <c r="QR5" s="60"/>
      <c r="QS5" s="60"/>
      <c r="QT5" s="60"/>
      <c r="QU5" s="60"/>
      <c r="QV5" s="60"/>
      <c r="QW5" s="60"/>
      <c r="QX5" s="60"/>
      <c r="QY5" s="60"/>
      <c r="QZ5" s="60"/>
      <c r="RA5" s="60"/>
      <c r="RB5" s="60"/>
      <c r="RC5" s="60"/>
      <c r="RD5" s="60"/>
      <c r="RE5" s="60"/>
      <c r="RF5" s="60"/>
      <c r="RG5" s="60"/>
      <c r="RH5" s="60"/>
      <c r="RI5" s="60"/>
      <c r="RJ5" s="60"/>
      <c r="RK5" s="60"/>
      <c r="RL5" s="60"/>
      <c r="RM5" s="60"/>
      <c r="RN5" s="60"/>
      <c r="RO5" s="60"/>
      <c r="RP5" s="60"/>
      <c r="RQ5" s="60"/>
      <c r="RR5" s="60"/>
      <c r="RS5" s="60"/>
      <c r="RT5" s="60"/>
      <c r="RU5" s="60"/>
      <c r="RV5" s="60"/>
      <c r="RW5" s="60"/>
      <c r="RX5" s="60"/>
      <c r="RY5" s="60"/>
      <c r="RZ5" s="60"/>
      <c r="SA5" s="60"/>
      <c r="SB5" s="60"/>
      <c r="SC5" s="60"/>
      <c r="SD5" s="60"/>
      <c r="SE5" s="60"/>
      <c r="SF5" s="60"/>
      <c r="SG5" s="60"/>
      <c r="SH5" s="60"/>
      <c r="SI5" s="60"/>
      <c r="SJ5" s="60"/>
      <c r="SK5" s="60"/>
      <c r="SL5" s="60"/>
      <c r="SM5" s="60"/>
      <c r="SN5" s="60"/>
      <c r="SO5" s="60"/>
      <c r="SP5" s="60"/>
      <c r="SQ5" s="60"/>
      <c r="SR5" s="60"/>
      <c r="SS5" s="60"/>
      <c r="ST5" s="60"/>
      <c r="SU5" s="60"/>
      <c r="SV5" s="60"/>
      <c r="SW5" s="60"/>
      <c r="SX5" s="60"/>
      <c r="SY5" s="60"/>
      <c r="SZ5" s="60"/>
      <c r="TA5" s="60"/>
      <c r="TB5" s="60"/>
      <c r="TC5" s="60"/>
      <c r="TD5" s="60"/>
      <c r="TE5" s="60"/>
      <c r="TF5" s="60"/>
      <c r="TG5" s="60"/>
      <c r="TH5" s="60"/>
      <c r="TI5" s="60"/>
      <c r="TJ5" s="60"/>
      <c r="TK5" s="60"/>
      <c r="TL5" s="60"/>
      <c r="TM5" s="60"/>
      <c r="TN5" s="60"/>
      <c r="TO5" s="60"/>
      <c r="TP5" s="60"/>
      <c r="TQ5" s="60"/>
      <c r="TR5" s="60"/>
      <c r="TS5" s="60"/>
      <c r="TT5" s="60"/>
      <c r="TU5" s="60"/>
      <c r="TV5" s="60"/>
      <c r="TW5" s="60"/>
      <c r="TX5" s="60"/>
      <c r="TY5" s="60"/>
      <c r="TZ5" s="60"/>
      <c r="UA5" s="60"/>
      <c r="UB5" s="60"/>
      <c r="UC5" s="60"/>
      <c r="UD5" s="60"/>
      <c r="UE5" s="60"/>
      <c r="UF5" s="60"/>
      <c r="UG5" s="60"/>
      <c r="UH5" s="60"/>
      <c r="UI5" s="60"/>
      <c r="UJ5" s="60"/>
      <c r="UK5" s="60"/>
      <c r="UL5" s="60"/>
      <c r="UM5" s="60"/>
      <c r="UN5" s="60"/>
      <c r="UO5" s="60"/>
      <c r="UP5" s="60"/>
      <c r="UQ5" s="60"/>
      <c r="UR5" s="60"/>
      <c r="US5" s="60"/>
      <c r="UT5" s="60"/>
      <c r="UU5" s="60"/>
      <c r="UV5" s="60"/>
      <c r="UW5" s="60"/>
      <c r="UX5" s="60"/>
      <c r="UY5" s="60"/>
      <c r="UZ5" s="60"/>
      <c r="VA5" s="60"/>
      <c r="VB5" s="60"/>
      <c r="VC5" s="60"/>
      <c r="VD5" s="60"/>
      <c r="VE5" s="60"/>
      <c r="VF5" s="60"/>
      <c r="VG5" s="60"/>
      <c r="VH5" s="60"/>
      <c r="VI5" s="60"/>
      <c r="VJ5" s="60"/>
      <c r="VK5" s="60"/>
      <c r="VL5" s="60"/>
      <c r="VM5" s="60"/>
      <c r="VN5" s="60"/>
      <c r="VO5" s="60"/>
      <c r="VT5" s="59">
        <v>0</v>
      </c>
    </row>
    <row r="6" spans="1:592" x14ac:dyDescent="0.25">
      <c r="A6" s="2" t="s">
        <v>79</v>
      </c>
      <c r="B6" s="3" t="s">
        <v>82</v>
      </c>
      <c r="C6" s="3" t="s">
        <v>82</v>
      </c>
      <c r="D6" s="3" t="s">
        <v>82</v>
      </c>
      <c r="E6" s="3" t="s">
        <v>82</v>
      </c>
      <c r="F6" s="3" t="s">
        <v>82</v>
      </c>
      <c r="G6" s="3" t="s">
        <v>82</v>
      </c>
      <c r="H6" s="3" t="s">
        <v>82</v>
      </c>
      <c r="I6" s="3" t="s">
        <v>82</v>
      </c>
      <c r="J6" s="3" t="str">
        <f t="shared" si="0"/>
        <v>-</v>
      </c>
      <c r="K6" s="205" t="s">
        <v>453</v>
      </c>
      <c r="Q6" s="67"/>
      <c r="R6" s="68"/>
      <c r="T6" s="35"/>
      <c r="U6" s="21"/>
      <c r="X6" s="313">
        <v>56000</v>
      </c>
      <c r="AN6" s="60"/>
      <c r="AO6" s="60"/>
      <c r="AP6" s="60"/>
      <c r="AQ6" s="60"/>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60"/>
      <c r="DT6" s="60"/>
      <c r="DU6" s="60"/>
      <c r="DV6" s="60"/>
      <c r="DW6" s="60"/>
      <c r="DX6" s="60"/>
      <c r="DY6" s="60"/>
      <c r="DZ6" s="60"/>
      <c r="EA6" s="60"/>
      <c r="EB6" s="60"/>
      <c r="EC6" s="60"/>
      <c r="ED6" s="60"/>
      <c r="EE6" s="60"/>
      <c r="EF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c r="GC6" s="60"/>
      <c r="GD6" s="60"/>
      <c r="GE6" s="60"/>
      <c r="GF6" s="60"/>
      <c r="GG6" s="60"/>
      <c r="GH6" s="60"/>
      <c r="GI6" s="60"/>
      <c r="GJ6" s="60"/>
      <c r="GK6" s="60"/>
      <c r="GL6" s="60"/>
      <c r="GM6" s="60"/>
      <c r="GN6" s="60"/>
      <c r="GO6" s="60"/>
      <c r="GP6" s="60"/>
      <c r="GQ6" s="60"/>
      <c r="GR6" s="60"/>
      <c r="GS6" s="60"/>
      <c r="GT6" s="60"/>
      <c r="GU6" s="60"/>
      <c r="GV6" s="60"/>
      <c r="GW6" s="60"/>
      <c r="GX6" s="60"/>
      <c r="GY6" s="60"/>
      <c r="GZ6" s="60"/>
      <c r="HA6" s="60"/>
      <c r="HB6" s="60"/>
      <c r="HC6" s="60"/>
      <c r="HD6" s="60"/>
      <c r="HE6" s="60"/>
      <c r="HF6" s="60"/>
      <c r="HG6" s="60"/>
      <c r="HH6" s="60"/>
      <c r="HI6" s="60"/>
      <c r="HJ6" s="60"/>
      <c r="HK6" s="60"/>
      <c r="HL6" s="60"/>
      <c r="HM6" s="60"/>
      <c r="HN6" s="60"/>
      <c r="HO6" s="60"/>
      <c r="HP6" s="60"/>
      <c r="HQ6" s="60"/>
      <c r="HR6" s="60"/>
      <c r="HS6" s="60"/>
      <c r="HT6" s="60"/>
      <c r="HU6" s="60"/>
      <c r="HV6" s="60"/>
      <c r="HW6" s="60"/>
      <c r="HX6" s="60"/>
      <c r="HY6" s="60"/>
      <c r="HZ6" s="60"/>
      <c r="IA6" s="60"/>
      <c r="IB6" s="60"/>
      <c r="IC6" s="60"/>
      <c r="ID6" s="60"/>
      <c r="IE6" s="60"/>
      <c r="IF6" s="60"/>
      <c r="IG6" s="60"/>
      <c r="IH6" s="60"/>
      <c r="II6" s="60"/>
      <c r="IJ6" s="60"/>
      <c r="IK6" s="60"/>
      <c r="IL6" s="60"/>
      <c r="IM6" s="60"/>
      <c r="IN6" s="60"/>
      <c r="IO6" s="60"/>
      <c r="IP6" s="60"/>
      <c r="IQ6" s="60"/>
      <c r="IR6" s="60"/>
      <c r="IS6" s="60"/>
      <c r="IT6" s="60"/>
      <c r="IU6" s="60"/>
      <c r="IV6" s="60"/>
      <c r="IW6" s="60"/>
      <c r="IX6" s="60"/>
      <c r="IY6" s="60"/>
      <c r="IZ6" s="60"/>
      <c r="JA6" s="60"/>
      <c r="JB6" s="60"/>
      <c r="JC6" s="60"/>
      <c r="JD6" s="60"/>
      <c r="JE6" s="60"/>
      <c r="JF6" s="60"/>
      <c r="JG6" s="60"/>
      <c r="JH6" s="60"/>
      <c r="JI6" s="60"/>
      <c r="JJ6" s="60"/>
      <c r="JK6" s="60"/>
      <c r="JL6" s="60"/>
      <c r="JM6" s="60"/>
      <c r="JN6" s="60"/>
      <c r="JO6" s="60"/>
      <c r="JP6" s="60"/>
      <c r="JQ6" s="60"/>
      <c r="JR6" s="60"/>
      <c r="JS6" s="60"/>
      <c r="JT6" s="60"/>
      <c r="JU6" s="60"/>
      <c r="JV6" s="60"/>
      <c r="JW6" s="60"/>
      <c r="JX6" s="60"/>
      <c r="JY6" s="60"/>
      <c r="JZ6" s="60"/>
      <c r="KA6" s="60"/>
      <c r="KB6" s="60"/>
      <c r="KC6" s="60"/>
      <c r="KD6" s="60"/>
      <c r="KE6" s="60"/>
      <c r="KF6" s="60"/>
      <c r="KG6" s="60"/>
      <c r="KH6" s="60"/>
      <c r="KI6" s="60"/>
      <c r="KJ6" s="60"/>
      <c r="KK6" s="60"/>
      <c r="KL6" s="60"/>
      <c r="KM6" s="60"/>
      <c r="KN6" s="60"/>
      <c r="KO6" s="60"/>
      <c r="KP6" s="60"/>
      <c r="KQ6" s="60"/>
      <c r="KR6" s="60"/>
      <c r="KS6" s="60"/>
      <c r="KT6" s="60"/>
      <c r="KU6" s="60"/>
      <c r="KV6" s="60"/>
      <c r="KW6" s="60"/>
      <c r="KX6" s="60"/>
      <c r="KY6" s="60"/>
      <c r="KZ6" s="60"/>
      <c r="LB6" s="60"/>
      <c r="LC6" s="60"/>
      <c r="LD6" s="60"/>
      <c r="LE6" s="60"/>
      <c r="LF6" s="60"/>
      <c r="LG6" s="60"/>
      <c r="LH6" s="60"/>
      <c r="LI6" s="60"/>
      <c r="LJ6" s="60"/>
      <c r="LK6" s="60"/>
      <c r="LL6" s="60"/>
      <c r="LM6" s="60"/>
      <c r="LN6" s="60"/>
      <c r="LO6" s="60"/>
      <c r="LP6" s="60"/>
      <c r="LQ6" s="60"/>
      <c r="LR6" s="60"/>
      <c r="LS6" s="60"/>
      <c r="LT6" s="60"/>
      <c r="LU6" s="60"/>
      <c r="LV6" s="60"/>
      <c r="LW6" s="60"/>
      <c r="LX6" s="60"/>
      <c r="LY6" s="60"/>
      <c r="LZ6" s="60"/>
      <c r="MA6" s="60"/>
      <c r="MB6" s="60"/>
      <c r="MC6" s="60"/>
      <c r="MD6" s="60"/>
      <c r="ME6" s="60"/>
      <c r="MF6" s="60"/>
      <c r="MG6" s="60"/>
      <c r="MH6" s="60"/>
      <c r="MI6" s="60"/>
      <c r="MJ6" s="60"/>
      <c r="MK6" s="60"/>
      <c r="ML6" s="60"/>
      <c r="MM6" s="60"/>
      <c r="MN6" s="60"/>
      <c r="MO6" s="60"/>
      <c r="MP6" s="60"/>
      <c r="MQ6" s="60"/>
      <c r="MR6" s="60"/>
      <c r="MS6" s="60"/>
      <c r="MT6" s="60"/>
      <c r="MU6" s="60"/>
      <c r="MV6" s="60"/>
      <c r="MW6" s="60"/>
      <c r="MX6" s="60"/>
      <c r="MY6" s="60"/>
      <c r="MZ6" s="60"/>
      <c r="NA6" s="60"/>
      <c r="NB6" s="60"/>
      <c r="NC6" s="60"/>
      <c r="ND6" s="60"/>
      <c r="NE6" s="60"/>
      <c r="NF6" s="60"/>
      <c r="NG6" s="60"/>
      <c r="NH6" s="60"/>
      <c r="NI6" s="60"/>
      <c r="NJ6" s="60"/>
      <c r="NK6" s="60"/>
      <c r="NL6" s="60"/>
      <c r="NM6" s="60"/>
      <c r="NN6" s="60"/>
      <c r="NO6" s="60"/>
      <c r="NP6" s="60"/>
      <c r="NQ6" s="60"/>
      <c r="NR6" s="60"/>
      <c r="NS6" s="60"/>
      <c r="NT6" s="60"/>
      <c r="NU6" s="60"/>
      <c r="NV6" s="60"/>
      <c r="NW6" s="60"/>
      <c r="NX6" s="60"/>
      <c r="NY6" s="60"/>
      <c r="NZ6" s="60"/>
      <c r="OA6" s="60"/>
      <c r="OB6" s="60"/>
      <c r="OC6" s="60"/>
      <c r="OD6" s="60"/>
      <c r="OE6" s="60"/>
      <c r="OF6" s="60"/>
      <c r="OG6" s="60"/>
      <c r="OH6" s="60"/>
      <c r="OI6" s="60"/>
      <c r="OJ6" s="60"/>
      <c r="OK6" s="60"/>
      <c r="OL6" s="60"/>
      <c r="OM6" s="60"/>
      <c r="ON6" s="60"/>
      <c r="OO6" s="60"/>
      <c r="OP6" s="60"/>
      <c r="OQ6" s="60"/>
      <c r="OR6" s="60"/>
      <c r="OS6" s="60"/>
      <c r="OT6" s="60"/>
      <c r="OU6" s="60"/>
      <c r="OV6" s="60"/>
      <c r="OW6" s="60"/>
      <c r="OX6" s="60"/>
      <c r="OY6" s="60"/>
      <c r="OZ6" s="60"/>
      <c r="PA6" s="60"/>
      <c r="PB6" s="60"/>
      <c r="PC6" s="60"/>
      <c r="PD6" s="60"/>
      <c r="PE6" s="60"/>
      <c r="PF6" s="60"/>
      <c r="PG6" s="60"/>
      <c r="PH6" s="60"/>
      <c r="PI6" s="60"/>
      <c r="PJ6" s="60"/>
      <c r="PK6" s="60"/>
      <c r="PL6" s="60"/>
      <c r="PM6" s="60"/>
      <c r="PN6" s="60"/>
      <c r="PO6" s="60"/>
      <c r="PP6" s="60"/>
      <c r="PQ6" s="60"/>
      <c r="PR6" s="60"/>
      <c r="PS6" s="60"/>
      <c r="PT6" s="60"/>
      <c r="PU6" s="60"/>
      <c r="PV6" s="60"/>
      <c r="PW6" s="60"/>
      <c r="PX6" s="60"/>
      <c r="PY6" s="60"/>
      <c r="PZ6" s="60"/>
      <c r="QA6" s="60"/>
      <c r="QB6" s="60"/>
      <c r="QC6" s="60"/>
      <c r="QD6" s="60"/>
      <c r="QE6" s="60"/>
      <c r="QF6" s="60"/>
      <c r="QG6" s="60"/>
      <c r="QH6" s="60"/>
      <c r="QI6" s="60"/>
      <c r="QJ6" s="60"/>
      <c r="QK6" s="60"/>
      <c r="QL6" s="60"/>
      <c r="QM6" s="60"/>
      <c r="QN6" s="60"/>
      <c r="QO6" s="60"/>
      <c r="QP6" s="60"/>
      <c r="QQ6" s="60"/>
      <c r="QR6" s="60"/>
      <c r="QS6" s="60"/>
      <c r="QT6" s="60"/>
      <c r="QU6" s="60"/>
      <c r="QV6" s="60"/>
      <c r="QW6" s="60"/>
      <c r="QX6" s="60"/>
      <c r="QY6" s="60"/>
      <c r="QZ6" s="60"/>
      <c r="RA6" s="60"/>
      <c r="RB6" s="60"/>
      <c r="RC6" s="60"/>
      <c r="RD6" s="60"/>
      <c r="RE6" s="60"/>
      <c r="RF6" s="60"/>
      <c r="RG6" s="60"/>
      <c r="RH6" s="60"/>
      <c r="RI6" s="60"/>
      <c r="RJ6" s="60"/>
      <c r="RK6" s="60"/>
      <c r="RL6" s="60"/>
      <c r="RM6" s="60"/>
      <c r="RN6" s="60"/>
      <c r="RO6" s="60"/>
      <c r="RP6" s="60"/>
      <c r="RQ6" s="60"/>
      <c r="RR6" s="60"/>
      <c r="RS6" s="60"/>
      <c r="RT6" s="60"/>
      <c r="RU6" s="60"/>
      <c r="RV6" s="60"/>
      <c r="RW6" s="60"/>
      <c r="RX6" s="60"/>
      <c r="RY6" s="60"/>
      <c r="RZ6" s="60"/>
      <c r="SA6" s="60"/>
      <c r="SB6" s="60"/>
      <c r="SC6" s="60"/>
      <c r="SD6" s="60"/>
      <c r="SE6" s="60"/>
      <c r="SF6" s="60"/>
      <c r="SG6" s="60"/>
      <c r="SH6" s="60"/>
      <c r="SI6" s="60"/>
      <c r="SJ6" s="60"/>
      <c r="SK6" s="60"/>
      <c r="SL6" s="60"/>
      <c r="SM6" s="60"/>
      <c r="SN6" s="60"/>
      <c r="SO6" s="60"/>
      <c r="SP6" s="60"/>
      <c r="SQ6" s="60"/>
      <c r="SR6" s="60"/>
      <c r="SS6" s="60"/>
      <c r="ST6" s="60"/>
      <c r="SU6" s="60"/>
      <c r="SV6" s="60"/>
      <c r="SW6" s="60"/>
      <c r="SX6" s="60"/>
      <c r="SY6" s="60"/>
      <c r="SZ6" s="60"/>
      <c r="TA6" s="60"/>
      <c r="TB6" s="60"/>
      <c r="TC6" s="60"/>
      <c r="TD6" s="60"/>
      <c r="TE6" s="60"/>
      <c r="TF6" s="60"/>
      <c r="TG6" s="60"/>
      <c r="TH6" s="60"/>
      <c r="TI6" s="60"/>
      <c r="TJ6" s="60"/>
      <c r="TK6" s="60"/>
      <c r="TL6" s="60"/>
      <c r="TM6" s="60"/>
      <c r="TN6" s="60"/>
      <c r="TO6" s="60"/>
      <c r="TP6" s="60"/>
      <c r="TQ6" s="60"/>
      <c r="TR6" s="60"/>
      <c r="TS6" s="60"/>
      <c r="TT6" s="60"/>
      <c r="TU6" s="60"/>
      <c r="TV6" s="60"/>
      <c r="TW6" s="60"/>
      <c r="TX6" s="60"/>
      <c r="TY6" s="60"/>
      <c r="TZ6" s="60"/>
      <c r="UA6" s="60"/>
      <c r="UB6" s="60"/>
      <c r="UC6" s="60"/>
      <c r="UD6" s="60"/>
      <c r="UE6" s="60"/>
      <c r="UF6" s="60"/>
      <c r="UG6" s="60"/>
      <c r="UH6" s="60"/>
      <c r="UI6" s="60"/>
      <c r="UJ6" s="60"/>
      <c r="UK6" s="60"/>
      <c r="UL6" s="60"/>
      <c r="UM6" s="60"/>
      <c r="UN6" s="60"/>
      <c r="UO6" s="60"/>
      <c r="UP6" s="60"/>
      <c r="UQ6" s="60"/>
      <c r="UR6" s="60"/>
      <c r="US6" s="60"/>
      <c r="UT6" s="60"/>
      <c r="UU6" s="60"/>
      <c r="UV6" s="60"/>
      <c r="UW6" s="60"/>
      <c r="UX6" s="60"/>
      <c r="UY6" s="60"/>
      <c r="UZ6" s="60"/>
      <c r="VA6" s="60"/>
      <c r="VB6" s="60"/>
      <c r="VC6" s="60"/>
      <c r="VD6" s="60"/>
      <c r="VE6" s="60"/>
      <c r="VF6" s="60"/>
      <c r="VG6" s="60"/>
      <c r="VH6" s="60"/>
      <c r="VI6" s="60"/>
      <c r="VJ6" s="60"/>
      <c r="VK6" s="60"/>
      <c r="VL6" s="60"/>
      <c r="VM6" s="60"/>
      <c r="VN6" s="60"/>
      <c r="VO6" s="60"/>
      <c r="VT6" s="59">
        <v>0</v>
      </c>
    </row>
    <row r="7" spans="1:592" ht="21" thickBot="1" x14ac:dyDescent="0.4">
      <c r="A7" s="2" t="s">
        <v>83</v>
      </c>
      <c r="B7" s="39" t="s">
        <v>62</v>
      </c>
      <c r="C7" s="39" t="s">
        <v>62</v>
      </c>
      <c r="D7" s="39" t="s">
        <v>62</v>
      </c>
      <c r="E7" s="39" t="s">
        <v>62</v>
      </c>
      <c r="F7" s="39" t="s">
        <v>62</v>
      </c>
      <c r="G7" s="39" t="s">
        <v>62</v>
      </c>
      <c r="H7" s="39" t="s">
        <v>62</v>
      </c>
      <c r="I7" s="39" t="s">
        <v>62</v>
      </c>
      <c r="J7" s="39" t="str">
        <f t="shared" si="0"/>
        <v>[Select State]</v>
      </c>
      <c r="K7" s="205" t="s">
        <v>473</v>
      </c>
      <c r="Q7" s="69"/>
      <c r="R7" s="70"/>
      <c r="S7" s="71">
        <v>4</v>
      </c>
      <c r="T7" s="72">
        <v>350</v>
      </c>
      <c r="U7" s="73">
        <f>S7*T7</f>
        <v>1400</v>
      </c>
      <c r="W7" s="315"/>
      <c r="X7" s="315">
        <f>IF(SUM(X3:X4) &gt; -X6, -MIN(SUM(X3:X4) + X6, -W8), 0)</f>
        <v>-66000</v>
      </c>
      <c r="Y7" t="s">
        <v>584</v>
      </c>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60"/>
      <c r="DT7" s="60"/>
      <c r="DU7" s="60"/>
      <c r="DV7" s="60"/>
      <c r="DW7" s="60"/>
      <c r="DX7" s="60"/>
      <c r="DY7" s="60"/>
      <c r="DZ7" s="60"/>
      <c r="EA7" s="60"/>
      <c r="EB7" s="60"/>
      <c r="EC7" s="60"/>
      <c r="ED7" s="60"/>
      <c r="EE7" s="60"/>
      <c r="EF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c r="GC7" s="60"/>
      <c r="GD7" s="60"/>
      <c r="GE7" s="60"/>
      <c r="GF7" s="60"/>
      <c r="GG7" s="60"/>
      <c r="GH7" s="60"/>
      <c r="GI7" s="60"/>
      <c r="GJ7" s="60"/>
      <c r="GK7" s="60"/>
      <c r="GL7" s="60"/>
      <c r="GM7" s="60"/>
      <c r="GN7" s="60"/>
      <c r="GO7" s="60"/>
      <c r="GP7" s="60"/>
      <c r="GQ7" s="60"/>
      <c r="GR7" s="60"/>
      <c r="GS7" s="60"/>
      <c r="GT7" s="60"/>
      <c r="GU7" s="60"/>
      <c r="GV7" s="60"/>
      <c r="GW7" s="60"/>
      <c r="GX7" s="60"/>
      <c r="GY7" s="60"/>
      <c r="GZ7" s="60"/>
      <c r="HA7" s="60"/>
      <c r="HB7" s="60"/>
      <c r="HC7" s="60"/>
      <c r="HD7" s="60"/>
      <c r="HE7" s="60"/>
      <c r="HF7" s="60"/>
      <c r="HG7" s="60"/>
      <c r="HH7" s="60"/>
      <c r="HI7" s="60"/>
      <c r="HJ7" s="60"/>
      <c r="HK7" s="60"/>
      <c r="HL7" s="60"/>
      <c r="HM7" s="60"/>
      <c r="HN7" s="60"/>
      <c r="HO7" s="60"/>
      <c r="HP7" s="60"/>
      <c r="HQ7" s="60"/>
      <c r="HR7" s="60"/>
      <c r="HS7" s="60"/>
      <c r="HT7" s="60"/>
      <c r="HU7" s="60"/>
      <c r="HV7" s="60"/>
      <c r="HW7" s="60"/>
      <c r="HX7" s="60"/>
      <c r="HY7" s="60"/>
      <c r="HZ7" s="60"/>
      <c r="IA7" s="60"/>
      <c r="IB7" s="60"/>
      <c r="IC7" s="60"/>
      <c r="ID7" s="60"/>
      <c r="IE7" s="60"/>
      <c r="IF7" s="60"/>
      <c r="IG7" s="60"/>
      <c r="IH7" s="60"/>
      <c r="II7" s="60"/>
      <c r="IJ7" s="60"/>
      <c r="IK7" s="60"/>
      <c r="IL7" s="60"/>
      <c r="IM7" s="60"/>
      <c r="IN7" s="60"/>
      <c r="IO7" s="60"/>
      <c r="IP7" s="60"/>
      <c r="IQ7" s="60"/>
      <c r="IR7" s="60"/>
      <c r="IS7" s="60"/>
      <c r="IT7" s="60"/>
      <c r="IU7" s="60"/>
      <c r="IV7" s="60"/>
      <c r="IW7" s="60"/>
      <c r="IX7" s="60"/>
      <c r="IY7" s="61"/>
      <c r="IZ7" s="60"/>
      <c r="JA7" s="60"/>
      <c r="JB7" s="60"/>
      <c r="JC7" s="60"/>
      <c r="JD7" s="60"/>
      <c r="JE7" s="60"/>
      <c r="JF7" s="60"/>
      <c r="JG7" s="60"/>
      <c r="JH7" s="60"/>
      <c r="JI7" s="60"/>
      <c r="JJ7" s="60"/>
      <c r="JK7" s="60"/>
      <c r="JL7" s="60"/>
      <c r="JM7" s="60"/>
      <c r="JN7" s="60"/>
      <c r="JO7" s="60"/>
      <c r="JP7" s="60"/>
      <c r="JQ7" s="60"/>
      <c r="JR7" s="60"/>
      <c r="JS7" s="60"/>
      <c r="JT7" s="60"/>
      <c r="JU7" s="60"/>
      <c r="JV7" s="60"/>
      <c r="JW7" s="60"/>
      <c r="JX7" s="60"/>
      <c r="JY7" s="60"/>
      <c r="JZ7" s="60"/>
      <c r="KA7" s="60"/>
      <c r="KB7" s="60"/>
      <c r="KC7" s="60"/>
      <c r="KD7" s="60"/>
      <c r="KE7" s="60"/>
      <c r="KF7" s="60"/>
      <c r="KG7" s="60"/>
      <c r="KH7" s="60"/>
      <c r="KI7" s="60"/>
      <c r="KJ7" s="60"/>
      <c r="KK7" s="60"/>
      <c r="KL7" s="60"/>
      <c r="KM7" s="60"/>
      <c r="KN7" s="60"/>
      <c r="KO7" s="60"/>
      <c r="KP7" s="60"/>
      <c r="KQ7" s="60"/>
      <c r="KR7" s="60"/>
      <c r="KS7" s="60"/>
      <c r="KT7" s="60"/>
      <c r="KU7" s="60"/>
      <c r="KV7" s="60"/>
      <c r="KW7" s="60"/>
      <c r="KX7" s="60"/>
      <c r="KY7" s="60"/>
      <c r="KZ7" s="60"/>
      <c r="LB7" s="60"/>
      <c r="LC7" s="60"/>
      <c r="LD7" s="60"/>
      <c r="LE7" s="60"/>
      <c r="LF7" s="60"/>
      <c r="LG7" s="60"/>
      <c r="LH7" s="60"/>
      <c r="LI7" s="60"/>
      <c r="LJ7" s="60"/>
      <c r="LK7" s="60"/>
      <c r="LL7" s="60"/>
      <c r="LM7" s="60"/>
      <c r="LN7" s="60"/>
      <c r="LO7" s="60"/>
      <c r="LP7" s="60"/>
      <c r="LQ7" s="60"/>
      <c r="LR7" s="60"/>
      <c r="LS7" s="60"/>
      <c r="LT7" s="60"/>
      <c r="LU7" s="60"/>
      <c r="LV7" s="60"/>
      <c r="LW7" s="60"/>
      <c r="LX7" s="60"/>
      <c r="LY7" s="60"/>
      <c r="LZ7" s="60"/>
      <c r="MA7" s="60"/>
      <c r="MB7" s="60"/>
      <c r="MC7" s="60"/>
      <c r="MD7" s="60"/>
      <c r="ME7" s="60"/>
      <c r="MF7" s="60"/>
      <c r="MG7" s="60"/>
      <c r="MH7" s="60"/>
      <c r="MI7" s="60"/>
      <c r="MJ7" s="60"/>
      <c r="MK7" s="60"/>
      <c r="ML7" s="60"/>
      <c r="MM7" s="60"/>
      <c r="MN7" s="60"/>
      <c r="MO7" s="60"/>
      <c r="MP7" s="60"/>
      <c r="MQ7" s="60"/>
      <c r="MR7" s="60"/>
      <c r="MS7" s="60"/>
      <c r="MT7" s="60"/>
      <c r="MU7" s="60"/>
      <c r="MV7" s="60"/>
      <c r="MW7" s="60"/>
      <c r="MX7" s="60"/>
      <c r="MY7" s="60"/>
      <c r="MZ7" s="60"/>
      <c r="NA7" s="60"/>
      <c r="NB7" s="60"/>
      <c r="NC7" s="60"/>
      <c r="ND7" s="60"/>
      <c r="NE7" s="60"/>
      <c r="NF7" s="60"/>
      <c r="NG7" s="60"/>
      <c r="NH7" s="60"/>
      <c r="NI7" s="60"/>
      <c r="NJ7" s="60"/>
      <c r="NK7" s="60"/>
      <c r="NL7" s="60"/>
      <c r="NM7" s="60"/>
      <c r="NN7" s="60"/>
      <c r="NO7" s="60"/>
      <c r="NP7" s="60"/>
      <c r="NQ7" s="60"/>
      <c r="NR7" s="60"/>
      <c r="NS7" s="60"/>
      <c r="NT7" s="60"/>
      <c r="NU7" s="60"/>
      <c r="NV7" s="60"/>
      <c r="NW7" s="60"/>
      <c r="NX7" s="60"/>
      <c r="NY7" s="60"/>
      <c r="NZ7" s="60"/>
      <c r="OA7" s="60"/>
      <c r="OB7" s="60"/>
      <c r="OC7" s="60"/>
      <c r="OD7" s="60"/>
      <c r="OE7" s="60"/>
      <c r="OF7" s="60"/>
      <c r="OG7" s="60"/>
      <c r="OH7" s="60"/>
      <c r="OI7" s="60"/>
      <c r="OJ7" s="60"/>
      <c r="OK7" s="60"/>
      <c r="OL7" s="60"/>
      <c r="OM7" s="60"/>
      <c r="ON7" s="60"/>
      <c r="OO7" s="60"/>
      <c r="OP7" s="60"/>
      <c r="OQ7" s="60"/>
      <c r="OR7" s="60"/>
      <c r="OS7" s="60"/>
      <c r="OT7" s="60"/>
      <c r="OU7" s="60"/>
      <c r="OV7" s="60"/>
      <c r="OW7" s="60"/>
      <c r="OX7" s="60"/>
      <c r="OY7" s="60"/>
      <c r="OZ7" s="60"/>
      <c r="PA7" s="60"/>
      <c r="PB7" s="60"/>
      <c r="PC7" s="60"/>
      <c r="PD7" s="60"/>
      <c r="PE7" s="60"/>
      <c r="PF7" s="60"/>
      <c r="PG7" s="60"/>
      <c r="PH7" s="60"/>
      <c r="PI7" s="60"/>
      <c r="PJ7" s="60"/>
      <c r="PK7" s="60"/>
      <c r="PL7" s="60"/>
      <c r="PM7" s="60"/>
      <c r="PN7" s="60"/>
      <c r="PO7" s="60"/>
      <c r="PP7" s="60"/>
      <c r="PQ7" s="60"/>
      <c r="PR7" s="60"/>
      <c r="PS7" s="60"/>
      <c r="PT7" s="60"/>
      <c r="PU7" s="60"/>
      <c r="PV7" s="60"/>
      <c r="PW7" s="60"/>
      <c r="PX7" s="60"/>
      <c r="PY7" s="60"/>
      <c r="PZ7" s="60"/>
      <c r="QA7" s="60"/>
      <c r="QB7" s="60"/>
      <c r="QC7" s="60"/>
      <c r="QD7" s="60"/>
      <c r="QE7" s="60"/>
      <c r="QF7" s="60"/>
      <c r="QG7" s="60"/>
      <c r="QH7" s="60"/>
      <c r="QI7" s="60"/>
      <c r="QJ7" s="60"/>
      <c r="QK7" s="60"/>
      <c r="QL7" s="60"/>
      <c r="QM7" s="60"/>
      <c r="QN7" s="60"/>
      <c r="QO7" s="60"/>
      <c r="QP7" s="60"/>
      <c r="QQ7" s="60"/>
      <c r="QR7" s="60"/>
      <c r="QS7" s="60"/>
      <c r="QT7" s="60"/>
      <c r="QU7" s="60"/>
      <c r="QV7" s="60"/>
      <c r="QW7" s="60"/>
      <c r="QX7" s="60"/>
      <c r="QY7" s="60"/>
      <c r="QZ7" s="60"/>
      <c r="RA7" s="60"/>
      <c r="RB7" s="60"/>
      <c r="RC7" s="60"/>
      <c r="RD7" s="60"/>
      <c r="RE7" s="60"/>
      <c r="RF7" s="60"/>
      <c r="RG7" s="60"/>
      <c r="RH7" s="60"/>
      <c r="RI7" s="60"/>
      <c r="RJ7" s="60"/>
      <c r="RK7" s="60"/>
      <c r="RL7" s="60"/>
      <c r="RM7" s="60"/>
      <c r="RN7" s="60"/>
      <c r="RO7" s="60"/>
      <c r="RP7" s="60"/>
      <c r="RQ7" s="60"/>
      <c r="RR7" s="60"/>
      <c r="RS7" s="60"/>
      <c r="RT7" s="60"/>
      <c r="RU7" s="60"/>
      <c r="RV7" s="60"/>
      <c r="RW7" s="60"/>
      <c r="RX7" s="60"/>
      <c r="RY7" s="60"/>
      <c r="RZ7" s="60"/>
      <c r="SA7" s="60"/>
      <c r="SB7" s="60"/>
      <c r="SC7" s="60"/>
      <c r="SD7" s="60"/>
      <c r="SE7" s="60"/>
      <c r="SF7" s="60"/>
      <c r="SG7" s="60"/>
      <c r="SH7" s="60"/>
      <c r="SI7" s="60"/>
      <c r="SJ7" s="60"/>
      <c r="SK7" s="60"/>
      <c r="SL7" s="60"/>
      <c r="SM7" s="60"/>
      <c r="SN7" s="60"/>
      <c r="SO7" s="60"/>
      <c r="SP7" s="60"/>
      <c r="SQ7" s="60"/>
      <c r="SR7" s="60"/>
      <c r="SS7" s="60"/>
      <c r="ST7" s="60"/>
      <c r="SU7" s="60"/>
      <c r="SV7" s="60"/>
      <c r="SW7" s="60"/>
      <c r="SX7" s="60"/>
      <c r="SY7" s="60"/>
      <c r="SZ7" s="60"/>
      <c r="TA7" s="60"/>
      <c r="TB7" s="60"/>
      <c r="TC7" s="60"/>
      <c r="TD7" s="60"/>
      <c r="TE7" s="60"/>
      <c r="TF7" s="60"/>
      <c r="TG7" s="60"/>
      <c r="TH7" s="60"/>
      <c r="TI7" s="60"/>
      <c r="TJ7" s="60"/>
      <c r="TK7" s="60"/>
      <c r="TL7" s="60"/>
      <c r="TM7" s="60"/>
      <c r="TN7" s="60"/>
      <c r="TO7" s="60"/>
      <c r="TP7" s="60"/>
      <c r="TQ7" s="60"/>
      <c r="TR7" s="60"/>
      <c r="TS7" s="60"/>
      <c r="TT7" s="60"/>
      <c r="TU7" s="60"/>
      <c r="TV7" s="60"/>
      <c r="TW7" s="60"/>
      <c r="TX7" s="60"/>
      <c r="TY7" s="60"/>
      <c r="TZ7" s="60"/>
      <c r="UA7" s="60"/>
      <c r="UB7" s="60"/>
      <c r="UC7" s="60"/>
      <c r="UD7" s="60"/>
      <c r="UE7" s="60"/>
      <c r="UF7" s="60"/>
      <c r="UG7" s="60"/>
      <c r="UH7" s="60"/>
      <c r="UI7" s="60"/>
      <c r="UJ7" s="60"/>
      <c r="UK7" s="60"/>
      <c r="UL7" s="60"/>
      <c r="UM7" s="60"/>
      <c r="UN7" s="60"/>
      <c r="UO7" s="60"/>
      <c r="UP7" s="60"/>
      <c r="UQ7" s="60"/>
      <c r="UR7" s="60"/>
      <c r="US7" s="60"/>
      <c r="UT7" s="60"/>
      <c r="UU7" s="60"/>
      <c r="UV7" s="60"/>
      <c r="UW7" s="60"/>
      <c r="UX7" s="60"/>
      <c r="UY7" s="60"/>
      <c r="UZ7" s="60"/>
      <c r="VA7" s="60"/>
      <c r="VB7" s="60"/>
      <c r="VC7" s="60"/>
      <c r="VD7" s="60"/>
      <c r="VE7" s="60"/>
      <c r="VF7" s="60"/>
      <c r="VG7" s="60"/>
      <c r="VH7" s="60"/>
      <c r="VI7" s="60"/>
      <c r="VJ7" s="60"/>
      <c r="VK7" s="60"/>
      <c r="VL7" s="60"/>
      <c r="VM7" s="60"/>
      <c r="VN7" s="60"/>
      <c r="VO7" s="60"/>
      <c r="VT7" s="59">
        <v>0</v>
      </c>
    </row>
    <row r="8" spans="1:592" x14ac:dyDescent="0.25">
      <c r="A8" s="2" t="s">
        <v>79</v>
      </c>
      <c r="B8" s="3" t="s">
        <v>82</v>
      </c>
      <c r="C8" s="3" t="s">
        <v>82</v>
      </c>
      <c r="D8" s="3" t="s">
        <v>82</v>
      </c>
      <c r="E8" s="3" t="s">
        <v>82</v>
      </c>
      <c r="F8" s="3" t="s">
        <v>82</v>
      </c>
      <c r="G8" s="3" t="s">
        <v>82</v>
      </c>
      <c r="H8" s="3" t="s">
        <v>82</v>
      </c>
      <c r="I8" s="3" t="s">
        <v>82</v>
      </c>
      <c r="J8" s="3" t="str">
        <f t="shared" si="0"/>
        <v>-</v>
      </c>
      <c r="K8" s="205" t="s">
        <v>472</v>
      </c>
      <c r="Q8" s="74" t="s">
        <v>217</v>
      </c>
      <c r="R8" s="75"/>
      <c r="S8" s="76"/>
      <c r="T8" s="35"/>
      <c r="U8" s="21"/>
      <c r="V8" t="s">
        <v>580</v>
      </c>
      <c r="W8" s="315">
        <v>-127450</v>
      </c>
      <c r="X8" s="315">
        <f>W8 - X7 + IF(SUM(X3:X4) &lt; -X6, SUM(X3:X4) + X6, 0)</f>
        <v>-61450</v>
      </c>
      <c r="Y8" t="s">
        <v>582</v>
      </c>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H8" s="60"/>
      <c r="EI8" s="60"/>
      <c r="EJ8" s="60"/>
      <c r="EK8" s="60"/>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c r="FV8" s="60"/>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c r="HD8" s="60"/>
      <c r="HE8" s="60"/>
      <c r="HF8" s="60"/>
      <c r="HG8" s="60"/>
      <c r="HH8" s="60"/>
      <c r="HI8" s="60"/>
      <c r="HJ8" s="60"/>
      <c r="HK8" s="60"/>
      <c r="HL8" s="60"/>
      <c r="HM8" s="60"/>
      <c r="HN8" s="60"/>
      <c r="HO8" s="60"/>
      <c r="HP8" s="60"/>
      <c r="HQ8" s="60"/>
      <c r="HR8" s="60"/>
      <c r="HS8" s="60"/>
      <c r="HT8" s="60"/>
      <c r="HU8" s="60"/>
      <c r="HV8" s="60"/>
      <c r="HW8" s="60"/>
      <c r="HX8" s="60"/>
      <c r="HY8" s="60"/>
      <c r="HZ8" s="60"/>
      <c r="IA8" s="60"/>
      <c r="IB8" s="60"/>
      <c r="IC8" s="60"/>
      <c r="ID8" s="60"/>
      <c r="IE8" s="60"/>
      <c r="IF8" s="60"/>
      <c r="IG8" s="60"/>
      <c r="IH8" s="60"/>
      <c r="II8" s="60"/>
      <c r="IJ8" s="60"/>
      <c r="IK8" s="60"/>
      <c r="IL8" s="60"/>
      <c r="IM8" s="60"/>
      <c r="IN8" s="60"/>
      <c r="IO8" s="60"/>
      <c r="IP8" s="60"/>
      <c r="IQ8" s="60"/>
      <c r="IR8" s="60"/>
      <c r="IS8" s="60"/>
      <c r="IT8" s="60"/>
      <c r="IU8" s="60"/>
      <c r="IV8" s="60"/>
      <c r="IW8" s="60"/>
      <c r="IX8" s="60"/>
      <c r="IZ8" s="60"/>
      <c r="JA8" s="60"/>
      <c r="JB8" s="60"/>
      <c r="JC8" s="60"/>
      <c r="JD8" s="60"/>
      <c r="JE8" s="60"/>
      <c r="JF8" s="60"/>
      <c r="JG8" s="60"/>
      <c r="JH8" s="60"/>
      <c r="JI8" s="60"/>
      <c r="JJ8" s="60"/>
      <c r="JK8" s="60"/>
      <c r="JL8" s="60"/>
      <c r="JM8" s="60"/>
      <c r="JN8" s="60"/>
      <c r="JO8" s="60"/>
      <c r="JP8" s="60"/>
      <c r="JQ8" s="60"/>
      <c r="JR8" s="60"/>
      <c r="JS8" s="60"/>
      <c r="JT8" s="60"/>
      <c r="JU8" s="60"/>
      <c r="JV8" s="60"/>
      <c r="JW8" s="60"/>
      <c r="JX8" s="60"/>
      <c r="JY8" s="60"/>
      <c r="JZ8" s="60"/>
      <c r="KA8" s="60"/>
      <c r="KB8" s="60"/>
      <c r="KC8" s="60"/>
      <c r="KD8" s="60"/>
      <c r="KE8" s="60"/>
      <c r="KF8" s="60"/>
      <c r="KG8" s="60"/>
      <c r="KH8" s="60"/>
      <c r="KI8" s="60"/>
      <c r="KJ8" s="60"/>
      <c r="KK8" s="60"/>
      <c r="KL8" s="60"/>
      <c r="KM8" s="60"/>
      <c r="KN8" s="60"/>
      <c r="KO8" s="60"/>
      <c r="KP8" s="60"/>
      <c r="LB8" s="60"/>
      <c r="LC8" s="60"/>
      <c r="LD8" s="60"/>
      <c r="LE8" s="60"/>
      <c r="LF8" s="60"/>
      <c r="LG8" s="60"/>
      <c r="LH8" s="60"/>
      <c r="LI8" s="60"/>
      <c r="LJ8" s="60"/>
      <c r="LK8" s="60"/>
      <c r="LL8" s="60"/>
      <c r="LM8" s="60"/>
      <c r="LN8" s="60"/>
      <c r="LO8" s="60"/>
      <c r="LP8" s="60"/>
      <c r="LQ8" s="60"/>
      <c r="LR8" s="60"/>
      <c r="LS8" s="60"/>
      <c r="LT8" s="60"/>
      <c r="LU8" s="60"/>
      <c r="LV8" s="60"/>
      <c r="LW8" s="60"/>
      <c r="LX8" s="60"/>
      <c r="LY8" s="60"/>
      <c r="LZ8" s="60"/>
      <c r="MA8" s="60"/>
      <c r="MB8" s="60"/>
      <c r="MC8" s="60"/>
      <c r="MD8" s="60"/>
      <c r="ME8" s="60"/>
      <c r="MF8" s="60"/>
      <c r="MG8" s="60"/>
      <c r="MH8" s="60"/>
      <c r="MI8" s="60"/>
      <c r="MJ8" s="60"/>
      <c r="MK8" s="60"/>
      <c r="ML8" s="60"/>
      <c r="MM8" s="60"/>
      <c r="MN8" s="60"/>
      <c r="MO8" s="60"/>
      <c r="MP8" s="60"/>
      <c r="MQ8" s="60"/>
      <c r="MR8" s="60"/>
      <c r="MS8" s="60"/>
      <c r="MT8" s="60"/>
      <c r="MU8" s="60"/>
      <c r="MV8" s="60"/>
      <c r="MW8" s="60"/>
      <c r="MX8" s="60"/>
      <c r="MY8" s="60"/>
      <c r="MZ8" s="60"/>
      <c r="NA8" s="60"/>
      <c r="NB8" s="60"/>
      <c r="NC8" s="60"/>
      <c r="ND8" s="60"/>
      <c r="NE8" s="60"/>
      <c r="NF8" s="60"/>
      <c r="NG8" s="60"/>
      <c r="NH8" s="60"/>
      <c r="NI8" s="60"/>
      <c r="NJ8" s="60"/>
      <c r="NK8" s="60"/>
      <c r="NL8" s="60"/>
      <c r="NM8" s="60"/>
      <c r="NN8" s="60"/>
      <c r="NO8" s="60"/>
      <c r="NP8" s="60"/>
      <c r="NQ8" s="60"/>
      <c r="NR8" s="60"/>
      <c r="NS8" s="60"/>
      <c r="NT8" s="60"/>
      <c r="NU8" s="60"/>
      <c r="NV8" s="60"/>
      <c r="NW8" s="60"/>
      <c r="NX8" s="60"/>
      <c r="NY8" s="60"/>
      <c r="NZ8" s="60"/>
      <c r="OA8" s="60"/>
      <c r="OB8" s="60"/>
      <c r="OC8" s="60"/>
      <c r="OD8" s="60"/>
      <c r="OE8" s="60"/>
      <c r="OF8" s="60"/>
      <c r="OG8" s="60"/>
      <c r="OH8" s="60"/>
      <c r="OI8" s="60"/>
      <c r="OJ8" s="60"/>
      <c r="OK8" s="60"/>
      <c r="OL8" s="60"/>
      <c r="OM8" s="60"/>
      <c r="ON8" s="60"/>
      <c r="OO8" s="60"/>
      <c r="OP8" s="60"/>
      <c r="OQ8" s="60"/>
      <c r="OR8" s="60"/>
      <c r="OS8" s="60"/>
      <c r="OT8" s="60"/>
      <c r="OU8" s="60"/>
      <c r="OV8" s="60"/>
      <c r="OW8" s="60"/>
      <c r="OX8" s="60"/>
      <c r="OY8" s="60"/>
      <c r="OZ8" s="60"/>
      <c r="PA8" s="60"/>
      <c r="PB8" s="60"/>
      <c r="PC8" s="60"/>
      <c r="PD8" s="60"/>
      <c r="PE8" s="60"/>
      <c r="PF8" s="60"/>
      <c r="PG8" s="60"/>
      <c r="PH8" s="60"/>
      <c r="PI8" s="60"/>
      <c r="PJ8" s="60"/>
      <c r="PK8" s="60"/>
      <c r="PL8" s="60"/>
      <c r="PM8" s="60"/>
      <c r="PN8" s="60"/>
      <c r="PO8" s="60"/>
      <c r="PP8" s="60"/>
      <c r="PQ8" s="60"/>
      <c r="PR8" s="60"/>
      <c r="PS8" s="60"/>
      <c r="PT8" s="60"/>
      <c r="PU8" s="60"/>
      <c r="PV8" s="60"/>
      <c r="PW8" s="60"/>
      <c r="PX8" s="60"/>
      <c r="PY8" s="60"/>
      <c r="PZ8" s="60"/>
      <c r="QA8" s="60"/>
      <c r="QB8" s="60"/>
      <c r="QC8" s="60"/>
      <c r="QD8" s="60"/>
      <c r="QE8" s="60"/>
      <c r="QF8" s="60"/>
      <c r="QG8" s="60"/>
      <c r="QH8" s="60"/>
      <c r="QI8" s="60"/>
      <c r="QJ8" s="60"/>
      <c r="QK8" s="60"/>
      <c r="QL8" s="60"/>
      <c r="QM8" s="60"/>
      <c r="QN8" s="60"/>
      <c r="QO8" s="60"/>
      <c r="QP8" s="60"/>
      <c r="QQ8" s="60"/>
      <c r="QR8" s="60"/>
      <c r="QS8" s="60"/>
      <c r="QT8" s="60"/>
      <c r="QU8" s="60"/>
      <c r="QV8" s="60"/>
      <c r="QW8" s="60"/>
      <c r="QX8" s="60"/>
      <c r="QY8" s="60"/>
      <c r="QZ8" s="60"/>
      <c r="RA8" s="60"/>
      <c r="RB8" s="60"/>
      <c r="RC8" s="60"/>
      <c r="RD8" s="60"/>
      <c r="RE8" s="60"/>
      <c r="RF8" s="60"/>
      <c r="RG8" s="60"/>
      <c r="RH8" s="60"/>
      <c r="RI8" s="60"/>
      <c r="RJ8" s="60"/>
      <c r="RK8" s="60"/>
      <c r="RL8" s="60"/>
      <c r="RM8" s="60"/>
      <c r="RN8" s="60"/>
      <c r="RO8" s="60"/>
      <c r="RP8" s="60"/>
      <c r="RQ8" s="60"/>
      <c r="RR8" s="60"/>
      <c r="RS8" s="60"/>
      <c r="RT8" s="60"/>
      <c r="RU8" s="60"/>
      <c r="RV8" s="60"/>
      <c r="RW8" s="60"/>
      <c r="RX8" s="60"/>
      <c r="RY8" s="60"/>
      <c r="RZ8" s="60"/>
      <c r="SA8" s="60"/>
      <c r="SB8" s="60"/>
      <c r="SC8" s="60"/>
      <c r="SD8" s="60"/>
      <c r="SE8" s="60"/>
      <c r="SF8" s="60"/>
      <c r="SG8" s="60"/>
      <c r="SH8" s="60"/>
      <c r="SI8" s="60"/>
      <c r="SJ8" s="60"/>
      <c r="SK8" s="60"/>
      <c r="SL8" s="60"/>
      <c r="SM8" s="60"/>
      <c r="SN8" s="60"/>
      <c r="SO8" s="60"/>
      <c r="SP8" s="60"/>
      <c r="SQ8" s="60"/>
      <c r="SR8" s="60"/>
      <c r="SS8" s="60"/>
      <c r="ST8" s="60"/>
      <c r="SU8" s="60"/>
      <c r="SV8" s="60"/>
      <c r="SW8" s="60"/>
      <c r="SX8" s="60"/>
      <c r="SY8" s="60"/>
      <c r="SZ8" s="60"/>
      <c r="TA8" s="60"/>
      <c r="TB8" s="60"/>
      <c r="TC8" s="60"/>
      <c r="TD8" s="60"/>
      <c r="TE8" s="60"/>
      <c r="TF8" s="60"/>
      <c r="TG8" s="60"/>
      <c r="TH8" s="60"/>
      <c r="TI8" s="60"/>
      <c r="TJ8" s="60"/>
      <c r="TK8" s="60"/>
      <c r="TL8" s="60"/>
      <c r="TM8" s="60"/>
      <c r="TN8" s="60"/>
      <c r="TO8" s="60"/>
      <c r="TP8" s="60"/>
      <c r="TQ8" s="60"/>
      <c r="TR8" s="60"/>
      <c r="TS8" s="60"/>
      <c r="TT8" s="60"/>
      <c r="TU8" s="60"/>
      <c r="TV8" s="60"/>
      <c r="TW8" s="60"/>
      <c r="TX8" s="60"/>
      <c r="TY8" s="60"/>
      <c r="TZ8" s="60"/>
      <c r="UA8" s="60"/>
      <c r="UB8" s="60"/>
      <c r="UC8" s="60"/>
      <c r="UD8" s="60"/>
      <c r="UE8" s="60"/>
      <c r="UF8" s="60"/>
      <c r="UG8" s="60"/>
      <c r="UH8" s="60"/>
      <c r="UI8" s="60"/>
      <c r="UJ8" s="60"/>
      <c r="UK8" s="60"/>
      <c r="UL8" s="60"/>
      <c r="UM8" s="60"/>
      <c r="UN8" s="60"/>
      <c r="UO8" s="60"/>
      <c r="UP8" s="60"/>
      <c r="UQ8" s="60"/>
      <c r="UR8" s="60"/>
      <c r="US8" s="60"/>
      <c r="UT8" s="60"/>
      <c r="UU8" s="60" t="s">
        <v>225</v>
      </c>
      <c r="UV8" s="60">
        <f t="shared" ref="UV8:VD8" si="79">B65</f>
        <v>0</v>
      </c>
      <c r="UW8" s="60">
        <f t="shared" si="79"/>
        <v>0</v>
      </c>
      <c r="UX8" s="60">
        <f t="shared" si="79"/>
        <v>0</v>
      </c>
      <c r="UY8" s="60">
        <f t="shared" si="79"/>
        <v>0</v>
      </c>
      <c r="UZ8" s="60">
        <f t="shared" si="79"/>
        <v>0</v>
      </c>
      <c r="VA8" s="60">
        <f t="shared" si="79"/>
        <v>0</v>
      </c>
      <c r="VB8" s="60">
        <f t="shared" si="79"/>
        <v>0</v>
      </c>
      <c r="VC8" s="60">
        <f t="shared" si="79"/>
        <v>0</v>
      </c>
      <c r="VD8" s="60">
        <f t="shared" si="79"/>
        <v>0</v>
      </c>
      <c r="VE8" s="60"/>
      <c r="VF8" s="60"/>
      <c r="VG8" s="60"/>
      <c r="VH8" s="60"/>
      <c r="VI8" s="60"/>
      <c r="VJ8" s="60"/>
      <c r="VK8" s="60"/>
      <c r="VL8" s="60"/>
      <c r="VM8" s="60"/>
      <c r="VN8" s="60"/>
      <c r="VO8" s="60"/>
      <c r="VT8" s="59">
        <v>0</v>
      </c>
    </row>
    <row r="9" spans="1:592" ht="15.75" thickBot="1" x14ac:dyDescent="0.3">
      <c r="A9" s="2" t="s">
        <v>83</v>
      </c>
      <c r="B9" s="39" t="s">
        <v>62</v>
      </c>
      <c r="C9" s="39" t="s">
        <v>62</v>
      </c>
      <c r="D9" s="39" t="s">
        <v>62</v>
      </c>
      <c r="E9" s="39" t="s">
        <v>62</v>
      </c>
      <c r="F9" s="39" t="s">
        <v>62</v>
      </c>
      <c r="G9" s="39" t="s">
        <v>62</v>
      </c>
      <c r="H9" s="39" t="s">
        <v>62</v>
      </c>
      <c r="I9" s="39" t="s">
        <v>62</v>
      </c>
      <c r="J9" s="39" t="str">
        <f t="shared" si="0"/>
        <v>[Select State]</v>
      </c>
      <c r="K9" s="205" t="s">
        <v>554</v>
      </c>
      <c r="Q9" s="69"/>
      <c r="R9" s="70"/>
      <c r="S9" s="71">
        <v>12</v>
      </c>
      <c r="T9" s="72">
        <v>350</v>
      </c>
      <c r="U9" s="73">
        <f>S9*T9</f>
        <v>4200</v>
      </c>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c r="BR9" s="60"/>
      <c r="BS9" s="60"/>
      <c r="BT9" s="60"/>
      <c r="BU9" s="60"/>
      <c r="BV9" s="60"/>
      <c r="BW9" s="60"/>
      <c r="BX9" s="60"/>
      <c r="BY9" s="60"/>
      <c r="BZ9" s="60"/>
      <c r="CA9" s="60"/>
      <c r="CB9" s="60"/>
      <c r="CC9" s="60"/>
      <c r="CD9" s="60"/>
      <c r="CE9" s="60"/>
      <c r="CF9" s="60"/>
      <c r="CG9" s="60"/>
      <c r="CH9" s="60"/>
      <c r="CI9" s="60"/>
      <c r="CJ9" s="60"/>
      <c r="CK9" s="60"/>
      <c r="CL9" s="60"/>
      <c r="CM9" s="60"/>
      <c r="CN9" s="60"/>
      <c r="CO9" s="60"/>
      <c r="CP9" s="60"/>
      <c r="CQ9" s="60"/>
      <c r="CR9" s="60"/>
      <c r="CS9" s="60"/>
      <c r="CT9" s="60"/>
      <c r="CU9" s="60"/>
      <c r="CV9" s="60"/>
      <c r="CW9" s="60"/>
      <c r="CX9" s="60"/>
      <c r="CY9" s="60"/>
      <c r="CZ9" s="60"/>
      <c r="DA9" s="60"/>
      <c r="DB9" s="60"/>
      <c r="DC9" s="60"/>
      <c r="DD9" s="60"/>
      <c r="DE9" s="60"/>
      <c r="DF9" s="60"/>
      <c r="DG9" s="60"/>
      <c r="DH9" s="60"/>
      <c r="DI9" s="60"/>
      <c r="DJ9" s="60"/>
      <c r="DK9" s="60"/>
      <c r="DL9" s="60"/>
      <c r="DM9" s="60"/>
      <c r="DN9" s="60"/>
      <c r="DO9" s="60"/>
      <c r="DP9" s="60"/>
      <c r="DQ9" s="60"/>
      <c r="DR9" s="60"/>
      <c r="DS9" s="60"/>
      <c r="DT9" s="60"/>
      <c r="DU9" s="60"/>
      <c r="DV9" s="60"/>
      <c r="DW9" s="60"/>
      <c r="DX9" s="60"/>
      <c r="DY9" s="60"/>
      <c r="DZ9" s="60"/>
      <c r="EA9" s="60"/>
      <c r="EB9" s="60"/>
      <c r="EC9" s="60"/>
      <c r="ED9" s="60"/>
      <c r="EE9" s="60"/>
      <c r="EF9" s="60"/>
      <c r="EH9" s="60"/>
      <c r="EI9" s="60"/>
      <c r="EJ9" s="60"/>
      <c r="EK9" s="60"/>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c r="FU9" s="60"/>
      <c r="FV9" s="60"/>
      <c r="FW9" s="60"/>
      <c r="FX9" s="60"/>
      <c r="FY9" s="60"/>
      <c r="FZ9" s="60"/>
      <c r="GA9" s="60"/>
      <c r="GB9" s="60"/>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c r="HD9" s="60"/>
      <c r="HE9" s="60"/>
      <c r="HF9" s="60"/>
      <c r="HG9" s="60"/>
      <c r="HH9" s="60"/>
      <c r="HI9" s="60"/>
      <c r="HJ9" s="60"/>
      <c r="HK9" s="60"/>
      <c r="HL9" s="60"/>
      <c r="HM9" s="60"/>
      <c r="HN9" s="60"/>
      <c r="HO9" s="60"/>
      <c r="HP9" s="60"/>
      <c r="HQ9" s="60"/>
      <c r="HR9" s="60"/>
      <c r="HS9" s="60"/>
      <c r="HT9" s="60"/>
      <c r="HU9" s="60"/>
      <c r="HV9" s="60"/>
      <c r="HW9" s="60"/>
      <c r="HX9" s="60"/>
      <c r="HY9" s="60"/>
      <c r="HZ9" s="60"/>
      <c r="IA9" s="60"/>
      <c r="IB9" s="60"/>
      <c r="IC9" s="60"/>
      <c r="ID9" s="60"/>
      <c r="IE9" s="60"/>
      <c r="IF9" s="60"/>
      <c r="IG9" s="60"/>
      <c r="IH9" s="60"/>
      <c r="II9" s="60"/>
      <c r="IJ9" s="60"/>
      <c r="IK9" s="60"/>
      <c r="IL9" s="60"/>
      <c r="IM9" s="60"/>
      <c r="IN9" s="60" t="s">
        <v>225</v>
      </c>
      <c r="IO9" s="60">
        <f t="shared" ref="IO9:IW9" si="80">B65</f>
        <v>0</v>
      </c>
      <c r="IP9" s="60">
        <f t="shared" si="80"/>
        <v>0</v>
      </c>
      <c r="IQ9" s="60">
        <f t="shared" si="80"/>
        <v>0</v>
      </c>
      <c r="IR9" s="60">
        <f t="shared" si="80"/>
        <v>0</v>
      </c>
      <c r="IS9" s="60">
        <f t="shared" si="80"/>
        <v>0</v>
      </c>
      <c r="IT9" s="60">
        <f t="shared" si="80"/>
        <v>0</v>
      </c>
      <c r="IU9" s="60">
        <f t="shared" si="80"/>
        <v>0</v>
      </c>
      <c r="IV9" s="60">
        <f t="shared" si="80"/>
        <v>0</v>
      </c>
      <c r="IW9" s="60">
        <f t="shared" si="80"/>
        <v>0</v>
      </c>
      <c r="IX9" s="60"/>
      <c r="IY9" s="60" t="s">
        <v>225</v>
      </c>
      <c r="IZ9" s="60">
        <f t="shared" ref="IZ9:JH9" si="81">B65</f>
        <v>0</v>
      </c>
      <c r="JA9" s="60">
        <f t="shared" si="81"/>
        <v>0</v>
      </c>
      <c r="JB9" s="60">
        <f t="shared" si="81"/>
        <v>0</v>
      </c>
      <c r="JC9" s="60">
        <f t="shared" si="81"/>
        <v>0</v>
      </c>
      <c r="JD9" s="60">
        <f t="shared" si="81"/>
        <v>0</v>
      </c>
      <c r="JE9" s="60">
        <f t="shared" si="81"/>
        <v>0</v>
      </c>
      <c r="JF9" s="60">
        <f t="shared" si="81"/>
        <v>0</v>
      </c>
      <c r="JG9" s="60">
        <f t="shared" si="81"/>
        <v>0</v>
      </c>
      <c r="JH9" s="60">
        <f t="shared" si="81"/>
        <v>0</v>
      </c>
      <c r="JI9" s="60"/>
      <c r="JJ9" s="60" t="s">
        <v>37</v>
      </c>
      <c r="JK9" s="60">
        <f t="shared" ref="JK9:JS9" si="82">B65</f>
        <v>0</v>
      </c>
      <c r="JL9" s="60">
        <f t="shared" si="82"/>
        <v>0</v>
      </c>
      <c r="JM9" s="60">
        <f t="shared" si="82"/>
        <v>0</v>
      </c>
      <c r="JN9" s="60">
        <f t="shared" si="82"/>
        <v>0</v>
      </c>
      <c r="JO9" s="60">
        <f t="shared" si="82"/>
        <v>0</v>
      </c>
      <c r="JP9" s="60">
        <f t="shared" si="82"/>
        <v>0</v>
      </c>
      <c r="JQ9" s="60">
        <f t="shared" si="82"/>
        <v>0</v>
      </c>
      <c r="JR9" s="60">
        <f t="shared" si="82"/>
        <v>0</v>
      </c>
      <c r="JS9" s="60">
        <f t="shared" si="82"/>
        <v>0</v>
      </c>
      <c r="JT9" s="60"/>
      <c r="JU9" s="60"/>
      <c r="JV9" s="60"/>
      <c r="JW9" s="60"/>
      <c r="JX9" s="60"/>
      <c r="JY9" s="60"/>
      <c r="JZ9" s="60"/>
      <c r="KA9" s="60"/>
      <c r="KB9" s="60"/>
      <c r="KC9" s="60"/>
      <c r="KD9" s="60"/>
      <c r="KE9" s="60"/>
      <c r="KF9" s="60"/>
      <c r="KG9" s="60"/>
      <c r="KH9" s="60"/>
      <c r="KI9" s="60"/>
      <c r="KJ9" s="60"/>
      <c r="KK9" s="60"/>
      <c r="KL9" s="60"/>
      <c r="KM9" s="60"/>
      <c r="KN9" s="60"/>
      <c r="KO9" s="60"/>
      <c r="KP9" s="60"/>
      <c r="LB9" s="60"/>
      <c r="LC9" s="60"/>
      <c r="LD9" s="60"/>
      <c r="LE9" s="60"/>
      <c r="LF9" s="60"/>
      <c r="LG9" s="60"/>
      <c r="LH9" s="60"/>
      <c r="LI9" s="60"/>
      <c r="LJ9" s="60"/>
      <c r="LK9" s="60"/>
      <c r="LL9" s="60"/>
      <c r="LM9" s="60" t="s">
        <v>37</v>
      </c>
      <c r="LN9" s="60">
        <f t="shared" ref="LN9:LV9" si="83">B65</f>
        <v>0</v>
      </c>
      <c r="LO9" s="60">
        <f t="shared" si="83"/>
        <v>0</v>
      </c>
      <c r="LP9" s="60">
        <f t="shared" si="83"/>
        <v>0</v>
      </c>
      <c r="LQ9" s="60">
        <f t="shared" si="83"/>
        <v>0</v>
      </c>
      <c r="LR9" s="60">
        <f t="shared" si="83"/>
        <v>0</v>
      </c>
      <c r="LS9" s="60">
        <f t="shared" si="83"/>
        <v>0</v>
      </c>
      <c r="LT9" s="60">
        <f t="shared" si="83"/>
        <v>0</v>
      </c>
      <c r="LU9" s="60">
        <f t="shared" si="83"/>
        <v>0</v>
      </c>
      <c r="LV9" s="60">
        <f t="shared" si="83"/>
        <v>0</v>
      </c>
      <c r="LW9" s="60"/>
      <c r="LX9" s="60"/>
      <c r="LY9" s="60"/>
      <c r="LZ9" s="60"/>
      <c r="MA9" s="60"/>
      <c r="MB9" s="60"/>
      <c r="MC9" s="60"/>
      <c r="MD9" s="60"/>
      <c r="ME9" s="60"/>
      <c r="MF9" s="60"/>
      <c r="MG9" s="60"/>
      <c r="MH9" s="60"/>
      <c r="MI9" s="60"/>
      <c r="MJ9" s="60"/>
      <c r="MK9" s="60"/>
      <c r="ML9" s="60"/>
      <c r="MM9" s="60"/>
      <c r="MN9" s="60"/>
      <c r="MO9" s="60"/>
      <c r="MP9" s="60"/>
      <c r="MQ9" s="60"/>
      <c r="MR9" s="60"/>
      <c r="MS9" s="60"/>
      <c r="MU9" s="60"/>
      <c r="MV9" s="60"/>
      <c r="MW9" s="60"/>
      <c r="MX9" s="60"/>
      <c r="MY9" s="60"/>
      <c r="MZ9" s="60"/>
      <c r="NA9" s="60"/>
      <c r="NB9" s="60"/>
      <c r="NC9" s="60"/>
      <c r="ND9" s="60"/>
      <c r="NE9" s="60"/>
      <c r="NF9" s="60"/>
      <c r="NG9" s="60"/>
      <c r="NH9" s="60"/>
      <c r="NI9" s="60"/>
      <c r="NJ9" s="60"/>
      <c r="NK9" s="60"/>
      <c r="NL9" s="60"/>
      <c r="NM9" s="60"/>
      <c r="NN9" s="60"/>
      <c r="NO9" s="60"/>
      <c r="NP9" s="60" t="s">
        <v>225</v>
      </c>
      <c r="NQ9" s="60">
        <f t="shared" ref="NQ9:NY9" si="84">B65</f>
        <v>0</v>
      </c>
      <c r="NR9" s="60">
        <f t="shared" si="84"/>
        <v>0</v>
      </c>
      <c r="NS9" s="60">
        <f t="shared" si="84"/>
        <v>0</v>
      </c>
      <c r="NT9" s="60">
        <f t="shared" si="84"/>
        <v>0</v>
      </c>
      <c r="NU9" s="60">
        <f t="shared" si="84"/>
        <v>0</v>
      </c>
      <c r="NV9" s="60">
        <f t="shared" si="84"/>
        <v>0</v>
      </c>
      <c r="NW9" s="60">
        <f t="shared" si="84"/>
        <v>0</v>
      </c>
      <c r="NX9" s="60">
        <f t="shared" si="84"/>
        <v>0</v>
      </c>
      <c r="NY9" s="60">
        <f t="shared" si="84"/>
        <v>0</v>
      </c>
      <c r="NZ9" s="60"/>
      <c r="OA9" s="60"/>
      <c r="OB9" s="60"/>
      <c r="OC9" s="60"/>
      <c r="OD9" s="60"/>
      <c r="OE9" s="60"/>
      <c r="OF9" s="60"/>
      <c r="OG9" s="60"/>
      <c r="OH9" s="60"/>
      <c r="OI9" s="60"/>
      <c r="OJ9" s="60"/>
      <c r="OK9" s="60"/>
      <c r="OL9" s="60"/>
      <c r="OM9" s="60"/>
      <c r="ON9" s="60"/>
      <c r="OO9" s="60"/>
      <c r="OP9" s="60"/>
      <c r="OQ9" s="60"/>
      <c r="OR9" s="60"/>
      <c r="OS9" s="60"/>
      <c r="OT9" s="60"/>
      <c r="OU9" s="60"/>
      <c r="OV9" s="60"/>
      <c r="OW9" s="60"/>
      <c r="OX9" s="60"/>
      <c r="OY9" s="60"/>
      <c r="OZ9" s="60"/>
      <c r="PA9" s="60"/>
      <c r="PB9" s="60"/>
      <c r="PC9" s="60"/>
      <c r="PD9" s="60"/>
      <c r="PE9" s="60"/>
      <c r="PF9" s="60"/>
      <c r="PG9" s="60"/>
      <c r="PH9" s="60"/>
      <c r="PI9" s="60"/>
      <c r="PJ9" s="60"/>
      <c r="PK9" s="60"/>
      <c r="PL9" s="60"/>
      <c r="PM9" s="60"/>
      <c r="PN9" s="60"/>
      <c r="PO9" s="60"/>
      <c r="PP9" s="60"/>
      <c r="PQ9" s="60"/>
      <c r="PR9" s="60"/>
      <c r="PS9" s="60" t="s">
        <v>37</v>
      </c>
      <c r="PT9" s="60">
        <f t="shared" ref="PT9:QB9" si="85">B80</f>
        <v>0</v>
      </c>
      <c r="PU9" s="60">
        <f t="shared" si="85"/>
        <v>0</v>
      </c>
      <c r="PV9" s="60">
        <f t="shared" si="85"/>
        <v>0</v>
      </c>
      <c r="PW9" s="60">
        <f t="shared" si="85"/>
        <v>0</v>
      </c>
      <c r="PX9" s="60">
        <f t="shared" si="85"/>
        <v>0</v>
      </c>
      <c r="PY9" s="60">
        <f t="shared" si="85"/>
        <v>0</v>
      </c>
      <c r="PZ9" s="60">
        <f t="shared" si="85"/>
        <v>0</v>
      </c>
      <c r="QA9" s="60">
        <f t="shared" si="85"/>
        <v>0</v>
      </c>
      <c r="QB9" s="60" t="e">
        <f t="shared" si="85"/>
        <v>#VALUE!</v>
      </c>
      <c r="QC9" s="60"/>
      <c r="QD9" s="60"/>
      <c r="QE9" s="60"/>
      <c r="QF9" s="60"/>
      <c r="QG9" s="60"/>
      <c r="QH9" s="60"/>
      <c r="QI9" s="60"/>
      <c r="QJ9" s="60"/>
      <c r="QK9" s="60"/>
      <c r="QL9" s="60"/>
      <c r="QM9" s="60"/>
      <c r="QN9" s="60"/>
      <c r="QO9" s="60"/>
      <c r="QP9" s="60"/>
      <c r="QQ9" s="60"/>
      <c r="QR9" s="60"/>
      <c r="QS9" s="60"/>
      <c r="QT9" s="60"/>
      <c r="QU9" s="60"/>
      <c r="QV9" s="60"/>
      <c r="QW9" s="60"/>
      <c r="QX9" s="60"/>
      <c r="QY9" s="60"/>
      <c r="QZ9" s="60"/>
      <c r="RA9" s="60"/>
      <c r="RB9" s="60"/>
      <c r="RC9" s="60"/>
      <c r="RD9" s="60"/>
      <c r="RE9" s="60"/>
      <c r="RF9" s="60"/>
      <c r="RG9" s="60"/>
      <c r="RH9" s="60"/>
      <c r="RI9" s="60"/>
      <c r="RJ9" s="60"/>
      <c r="RK9" s="60"/>
      <c r="RL9" s="60"/>
      <c r="RM9" s="60"/>
      <c r="RN9" s="60"/>
      <c r="RO9" s="60"/>
      <c r="RP9" s="60"/>
      <c r="RQ9" s="60"/>
      <c r="RR9" s="60"/>
      <c r="RS9" s="60"/>
      <c r="RT9" s="60"/>
      <c r="RU9" s="60"/>
      <c r="RV9" s="60"/>
      <c r="RW9" s="60"/>
      <c r="RX9" s="60"/>
      <c r="RY9" s="60"/>
      <c r="RZ9" s="60"/>
      <c r="SA9" s="60"/>
      <c r="SB9" s="60"/>
      <c r="SC9" s="60"/>
      <c r="SD9" s="60"/>
      <c r="SE9" s="60"/>
      <c r="SF9" s="60"/>
      <c r="SG9" s="60"/>
      <c r="SH9" s="60"/>
      <c r="SI9" s="60"/>
      <c r="SJ9" s="60"/>
      <c r="SK9" s="60"/>
      <c r="SL9" s="60"/>
      <c r="SM9" s="60"/>
      <c r="SN9" s="60"/>
      <c r="SO9" s="60"/>
      <c r="SP9" s="60"/>
      <c r="SQ9" s="60"/>
      <c r="SR9" s="60"/>
      <c r="SS9" s="60"/>
      <c r="ST9" s="60"/>
      <c r="SU9" s="60"/>
      <c r="SV9" s="60"/>
      <c r="SW9" s="60"/>
      <c r="SX9" s="60"/>
      <c r="SY9" s="60"/>
      <c r="SZ9" s="60"/>
      <c r="TA9" s="60"/>
      <c r="TB9" s="60"/>
      <c r="TC9" s="60"/>
      <c r="TD9" s="60"/>
      <c r="TE9" s="60"/>
      <c r="TF9" s="60"/>
      <c r="TG9" s="60"/>
      <c r="TH9" s="60"/>
      <c r="TI9" s="60"/>
      <c r="TJ9" s="60"/>
      <c r="TK9" s="60"/>
      <c r="TL9" s="60"/>
      <c r="TM9" s="60"/>
      <c r="TN9" s="60"/>
      <c r="TO9" s="60"/>
      <c r="TP9" s="60"/>
      <c r="TQ9" s="60"/>
      <c r="TR9" s="60"/>
      <c r="TS9" s="60"/>
      <c r="TT9" s="60"/>
      <c r="TU9" s="60"/>
      <c r="TV9" s="60"/>
      <c r="TW9" s="60"/>
      <c r="TX9" s="60"/>
      <c r="TY9" s="60"/>
      <c r="TZ9" s="60"/>
      <c r="UA9" s="60"/>
      <c r="UB9" s="60"/>
      <c r="UC9" s="60"/>
      <c r="UD9" s="60"/>
      <c r="UE9" s="60"/>
      <c r="UF9" s="60"/>
      <c r="UG9" s="60"/>
      <c r="UH9" s="60"/>
      <c r="UI9" s="60"/>
      <c r="UJ9" s="60"/>
      <c r="UK9" s="60"/>
      <c r="UL9" s="60"/>
      <c r="UM9" s="60"/>
      <c r="UN9" s="60"/>
      <c r="UO9" s="60"/>
      <c r="UP9" s="60"/>
      <c r="UQ9" s="60"/>
      <c r="UR9" s="60"/>
      <c r="US9" s="60"/>
      <c r="UT9" s="60"/>
      <c r="UU9" t="s">
        <v>224</v>
      </c>
      <c r="VE9" s="60"/>
      <c r="VF9" s="60"/>
      <c r="VG9" s="60"/>
      <c r="VH9" s="60"/>
      <c r="VI9" s="60"/>
      <c r="VJ9" s="60"/>
      <c r="VK9" s="60"/>
      <c r="VL9" s="60"/>
      <c r="VM9" s="60"/>
      <c r="VN9" s="60"/>
      <c r="VO9" s="60"/>
      <c r="VT9" s="59">
        <v>0</v>
      </c>
    </row>
    <row r="10" spans="1:592" ht="30.75" customHeight="1" x14ac:dyDescent="0.25">
      <c r="A10" s="2" t="s">
        <v>79</v>
      </c>
      <c r="B10" s="3" t="s">
        <v>82</v>
      </c>
      <c r="C10" s="3" t="s">
        <v>82</v>
      </c>
      <c r="D10" s="3" t="s">
        <v>82</v>
      </c>
      <c r="E10" s="3" t="s">
        <v>82</v>
      </c>
      <c r="F10" s="3" t="s">
        <v>82</v>
      </c>
      <c r="G10" s="3" t="s">
        <v>82</v>
      </c>
      <c r="H10" s="3" t="s">
        <v>82</v>
      </c>
      <c r="I10" s="3" t="s">
        <v>82</v>
      </c>
      <c r="J10" s="3" t="str">
        <f t="shared" si="0"/>
        <v>-</v>
      </c>
      <c r="K10" s="205" t="s">
        <v>585</v>
      </c>
      <c r="Q10" s="74" t="s">
        <v>218</v>
      </c>
      <c r="R10" s="75"/>
      <c r="S10" s="76"/>
      <c r="T10" s="35"/>
      <c r="U10" s="21"/>
      <c r="AM10" t="s">
        <v>37</v>
      </c>
      <c r="AN10" s="60">
        <f t="shared" ref="AN10:AV10" si="86">B80</f>
        <v>0</v>
      </c>
      <c r="AO10" s="60">
        <f t="shared" si="86"/>
        <v>0</v>
      </c>
      <c r="AP10" s="60">
        <f t="shared" si="86"/>
        <v>0</v>
      </c>
      <c r="AQ10" s="60">
        <f t="shared" si="86"/>
        <v>0</v>
      </c>
      <c r="AR10" s="60">
        <f t="shared" si="86"/>
        <v>0</v>
      </c>
      <c r="AS10" s="60">
        <f t="shared" si="86"/>
        <v>0</v>
      </c>
      <c r="AT10" s="60">
        <f t="shared" si="86"/>
        <v>0</v>
      </c>
      <c r="AU10" s="60">
        <f t="shared" si="86"/>
        <v>0</v>
      </c>
      <c r="AV10" s="60" t="e">
        <f t="shared" si="86"/>
        <v>#VALUE!</v>
      </c>
      <c r="AW10" s="60"/>
      <c r="AX10" s="60" t="s">
        <v>37</v>
      </c>
      <c r="AY10" s="60"/>
      <c r="AZ10" s="60"/>
      <c r="BA10" s="60"/>
      <c r="BB10" s="60"/>
      <c r="BC10" s="60"/>
      <c r="BD10" s="60"/>
      <c r="BE10" s="60"/>
      <c r="BF10" s="60"/>
      <c r="BG10" s="60"/>
      <c r="BH10" s="60"/>
      <c r="BI10" s="60" t="s">
        <v>225</v>
      </c>
      <c r="BJ10" s="60">
        <f t="shared" ref="BJ10:BR10" si="87">B65</f>
        <v>0</v>
      </c>
      <c r="BK10" s="60">
        <f t="shared" si="87"/>
        <v>0</v>
      </c>
      <c r="BL10" s="60">
        <f t="shared" si="87"/>
        <v>0</v>
      </c>
      <c r="BM10" s="60">
        <f t="shared" si="87"/>
        <v>0</v>
      </c>
      <c r="BN10" s="60">
        <f t="shared" si="87"/>
        <v>0</v>
      </c>
      <c r="BO10" s="60">
        <f t="shared" si="87"/>
        <v>0</v>
      </c>
      <c r="BP10" s="60">
        <f t="shared" si="87"/>
        <v>0</v>
      </c>
      <c r="BQ10" s="60">
        <f t="shared" si="87"/>
        <v>0</v>
      </c>
      <c r="BR10" s="60">
        <f t="shared" si="87"/>
        <v>0</v>
      </c>
      <c r="BS10" s="60"/>
      <c r="BT10" s="60" t="s">
        <v>37</v>
      </c>
      <c r="BU10" s="60"/>
      <c r="BV10" s="60"/>
      <c r="BW10" s="60"/>
      <c r="BX10" s="60"/>
      <c r="BY10" s="60"/>
      <c r="BZ10" s="60"/>
      <c r="CA10" s="60"/>
      <c r="CB10" s="60"/>
      <c r="CC10" s="60"/>
      <c r="CD10" s="60"/>
      <c r="CE10" s="60" t="s">
        <v>225</v>
      </c>
      <c r="CF10" s="6">
        <f t="shared" ref="CF10:CN10" si="88">B65</f>
        <v>0</v>
      </c>
      <c r="CG10" s="6">
        <f t="shared" si="88"/>
        <v>0</v>
      </c>
      <c r="CH10" s="6">
        <f t="shared" si="88"/>
        <v>0</v>
      </c>
      <c r="CI10" s="6">
        <f t="shared" si="88"/>
        <v>0</v>
      </c>
      <c r="CJ10" s="6">
        <f t="shared" si="88"/>
        <v>0</v>
      </c>
      <c r="CK10" s="6">
        <f t="shared" si="88"/>
        <v>0</v>
      </c>
      <c r="CL10" s="6">
        <f t="shared" si="88"/>
        <v>0</v>
      </c>
      <c r="CM10" s="6">
        <f t="shared" si="88"/>
        <v>0</v>
      </c>
      <c r="CN10" s="6">
        <f t="shared" si="88"/>
        <v>0</v>
      </c>
      <c r="CO10" s="60"/>
      <c r="CP10" s="60" t="s">
        <v>37</v>
      </c>
      <c r="CQ10" s="60">
        <f t="shared" ref="CQ10:CY10" si="89">B80</f>
        <v>0</v>
      </c>
      <c r="CR10" s="60">
        <f t="shared" si="89"/>
        <v>0</v>
      </c>
      <c r="CS10" s="60">
        <f t="shared" si="89"/>
        <v>0</v>
      </c>
      <c r="CT10" s="60">
        <f t="shared" si="89"/>
        <v>0</v>
      </c>
      <c r="CU10" s="60">
        <f t="shared" si="89"/>
        <v>0</v>
      </c>
      <c r="CV10" s="60">
        <f t="shared" si="89"/>
        <v>0</v>
      </c>
      <c r="CW10" s="60">
        <f t="shared" si="89"/>
        <v>0</v>
      </c>
      <c r="CX10" s="60">
        <f t="shared" si="89"/>
        <v>0</v>
      </c>
      <c r="CY10" s="60" t="e">
        <f t="shared" si="89"/>
        <v>#VALUE!</v>
      </c>
      <c r="CZ10" s="60"/>
      <c r="DA10" s="60" t="s">
        <v>225</v>
      </c>
      <c r="DB10" s="60">
        <f t="shared" ref="DB10:DJ10" si="90">B65</f>
        <v>0</v>
      </c>
      <c r="DC10" s="60">
        <f t="shared" si="90"/>
        <v>0</v>
      </c>
      <c r="DD10" s="60">
        <f t="shared" si="90"/>
        <v>0</v>
      </c>
      <c r="DE10" s="60">
        <f t="shared" si="90"/>
        <v>0</v>
      </c>
      <c r="DF10" s="60">
        <f t="shared" si="90"/>
        <v>0</v>
      </c>
      <c r="DG10" s="60">
        <f t="shared" si="90"/>
        <v>0</v>
      </c>
      <c r="DH10" s="60">
        <f t="shared" si="90"/>
        <v>0</v>
      </c>
      <c r="DI10" s="60">
        <f t="shared" si="90"/>
        <v>0</v>
      </c>
      <c r="DJ10" s="60">
        <f t="shared" si="90"/>
        <v>0</v>
      </c>
      <c r="DL10" s="60" t="s">
        <v>37</v>
      </c>
      <c r="DM10" s="60"/>
      <c r="DN10" s="60"/>
      <c r="DO10" s="60"/>
      <c r="DP10" s="60"/>
      <c r="DQ10" s="60"/>
      <c r="DR10" s="60"/>
      <c r="DS10" s="60"/>
      <c r="DT10" s="60"/>
      <c r="DU10" s="60"/>
      <c r="DV10" s="60"/>
      <c r="DW10" s="60" t="s">
        <v>204</v>
      </c>
      <c r="DX10" s="60" t="s">
        <v>205</v>
      </c>
      <c r="DY10" s="60" t="s">
        <v>205</v>
      </c>
      <c r="DZ10" s="60" t="s">
        <v>205</v>
      </c>
      <c r="EA10" s="60" t="s">
        <v>205</v>
      </c>
      <c r="EB10" s="60" t="s">
        <v>205</v>
      </c>
      <c r="EC10" s="60" t="s">
        <v>205</v>
      </c>
      <c r="ED10" s="60" t="s">
        <v>205</v>
      </c>
      <c r="EE10" s="60" t="s">
        <v>205</v>
      </c>
      <c r="EF10" s="60" t="s">
        <v>205</v>
      </c>
      <c r="EH10" s="60" t="s">
        <v>225</v>
      </c>
      <c r="EI10" s="60">
        <f t="shared" ref="EI10:EQ10" si="91">B65</f>
        <v>0</v>
      </c>
      <c r="EJ10" s="60">
        <f t="shared" si="91"/>
        <v>0</v>
      </c>
      <c r="EK10" s="60">
        <f t="shared" si="91"/>
        <v>0</v>
      </c>
      <c r="EL10" s="60">
        <f t="shared" si="91"/>
        <v>0</v>
      </c>
      <c r="EM10" s="60">
        <f t="shared" si="91"/>
        <v>0</v>
      </c>
      <c r="EN10" s="60">
        <f t="shared" si="91"/>
        <v>0</v>
      </c>
      <c r="EO10" s="60">
        <f t="shared" si="91"/>
        <v>0</v>
      </c>
      <c r="EP10" s="60">
        <f t="shared" si="91"/>
        <v>0</v>
      </c>
      <c r="EQ10" s="60">
        <f t="shared" si="91"/>
        <v>0</v>
      </c>
      <c r="ER10" s="60"/>
      <c r="ES10" s="60" t="s">
        <v>37</v>
      </c>
      <c r="ET10" s="60">
        <f t="shared" ref="ET10:FB10" si="92">B65</f>
        <v>0</v>
      </c>
      <c r="EU10" s="60">
        <f t="shared" si="92"/>
        <v>0</v>
      </c>
      <c r="EV10" s="60">
        <f t="shared" si="92"/>
        <v>0</v>
      </c>
      <c r="EW10" s="60">
        <f t="shared" si="92"/>
        <v>0</v>
      </c>
      <c r="EX10" s="60">
        <f t="shared" si="92"/>
        <v>0</v>
      </c>
      <c r="EY10" s="60">
        <f t="shared" si="92"/>
        <v>0</v>
      </c>
      <c r="EZ10" s="60">
        <f t="shared" si="92"/>
        <v>0</v>
      </c>
      <c r="FA10" s="60">
        <f t="shared" si="92"/>
        <v>0</v>
      </c>
      <c r="FB10" s="60">
        <f t="shared" si="92"/>
        <v>0</v>
      </c>
      <c r="FC10" s="60"/>
      <c r="FD10" s="60" t="s">
        <v>37</v>
      </c>
      <c r="FE10" s="60">
        <f t="shared" ref="FE10:FM10" si="93">B65</f>
        <v>0</v>
      </c>
      <c r="FF10" s="60">
        <f t="shared" si="93"/>
        <v>0</v>
      </c>
      <c r="FG10" s="60">
        <f t="shared" si="93"/>
        <v>0</v>
      </c>
      <c r="FH10" s="60">
        <f t="shared" si="93"/>
        <v>0</v>
      </c>
      <c r="FI10" s="60">
        <f t="shared" si="93"/>
        <v>0</v>
      </c>
      <c r="FJ10" s="60">
        <f t="shared" si="93"/>
        <v>0</v>
      </c>
      <c r="FK10" s="60">
        <f t="shared" si="93"/>
        <v>0</v>
      </c>
      <c r="FL10" s="60">
        <f t="shared" si="93"/>
        <v>0</v>
      </c>
      <c r="FM10" s="60">
        <f t="shared" si="93"/>
        <v>0</v>
      </c>
      <c r="FN10" s="60"/>
      <c r="FO10" s="60" t="s">
        <v>225</v>
      </c>
      <c r="FP10" s="60">
        <f t="shared" ref="FP10:FW10" si="94">B65-KR43+KR49</f>
        <v>0</v>
      </c>
      <c r="FQ10" s="60">
        <f t="shared" si="94"/>
        <v>0</v>
      </c>
      <c r="FR10" s="60">
        <f t="shared" si="94"/>
        <v>0</v>
      </c>
      <c r="FS10" s="60">
        <f t="shared" si="94"/>
        <v>0</v>
      </c>
      <c r="FT10" s="60">
        <f t="shared" si="94"/>
        <v>0</v>
      </c>
      <c r="FU10" s="60">
        <f t="shared" si="94"/>
        <v>0</v>
      </c>
      <c r="FV10" s="60">
        <f t="shared" si="94"/>
        <v>0</v>
      </c>
      <c r="FW10" s="60">
        <f t="shared" si="94"/>
        <v>0</v>
      </c>
      <c r="FX10" s="60">
        <f>J65-LA43+LA49</f>
        <v>0</v>
      </c>
      <c r="FY10" s="60"/>
      <c r="FZ10" s="60" t="s">
        <v>37</v>
      </c>
      <c r="GA10" s="60">
        <f t="shared" ref="GA10:GI10" si="95">B80</f>
        <v>0</v>
      </c>
      <c r="GB10" s="60">
        <f t="shared" si="95"/>
        <v>0</v>
      </c>
      <c r="GC10" s="60">
        <f t="shared" si="95"/>
        <v>0</v>
      </c>
      <c r="GD10" s="60">
        <f t="shared" si="95"/>
        <v>0</v>
      </c>
      <c r="GE10" s="60">
        <f t="shared" si="95"/>
        <v>0</v>
      </c>
      <c r="GF10" s="60">
        <f t="shared" si="95"/>
        <v>0</v>
      </c>
      <c r="GG10" s="60">
        <f t="shared" si="95"/>
        <v>0</v>
      </c>
      <c r="GH10" s="60">
        <f t="shared" si="95"/>
        <v>0</v>
      </c>
      <c r="GI10" s="60" t="e">
        <f t="shared" si="95"/>
        <v>#VALUE!</v>
      </c>
      <c r="GJ10" s="60"/>
      <c r="GK10" s="60" t="s">
        <v>37</v>
      </c>
      <c r="GL10" s="60"/>
      <c r="GM10" s="60"/>
      <c r="GN10" s="60"/>
      <c r="GO10" s="60"/>
      <c r="GP10" s="60"/>
      <c r="GQ10" s="60"/>
      <c r="GR10" s="60"/>
      <c r="GS10" s="60"/>
      <c r="GT10" s="60"/>
      <c r="GU10" s="60"/>
      <c r="GV10" s="60" t="s">
        <v>37</v>
      </c>
      <c r="GW10" s="60"/>
      <c r="GX10" s="60"/>
      <c r="GY10" s="60"/>
      <c r="GZ10" s="60"/>
      <c r="HA10" s="60"/>
      <c r="HB10" s="60"/>
      <c r="HC10" s="60"/>
      <c r="HD10" s="60"/>
      <c r="HE10" s="60"/>
      <c r="HF10" s="60"/>
      <c r="HG10" s="60" t="s">
        <v>37</v>
      </c>
      <c r="HH10" s="60"/>
      <c r="HI10" s="60"/>
      <c r="HJ10" s="60"/>
      <c r="HK10" s="60"/>
      <c r="HL10" s="60"/>
      <c r="HM10" s="60"/>
      <c r="HN10" s="60"/>
      <c r="HO10" s="60"/>
      <c r="HP10" s="60"/>
      <c r="HQ10" s="60"/>
      <c r="HR10" s="60" t="s">
        <v>37</v>
      </c>
      <c r="HS10" s="60"/>
      <c r="HT10" s="60"/>
      <c r="HU10" s="60"/>
      <c r="HV10" s="60"/>
      <c r="HW10" s="60"/>
      <c r="HX10" s="60"/>
      <c r="HY10" s="60"/>
      <c r="HZ10" s="60"/>
      <c r="IA10" s="60"/>
      <c r="IB10" s="60"/>
      <c r="IC10" s="60" t="s">
        <v>37</v>
      </c>
      <c r="ID10" s="60"/>
      <c r="IE10" s="60"/>
      <c r="IF10" s="60"/>
      <c r="IG10" s="60"/>
      <c r="IH10" s="60"/>
      <c r="II10" s="60"/>
      <c r="IJ10" s="60"/>
      <c r="IK10" s="60"/>
      <c r="IL10" s="60"/>
      <c r="IM10" s="60"/>
      <c r="IN10" t="s">
        <v>224</v>
      </c>
      <c r="IX10" s="60"/>
      <c r="IY10" t="s">
        <v>224</v>
      </c>
      <c r="JI10" s="60"/>
      <c r="JJ10" t="s">
        <v>224</v>
      </c>
      <c r="JT10" s="60"/>
      <c r="JU10" s="60" t="s">
        <v>37</v>
      </c>
      <c r="JV10" s="60">
        <f t="shared" ref="JV10:KD10" si="96">B65</f>
        <v>0</v>
      </c>
      <c r="JW10" s="60">
        <f t="shared" si="96"/>
        <v>0</v>
      </c>
      <c r="JX10" s="60">
        <f t="shared" si="96"/>
        <v>0</v>
      </c>
      <c r="JY10" s="60">
        <f t="shared" si="96"/>
        <v>0</v>
      </c>
      <c r="JZ10" s="60">
        <f t="shared" si="96"/>
        <v>0</v>
      </c>
      <c r="KA10" s="60">
        <f t="shared" si="96"/>
        <v>0</v>
      </c>
      <c r="KB10" s="60">
        <f t="shared" si="96"/>
        <v>0</v>
      </c>
      <c r="KC10" s="60">
        <f t="shared" si="96"/>
        <v>0</v>
      </c>
      <c r="KD10" s="60">
        <f t="shared" si="96"/>
        <v>0</v>
      </c>
      <c r="KE10" s="60"/>
      <c r="KF10" s="60" t="s">
        <v>37</v>
      </c>
      <c r="KG10" s="60">
        <f t="shared" ref="KG10:KO10" si="97">B65</f>
        <v>0</v>
      </c>
      <c r="KH10" s="60">
        <f t="shared" si="97"/>
        <v>0</v>
      </c>
      <c r="KI10" s="60">
        <f t="shared" si="97"/>
        <v>0</v>
      </c>
      <c r="KJ10" s="60">
        <f t="shared" si="97"/>
        <v>0</v>
      </c>
      <c r="KK10" s="60">
        <f t="shared" si="97"/>
        <v>0</v>
      </c>
      <c r="KL10" s="60">
        <f t="shared" si="97"/>
        <v>0</v>
      </c>
      <c r="KM10" s="60">
        <f t="shared" si="97"/>
        <v>0</v>
      </c>
      <c r="KN10" s="60">
        <f t="shared" si="97"/>
        <v>0</v>
      </c>
      <c r="KO10" s="60">
        <f t="shared" si="97"/>
        <v>0</v>
      </c>
      <c r="KP10" s="60"/>
      <c r="LB10" s="60" t="s">
        <v>37</v>
      </c>
      <c r="LC10" s="60">
        <f t="shared" ref="LC10:LK10" si="98">B65</f>
        <v>0</v>
      </c>
      <c r="LD10" s="60">
        <f t="shared" si="98"/>
        <v>0</v>
      </c>
      <c r="LE10" s="60">
        <f t="shared" si="98"/>
        <v>0</v>
      </c>
      <c r="LF10" s="60">
        <f t="shared" si="98"/>
        <v>0</v>
      </c>
      <c r="LG10" s="60">
        <f t="shared" si="98"/>
        <v>0</v>
      </c>
      <c r="LH10" s="60">
        <f t="shared" si="98"/>
        <v>0</v>
      </c>
      <c r="LI10" s="60">
        <f t="shared" si="98"/>
        <v>0</v>
      </c>
      <c r="LJ10" s="60">
        <f t="shared" si="98"/>
        <v>0</v>
      </c>
      <c r="LK10" s="60">
        <f t="shared" si="98"/>
        <v>0</v>
      </c>
      <c r="LL10" s="60"/>
      <c r="LM10" t="s">
        <v>224</v>
      </c>
      <c r="LN10" s="60"/>
      <c r="LO10" s="60"/>
      <c r="LP10" s="60"/>
      <c r="LQ10" s="60"/>
      <c r="LR10" s="60"/>
      <c r="LS10" s="60"/>
      <c r="LT10" s="60"/>
      <c r="LU10" s="60"/>
      <c r="LV10" s="60"/>
      <c r="LW10" s="60"/>
      <c r="LX10" s="60" t="s">
        <v>37</v>
      </c>
      <c r="LY10" s="60"/>
      <c r="LZ10" s="60"/>
      <c r="MA10" s="60"/>
      <c r="MB10" s="60"/>
      <c r="MC10" s="60"/>
      <c r="MD10" s="60"/>
      <c r="ME10" s="60"/>
      <c r="MF10" s="60"/>
      <c r="MG10" s="60"/>
      <c r="MH10" s="60"/>
      <c r="MI10" s="60" t="s">
        <v>37</v>
      </c>
      <c r="MJ10" s="60"/>
      <c r="MK10" s="60"/>
      <c r="ML10" s="60"/>
      <c r="MM10" s="60"/>
      <c r="MN10" s="60"/>
      <c r="MO10" s="60"/>
      <c r="MP10" s="60"/>
      <c r="MQ10" s="60"/>
      <c r="MR10" s="60"/>
      <c r="MS10" s="60"/>
      <c r="MT10" s="60" t="s">
        <v>225</v>
      </c>
      <c r="MU10" s="60">
        <f t="shared" ref="MU10:NC10" si="99">B65</f>
        <v>0</v>
      </c>
      <c r="MV10" s="60">
        <f t="shared" si="99"/>
        <v>0</v>
      </c>
      <c r="MW10" s="60">
        <f t="shared" si="99"/>
        <v>0</v>
      </c>
      <c r="MX10" s="60">
        <f t="shared" si="99"/>
        <v>0</v>
      </c>
      <c r="MY10" s="60">
        <f t="shared" si="99"/>
        <v>0</v>
      </c>
      <c r="MZ10" s="60">
        <f t="shared" si="99"/>
        <v>0</v>
      </c>
      <c r="NA10" s="60">
        <f t="shared" si="99"/>
        <v>0</v>
      </c>
      <c r="NB10" s="60">
        <f t="shared" si="99"/>
        <v>0</v>
      </c>
      <c r="NC10" s="60">
        <f t="shared" si="99"/>
        <v>0</v>
      </c>
      <c r="ND10" s="60"/>
      <c r="NE10" s="60" t="s">
        <v>37</v>
      </c>
      <c r="NF10" s="60"/>
      <c r="NG10" s="60"/>
      <c r="NH10" s="60"/>
      <c r="NI10" s="60"/>
      <c r="NJ10" s="60"/>
      <c r="NK10" s="60"/>
      <c r="NL10" s="60"/>
      <c r="NM10" s="60"/>
      <c r="NN10" s="60"/>
      <c r="NO10" s="60"/>
      <c r="NP10" t="s">
        <v>224</v>
      </c>
      <c r="NQ10" s="60"/>
      <c r="NR10" s="60"/>
      <c r="NS10" s="60"/>
      <c r="NT10" s="60"/>
      <c r="NU10" s="60"/>
      <c r="NV10" s="60"/>
      <c r="NW10" s="60"/>
      <c r="NX10" s="60"/>
      <c r="NY10" s="60"/>
      <c r="NZ10" s="60"/>
      <c r="OA10" s="60" t="s">
        <v>225</v>
      </c>
      <c r="OB10" s="60">
        <f t="shared" ref="OB10:OJ10" si="100">B65</f>
        <v>0</v>
      </c>
      <c r="OC10" s="60">
        <f t="shared" si="100"/>
        <v>0</v>
      </c>
      <c r="OD10" s="60">
        <f t="shared" si="100"/>
        <v>0</v>
      </c>
      <c r="OE10" s="60">
        <f t="shared" si="100"/>
        <v>0</v>
      </c>
      <c r="OF10" s="60">
        <f t="shared" si="100"/>
        <v>0</v>
      </c>
      <c r="OG10" s="60">
        <f t="shared" si="100"/>
        <v>0</v>
      </c>
      <c r="OH10" s="60">
        <f t="shared" si="100"/>
        <v>0</v>
      </c>
      <c r="OI10" s="60">
        <f t="shared" si="100"/>
        <v>0</v>
      </c>
      <c r="OJ10" s="60">
        <f t="shared" si="100"/>
        <v>0</v>
      </c>
      <c r="OK10" s="60"/>
      <c r="OL10" s="60" t="s">
        <v>225</v>
      </c>
      <c r="OM10" s="60">
        <f t="shared" ref="OM10:OU10" si="101">B65</f>
        <v>0</v>
      </c>
      <c r="ON10" s="60">
        <f t="shared" si="101"/>
        <v>0</v>
      </c>
      <c r="OO10" s="60">
        <f t="shared" si="101"/>
        <v>0</v>
      </c>
      <c r="OP10" s="60">
        <f t="shared" si="101"/>
        <v>0</v>
      </c>
      <c r="OQ10" s="60">
        <f t="shared" si="101"/>
        <v>0</v>
      </c>
      <c r="OR10" s="60">
        <f t="shared" si="101"/>
        <v>0</v>
      </c>
      <c r="OS10" s="60">
        <f t="shared" si="101"/>
        <v>0</v>
      </c>
      <c r="OT10" s="60">
        <f t="shared" si="101"/>
        <v>0</v>
      </c>
      <c r="OU10" s="60">
        <f t="shared" si="101"/>
        <v>0</v>
      </c>
      <c r="OV10" s="60"/>
      <c r="OW10" s="60" t="s">
        <v>37</v>
      </c>
      <c r="OX10" s="60">
        <f t="shared" ref="OX10:PF10" si="102">B65</f>
        <v>0</v>
      </c>
      <c r="OY10" s="60">
        <f t="shared" si="102"/>
        <v>0</v>
      </c>
      <c r="OZ10" s="60">
        <f t="shared" si="102"/>
        <v>0</v>
      </c>
      <c r="PA10" s="60">
        <f t="shared" si="102"/>
        <v>0</v>
      </c>
      <c r="PB10" s="60">
        <f t="shared" si="102"/>
        <v>0</v>
      </c>
      <c r="PC10" s="60">
        <f t="shared" si="102"/>
        <v>0</v>
      </c>
      <c r="PD10" s="60">
        <f t="shared" si="102"/>
        <v>0</v>
      </c>
      <c r="PE10" s="60">
        <f t="shared" si="102"/>
        <v>0</v>
      </c>
      <c r="PF10" s="60">
        <f t="shared" si="102"/>
        <v>0</v>
      </c>
      <c r="PG10" s="60"/>
      <c r="PH10" s="60" t="s">
        <v>37</v>
      </c>
      <c r="PI10" s="60">
        <f t="shared" ref="PI10:PQ10" si="103">B65</f>
        <v>0</v>
      </c>
      <c r="PJ10" s="60">
        <f t="shared" si="103"/>
        <v>0</v>
      </c>
      <c r="PK10" s="60">
        <f t="shared" si="103"/>
        <v>0</v>
      </c>
      <c r="PL10" s="60">
        <f t="shared" si="103"/>
        <v>0</v>
      </c>
      <c r="PM10" s="60">
        <f t="shared" si="103"/>
        <v>0</v>
      </c>
      <c r="PN10" s="60">
        <f t="shared" si="103"/>
        <v>0</v>
      </c>
      <c r="PO10" s="60">
        <f t="shared" si="103"/>
        <v>0</v>
      </c>
      <c r="PP10" s="60">
        <f t="shared" si="103"/>
        <v>0</v>
      </c>
      <c r="PQ10" s="60">
        <f t="shared" si="103"/>
        <v>0</v>
      </c>
      <c r="PR10" s="60"/>
      <c r="PS10" t="s">
        <v>224</v>
      </c>
      <c r="PT10" s="60"/>
      <c r="PU10" s="60"/>
      <c r="PV10" s="60"/>
      <c r="PW10" s="60"/>
      <c r="PX10" s="60"/>
      <c r="PY10" s="60"/>
      <c r="PZ10" s="60"/>
      <c r="QA10" s="60"/>
      <c r="QB10" s="60"/>
      <c r="QC10" s="60"/>
      <c r="QD10" s="60" t="s">
        <v>37</v>
      </c>
      <c r="QE10" s="60">
        <f t="shared" ref="QE10:QM10" si="104">B65</f>
        <v>0</v>
      </c>
      <c r="QF10" s="60">
        <f t="shared" si="104"/>
        <v>0</v>
      </c>
      <c r="QG10" s="60">
        <f t="shared" si="104"/>
        <v>0</v>
      </c>
      <c r="QH10" s="60">
        <f t="shared" si="104"/>
        <v>0</v>
      </c>
      <c r="QI10" s="60">
        <f t="shared" si="104"/>
        <v>0</v>
      </c>
      <c r="QJ10" s="60">
        <f t="shared" si="104"/>
        <v>0</v>
      </c>
      <c r="QK10" s="60">
        <f t="shared" si="104"/>
        <v>0</v>
      </c>
      <c r="QL10" s="60">
        <f t="shared" si="104"/>
        <v>0</v>
      </c>
      <c r="QM10" s="60">
        <f t="shared" si="104"/>
        <v>0</v>
      </c>
      <c r="QN10" s="60"/>
      <c r="QO10" s="60" t="s">
        <v>37</v>
      </c>
      <c r="QP10" s="60">
        <f t="shared" ref="QP10:QX10" si="105">B65</f>
        <v>0</v>
      </c>
      <c r="QQ10" s="60">
        <f t="shared" si="105"/>
        <v>0</v>
      </c>
      <c r="QR10" s="60">
        <f t="shared" si="105"/>
        <v>0</v>
      </c>
      <c r="QS10" s="60">
        <f t="shared" si="105"/>
        <v>0</v>
      </c>
      <c r="QT10" s="60">
        <f t="shared" si="105"/>
        <v>0</v>
      </c>
      <c r="QU10" s="60">
        <f t="shared" si="105"/>
        <v>0</v>
      </c>
      <c r="QV10" s="60">
        <f t="shared" si="105"/>
        <v>0</v>
      </c>
      <c r="QW10" s="60">
        <f t="shared" si="105"/>
        <v>0</v>
      </c>
      <c r="QX10" s="60">
        <f t="shared" si="105"/>
        <v>0</v>
      </c>
      <c r="QY10" s="60"/>
      <c r="QZ10" s="60" t="s">
        <v>37</v>
      </c>
      <c r="RA10" s="60">
        <f t="shared" ref="RA10:RI10" si="106">B80</f>
        <v>0</v>
      </c>
      <c r="RB10" s="60">
        <f t="shared" si="106"/>
        <v>0</v>
      </c>
      <c r="RC10" s="60">
        <f t="shared" si="106"/>
        <v>0</v>
      </c>
      <c r="RD10" s="60">
        <f t="shared" si="106"/>
        <v>0</v>
      </c>
      <c r="RE10" s="60">
        <f t="shared" si="106"/>
        <v>0</v>
      </c>
      <c r="RF10" s="60">
        <f t="shared" si="106"/>
        <v>0</v>
      </c>
      <c r="RG10" s="60">
        <f t="shared" si="106"/>
        <v>0</v>
      </c>
      <c r="RH10" s="60">
        <f t="shared" si="106"/>
        <v>0</v>
      </c>
      <c r="RI10" s="60" t="e">
        <f t="shared" si="106"/>
        <v>#VALUE!</v>
      </c>
      <c r="RJ10" s="60"/>
      <c r="RK10" s="60" t="s">
        <v>37</v>
      </c>
      <c r="RL10" s="60"/>
      <c r="RM10" s="60"/>
      <c r="RN10" s="60"/>
      <c r="RO10" s="60"/>
      <c r="RP10" s="60"/>
      <c r="RQ10" s="60"/>
      <c r="RR10" s="60"/>
      <c r="RS10" s="60"/>
      <c r="RT10" s="60"/>
      <c r="RU10" s="60"/>
      <c r="RV10" s="60" t="s">
        <v>37</v>
      </c>
      <c r="RW10" s="60"/>
      <c r="RX10" s="60"/>
      <c r="RY10" s="60"/>
      <c r="RZ10" s="60"/>
      <c r="SA10" s="60"/>
      <c r="SB10" s="60"/>
      <c r="SC10" s="60"/>
      <c r="SD10" s="60"/>
      <c r="SE10" s="60"/>
      <c r="SF10" s="60"/>
      <c r="SG10" s="60" t="s">
        <v>37</v>
      </c>
      <c r="SH10" s="60"/>
      <c r="SI10" s="60"/>
      <c r="SJ10" s="60"/>
      <c r="SK10" s="60"/>
      <c r="SL10" s="60"/>
      <c r="SM10" s="60"/>
      <c r="SN10" s="60"/>
      <c r="SO10" s="60"/>
      <c r="SP10" s="60"/>
      <c r="SQ10" s="60"/>
      <c r="SR10" s="60" t="s">
        <v>225</v>
      </c>
      <c r="SS10" s="60">
        <f t="shared" ref="SS10:TA10" si="107">B65</f>
        <v>0</v>
      </c>
      <c r="ST10" s="60">
        <f t="shared" si="107"/>
        <v>0</v>
      </c>
      <c r="SU10" s="60">
        <f t="shared" si="107"/>
        <v>0</v>
      </c>
      <c r="SV10" s="60">
        <f t="shared" si="107"/>
        <v>0</v>
      </c>
      <c r="SW10" s="60">
        <f t="shared" si="107"/>
        <v>0</v>
      </c>
      <c r="SX10" s="60">
        <f t="shared" si="107"/>
        <v>0</v>
      </c>
      <c r="SY10" s="60">
        <f t="shared" si="107"/>
        <v>0</v>
      </c>
      <c r="SZ10" s="60">
        <f t="shared" si="107"/>
        <v>0</v>
      </c>
      <c r="TA10" s="60">
        <f t="shared" si="107"/>
        <v>0</v>
      </c>
      <c r="TB10" s="60"/>
      <c r="TC10" s="60" t="s">
        <v>225</v>
      </c>
      <c r="TD10" s="60">
        <f t="shared" ref="TD10:TL10" si="108">B65</f>
        <v>0</v>
      </c>
      <c r="TE10" s="60">
        <f t="shared" si="108"/>
        <v>0</v>
      </c>
      <c r="TF10" s="60">
        <f t="shared" si="108"/>
        <v>0</v>
      </c>
      <c r="TG10" s="60">
        <f t="shared" si="108"/>
        <v>0</v>
      </c>
      <c r="TH10" s="60">
        <f t="shared" si="108"/>
        <v>0</v>
      </c>
      <c r="TI10" s="60">
        <f t="shared" si="108"/>
        <v>0</v>
      </c>
      <c r="TJ10" s="60">
        <f t="shared" si="108"/>
        <v>0</v>
      </c>
      <c r="TK10" s="60">
        <f t="shared" si="108"/>
        <v>0</v>
      </c>
      <c r="TL10" s="60">
        <f t="shared" si="108"/>
        <v>0</v>
      </c>
      <c r="TM10" s="60"/>
      <c r="TN10" s="60" t="s">
        <v>225</v>
      </c>
      <c r="TO10" s="60">
        <f t="shared" ref="TO10:TW10" si="109">B65</f>
        <v>0</v>
      </c>
      <c r="TP10" s="60">
        <f t="shared" si="109"/>
        <v>0</v>
      </c>
      <c r="TQ10" s="60">
        <f t="shared" si="109"/>
        <v>0</v>
      </c>
      <c r="TR10" s="60">
        <f t="shared" si="109"/>
        <v>0</v>
      </c>
      <c r="TS10" s="60">
        <f t="shared" si="109"/>
        <v>0</v>
      </c>
      <c r="TT10" s="60">
        <f t="shared" si="109"/>
        <v>0</v>
      </c>
      <c r="TU10" s="60">
        <f t="shared" si="109"/>
        <v>0</v>
      </c>
      <c r="TV10" s="60">
        <f t="shared" si="109"/>
        <v>0</v>
      </c>
      <c r="TW10" s="60">
        <f t="shared" si="109"/>
        <v>0</v>
      </c>
      <c r="TX10" s="60"/>
      <c r="TY10" s="60" t="s">
        <v>37</v>
      </c>
      <c r="TZ10" s="60"/>
      <c r="UA10" s="60"/>
      <c r="UB10" s="60"/>
      <c r="UC10" s="60"/>
      <c r="UD10" s="60"/>
      <c r="UE10" s="60"/>
      <c r="UF10" s="60"/>
      <c r="UG10" s="60"/>
      <c r="UH10" s="60"/>
      <c r="UI10" s="60"/>
      <c r="UJ10" s="60" t="s">
        <v>225</v>
      </c>
      <c r="UK10" s="60">
        <f t="shared" ref="UK10:US10" si="110">B65</f>
        <v>0</v>
      </c>
      <c r="UL10" s="60">
        <f t="shared" si="110"/>
        <v>0</v>
      </c>
      <c r="UM10" s="60">
        <f t="shared" si="110"/>
        <v>0</v>
      </c>
      <c r="UN10" s="60">
        <f t="shared" si="110"/>
        <v>0</v>
      </c>
      <c r="UO10" s="60">
        <f t="shared" si="110"/>
        <v>0</v>
      </c>
      <c r="UP10" s="60">
        <f t="shared" si="110"/>
        <v>0</v>
      </c>
      <c r="UQ10" s="60">
        <f t="shared" si="110"/>
        <v>0</v>
      </c>
      <c r="UR10" s="60">
        <f t="shared" si="110"/>
        <v>0</v>
      </c>
      <c r="US10" s="60">
        <f t="shared" si="110"/>
        <v>0</v>
      </c>
      <c r="UT10" s="60"/>
      <c r="UU10" s="60" t="s">
        <v>27</v>
      </c>
      <c r="UV10" s="60"/>
      <c r="UW10" s="60"/>
      <c r="UX10" s="60"/>
      <c r="UY10" s="60"/>
      <c r="UZ10" s="60"/>
      <c r="VA10" s="60"/>
      <c r="VB10" s="60"/>
      <c r="VC10" s="60"/>
      <c r="VD10" s="60"/>
      <c r="VE10" s="60"/>
      <c r="VF10" s="60" t="s">
        <v>37</v>
      </c>
      <c r="VG10" s="60"/>
      <c r="VH10" s="60"/>
      <c r="VI10" s="60"/>
      <c r="VJ10" s="60"/>
      <c r="VK10" s="60"/>
      <c r="VL10" s="60"/>
      <c r="VM10" s="60"/>
      <c r="VN10" s="60"/>
      <c r="VO10" s="60"/>
      <c r="VT10" s="59">
        <v>0</v>
      </c>
    </row>
    <row r="11" spans="1:592" ht="15.75" thickBot="1" x14ac:dyDescent="0.3">
      <c r="A11" s="308" t="s">
        <v>550</v>
      </c>
      <c r="B11" s="39">
        <v>0</v>
      </c>
      <c r="C11" s="47"/>
      <c r="D11" s="39"/>
      <c r="E11" s="47"/>
      <c r="F11" s="47"/>
      <c r="G11" s="47"/>
      <c r="H11" s="47"/>
      <c r="I11" s="47"/>
      <c r="J11" s="47"/>
      <c r="K11" s="47"/>
      <c r="Q11" s="69"/>
      <c r="R11" s="70"/>
      <c r="S11" s="71">
        <v>2</v>
      </c>
      <c r="T11" s="72">
        <v>350</v>
      </c>
      <c r="U11" s="73">
        <f>S11*T11</f>
        <v>700</v>
      </c>
      <c r="AM11" t="s">
        <v>224</v>
      </c>
      <c r="AX11" t="s">
        <v>224</v>
      </c>
      <c r="BI11" t="s">
        <v>224</v>
      </c>
      <c r="BT11" t="s">
        <v>224</v>
      </c>
      <c r="CE11" t="s">
        <v>224</v>
      </c>
      <c r="CP11" t="s">
        <v>224</v>
      </c>
      <c r="DA11" t="s">
        <v>224</v>
      </c>
      <c r="DB11" s="6">
        <f t="shared" ref="DB11:DJ11" si="111">B30</f>
        <v>0</v>
      </c>
      <c r="DC11" s="6">
        <f t="shared" si="111"/>
        <v>0</v>
      </c>
      <c r="DD11" s="6">
        <f t="shared" si="111"/>
        <v>0</v>
      </c>
      <c r="DE11" s="6">
        <f t="shared" si="111"/>
        <v>0</v>
      </c>
      <c r="DF11" s="6">
        <f t="shared" si="111"/>
        <v>0</v>
      </c>
      <c r="DG11" s="6">
        <f t="shared" si="111"/>
        <v>0</v>
      </c>
      <c r="DH11" s="6">
        <f t="shared" si="111"/>
        <v>0</v>
      </c>
      <c r="DI11" s="6">
        <f t="shared" si="111"/>
        <v>0</v>
      </c>
      <c r="DJ11" s="6">
        <f t="shared" si="111"/>
        <v>0</v>
      </c>
      <c r="DL11" t="s">
        <v>224</v>
      </c>
      <c r="DW11" t="s">
        <v>224</v>
      </c>
      <c r="EH11" t="s">
        <v>224</v>
      </c>
      <c r="ES11" t="s">
        <v>224</v>
      </c>
      <c r="FD11" t="s">
        <v>224</v>
      </c>
      <c r="FO11" t="s">
        <v>224</v>
      </c>
      <c r="FP11" s="60"/>
      <c r="FQ11" s="60"/>
      <c r="FR11" s="60"/>
      <c r="FS11" s="60"/>
      <c r="FT11" s="60"/>
      <c r="FU11" s="60"/>
      <c r="FV11" s="60"/>
      <c r="FW11" s="60"/>
      <c r="FX11" s="60"/>
      <c r="FY11" s="60"/>
      <c r="FZ11" t="s">
        <v>224</v>
      </c>
      <c r="GK11" t="s">
        <v>224</v>
      </c>
      <c r="GV11" t="s">
        <v>224</v>
      </c>
      <c r="HG11" t="s">
        <v>224</v>
      </c>
      <c r="HR11" t="s">
        <v>224</v>
      </c>
      <c r="IC11" t="s">
        <v>224</v>
      </c>
      <c r="IN11" s="60" t="s">
        <v>27</v>
      </c>
      <c r="IO11" s="60"/>
      <c r="IP11" s="60"/>
      <c r="IQ11" s="60"/>
      <c r="IR11" s="60"/>
      <c r="IS11" s="60"/>
      <c r="IT11" s="60"/>
      <c r="IU11" s="60"/>
      <c r="IV11" s="60"/>
      <c r="IW11" s="60"/>
      <c r="IY11" s="60" t="s">
        <v>27</v>
      </c>
      <c r="IZ11" s="60"/>
      <c r="JA11" s="60"/>
      <c r="JB11" s="60"/>
      <c r="JC11" s="60"/>
      <c r="JD11" s="60"/>
      <c r="JE11" s="60"/>
      <c r="JF11" s="60"/>
      <c r="JG11" s="60"/>
      <c r="JH11" s="60"/>
      <c r="JJ11" s="60" t="s">
        <v>27</v>
      </c>
      <c r="JK11" s="60"/>
      <c r="JL11" s="60"/>
      <c r="JM11" s="60"/>
      <c r="JN11" s="60"/>
      <c r="JO11" s="60"/>
      <c r="JP11" s="60"/>
      <c r="JQ11" s="60"/>
      <c r="JR11" s="60"/>
      <c r="JS11" s="60"/>
      <c r="JU11" t="s">
        <v>224</v>
      </c>
      <c r="KF11" t="s">
        <v>224</v>
      </c>
      <c r="LB11" t="s">
        <v>224</v>
      </c>
      <c r="LM11" s="60" t="s">
        <v>27</v>
      </c>
      <c r="LX11" t="s">
        <v>224</v>
      </c>
      <c r="MI11" t="s">
        <v>224</v>
      </c>
      <c r="MT11" t="s">
        <v>224</v>
      </c>
      <c r="NE11" t="s">
        <v>224</v>
      </c>
      <c r="NP11" s="60" t="s">
        <v>27</v>
      </c>
      <c r="NQ11" s="60"/>
      <c r="NR11" s="60"/>
      <c r="NS11" s="60"/>
      <c r="NT11" s="60"/>
      <c r="NU11" s="60"/>
      <c r="NV11" s="60"/>
      <c r="NW11" s="60"/>
      <c r="NX11" s="60"/>
      <c r="NY11" s="60"/>
      <c r="NZ11" s="60"/>
      <c r="OA11" t="s">
        <v>224</v>
      </c>
      <c r="OL11" t="s">
        <v>224</v>
      </c>
      <c r="OW11" t="s">
        <v>224</v>
      </c>
      <c r="PH11" t="s">
        <v>224</v>
      </c>
      <c r="PS11" s="60" t="s">
        <v>329</v>
      </c>
      <c r="PT11" t="e">
        <f>(CHOOSE(MATCH(B2, {"Single","MFJ","MFS","HOH","QW"}, 0), 1, 2, 1, 1, 1) +  $B$15)* (CHOOSE(MATCH(B1, {2022,2023,2024}, 0), 219, 236, 249))</f>
        <v>#N/A</v>
      </c>
      <c r="PU11" t="e">
        <f>(CHOOSE(MATCH(C2, {"Single","MFJ","MFS","HOH","QW"}, 0), 1, 2, 1, 1, 1) +  $B$15)* (CHOOSE(MATCH(C1, {2022,2023,2024}, 0), 219, 236, 249))</f>
        <v>#N/A</v>
      </c>
      <c r="PV11" t="e">
        <f>(CHOOSE(MATCH(D2, {"Single","MFJ","MFS","HOH","QW"}, 0), 1, 2, 1, 1, 1) +  $B$15)* (CHOOSE(MATCH(D1, {2022,2023,2024}, 0), 219, 236, 249))</f>
        <v>#N/A</v>
      </c>
      <c r="PW11" t="e">
        <f>(CHOOSE(MATCH(E2, {"Single","MFJ","MFS","HOH","QW"}, 0), 1, 2, 1, 1, 1) +  $B$15)* (CHOOSE(MATCH(E1, {2022,2023,2024}, 0), 219, 236, 249))</f>
        <v>#N/A</v>
      </c>
      <c r="PX11" t="e">
        <f>(CHOOSE(MATCH(F2, {"Single","MFJ","MFS","HOH","QW"}, 0), 1, 2, 1, 1, 1) +  $B$15)* (CHOOSE(MATCH(F1, {2022,2023,2024}, 0), 219, 236, 249))</f>
        <v>#N/A</v>
      </c>
      <c r="PY11" t="e">
        <f>(CHOOSE(MATCH(G2, {"Single","MFJ","MFS","HOH","QW"}, 0), 1, 2, 1, 1, 1) +  $B$15)* (CHOOSE(MATCH(G1, {2022,2023,2024}, 0), 219, 236, 249))</f>
        <v>#N/A</v>
      </c>
      <c r="PZ11" t="e">
        <f>(CHOOSE(MATCH(H2, {"Single","MFJ","MFS","HOH","QW"}, 0), 1, 2, 1, 1, 1) +  $B$15)* (CHOOSE(MATCH(H1, {2022,2023,2024}, 0), 219, 236, 249))</f>
        <v>#N/A</v>
      </c>
      <c r="QA11" t="e">
        <f>(CHOOSE(MATCH(I2, {"Single","MFJ","MFS","HOH","QW"}, 0), 1, 2, 1, 1, 1) +  $B$15)* (CHOOSE(MATCH(I1, {2022,2023,2024}, 0), 219, 236, 249))</f>
        <v>#N/A</v>
      </c>
      <c r="QB11" t="e">
        <f>(CHOOSE(MATCH(J2, {"Single","MFJ","MFS","HOH","QW"}, 0), 1, 2, 1, 1, 1) +  $B$15)* (CHOOSE(MATCH(J1, {2022,2023,2024}, 0), 219, 236, 249))</f>
        <v>#N/A</v>
      </c>
      <c r="QD11" t="s">
        <v>224</v>
      </c>
      <c r="QO11" t="s">
        <v>224</v>
      </c>
      <c r="QZ11" t="s">
        <v>224</v>
      </c>
      <c r="RK11" t="s">
        <v>224</v>
      </c>
      <c r="RV11" t="s">
        <v>224</v>
      </c>
      <c r="SG11" t="s">
        <v>224</v>
      </c>
      <c r="SR11" t="s">
        <v>224</v>
      </c>
      <c r="TC11" t="s">
        <v>224</v>
      </c>
      <c r="TN11" t="s">
        <v>224</v>
      </c>
      <c r="TY11" t="s">
        <v>224</v>
      </c>
      <c r="UJ11" t="s">
        <v>224</v>
      </c>
      <c r="UU11" s="60" t="s">
        <v>96</v>
      </c>
      <c r="UV11" s="6">
        <f>UV8+UV9-UV10</f>
        <v>0</v>
      </c>
      <c r="UW11" s="6">
        <f t="shared" ref="UW11:VC11" si="112">UW8+UW9-UW10</f>
        <v>0</v>
      </c>
      <c r="UX11" s="6">
        <f t="shared" si="112"/>
        <v>0</v>
      </c>
      <c r="UY11" s="6">
        <f t="shared" si="112"/>
        <v>0</v>
      </c>
      <c r="UZ11" s="6">
        <f t="shared" si="112"/>
        <v>0</v>
      </c>
      <c r="VA11" s="6">
        <f t="shared" si="112"/>
        <v>0</v>
      </c>
      <c r="VB11" s="6">
        <f t="shared" si="112"/>
        <v>0</v>
      </c>
      <c r="VC11" s="6">
        <f t="shared" si="112"/>
        <v>0</v>
      </c>
      <c r="VD11" s="6">
        <f t="shared" ref="VD11" si="113">VD8+VD9-VD10</f>
        <v>0</v>
      </c>
      <c r="VF11" t="s">
        <v>224</v>
      </c>
      <c r="VG11" s="60"/>
      <c r="VH11" s="60"/>
      <c r="VI11" s="60"/>
      <c r="VJ11" s="60"/>
      <c r="VK11" s="60"/>
      <c r="VL11" s="60"/>
      <c r="VM11" s="60"/>
      <c r="VN11" s="60"/>
      <c r="VO11" s="60"/>
      <c r="VT11" s="59">
        <v>0</v>
      </c>
    </row>
    <row r="12" spans="1:592" ht="25.5" customHeight="1" x14ac:dyDescent="0.25">
      <c r="A12" s="308" t="s">
        <v>551</v>
      </c>
      <c r="B12" s="39">
        <v>0</v>
      </c>
      <c r="C12" s="2"/>
      <c r="D12" s="39"/>
      <c r="E12" s="47"/>
      <c r="F12" s="47"/>
      <c r="G12" s="47"/>
      <c r="H12" s="2"/>
      <c r="I12" s="2"/>
      <c r="J12" s="2"/>
      <c r="K12" s="47"/>
      <c r="Q12" s="74" t="s">
        <v>219</v>
      </c>
      <c r="R12" s="75"/>
      <c r="S12" s="76"/>
      <c r="T12" s="35"/>
      <c r="U12" s="21"/>
      <c r="AM12" t="s">
        <v>27</v>
      </c>
      <c r="AN12" s="60"/>
      <c r="AO12" s="60"/>
      <c r="AP12" s="60"/>
      <c r="AQ12" s="60"/>
      <c r="AR12" s="60"/>
      <c r="AS12" s="60"/>
      <c r="AT12" s="60"/>
      <c r="AU12" s="60"/>
      <c r="AV12" s="60"/>
      <c r="AW12" s="60"/>
      <c r="AX12" s="60" t="s">
        <v>27</v>
      </c>
      <c r="AY12" s="60"/>
      <c r="AZ12" s="60"/>
      <c r="BA12" s="60"/>
      <c r="BB12" s="60"/>
      <c r="BC12" s="60"/>
      <c r="BD12" s="60"/>
      <c r="BE12" s="60"/>
      <c r="BF12" s="60"/>
      <c r="BG12" s="60"/>
      <c r="BH12" s="60"/>
      <c r="BI12" s="60" t="s">
        <v>27</v>
      </c>
      <c r="BJ12" s="60"/>
      <c r="BK12" s="60"/>
      <c r="BL12" s="60"/>
      <c r="BM12" s="60"/>
      <c r="BN12" s="60"/>
      <c r="BO12" s="60"/>
      <c r="BP12" s="60"/>
      <c r="BQ12" s="60"/>
      <c r="BR12" s="60"/>
      <c r="BS12" s="60"/>
      <c r="BT12" s="60" t="s">
        <v>27</v>
      </c>
      <c r="BU12" s="60"/>
      <c r="BV12" s="60"/>
      <c r="BW12" s="60"/>
      <c r="BX12" s="60"/>
      <c r="BY12" s="60"/>
      <c r="BZ12" s="60"/>
      <c r="CA12" s="60"/>
      <c r="CB12" s="60"/>
      <c r="CC12" s="60"/>
      <c r="CD12" s="60"/>
      <c r="CE12" s="60" t="s">
        <v>27</v>
      </c>
      <c r="CF12" s="60" t="str">
        <f t="shared" ref="CF12:CN12" si="114">IF(B1=2022,
    IF(OR(B2="Single", B2="MFS"), 5202,
        IF(OR(B2="MFJ", B2="HOH", B2="QW"), 10404,
            "Invalid Filing Status")
    ),
    IF(B1=2023,
        IF(OR(B2="Single", B2="MFS"), 5363,
            IF(OR(B2="MFJ", B2="HOH", B2="QW"), 10726,
                "Invalid Filing Status")
        ),
        IF(B1=2024,
            IF(OR(B2="Single", B2="MFS"), 5363,
                IF(OR(B2="MFJ", B2="HOH", B2="QW"), 10726,
                    "Invalid Filing Status")
            ),
            "Invalid Year"
        )
    )
)</f>
        <v>Invalid Year</v>
      </c>
      <c r="CG12" s="60" t="str">
        <f t="shared" si="114"/>
        <v>Invalid Year</v>
      </c>
      <c r="CH12" s="60" t="str">
        <f t="shared" si="114"/>
        <v>Invalid Year</v>
      </c>
      <c r="CI12" s="60" t="str">
        <f t="shared" si="114"/>
        <v>Invalid Year</v>
      </c>
      <c r="CJ12" s="60" t="str">
        <f t="shared" si="114"/>
        <v>Invalid Year</v>
      </c>
      <c r="CK12" s="60" t="str">
        <f t="shared" si="114"/>
        <v>Invalid Year</v>
      </c>
      <c r="CL12" s="60" t="str">
        <f t="shared" si="114"/>
        <v>Invalid Year</v>
      </c>
      <c r="CM12" s="60" t="str">
        <f t="shared" si="114"/>
        <v>Invalid Year</v>
      </c>
      <c r="CN12" s="60" t="str">
        <f t="shared" si="114"/>
        <v>Invalid Year</v>
      </c>
      <c r="CO12" s="60"/>
      <c r="CP12" s="60" t="s">
        <v>27</v>
      </c>
      <c r="CQ12" s="60"/>
      <c r="CR12" s="60"/>
      <c r="CS12" s="60"/>
      <c r="CT12" s="60"/>
      <c r="CU12" s="60"/>
      <c r="CV12" s="60"/>
      <c r="CW12" s="60"/>
      <c r="CX12" s="60"/>
      <c r="CY12" s="60"/>
      <c r="CZ12" s="60"/>
      <c r="DA12" s="60" t="s">
        <v>27</v>
      </c>
      <c r="DB12" s="60"/>
      <c r="DC12" s="60"/>
      <c r="DD12" s="60"/>
      <c r="DE12" s="60"/>
      <c r="DF12" s="60"/>
      <c r="DG12" s="60"/>
      <c r="DH12" s="60"/>
      <c r="DI12" s="60"/>
      <c r="DJ12" s="60"/>
      <c r="DL12" s="60" t="s">
        <v>27</v>
      </c>
      <c r="DM12" s="60"/>
      <c r="DN12" s="60"/>
      <c r="DO12" s="60"/>
      <c r="DP12" s="60"/>
      <c r="DQ12" s="60"/>
      <c r="DR12" s="60"/>
      <c r="DS12" s="60"/>
      <c r="DT12" s="60"/>
      <c r="DU12" s="60"/>
      <c r="DV12" s="60"/>
      <c r="DW12" s="60" t="s">
        <v>27</v>
      </c>
      <c r="DX12" s="60"/>
      <c r="DY12" s="60"/>
      <c r="DZ12" s="60"/>
      <c r="EA12" s="60"/>
      <c r="EB12" s="60"/>
      <c r="EC12" s="60"/>
      <c r="ED12" s="60"/>
      <c r="EE12" s="60"/>
      <c r="EF12" s="60"/>
      <c r="EH12" s="60" t="s">
        <v>27</v>
      </c>
      <c r="EI12" s="60"/>
      <c r="EJ12" s="60"/>
      <c r="EK12" s="60"/>
      <c r="EL12" s="60"/>
      <c r="EM12" s="60"/>
      <c r="EN12" s="60"/>
      <c r="EO12" s="60"/>
      <c r="EP12" s="60"/>
      <c r="EQ12" s="60"/>
      <c r="ER12" s="60"/>
      <c r="ES12" s="60" t="s">
        <v>27</v>
      </c>
      <c r="ET12" s="60"/>
      <c r="EU12" s="60"/>
      <c r="EV12" s="60"/>
      <c r="EW12" s="60"/>
      <c r="EX12" s="60"/>
      <c r="EY12" s="60"/>
      <c r="EZ12" s="60"/>
      <c r="FA12" s="60"/>
      <c r="FB12" s="60"/>
      <c r="FC12" s="60"/>
      <c r="FD12" s="60" t="s">
        <v>27</v>
      </c>
      <c r="FE12" s="60"/>
      <c r="FF12" s="60"/>
      <c r="FG12" s="60"/>
      <c r="FH12" s="60"/>
      <c r="FI12" s="60"/>
      <c r="FJ12" s="60"/>
      <c r="FK12" s="60"/>
      <c r="FL12" s="60"/>
      <c r="FM12" s="60"/>
      <c r="FN12" s="60"/>
      <c r="FO12" s="60" t="s">
        <v>27</v>
      </c>
      <c r="FP12" s="60"/>
      <c r="FQ12" s="60"/>
      <c r="FR12" s="60"/>
      <c r="FS12" s="60"/>
      <c r="FT12" s="60"/>
      <c r="FU12" s="60"/>
      <c r="FV12" s="60"/>
      <c r="FW12" s="60"/>
      <c r="FX12" s="60"/>
      <c r="FY12" s="60"/>
      <c r="FZ12" s="60" t="s">
        <v>27</v>
      </c>
      <c r="GA12" s="60"/>
      <c r="GB12" s="60"/>
      <c r="GC12" s="60"/>
      <c r="GD12" s="60"/>
      <c r="GE12" s="60"/>
      <c r="GF12" s="60"/>
      <c r="GG12" s="60"/>
      <c r="GH12" s="60"/>
      <c r="GI12" s="60"/>
      <c r="GJ12" s="60"/>
      <c r="GK12" s="60" t="s">
        <v>27</v>
      </c>
      <c r="GL12" s="60"/>
      <c r="GM12" s="60"/>
      <c r="GN12" s="60"/>
      <c r="GO12" s="60"/>
      <c r="GP12" s="60"/>
      <c r="GQ12" s="60"/>
      <c r="GR12" s="60"/>
      <c r="GS12" s="60"/>
      <c r="GT12" s="60"/>
      <c r="GU12" s="60"/>
      <c r="GV12" s="60" t="s">
        <v>27</v>
      </c>
      <c r="GW12" s="60"/>
      <c r="GX12" s="60"/>
      <c r="GY12" s="60"/>
      <c r="GZ12" s="60"/>
      <c r="HA12" s="60"/>
      <c r="HB12" s="60"/>
      <c r="HC12" s="60"/>
      <c r="HD12" s="60"/>
      <c r="HE12" s="60"/>
      <c r="HF12" s="60"/>
      <c r="HG12" s="60" t="s">
        <v>27</v>
      </c>
      <c r="HH12" s="60"/>
      <c r="HI12" s="60"/>
      <c r="HJ12" s="60"/>
      <c r="HK12" s="60"/>
      <c r="HL12" s="60"/>
      <c r="HM12" s="60"/>
      <c r="HN12" s="60"/>
      <c r="HO12" s="60"/>
      <c r="HP12" s="60"/>
      <c r="HQ12" s="60"/>
      <c r="HR12" s="60" t="s">
        <v>27</v>
      </c>
      <c r="HS12" s="60"/>
      <c r="HT12" s="60"/>
      <c r="HU12" s="60"/>
      <c r="HV12" s="60"/>
      <c r="HW12" s="60"/>
      <c r="HX12" s="60"/>
      <c r="HY12" s="60"/>
      <c r="HZ12" s="60"/>
      <c r="IA12" s="60"/>
      <c r="IB12" s="60"/>
      <c r="IC12" s="60" t="s">
        <v>27</v>
      </c>
      <c r="ID12" s="60"/>
      <c r="IE12" s="60"/>
      <c r="IF12" s="60"/>
      <c r="IG12" s="60"/>
      <c r="IH12" s="60"/>
      <c r="II12" s="60"/>
      <c r="IJ12" s="60"/>
      <c r="IK12" s="60"/>
      <c r="IL12" s="60"/>
      <c r="IM12" s="60"/>
      <c r="IN12" s="60" t="s">
        <v>327</v>
      </c>
      <c r="IO12" s="6">
        <f t="shared" ref="IO12:IW12" si="115">B77</f>
        <v>0</v>
      </c>
      <c r="IP12" s="6" t="str">
        <f t="shared" si="115"/>
        <v>Filing Status</v>
      </c>
      <c r="IQ12" s="6" t="str">
        <f t="shared" si="115"/>
        <v>Filing Status</v>
      </c>
      <c r="IR12" s="6" t="str">
        <f t="shared" si="115"/>
        <v>Filing Status</v>
      </c>
      <c r="IS12" s="6" t="str">
        <f t="shared" si="115"/>
        <v>Filing Status</v>
      </c>
      <c r="IT12" s="6" t="str">
        <f t="shared" si="115"/>
        <v>Filing Status</v>
      </c>
      <c r="IU12" s="6" t="str">
        <f t="shared" si="115"/>
        <v>Filing Status</v>
      </c>
      <c r="IV12" s="6" t="str">
        <f t="shared" si="115"/>
        <v>Filing Status</v>
      </c>
      <c r="IW12" s="6" t="e">
        <f t="shared" si="115"/>
        <v>#VALUE!</v>
      </c>
      <c r="IX12" s="60"/>
      <c r="IY12" s="60" t="s">
        <v>206</v>
      </c>
      <c r="IZ12" s="60" t="str">
        <f t="shared" ref="IZ12:JH12" si="116">IF(OR(B2="Single", B2="MFS"), 4400, IF(B2="HOH", 6800, IF(B2="MFJ", 8800, "Invalid Filing Status")))</f>
        <v>Invalid Filing Status</v>
      </c>
      <c r="JA12" s="60" t="str">
        <f t="shared" si="116"/>
        <v>Invalid Filing Status</v>
      </c>
      <c r="JB12" s="60" t="str">
        <f t="shared" si="116"/>
        <v>Invalid Filing Status</v>
      </c>
      <c r="JC12" s="60" t="str">
        <f t="shared" si="116"/>
        <v>Invalid Filing Status</v>
      </c>
      <c r="JD12" s="60" t="str">
        <f t="shared" si="116"/>
        <v>Invalid Filing Status</v>
      </c>
      <c r="JE12" s="60" t="str">
        <f t="shared" si="116"/>
        <v>Invalid Filing Status</v>
      </c>
      <c r="JF12" s="60" t="str">
        <f t="shared" si="116"/>
        <v>Invalid Filing Status</v>
      </c>
      <c r="JG12" s="60" t="str">
        <f t="shared" si="116"/>
        <v>Invalid Filing Status</v>
      </c>
      <c r="JH12" s="60" t="str">
        <f t="shared" si="116"/>
        <v>Invalid Filing Status</v>
      </c>
      <c r="JI12" s="60"/>
      <c r="JJ12" s="60" t="s">
        <v>329</v>
      </c>
      <c r="JT12" s="60"/>
      <c r="JU12" s="60" t="s">
        <v>27</v>
      </c>
      <c r="JV12" s="60"/>
      <c r="JW12" s="60"/>
      <c r="JX12" s="60"/>
      <c r="JY12" s="60"/>
      <c r="JZ12" s="60"/>
      <c r="KA12" s="60"/>
      <c r="KB12" s="60"/>
      <c r="KC12" s="60"/>
      <c r="KD12" s="60"/>
      <c r="KE12" s="60"/>
      <c r="KF12" s="60" t="s">
        <v>27</v>
      </c>
      <c r="KG12" s="60"/>
      <c r="KH12" s="60"/>
      <c r="KI12" s="60"/>
      <c r="KJ12" s="60"/>
      <c r="KK12" s="60"/>
      <c r="KL12" s="60"/>
      <c r="KM12" s="60"/>
      <c r="KN12" s="60"/>
      <c r="KO12" s="60"/>
      <c r="KP12" s="60"/>
      <c r="LB12" s="60" t="s">
        <v>27</v>
      </c>
      <c r="LC12" s="60"/>
      <c r="LD12" s="60"/>
      <c r="LE12" s="60"/>
      <c r="LF12" s="60"/>
      <c r="LG12" s="60"/>
      <c r="LH12" s="60"/>
      <c r="LI12" s="60"/>
      <c r="LJ12" s="60"/>
      <c r="LK12" s="60"/>
      <c r="LL12" s="60"/>
      <c r="LM12" s="60" t="s">
        <v>64</v>
      </c>
      <c r="LN12" s="60" t="str">
        <f>IF(B1=2022,
    CHOOSE(MATCH(B2, {"Single","MFS","MFJ","QW","HOH"}, 0),
        7350, 7350, 14700, 14700, 10750),
    IF(OR(B1=2023, B1=2024),
        CHOOSE(MATCH(B2, {"Single","MFS","MFJ","QW","HOH"}, 0),
            7900, 7900, 15800, 15800, 11600),
        "Invalid Year"))</f>
        <v>Invalid Year</v>
      </c>
      <c r="LO12" s="60" t="str">
        <f>IF(C1=2022,
    CHOOSE(MATCH(C2, {"Single","MFS","MFJ","QW","HOH"}, 0),
        7350, 7350, 14700, 14700, 10750),
    IF(OR(C1=2023, C1=2024),
        CHOOSE(MATCH(C2, {"Single","MFS","MFJ","QW","HOH"}, 0),
            7900, 7900, 15800, 15800, 11600),
        "Invalid Year"))</f>
        <v>Invalid Year</v>
      </c>
      <c r="LP12" s="60" t="str">
        <f>IF(D1=2022,
    CHOOSE(MATCH(D2, {"Single","MFS","MFJ","QW","HOH"}, 0),
        7350, 7350, 14700, 14700, 10750),
    IF(OR(D1=2023, D1=2024),
        CHOOSE(MATCH(D2, {"Single","MFS","MFJ","QW","HOH"}, 0),
            7900, 7900, 15800, 15800, 11600),
        "Invalid Year"))</f>
        <v>Invalid Year</v>
      </c>
      <c r="LQ12" s="60" t="str">
        <f>IF(E1=2022,
    CHOOSE(MATCH(E2, {"Single","MFS","MFJ","QW","HOH"}, 0),
        7350, 7350, 14700, 14700, 10750),
    IF(OR(E1=2023, E1=2024),
        CHOOSE(MATCH(E2, {"Single","MFS","MFJ","QW","HOH"}, 0),
            7900, 7900, 15800, 15800, 11600),
        "Invalid Year"))</f>
        <v>Invalid Year</v>
      </c>
      <c r="LR12" s="60" t="str">
        <f>IF(F1=2022,
    CHOOSE(MATCH(F2, {"Single","MFS","MFJ","QW","HOH"}, 0),
        7350, 7350, 14700, 14700, 10750),
    IF(OR(F1=2023, F1=2024),
        CHOOSE(MATCH(F2, {"Single","MFS","MFJ","QW","HOH"}, 0),
            7900, 7900, 15800, 15800, 11600),
        "Invalid Year"))</f>
        <v>Invalid Year</v>
      </c>
      <c r="LS12" s="60" t="str">
        <f>IF(G1=2022,
    CHOOSE(MATCH(G2, {"Single","MFS","MFJ","QW","HOH"}, 0),
        7350, 7350, 14700, 14700, 10750),
    IF(OR(G1=2023, G1=2024),
        CHOOSE(MATCH(G2, {"Single","MFS","MFJ","QW","HOH"}, 0),
            7900, 7900, 15800, 15800, 11600),
        "Invalid Year"))</f>
        <v>Invalid Year</v>
      </c>
      <c r="LT12" s="60" t="str">
        <f>IF(H1=2022,
    CHOOSE(MATCH(H2, {"Single","MFS","MFJ","QW","HOH"}, 0),
        7350, 7350, 14700, 14700, 10750),
    IF(OR(H1=2023, H1=2024),
        CHOOSE(MATCH(H2, {"Single","MFS","MFJ","QW","HOH"}, 0),
            7900, 7900, 15800, 15800, 11600),
        "Invalid Year"))</f>
        <v>Invalid Year</v>
      </c>
      <c r="LU12" s="60" t="str">
        <f>IF(I1=2022,
    CHOOSE(MATCH(I2, {"Single","MFS","MFJ","QW","HOH"}, 0),
        7350, 7350, 14700, 14700, 10750),
    IF(OR(I1=2023, I1=2024),
        CHOOSE(MATCH(I2, {"Single","MFS","MFJ","QW","HOH"}, 0),
            7900, 7900, 15800, 15800, 11600),
        "Invalid Year"))</f>
        <v>Invalid Year</v>
      </c>
      <c r="LV12" s="60" t="str">
        <f>IF(J1=2022,
    CHOOSE(MATCH(J2, {"Single","MFS","MFJ","QW","HOH"}, 0),
        7350, 7350, 14700, 14700, 10750),
    IF(OR(J1=2023, J1=2024),
        CHOOSE(MATCH(J2, {"Single","MFS","MFJ","QW","HOH"}, 0),
            7900, 7900, 15800, 15800, 11600),
        "Invalid Year"))</f>
        <v>Invalid Year</v>
      </c>
      <c r="LW12" s="60"/>
      <c r="LX12" s="60" t="s">
        <v>27</v>
      </c>
      <c r="LY12" s="60"/>
      <c r="LZ12" s="60"/>
      <c r="MA12" s="60"/>
      <c r="MB12" s="60"/>
      <c r="MC12" s="60"/>
      <c r="MD12" s="60"/>
      <c r="ME12" s="60"/>
      <c r="MF12" s="60"/>
      <c r="MG12" s="60"/>
      <c r="MH12" s="60"/>
      <c r="MI12" s="60" t="s">
        <v>27</v>
      </c>
      <c r="MJ12" s="60"/>
      <c r="MK12" s="60"/>
      <c r="ML12" s="60"/>
      <c r="MM12" s="60"/>
      <c r="MN12" s="60"/>
      <c r="MO12" s="60"/>
      <c r="MP12" s="60"/>
      <c r="MQ12" s="60"/>
      <c r="MR12" s="60"/>
      <c r="MS12" s="60"/>
      <c r="MT12" s="60" t="s">
        <v>27</v>
      </c>
      <c r="MU12" s="60"/>
      <c r="MV12" s="60"/>
      <c r="MW12" s="60"/>
      <c r="MX12" s="60"/>
      <c r="MY12" s="60"/>
      <c r="MZ12" s="60"/>
      <c r="NA12" s="60"/>
      <c r="NB12" s="60"/>
      <c r="NC12" s="60"/>
      <c r="ND12" s="60"/>
      <c r="NE12" s="60" t="s">
        <v>27</v>
      </c>
      <c r="NF12" s="60"/>
      <c r="NG12" s="60"/>
      <c r="NH12" s="60"/>
      <c r="NI12" s="60"/>
      <c r="NJ12" s="60"/>
      <c r="NK12" s="60"/>
      <c r="NL12" s="60"/>
      <c r="NM12" s="60"/>
      <c r="NN12" s="60"/>
      <c r="NO12" s="60"/>
      <c r="NP12" s="60" t="s">
        <v>277</v>
      </c>
      <c r="NQ12" s="60" t="str">
        <f>IF(B1=2023,
    IF(B2="HOH", 11200,
        IF(B2="Single", 8000,
            IF(OR(B2="MFJ", B2="QW"), 16050,
                IF(B2="MFS", 8000, "Invalid Filing Status")
            )
        )
    ),
    IF(B2="Single", 8000,
        IF(OR(B2="MFJ", B2="QW"), 16050,
            IF(B2="MFS", 8000,
                IF(B2="HOH", 8000, "Invalid Filing Status")
            )
        )
    )
)</f>
        <v>Invalid Filing Status</v>
      </c>
      <c r="NR12" s="60" t="str">
        <f t="shared" ref="NR12:NY12" si="117">IF(C1=2023,
    IF(C2="HOH", 11200,
        IF(C2="Single", 8000,
            IF(OR(C2="MFJ", C2="QW"), 16050,
                IF(C2="MFS", 8000, "Invalid Filing Status")
            )
        )
    ),
    IF(C2="Single", 8000,
        IF(OR(C2="MFJ", C2="QW"), 16050,
            IF(C2="MFS", 8000,
                IF(C2="HOH", 8000, "Invalid Filing Status")
            )
        )
    )
)</f>
        <v>Invalid Filing Status</v>
      </c>
      <c r="NS12" s="60" t="str">
        <f t="shared" si="117"/>
        <v>Invalid Filing Status</v>
      </c>
      <c r="NT12" s="60" t="str">
        <f t="shared" si="117"/>
        <v>Invalid Filing Status</v>
      </c>
      <c r="NU12" s="60" t="str">
        <f t="shared" si="117"/>
        <v>Invalid Filing Status</v>
      </c>
      <c r="NV12" s="60" t="str">
        <f t="shared" si="117"/>
        <v>Invalid Filing Status</v>
      </c>
      <c r="NW12" s="60" t="str">
        <f t="shared" si="117"/>
        <v>Invalid Filing Status</v>
      </c>
      <c r="NX12" s="60" t="str">
        <f t="shared" si="117"/>
        <v>Invalid Filing Status</v>
      </c>
      <c r="NY12" s="60" t="str">
        <f t="shared" si="117"/>
        <v>Invalid Filing Status</v>
      </c>
      <c r="NZ12" s="60"/>
      <c r="OA12" s="60" t="s">
        <v>27</v>
      </c>
      <c r="OB12" s="60"/>
      <c r="OC12" s="60"/>
      <c r="OD12" s="60"/>
      <c r="OE12" s="60"/>
      <c r="OF12" s="60"/>
      <c r="OG12" s="60"/>
      <c r="OH12" s="60"/>
      <c r="OI12" s="60"/>
      <c r="OJ12" s="60"/>
      <c r="OK12" s="60"/>
      <c r="OL12" s="60" t="s">
        <v>27</v>
      </c>
      <c r="OM12" s="60"/>
      <c r="ON12" s="60"/>
      <c r="OO12" s="60"/>
      <c r="OP12" s="60"/>
      <c r="OQ12" s="60"/>
      <c r="OR12" s="60"/>
      <c r="OS12" s="60"/>
      <c r="OT12" s="60"/>
      <c r="OU12" s="60"/>
      <c r="OV12" s="60"/>
      <c r="OW12" s="60" t="s">
        <v>27</v>
      </c>
      <c r="OX12" s="60"/>
      <c r="OY12" s="60"/>
      <c r="OZ12" s="60"/>
      <c r="PA12" s="60"/>
      <c r="PB12" s="60"/>
      <c r="PC12" s="60"/>
      <c r="PD12" s="60"/>
      <c r="PE12" s="60"/>
      <c r="PF12" s="60"/>
      <c r="PG12" s="60"/>
      <c r="PH12" s="60" t="s">
        <v>27</v>
      </c>
      <c r="PI12" s="60"/>
      <c r="PJ12" s="60"/>
      <c r="PK12" s="60"/>
      <c r="PL12" s="60"/>
      <c r="PM12" s="60"/>
      <c r="PN12" s="60"/>
      <c r="PO12" s="60"/>
      <c r="PP12" s="60"/>
      <c r="PQ12" s="60"/>
      <c r="PR12" s="60"/>
      <c r="PS12" s="60" t="s">
        <v>384</v>
      </c>
      <c r="PT12" s="60" t="e">
        <f t="shared" ref="PT12:QB12" si="118">MAX(SUM(B70:B76) + B68 + IF(B2="MFS", IF(B69&gt;5000, 5000, B69), IF(B69&gt;10000, 10000, B69)), IF(B1=2022, IF(OR(B2="Single", B2="HOH", B2="MFS"), 2420, IF(OR(B2="MFJ", B2="QW"), 4840, "Check Filing Status")), IF(B1=2023, IF(OR(B2="Single", B2="HOH", B2="MFS"), 2605, IF(OR(B2="MFJ", B2="QW"), 5210, "Check Filing Status")), IF(B1=2024, IF(OR(B2="Single", B2="HOH", B2="MFS"), 2745, IF(OR(B2="MFJ", B2="QW"), 5495, "Check Filing Status")), "Invalid Year"))))</f>
        <v>#VALUE!</v>
      </c>
      <c r="PU12" s="60" t="e">
        <f t="shared" si="118"/>
        <v>#VALUE!</v>
      </c>
      <c r="PV12" s="60" t="e">
        <f t="shared" si="118"/>
        <v>#VALUE!</v>
      </c>
      <c r="PW12" s="60" t="e">
        <f t="shared" si="118"/>
        <v>#VALUE!</v>
      </c>
      <c r="PX12" s="60" t="e">
        <f t="shared" si="118"/>
        <v>#VALUE!</v>
      </c>
      <c r="PY12" s="60" t="e">
        <f t="shared" si="118"/>
        <v>#VALUE!</v>
      </c>
      <c r="PZ12" s="60" t="e">
        <f t="shared" si="118"/>
        <v>#VALUE!</v>
      </c>
      <c r="QA12" s="60" t="e">
        <f t="shared" si="118"/>
        <v>#VALUE!</v>
      </c>
      <c r="QB12" s="60" t="e">
        <f t="shared" si="118"/>
        <v>#VALUE!</v>
      </c>
      <c r="QC12" s="60"/>
      <c r="QD12" s="60" t="s">
        <v>27</v>
      </c>
      <c r="QE12" s="60"/>
      <c r="QF12" s="60"/>
      <c r="QG12" s="60"/>
      <c r="QH12" s="60"/>
      <c r="QI12" s="60"/>
      <c r="QJ12" s="60"/>
      <c r="QK12" s="60"/>
      <c r="QL12" s="60"/>
      <c r="QM12" s="60"/>
      <c r="QN12" s="60"/>
      <c r="QO12" s="60" t="s">
        <v>27</v>
      </c>
      <c r="QP12" s="60"/>
      <c r="QQ12" s="60"/>
      <c r="QR12" s="60"/>
      <c r="QS12" s="60"/>
      <c r="QT12" s="60"/>
      <c r="QU12" s="60"/>
      <c r="QV12" s="60"/>
      <c r="QW12" s="60"/>
      <c r="QX12" s="60"/>
      <c r="QY12" s="60"/>
      <c r="QZ12" s="60" t="s">
        <v>27</v>
      </c>
      <c r="RA12" s="60"/>
      <c r="RB12" s="60"/>
      <c r="RC12" s="60"/>
      <c r="RD12" s="60"/>
      <c r="RE12" s="60"/>
      <c r="RF12" s="60"/>
      <c r="RG12" s="60"/>
      <c r="RH12" s="60"/>
      <c r="RI12" s="60"/>
      <c r="RJ12" s="60"/>
      <c r="RK12" s="60" t="s">
        <v>27</v>
      </c>
      <c r="RL12" s="60"/>
      <c r="RM12" s="60"/>
      <c r="RN12" s="60"/>
      <c r="RO12" s="60"/>
      <c r="RP12" s="60"/>
      <c r="RQ12" s="60"/>
      <c r="RR12" s="60"/>
      <c r="RS12" s="60"/>
      <c r="RT12" s="60"/>
      <c r="RU12" s="60"/>
      <c r="RV12" s="60" t="s">
        <v>27</v>
      </c>
      <c r="RW12" s="60"/>
      <c r="RX12" s="60"/>
      <c r="RY12" s="60"/>
      <c r="RZ12" s="60"/>
      <c r="SA12" s="60"/>
      <c r="SB12" s="60"/>
      <c r="SC12" s="60"/>
      <c r="SD12" s="60"/>
      <c r="SE12" s="60"/>
      <c r="SF12" s="60"/>
      <c r="SG12" s="60" t="s">
        <v>27</v>
      </c>
      <c r="SH12" s="60"/>
      <c r="SI12" s="60"/>
      <c r="SJ12" s="60"/>
      <c r="SK12" s="60"/>
      <c r="SL12" s="60"/>
      <c r="SM12" s="60"/>
      <c r="SN12" s="60"/>
      <c r="SO12" s="60"/>
      <c r="SP12" s="60"/>
      <c r="SQ12" s="60"/>
      <c r="SR12" s="60" t="s">
        <v>27</v>
      </c>
      <c r="SS12" s="60"/>
      <c r="ST12" s="60"/>
      <c r="SU12" s="60"/>
      <c r="SV12" s="60"/>
      <c r="SW12" s="60"/>
      <c r="SX12" s="60"/>
      <c r="SY12" s="60"/>
      <c r="SZ12" s="60"/>
      <c r="TA12" s="60"/>
      <c r="TB12" s="60"/>
      <c r="TC12" s="60" t="s">
        <v>27</v>
      </c>
      <c r="TD12" s="60"/>
      <c r="TE12" s="60"/>
      <c r="TF12" s="60"/>
      <c r="TG12" s="60"/>
      <c r="TH12" s="60"/>
      <c r="TI12" s="60"/>
      <c r="TJ12" s="60"/>
      <c r="TK12" s="60"/>
      <c r="TL12" s="60"/>
      <c r="TM12" s="60"/>
      <c r="TN12" s="60" t="s">
        <v>27</v>
      </c>
      <c r="TP12" s="60"/>
      <c r="TQ12" s="60"/>
      <c r="TR12" s="60"/>
      <c r="TS12" s="60"/>
      <c r="TT12" s="60"/>
      <c r="TU12" s="60"/>
      <c r="TV12" s="60"/>
      <c r="TW12" s="60"/>
      <c r="TX12" s="60"/>
      <c r="TY12" s="60" t="s">
        <v>27</v>
      </c>
      <c r="TZ12" s="60"/>
      <c r="UA12" s="60"/>
      <c r="UB12" s="60"/>
      <c r="UC12" s="60"/>
      <c r="UD12" s="60"/>
      <c r="UE12" s="60"/>
      <c r="UF12" s="60"/>
      <c r="UG12" s="60"/>
      <c r="UH12" s="60"/>
      <c r="UI12" s="60"/>
      <c r="UJ12" s="60" t="s">
        <v>27</v>
      </c>
      <c r="UK12" s="60"/>
      <c r="UL12" s="60"/>
      <c r="UM12" s="60"/>
      <c r="UN12" s="60"/>
      <c r="UO12" s="60"/>
      <c r="UP12" s="60"/>
      <c r="UQ12" s="60"/>
      <c r="UR12" s="60"/>
      <c r="US12" s="60"/>
      <c r="UT12" s="60"/>
      <c r="UU12" s="60" t="s">
        <v>64</v>
      </c>
      <c r="UV12" s="6" t="str">
        <f t="shared" ref="UV12:VD12" si="119">IF(B1=2022,
    IF(B2="Single",
        IF(UV11&lt;16989, 11790,
            IF(UV11&lt;115240, 11790-(0.12*(UV11-16990)),
                0)),
        IF(B2="HOH",
            IF(UV11&lt;16989, 15230,
                IF(UV11&lt;49705, 15230-(0.22515*(UV11-16990)),
                    IF(UV11&lt;115240, 11790-(0.12*(UV11-16990)),
                        0))),
            IF(B2="MFS",
                IF(UV11&lt;11639, 10370,
                    IF(UV11&lt;64072, 10370-(0.19778*(UV11-11640)),
                        0)),
                IF(B2="MFJ",
                    IF(UV11&lt;24519, 21820,
                        IF(UV11&lt;134845, 21820-(0.19778*(UV11-24520)),
                            0)),
                    "Invalid Filing Status")))),
    IF(OR(B1=2023, B1=2024),
        IF(B2="Single",
            IF(UV11&lt;18399, 12760,
                IF(UV11&lt;124733, 12760-(0.12*(UV11-18400)),
                    0)),
            IF(B2="HOH",
                IF(UV11&lt;18399, 16480,
                    IF(UV11&lt;53778, 16480-(0.22515*(UV11-18400)),
                        IF(UV11&lt;124733, 12760-(0.12*(UV11-53778)),
                            0))),
                IF(B2="MFS",
                    IF(UV11&lt;12599, 11220,
                        IF(UV11&lt;69330, 11220-(0.19778*(UV11-12600)),
                            0)),
                    IF(B2="MFJ",
                        IF(UV11&lt;26549, 23620,
                            IF(UV11&lt;145976, 23620-(0.19778*(UV11-26550)),
                                0)),
                        "Invalid Filing Status")))),
        "Invalid Year"))</f>
        <v>Invalid Year</v>
      </c>
      <c r="UW12" s="6" t="str">
        <f t="shared" si="119"/>
        <v>Invalid Year</v>
      </c>
      <c r="UX12" s="6" t="str">
        <f t="shared" si="119"/>
        <v>Invalid Year</v>
      </c>
      <c r="UY12" s="6" t="str">
        <f t="shared" si="119"/>
        <v>Invalid Year</v>
      </c>
      <c r="UZ12" s="6" t="str">
        <f t="shared" si="119"/>
        <v>Invalid Year</v>
      </c>
      <c r="VA12" s="6" t="str">
        <f t="shared" si="119"/>
        <v>Invalid Year</v>
      </c>
      <c r="VB12" s="6" t="str">
        <f t="shared" si="119"/>
        <v>Invalid Year</v>
      </c>
      <c r="VC12" s="6" t="str">
        <f t="shared" si="119"/>
        <v>Invalid Year</v>
      </c>
      <c r="VD12" s="6" t="str">
        <f t="shared" si="119"/>
        <v>Invalid Year</v>
      </c>
      <c r="VE12" s="60"/>
      <c r="VF12" s="60" t="s">
        <v>27</v>
      </c>
      <c r="VG12" s="60"/>
      <c r="VH12" s="60"/>
      <c r="VI12" s="60"/>
      <c r="VJ12" s="60"/>
      <c r="VK12" s="60"/>
      <c r="VL12" s="60"/>
      <c r="VM12" s="60"/>
      <c r="VN12" s="60"/>
      <c r="VO12" s="60"/>
      <c r="VT12" s="59">
        <v>0</v>
      </c>
    </row>
    <row r="13" spans="1:592" ht="19.5" customHeight="1" thickBot="1" x14ac:dyDescent="0.3">
      <c r="A13" s="2" t="s">
        <v>10</v>
      </c>
      <c r="B13" s="39"/>
      <c r="C13" s="2"/>
      <c r="D13" s="39"/>
      <c r="E13" s="47"/>
      <c r="F13" s="47"/>
      <c r="G13" s="47"/>
      <c r="H13" s="2"/>
      <c r="I13" s="2"/>
      <c r="J13" s="2"/>
      <c r="K13" s="47"/>
      <c r="Q13" s="69"/>
      <c r="R13" s="70"/>
      <c r="S13" s="71">
        <v>3</v>
      </c>
      <c r="T13" s="72">
        <v>350</v>
      </c>
      <c r="U13" s="73">
        <f>S13*T13</f>
        <v>1050</v>
      </c>
      <c r="AM13" t="s">
        <v>84</v>
      </c>
      <c r="AN13" s="60">
        <f>AN10+AN11-AN12</f>
        <v>0</v>
      </c>
      <c r="AO13" s="60">
        <f t="shared" ref="AO13:AU13" si="120">AO10+AO11-AO12</f>
        <v>0</v>
      </c>
      <c r="AP13" s="60">
        <f t="shared" si="120"/>
        <v>0</v>
      </c>
      <c r="AQ13" s="60">
        <f t="shared" si="120"/>
        <v>0</v>
      </c>
      <c r="AR13" s="60">
        <f t="shared" si="120"/>
        <v>0</v>
      </c>
      <c r="AS13" s="60">
        <f t="shared" si="120"/>
        <v>0</v>
      </c>
      <c r="AT13" s="60">
        <f t="shared" si="120"/>
        <v>0</v>
      </c>
      <c r="AU13" s="60">
        <f t="shared" si="120"/>
        <v>0</v>
      </c>
      <c r="AV13" s="60" t="e">
        <f t="shared" ref="AV13" si="121">AV10+AV11-AV12</f>
        <v>#VALUE!</v>
      </c>
      <c r="AW13" s="60"/>
      <c r="AX13" t="s">
        <v>84</v>
      </c>
      <c r="AY13" s="60">
        <f t="shared" ref="AY13" si="122">AY10+AY11-AY12</f>
        <v>0</v>
      </c>
      <c r="AZ13" s="60">
        <f t="shared" ref="AZ13" si="123">AZ10+AZ11-AZ12</f>
        <v>0</v>
      </c>
      <c r="BA13" s="60">
        <f t="shared" ref="BA13" si="124">BA10+BA11-BA12</f>
        <v>0</v>
      </c>
      <c r="BB13" s="60">
        <f t="shared" ref="BB13" si="125">BB10+BB11-BB12</f>
        <v>0</v>
      </c>
      <c r="BC13" s="60">
        <f t="shared" ref="BC13" si="126">BC10+BC11-BC12</f>
        <v>0</v>
      </c>
      <c r="BD13" s="60">
        <f t="shared" ref="BD13" si="127">BD10+BD11-BD12</f>
        <v>0</v>
      </c>
      <c r="BE13" s="60">
        <f t="shared" ref="BE13" si="128">BE10+BE11-BE12</f>
        <v>0</v>
      </c>
      <c r="BF13" s="60">
        <f t="shared" ref="BF13:BG13" si="129">BF10+BF11-BF12</f>
        <v>0</v>
      </c>
      <c r="BG13" s="60">
        <f t="shared" si="129"/>
        <v>0</v>
      </c>
      <c r="BH13" s="60"/>
      <c r="BI13" t="s">
        <v>84</v>
      </c>
      <c r="BJ13" s="60">
        <f t="shared" ref="BJ13" si="130">BJ10+BJ11-BJ12</f>
        <v>0</v>
      </c>
      <c r="BK13" s="60">
        <f t="shared" ref="BK13" si="131">BK10+BK11-BK12</f>
        <v>0</v>
      </c>
      <c r="BL13" s="60">
        <f t="shared" ref="BL13" si="132">BL10+BL11-BL12</f>
        <v>0</v>
      </c>
      <c r="BM13" s="60">
        <f t="shared" ref="BM13" si="133">BM10+BM11-BM12</f>
        <v>0</v>
      </c>
      <c r="BN13" s="60">
        <f t="shared" ref="BN13" si="134">BN10+BN11-BN12</f>
        <v>0</v>
      </c>
      <c r="BO13" s="60">
        <f t="shared" ref="BO13" si="135">BO10+BO11-BO12</f>
        <v>0</v>
      </c>
      <c r="BP13" s="60">
        <f t="shared" ref="BP13" si="136">BP10+BP11-BP12</f>
        <v>0</v>
      </c>
      <c r="BQ13" s="60">
        <f t="shared" ref="BQ13:BR13" si="137">BQ10+BQ11-BQ12</f>
        <v>0</v>
      </c>
      <c r="BR13" s="60">
        <f t="shared" si="137"/>
        <v>0</v>
      </c>
      <c r="BS13" s="60"/>
      <c r="BT13" t="s">
        <v>84</v>
      </c>
      <c r="BU13" s="60">
        <f t="shared" ref="BU13" si="138">BU10+BU11-BU12</f>
        <v>0</v>
      </c>
      <c r="BV13" s="60">
        <f t="shared" ref="BV13" si="139">BV10+BV11-BV12</f>
        <v>0</v>
      </c>
      <c r="BW13" s="60">
        <f t="shared" ref="BW13" si="140">BW10+BW11-BW12</f>
        <v>0</v>
      </c>
      <c r="BX13" s="60">
        <f t="shared" ref="BX13" si="141">BX10+BX11-BX12</f>
        <v>0</v>
      </c>
      <c r="BY13" s="60">
        <f t="shared" ref="BY13" si="142">BY10+BY11-BY12</f>
        <v>0</v>
      </c>
      <c r="BZ13" s="60">
        <f t="shared" ref="BZ13" si="143">BZ10+BZ11-BZ12</f>
        <v>0</v>
      </c>
      <c r="CA13" s="60">
        <f t="shared" ref="CA13" si="144">CA10+CA11-CA12</f>
        <v>0</v>
      </c>
      <c r="CB13" s="60">
        <f t="shared" ref="CB13:CC13" si="145">CB10+CB11-CB12</f>
        <v>0</v>
      </c>
      <c r="CC13" s="60">
        <f t="shared" si="145"/>
        <v>0</v>
      </c>
      <c r="CD13" s="60"/>
      <c r="CE13" t="s">
        <v>84</v>
      </c>
      <c r="CF13" s="60" t="e">
        <f t="shared" ref="CF13" si="146">CF10+CF11-CF12</f>
        <v>#VALUE!</v>
      </c>
      <c r="CG13" s="60" t="e">
        <f t="shared" ref="CG13" si="147">CG10+CG11-CG12</f>
        <v>#VALUE!</v>
      </c>
      <c r="CH13" s="60" t="e">
        <f t="shared" ref="CH13" si="148">CH10+CH11-CH12</f>
        <v>#VALUE!</v>
      </c>
      <c r="CI13" s="60" t="e">
        <f t="shared" ref="CI13" si="149">CI10+CI11-CI12</f>
        <v>#VALUE!</v>
      </c>
      <c r="CJ13" s="60" t="e">
        <f t="shared" ref="CJ13" si="150">CJ10+CJ11-CJ12</f>
        <v>#VALUE!</v>
      </c>
      <c r="CK13" s="60" t="e">
        <f t="shared" ref="CK13" si="151">CK10+CK11-CK12</f>
        <v>#VALUE!</v>
      </c>
      <c r="CL13" s="60" t="e">
        <f t="shared" ref="CL13" si="152">CL10+CL11-CL12</f>
        <v>#VALUE!</v>
      </c>
      <c r="CM13" s="60" t="e">
        <f t="shared" ref="CM13:CN13" si="153">CM10+CM11-CM12</f>
        <v>#VALUE!</v>
      </c>
      <c r="CN13" s="60" t="e">
        <f t="shared" si="153"/>
        <v>#VALUE!</v>
      </c>
      <c r="CO13" s="60"/>
      <c r="CP13" t="s">
        <v>84</v>
      </c>
      <c r="CQ13" s="60">
        <f t="shared" ref="CQ13:CX13" si="154">CQ10+CQ11-CQ12</f>
        <v>0</v>
      </c>
      <c r="CR13" s="60">
        <f t="shared" si="154"/>
        <v>0</v>
      </c>
      <c r="CS13" s="60">
        <f t="shared" si="154"/>
        <v>0</v>
      </c>
      <c r="CT13" s="60">
        <f t="shared" si="154"/>
        <v>0</v>
      </c>
      <c r="CU13" s="60">
        <f t="shared" si="154"/>
        <v>0</v>
      </c>
      <c r="CV13" s="60">
        <f t="shared" si="154"/>
        <v>0</v>
      </c>
      <c r="CW13" s="60">
        <f t="shared" si="154"/>
        <v>0</v>
      </c>
      <c r="CX13" s="60">
        <f t="shared" si="154"/>
        <v>0</v>
      </c>
      <c r="CY13" s="60" t="e">
        <f t="shared" ref="CY13" si="155">CY10+CY11-CY12</f>
        <v>#VALUE!</v>
      </c>
      <c r="CZ13" s="60"/>
      <c r="DA13" t="s">
        <v>84</v>
      </c>
      <c r="DB13" s="60">
        <f>DB10+DB11-DB12</f>
        <v>0</v>
      </c>
      <c r="DC13" s="60">
        <f t="shared" ref="DC13:DI13" si="156">DC10+DC11-DC12</f>
        <v>0</v>
      </c>
      <c r="DD13" s="60">
        <f t="shared" si="156"/>
        <v>0</v>
      </c>
      <c r="DE13" s="60">
        <f t="shared" si="156"/>
        <v>0</v>
      </c>
      <c r="DF13" s="60">
        <f t="shared" si="156"/>
        <v>0</v>
      </c>
      <c r="DG13" s="60">
        <f t="shared" si="156"/>
        <v>0</v>
      </c>
      <c r="DH13" s="60">
        <f t="shared" si="156"/>
        <v>0</v>
      </c>
      <c r="DI13" s="60">
        <f t="shared" si="156"/>
        <v>0</v>
      </c>
      <c r="DJ13" s="60">
        <f t="shared" ref="DJ13" si="157">DJ10+DJ11-DJ12</f>
        <v>0</v>
      </c>
      <c r="DL13" t="s">
        <v>84</v>
      </c>
      <c r="DM13" s="60">
        <f t="shared" ref="DM13" si="158">DM10+DM11-DM12</f>
        <v>0</v>
      </c>
      <c r="DN13" s="60">
        <f t="shared" ref="DN13" si="159">DN10+DN11-DN12</f>
        <v>0</v>
      </c>
      <c r="DO13" s="60">
        <f t="shared" ref="DO13" si="160">DO10+DO11-DO12</f>
        <v>0</v>
      </c>
      <c r="DP13" s="60">
        <f t="shared" ref="DP13" si="161">DP10+DP11-DP12</f>
        <v>0</v>
      </c>
      <c r="DQ13" s="60">
        <f t="shared" ref="DQ13" si="162">DQ10+DQ11-DQ12</f>
        <v>0</v>
      </c>
      <c r="DR13" s="60">
        <f t="shared" ref="DR13" si="163">DR10+DR11-DR12</f>
        <v>0</v>
      </c>
      <c r="DS13" s="60">
        <f t="shared" ref="DS13" si="164">DS10+DS11-DS12</f>
        <v>0</v>
      </c>
      <c r="DT13" s="60">
        <f t="shared" ref="DT13:DU13" si="165">DT10+DT11-DT12</f>
        <v>0</v>
      </c>
      <c r="DU13" s="60">
        <f t="shared" si="165"/>
        <v>0</v>
      </c>
      <c r="DV13" s="60"/>
      <c r="DW13" t="s">
        <v>84</v>
      </c>
      <c r="DX13" s="60" t="e">
        <f t="shared" ref="DX13" si="166">DX10+DX11-DX12</f>
        <v>#VALUE!</v>
      </c>
      <c r="DY13" s="60" t="e">
        <f t="shared" ref="DY13" si="167">DY10+DY11-DY12</f>
        <v>#VALUE!</v>
      </c>
      <c r="DZ13" s="60" t="e">
        <f t="shared" ref="DZ13" si="168">DZ10+DZ11-DZ12</f>
        <v>#VALUE!</v>
      </c>
      <c r="EA13" s="60" t="e">
        <f t="shared" ref="EA13" si="169">EA10+EA11-EA12</f>
        <v>#VALUE!</v>
      </c>
      <c r="EB13" s="60" t="e">
        <f t="shared" ref="EB13" si="170">EB10+EB11-EB12</f>
        <v>#VALUE!</v>
      </c>
      <c r="EC13" s="60" t="e">
        <f t="shared" ref="EC13" si="171">EC10+EC11-EC12</f>
        <v>#VALUE!</v>
      </c>
      <c r="ED13" s="60" t="e">
        <f t="shared" ref="ED13" si="172">ED10+ED11-ED12</f>
        <v>#VALUE!</v>
      </c>
      <c r="EE13" s="60" t="e">
        <f t="shared" ref="EE13:EF13" si="173">EE10+EE11-EE12</f>
        <v>#VALUE!</v>
      </c>
      <c r="EF13" s="60" t="e">
        <f t="shared" si="173"/>
        <v>#VALUE!</v>
      </c>
      <c r="EG13" s="60"/>
      <c r="EH13" t="s">
        <v>84</v>
      </c>
      <c r="EI13" s="60">
        <f t="shared" ref="EI13" si="174">EI10+EI11-EI12</f>
        <v>0</v>
      </c>
      <c r="EJ13" s="60">
        <f t="shared" ref="EJ13" si="175">EJ10+EJ11-EJ12</f>
        <v>0</v>
      </c>
      <c r="EK13" s="60">
        <f t="shared" ref="EK13" si="176">EK10+EK11-EK12</f>
        <v>0</v>
      </c>
      <c r="EL13" s="60">
        <f t="shared" ref="EL13" si="177">EL10+EL11-EL12</f>
        <v>0</v>
      </c>
      <c r="EM13" s="60">
        <f t="shared" ref="EM13" si="178">EM10+EM11-EM12</f>
        <v>0</v>
      </c>
      <c r="EN13" s="60">
        <f t="shared" ref="EN13" si="179">EN10+EN11-EN12</f>
        <v>0</v>
      </c>
      <c r="EO13" s="60">
        <f t="shared" ref="EO13" si="180">EO10+EO11-EO12</f>
        <v>0</v>
      </c>
      <c r="EP13" s="60">
        <f t="shared" ref="EP13:EQ13" si="181">EP10+EP11-EP12</f>
        <v>0</v>
      </c>
      <c r="EQ13" s="60">
        <f t="shared" si="181"/>
        <v>0</v>
      </c>
      <c r="ER13" s="60"/>
      <c r="ES13" t="s">
        <v>84</v>
      </c>
      <c r="ET13" s="60">
        <f>ET10+ET11-ET12</f>
        <v>0</v>
      </c>
      <c r="EU13" s="60">
        <f t="shared" ref="EU13" si="182">EU10+EU11-EU12</f>
        <v>0</v>
      </c>
      <c r="EV13" s="60">
        <f t="shared" ref="EV13" si="183">EV10+EV11-EV12</f>
        <v>0</v>
      </c>
      <c r="EW13" s="60">
        <f t="shared" ref="EW13" si="184">EW10+EW11-EW12</f>
        <v>0</v>
      </c>
      <c r="EX13" s="60">
        <f t="shared" ref="EX13" si="185">EX10+EX11-EX12</f>
        <v>0</v>
      </c>
      <c r="EY13" s="60">
        <f t="shared" ref="EY13" si="186">EY10+EY11-EY12</f>
        <v>0</v>
      </c>
      <c r="EZ13" s="60">
        <f t="shared" ref="EZ13" si="187">EZ10+EZ11-EZ12</f>
        <v>0</v>
      </c>
      <c r="FA13" s="60">
        <f t="shared" ref="FA13:FB13" si="188">FA10+FA11-FA12</f>
        <v>0</v>
      </c>
      <c r="FB13" s="60">
        <f t="shared" si="188"/>
        <v>0</v>
      </c>
      <c r="FC13" s="60"/>
      <c r="FD13" t="s">
        <v>84</v>
      </c>
      <c r="FE13" s="60">
        <f t="shared" ref="FE13" si="189">FE10+FE11-FE12</f>
        <v>0</v>
      </c>
      <c r="FF13" s="60">
        <f t="shared" ref="FF13" si="190">FF10+FF11-FF12</f>
        <v>0</v>
      </c>
      <c r="FG13" s="60">
        <f t="shared" ref="FG13" si="191">FG10+FG11-FG12</f>
        <v>0</v>
      </c>
      <c r="FH13" s="60">
        <f t="shared" ref="FH13" si="192">FH10+FH11-FH12</f>
        <v>0</v>
      </c>
      <c r="FI13" s="60">
        <f t="shared" ref="FI13" si="193">FI10+FI11-FI12</f>
        <v>0</v>
      </c>
      <c r="FJ13" s="60">
        <f t="shared" ref="FJ13" si="194">FJ10+FJ11-FJ12</f>
        <v>0</v>
      </c>
      <c r="FK13" s="60">
        <f t="shared" ref="FK13" si="195">FK10+FK11-FK12</f>
        <v>0</v>
      </c>
      <c r="FL13" s="60">
        <f t="shared" ref="FL13:FM13" si="196">FL10+FL11-FL12</f>
        <v>0</v>
      </c>
      <c r="FM13" s="60">
        <f t="shared" si="196"/>
        <v>0</v>
      </c>
      <c r="FN13" s="60"/>
      <c r="FO13" t="s">
        <v>84</v>
      </c>
      <c r="FP13" s="60">
        <f t="shared" ref="FP13" si="197">FP10+FP11-FP12</f>
        <v>0</v>
      </c>
      <c r="FQ13" s="60">
        <f t="shared" ref="FQ13" si="198">FQ10+FQ11-FQ12</f>
        <v>0</v>
      </c>
      <c r="FR13" s="60">
        <f t="shared" ref="FR13" si="199">FR10+FR11-FR12</f>
        <v>0</v>
      </c>
      <c r="FS13" s="60">
        <f t="shared" ref="FS13" si="200">FS10+FS11-FS12</f>
        <v>0</v>
      </c>
      <c r="FT13" s="60">
        <f t="shared" ref="FT13" si="201">FT10+FT11-FT12</f>
        <v>0</v>
      </c>
      <c r="FU13" s="60">
        <f t="shared" ref="FU13" si="202">FU10+FU11-FU12</f>
        <v>0</v>
      </c>
      <c r="FV13" s="60">
        <f t="shared" ref="FV13" si="203">FV10+FV11-FV12</f>
        <v>0</v>
      </c>
      <c r="FW13" s="60">
        <f t="shared" ref="FW13:FX13" si="204">FW10+FW11-FW12</f>
        <v>0</v>
      </c>
      <c r="FX13" s="60">
        <f t="shared" si="204"/>
        <v>0</v>
      </c>
      <c r="FY13" s="60"/>
      <c r="FZ13" t="s">
        <v>84</v>
      </c>
      <c r="GA13" s="60">
        <f>GA10+GA11-GA12</f>
        <v>0</v>
      </c>
      <c r="GB13" s="60">
        <f t="shared" ref="GB13" si="205">GB10+GB11-GB12</f>
        <v>0</v>
      </c>
      <c r="GC13" s="60">
        <f t="shared" ref="GC13" si="206">GC10+GC11-GC12</f>
        <v>0</v>
      </c>
      <c r="GD13" s="60">
        <f t="shared" ref="GD13" si="207">GD10+GD11-GD12</f>
        <v>0</v>
      </c>
      <c r="GE13" s="60">
        <f t="shared" ref="GE13" si="208">GE10+GE11-GE12</f>
        <v>0</v>
      </c>
      <c r="GF13" s="60">
        <f t="shared" ref="GF13" si="209">GF10+GF11-GF12</f>
        <v>0</v>
      </c>
      <c r="GG13" s="60">
        <f t="shared" ref="GG13" si="210">GG10+GG11-GG12</f>
        <v>0</v>
      </c>
      <c r="GH13" s="60">
        <f t="shared" ref="GH13:GI13" si="211">GH10+GH11-GH12</f>
        <v>0</v>
      </c>
      <c r="GI13" s="60" t="e">
        <f t="shared" si="211"/>
        <v>#VALUE!</v>
      </c>
      <c r="GJ13" s="60"/>
      <c r="GK13" t="s">
        <v>84</v>
      </c>
      <c r="GL13" s="60">
        <f t="shared" ref="GL13" si="212">GL10+GL11-GL12</f>
        <v>0</v>
      </c>
      <c r="GM13" s="60">
        <f t="shared" ref="GM13" si="213">GM10+GM11-GM12</f>
        <v>0</v>
      </c>
      <c r="GN13" s="60">
        <f t="shared" ref="GN13" si="214">GN10+GN11-GN12</f>
        <v>0</v>
      </c>
      <c r="GO13" s="60">
        <f t="shared" ref="GO13" si="215">GO10+GO11-GO12</f>
        <v>0</v>
      </c>
      <c r="GP13" s="60">
        <f t="shared" ref="GP13" si="216">GP10+GP11-GP12</f>
        <v>0</v>
      </c>
      <c r="GQ13" s="60">
        <f t="shared" ref="GQ13" si="217">GQ10+GQ11-GQ12</f>
        <v>0</v>
      </c>
      <c r="GR13" s="60">
        <f t="shared" ref="GR13" si="218">GR10+GR11-GR12</f>
        <v>0</v>
      </c>
      <c r="GS13" s="60">
        <f t="shared" ref="GS13:GT13" si="219">GS10+GS11-GS12</f>
        <v>0</v>
      </c>
      <c r="GT13" s="60">
        <f t="shared" si="219"/>
        <v>0</v>
      </c>
      <c r="GU13" s="60"/>
      <c r="GV13" t="s">
        <v>84</v>
      </c>
      <c r="GW13" s="60">
        <f t="shared" ref="GW13" si="220">GW10+GW11-GW12</f>
        <v>0</v>
      </c>
      <c r="GX13" s="60">
        <f t="shared" ref="GX13" si="221">GX10+GX11-GX12</f>
        <v>0</v>
      </c>
      <c r="GY13" s="60">
        <f t="shared" ref="GY13" si="222">GY10+GY11-GY12</f>
        <v>0</v>
      </c>
      <c r="GZ13" s="60">
        <f t="shared" ref="GZ13" si="223">GZ10+GZ11-GZ12</f>
        <v>0</v>
      </c>
      <c r="HA13" s="60">
        <f t="shared" ref="HA13" si="224">HA10+HA11-HA12</f>
        <v>0</v>
      </c>
      <c r="HB13" s="60">
        <f t="shared" ref="HB13" si="225">HB10+HB11-HB12</f>
        <v>0</v>
      </c>
      <c r="HC13" s="60">
        <f t="shared" ref="HC13" si="226">HC10+HC11-HC12</f>
        <v>0</v>
      </c>
      <c r="HD13" s="60">
        <f t="shared" ref="HD13:HE13" si="227">HD10+HD11-HD12</f>
        <v>0</v>
      </c>
      <c r="HE13" s="60">
        <f t="shared" si="227"/>
        <v>0</v>
      </c>
      <c r="HF13" s="60"/>
      <c r="HG13" t="s">
        <v>84</v>
      </c>
      <c r="HH13" s="60">
        <f t="shared" ref="HH13" si="228">HH10+HH11-HH12</f>
        <v>0</v>
      </c>
      <c r="HI13" s="60">
        <f t="shared" ref="HI13" si="229">HI10+HI11-HI12</f>
        <v>0</v>
      </c>
      <c r="HJ13" s="60">
        <f t="shared" ref="HJ13" si="230">HJ10+HJ11-HJ12</f>
        <v>0</v>
      </c>
      <c r="HK13" s="60">
        <f t="shared" ref="HK13" si="231">HK10+HK11-HK12</f>
        <v>0</v>
      </c>
      <c r="HL13" s="60">
        <f t="shared" ref="HL13" si="232">HL10+HL11-HL12</f>
        <v>0</v>
      </c>
      <c r="HM13" s="60">
        <f t="shared" ref="HM13" si="233">HM10+HM11-HM12</f>
        <v>0</v>
      </c>
      <c r="HN13" s="60">
        <f t="shared" ref="HN13" si="234">HN10+HN11-HN12</f>
        <v>0</v>
      </c>
      <c r="HO13" s="60">
        <f t="shared" ref="HO13:HP13" si="235">HO10+HO11-HO12</f>
        <v>0</v>
      </c>
      <c r="HP13" s="60">
        <f t="shared" si="235"/>
        <v>0</v>
      </c>
      <c r="HQ13" s="60"/>
      <c r="HR13" t="s">
        <v>84</v>
      </c>
      <c r="HS13" s="60">
        <f t="shared" ref="HS13" si="236">HS10+HS11-HS12</f>
        <v>0</v>
      </c>
      <c r="HT13" s="60">
        <f t="shared" ref="HT13" si="237">HT10+HT11-HT12</f>
        <v>0</v>
      </c>
      <c r="HU13" s="60">
        <f t="shared" ref="HU13" si="238">HU10+HU11-HU12</f>
        <v>0</v>
      </c>
      <c r="HV13" s="60">
        <f t="shared" ref="HV13" si="239">HV10+HV11-HV12</f>
        <v>0</v>
      </c>
      <c r="HW13" s="60">
        <f t="shared" ref="HW13" si="240">HW10+HW11-HW12</f>
        <v>0</v>
      </c>
      <c r="HX13" s="60">
        <f t="shared" ref="HX13" si="241">HX10+HX11-HX12</f>
        <v>0</v>
      </c>
      <c r="HY13" s="60">
        <f t="shared" ref="HY13" si="242">HY10+HY11-HY12</f>
        <v>0</v>
      </c>
      <c r="HZ13" s="60">
        <f t="shared" ref="HZ13:IA13" si="243">HZ10+HZ11-HZ12</f>
        <v>0</v>
      </c>
      <c r="IA13" s="60">
        <f t="shared" si="243"/>
        <v>0</v>
      </c>
      <c r="IB13" s="60"/>
      <c r="IC13" t="s">
        <v>84</v>
      </c>
      <c r="ID13" s="60">
        <f t="shared" ref="ID13" si="244">ID10+ID11-ID12</f>
        <v>0</v>
      </c>
      <c r="IE13" s="60">
        <f t="shared" ref="IE13" si="245">IE10+IE11-IE12</f>
        <v>0</v>
      </c>
      <c r="IF13" s="60">
        <f t="shared" ref="IF13" si="246">IF10+IF11-IF12</f>
        <v>0</v>
      </c>
      <c r="IG13" s="60">
        <f t="shared" ref="IG13" si="247">IG10+IG11-IG12</f>
        <v>0</v>
      </c>
      <c r="IH13" s="60">
        <f t="shared" ref="IH13" si="248">IH10+IH11-IH12</f>
        <v>0</v>
      </c>
      <c r="II13" s="60">
        <f t="shared" ref="II13" si="249">II10+II11-II12</f>
        <v>0</v>
      </c>
      <c r="IJ13" s="60">
        <f t="shared" ref="IJ13" si="250">IJ10+IJ11-IJ12</f>
        <v>0</v>
      </c>
      <c r="IK13" s="60">
        <f t="shared" ref="IK13:IL13" si="251">IK10+IK11-IK12</f>
        <v>0</v>
      </c>
      <c r="IL13" s="60">
        <f t="shared" si="251"/>
        <v>0</v>
      </c>
      <c r="IM13" s="60"/>
      <c r="IN13" t="s">
        <v>84</v>
      </c>
      <c r="IO13" s="60">
        <f>IO9+IO10-IO11-IO12</f>
        <v>0</v>
      </c>
      <c r="IP13" s="60" t="e">
        <f t="shared" ref="IP13:IV13" si="252">IP9+IP10-IP11-IP12</f>
        <v>#VALUE!</v>
      </c>
      <c r="IQ13" s="60" t="e">
        <f t="shared" si="252"/>
        <v>#VALUE!</v>
      </c>
      <c r="IR13" s="60" t="e">
        <f t="shared" si="252"/>
        <v>#VALUE!</v>
      </c>
      <c r="IS13" s="60" t="e">
        <f t="shared" si="252"/>
        <v>#VALUE!</v>
      </c>
      <c r="IT13" s="60" t="e">
        <f t="shared" si="252"/>
        <v>#VALUE!</v>
      </c>
      <c r="IU13" s="60" t="e">
        <f t="shared" si="252"/>
        <v>#VALUE!</v>
      </c>
      <c r="IV13" s="60" t="e">
        <f t="shared" si="252"/>
        <v>#VALUE!</v>
      </c>
      <c r="IW13" s="60" t="e">
        <f t="shared" ref="IW13" si="253">IW9+IW10-IW11-IW12</f>
        <v>#VALUE!</v>
      </c>
      <c r="IX13" s="60"/>
      <c r="IY13" s="60" t="s">
        <v>84</v>
      </c>
      <c r="IZ13" s="6" t="e">
        <f>IZ9-IZ11-IZ12+IZ10</f>
        <v>#VALUE!</v>
      </c>
      <c r="JA13" s="6" t="e">
        <f t="shared" ref="JA13:JG13" si="254">JA9-JA11-JA12+JA10</f>
        <v>#VALUE!</v>
      </c>
      <c r="JB13" s="6" t="e">
        <f t="shared" si="254"/>
        <v>#VALUE!</v>
      </c>
      <c r="JC13" s="6" t="e">
        <f t="shared" si="254"/>
        <v>#VALUE!</v>
      </c>
      <c r="JD13" s="6" t="e">
        <f t="shared" si="254"/>
        <v>#VALUE!</v>
      </c>
      <c r="JE13" s="6" t="e">
        <f t="shared" si="254"/>
        <v>#VALUE!</v>
      </c>
      <c r="JF13" s="6" t="e">
        <f t="shared" si="254"/>
        <v>#VALUE!</v>
      </c>
      <c r="JG13" s="6" t="e">
        <f t="shared" si="254"/>
        <v>#VALUE!</v>
      </c>
      <c r="JH13" s="6" t="e">
        <f t="shared" ref="JH13" si="255">JH9-JH11-JH12+JH10</f>
        <v>#VALUE!</v>
      </c>
      <c r="JI13" s="60"/>
      <c r="JJ13" t="s">
        <v>84</v>
      </c>
      <c r="JK13" s="60">
        <f>JK9+JK10-JK11-JK12</f>
        <v>0</v>
      </c>
      <c r="JL13" s="60">
        <f t="shared" ref="JL13:JR13" si="256">JL9+JL10-JL11-JL12</f>
        <v>0</v>
      </c>
      <c r="JM13" s="60">
        <f t="shared" si="256"/>
        <v>0</v>
      </c>
      <c r="JN13" s="60">
        <f t="shared" si="256"/>
        <v>0</v>
      </c>
      <c r="JO13" s="60">
        <f t="shared" si="256"/>
        <v>0</v>
      </c>
      <c r="JP13" s="60">
        <f t="shared" si="256"/>
        <v>0</v>
      </c>
      <c r="JQ13" s="60">
        <f t="shared" si="256"/>
        <v>0</v>
      </c>
      <c r="JR13" s="60">
        <f t="shared" si="256"/>
        <v>0</v>
      </c>
      <c r="JS13" s="60">
        <f t="shared" ref="JS13" si="257">JS9+JS10-JS11-JS12</f>
        <v>0</v>
      </c>
      <c r="JT13" s="60"/>
      <c r="JU13" t="s">
        <v>84</v>
      </c>
      <c r="JV13" s="60">
        <f t="shared" ref="JV13" si="258">JV10+JV11-JV12</f>
        <v>0</v>
      </c>
      <c r="JW13" s="60">
        <f t="shared" ref="JW13" si="259">JW10+JW11-JW12</f>
        <v>0</v>
      </c>
      <c r="JX13" s="60">
        <f t="shared" ref="JX13" si="260">JX10+JX11-JX12</f>
        <v>0</v>
      </c>
      <c r="JY13" s="60">
        <f t="shared" ref="JY13" si="261">JY10+JY11-JY12</f>
        <v>0</v>
      </c>
      <c r="JZ13" s="60">
        <f t="shared" ref="JZ13" si="262">JZ10+JZ11-JZ12</f>
        <v>0</v>
      </c>
      <c r="KA13" s="60">
        <f t="shared" ref="KA13" si="263">KA10+KA11-KA12</f>
        <v>0</v>
      </c>
      <c r="KB13" s="60">
        <f t="shared" ref="KB13" si="264">KB10+KB11-KB12</f>
        <v>0</v>
      </c>
      <c r="KC13" s="60">
        <f t="shared" ref="KC13:KD13" si="265">KC10+KC11-KC12</f>
        <v>0</v>
      </c>
      <c r="KD13" s="60">
        <f t="shared" si="265"/>
        <v>0</v>
      </c>
      <c r="KE13" s="60"/>
      <c r="KF13" t="s">
        <v>84</v>
      </c>
      <c r="KG13" s="60">
        <f t="shared" ref="KG13:KN13" si="266">KG10+KG11-KG12</f>
        <v>0</v>
      </c>
      <c r="KH13" s="60">
        <f t="shared" si="266"/>
        <v>0</v>
      </c>
      <c r="KI13" s="60">
        <f t="shared" si="266"/>
        <v>0</v>
      </c>
      <c r="KJ13" s="60">
        <f t="shared" si="266"/>
        <v>0</v>
      </c>
      <c r="KK13" s="60">
        <f t="shared" si="266"/>
        <v>0</v>
      </c>
      <c r="KL13" s="60">
        <f t="shared" si="266"/>
        <v>0</v>
      </c>
      <c r="KM13" s="60">
        <f t="shared" si="266"/>
        <v>0</v>
      </c>
      <c r="KN13" s="60">
        <f t="shared" si="266"/>
        <v>0</v>
      </c>
      <c r="KO13" s="60">
        <f t="shared" ref="KO13" si="267">KO10+KO11-KO12</f>
        <v>0</v>
      </c>
      <c r="KP13" s="60"/>
      <c r="KQ13" t="s">
        <v>84</v>
      </c>
      <c r="KR13" s="6" t="e">
        <f t="shared" ref="KR13:KZ13" si="268">KR35+KR37</f>
        <v>#DIV/0!</v>
      </c>
      <c r="KS13" s="6" t="e">
        <f t="shared" si="268"/>
        <v>#DIV/0!</v>
      </c>
      <c r="KT13" s="6" t="e">
        <f t="shared" si="268"/>
        <v>#DIV/0!</v>
      </c>
      <c r="KU13" s="6" t="e">
        <f t="shared" si="268"/>
        <v>#DIV/0!</v>
      </c>
      <c r="KV13" s="6" t="e">
        <f t="shared" si="268"/>
        <v>#DIV/0!</v>
      </c>
      <c r="KW13" s="6" t="e">
        <f t="shared" si="268"/>
        <v>#DIV/0!</v>
      </c>
      <c r="KX13" s="6" t="e">
        <f t="shared" si="268"/>
        <v>#DIV/0!</v>
      </c>
      <c r="KY13" s="6" t="e">
        <f t="shared" si="268"/>
        <v>#DIV/0!</v>
      </c>
      <c r="KZ13" s="6" t="e">
        <f t="shared" si="268"/>
        <v>#DIV/0!</v>
      </c>
      <c r="LB13" t="s">
        <v>84</v>
      </c>
      <c r="LC13" s="60">
        <f t="shared" ref="LC13:LJ13" si="269">LC10+LC11-LC12</f>
        <v>0</v>
      </c>
      <c r="LD13" s="60">
        <f t="shared" si="269"/>
        <v>0</v>
      </c>
      <c r="LE13" s="60">
        <f t="shared" si="269"/>
        <v>0</v>
      </c>
      <c r="LF13" s="60">
        <f t="shared" si="269"/>
        <v>0</v>
      </c>
      <c r="LG13" s="60">
        <f t="shared" si="269"/>
        <v>0</v>
      </c>
      <c r="LH13" s="60">
        <f t="shared" si="269"/>
        <v>0</v>
      </c>
      <c r="LI13" s="60">
        <f t="shared" si="269"/>
        <v>0</v>
      </c>
      <c r="LJ13" s="60">
        <f t="shared" si="269"/>
        <v>0</v>
      </c>
      <c r="LK13" s="60">
        <f t="shared" ref="LK13" si="270">LK10+LK11-LK12</f>
        <v>0</v>
      </c>
      <c r="LL13" s="60"/>
      <c r="LM13" t="s">
        <v>84</v>
      </c>
      <c r="LN13" s="60" t="e">
        <f>LN9+LN10-LN12-LN11</f>
        <v>#VALUE!</v>
      </c>
      <c r="LO13" s="60" t="e">
        <f t="shared" ref="LO13:LU13" si="271">LO9+LO10-LO12-LO11</f>
        <v>#VALUE!</v>
      </c>
      <c r="LP13" s="60" t="e">
        <f t="shared" si="271"/>
        <v>#VALUE!</v>
      </c>
      <c r="LQ13" s="60" t="e">
        <f t="shared" si="271"/>
        <v>#VALUE!</v>
      </c>
      <c r="LR13" s="60" t="e">
        <f t="shared" si="271"/>
        <v>#VALUE!</v>
      </c>
      <c r="LS13" s="60" t="e">
        <f t="shared" si="271"/>
        <v>#VALUE!</v>
      </c>
      <c r="LT13" s="60" t="e">
        <f t="shared" si="271"/>
        <v>#VALUE!</v>
      </c>
      <c r="LU13" s="60" t="e">
        <f t="shared" si="271"/>
        <v>#VALUE!</v>
      </c>
      <c r="LV13" s="60" t="e">
        <f t="shared" ref="LV13" si="272">LV9+LV10-LV12-LV11</f>
        <v>#VALUE!</v>
      </c>
      <c r="LW13" s="60"/>
      <c r="LX13" t="s">
        <v>84</v>
      </c>
      <c r="LY13" s="60">
        <f t="shared" ref="LY13" si="273">LY10+LY11-LY12</f>
        <v>0</v>
      </c>
      <c r="LZ13" s="60">
        <f t="shared" ref="LZ13" si="274">LZ10+LZ11-LZ12</f>
        <v>0</v>
      </c>
      <c r="MA13" s="60">
        <f t="shared" ref="MA13" si="275">MA10+MA11-MA12</f>
        <v>0</v>
      </c>
      <c r="MB13" s="60">
        <f t="shared" ref="MB13" si="276">MB10+MB11-MB12</f>
        <v>0</v>
      </c>
      <c r="MC13" s="60">
        <f t="shared" ref="MC13" si="277">MC10+MC11-MC12</f>
        <v>0</v>
      </c>
      <c r="MD13" s="60">
        <f t="shared" ref="MD13" si="278">MD10+MD11-MD12</f>
        <v>0</v>
      </c>
      <c r="ME13" s="60">
        <f t="shared" ref="ME13" si="279">ME10+ME11-ME12</f>
        <v>0</v>
      </c>
      <c r="MF13" s="60">
        <f t="shared" ref="MF13:MG13" si="280">MF10+MF11-MF12</f>
        <v>0</v>
      </c>
      <c r="MG13" s="60">
        <f t="shared" si="280"/>
        <v>0</v>
      </c>
      <c r="MH13" s="60"/>
      <c r="MI13" t="s">
        <v>84</v>
      </c>
      <c r="MJ13" s="60">
        <f>MJ10+MJ11-MJ12</f>
        <v>0</v>
      </c>
      <c r="MK13" s="60">
        <f t="shared" ref="MK13" si="281">MK10+MK11-MK12</f>
        <v>0</v>
      </c>
      <c r="ML13" s="60">
        <f t="shared" ref="ML13" si="282">ML10+ML11-ML12</f>
        <v>0</v>
      </c>
      <c r="MM13" s="60">
        <f t="shared" ref="MM13" si="283">MM10+MM11-MM12</f>
        <v>0</v>
      </c>
      <c r="MN13" s="60">
        <f t="shared" ref="MN13" si="284">MN10+MN11-MN12</f>
        <v>0</v>
      </c>
      <c r="MO13" s="60">
        <f t="shared" ref="MO13" si="285">MO10+MO11-MO12</f>
        <v>0</v>
      </c>
      <c r="MP13" s="60">
        <f t="shared" ref="MP13" si="286">MP10+MP11-MP12</f>
        <v>0</v>
      </c>
      <c r="MQ13" s="60">
        <f t="shared" ref="MQ13:MR13" si="287">MQ10+MQ11-MQ12</f>
        <v>0</v>
      </c>
      <c r="MR13" s="60">
        <f t="shared" si="287"/>
        <v>0</v>
      </c>
      <c r="MS13" s="60"/>
      <c r="MT13" t="s">
        <v>84</v>
      </c>
      <c r="MU13" s="60">
        <f t="shared" ref="MU13" si="288">MU10+MU11-MU12</f>
        <v>0</v>
      </c>
      <c r="MV13" s="60">
        <f t="shared" ref="MV13" si="289">MV10+MV11-MV12</f>
        <v>0</v>
      </c>
      <c r="MW13" s="60">
        <f t="shared" ref="MW13" si="290">MW10+MW11-MW12</f>
        <v>0</v>
      </c>
      <c r="MX13" s="60">
        <f t="shared" ref="MX13" si="291">MX10+MX11-MX12</f>
        <v>0</v>
      </c>
      <c r="MY13" s="60">
        <f t="shared" ref="MY13" si="292">MY10+MY11-MY12</f>
        <v>0</v>
      </c>
      <c r="MZ13" s="60">
        <f t="shared" ref="MZ13" si="293">MZ10+MZ11-MZ12</f>
        <v>0</v>
      </c>
      <c r="NA13" s="60">
        <f t="shared" ref="NA13" si="294">NA10+NA11-NA12</f>
        <v>0</v>
      </c>
      <c r="NB13" s="60">
        <f t="shared" ref="NB13:NC13" si="295">NB10+NB11-NB12</f>
        <v>0</v>
      </c>
      <c r="NC13" s="60">
        <f t="shared" si="295"/>
        <v>0</v>
      </c>
      <c r="ND13" s="60"/>
      <c r="NE13" t="s">
        <v>84</v>
      </c>
      <c r="NF13" s="60">
        <f t="shared" ref="NF13:NG13" si="296">NF10+NF11-NF12</f>
        <v>0</v>
      </c>
      <c r="NG13" s="60">
        <f t="shared" si="296"/>
        <v>0</v>
      </c>
      <c r="NH13" s="60">
        <f t="shared" ref="NH13" si="297">NH10+NH11-NH12</f>
        <v>0</v>
      </c>
      <c r="NI13" s="60">
        <f t="shared" ref="NI13" si="298">NI10+NI11-NI12</f>
        <v>0</v>
      </c>
      <c r="NJ13" s="60">
        <f t="shared" ref="NJ13" si="299">NJ10+NJ11-NJ12</f>
        <v>0</v>
      </c>
      <c r="NK13" s="60">
        <f t="shared" ref="NK13" si="300">NK10+NK11-NK12</f>
        <v>0</v>
      </c>
      <c r="NL13" s="60">
        <f t="shared" ref="NL13" si="301">NL10+NL11-NL12</f>
        <v>0</v>
      </c>
      <c r="NM13" s="60">
        <f t="shared" ref="NM13:NN13" si="302">NM10+NM11-NM12</f>
        <v>0</v>
      </c>
      <c r="NN13" s="60">
        <f t="shared" si="302"/>
        <v>0</v>
      </c>
      <c r="NO13" s="60"/>
      <c r="NP13" s="60" t="s">
        <v>84</v>
      </c>
      <c r="NQ13" s="60" t="e">
        <f>NQ9+NQ10-NQ11-NQ12</f>
        <v>#VALUE!</v>
      </c>
      <c r="NR13" s="60" t="e">
        <f t="shared" ref="NR13:NY13" si="303">NR9+NR10-NR11-NR12</f>
        <v>#VALUE!</v>
      </c>
      <c r="NS13" s="60" t="e">
        <f t="shared" si="303"/>
        <v>#VALUE!</v>
      </c>
      <c r="NT13" s="60" t="e">
        <f t="shared" si="303"/>
        <v>#VALUE!</v>
      </c>
      <c r="NU13" s="60" t="e">
        <f t="shared" si="303"/>
        <v>#VALUE!</v>
      </c>
      <c r="NV13" s="60" t="e">
        <f t="shared" si="303"/>
        <v>#VALUE!</v>
      </c>
      <c r="NW13" s="60" t="e">
        <f t="shared" si="303"/>
        <v>#VALUE!</v>
      </c>
      <c r="NX13" s="60" t="e">
        <f t="shared" si="303"/>
        <v>#VALUE!</v>
      </c>
      <c r="NY13" s="60" t="e">
        <f t="shared" si="303"/>
        <v>#VALUE!</v>
      </c>
      <c r="NZ13" s="60"/>
      <c r="OA13" t="s">
        <v>84</v>
      </c>
      <c r="OB13" s="60">
        <f>OB10+OB11-OB12</f>
        <v>0</v>
      </c>
      <c r="OC13" s="60">
        <f t="shared" ref="OC13" si="304">OC10+OC11-OC12</f>
        <v>0</v>
      </c>
      <c r="OD13" s="60">
        <f t="shared" ref="OD13" si="305">OD10+OD11-OD12</f>
        <v>0</v>
      </c>
      <c r="OE13" s="60">
        <f t="shared" ref="OE13" si="306">OE10+OE11-OE12</f>
        <v>0</v>
      </c>
      <c r="OF13" s="60">
        <f t="shared" ref="OF13" si="307">OF10+OF11-OF12</f>
        <v>0</v>
      </c>
      <c r="OG13" s="60">
        <f t="shared" ref="OG13" si="308">OG10+OG11-OG12</f>
        <v>0</v>
      </c>
      <c r="OH13" s="60">
        <f t="shared" ref="OH13" si="309">OH10+OH11-OH12</f>
        <v>0</v>
      </c>
      <c r="OI13" s="60">
        <f t="shared" ref="OI13:OJ13" si="310">OI10+OI11-OI12</f>
        <v>0</v>
      </c>
      <c r="OJ13" s="60">
        <f t="shared" si="310"/>
        <v>0</v>
      </c>
      <c r="OK13" s="60"/>
      <c r="OL13" t="s">
        <v>84</v>
      </c>
      <c r="OM13" s="60">
        <f t="shared" ref="OM13" si="311">OM10+OM11-OM12</f>
        <v>0</v>
      </c>
      <c r="ON13" s="60">
        <f t="shared" ref="ON13" si="312">ON10+ON11-ON12</f>
        <v>0</v>
      </c>
      <c r="OO13" s="60">
        <f t="shared" ref="OO13" si="313">OO10+OO11-OO12</f>
        <v>0</v>
      </c>
      <c r="OP13" s="60">
        <f t="shared" ref="OP13" si="314">OP10+OP11-OP12</f>
        <v>0</v>
      </c>
      <c r="OQ13" s="60">
        <f t="shared" ref="OQ13" si="315">OQ10+OQ11-OQ12</f>
        <v>0</v>
      </c>
      <c r="OR13" s="60">
        <f t="shared" ref="OR13" si="316">OR10+OR11-OR12</f>
        <v>0</v>
      </c>
      <c r="OS13" s="60">
        <f t="shared" ref="OS13" si="317">OS10+OS11-OS12</f>
        <v>0</v>
      </c>
      <c r="OT13" s="60">
        <f t="shared" ref="OT13:OU13" si="318">OT10+OT11-OT12</f>
        <v>0</v>
      </c>
      <c r="OU13" s="60">
        <f t="shared" si="318"/>
        <v>0</v>
      </c>
      <c r="OV13" s="60"/>
      <c r="OW13" t="s">
        <v>84</v>
      </c>
      <c r="OX13" s="60">
        <f t="shared" ref="OX13" si="319">OX10+OX11-OX12</f>
        <v>0</v>
      </c>
      <c r="OY13" s="60">
        <f t="shared" ref="OY13" si="320">OY10+OY11-OY12</f>
        <v>0</v>
      </c>
      <c r="OZ13" s="60">
        <f t="shared" ref="OZ13" si="321">OZ10+OZ11-OZ12</f>
        <v>0</v>
      </c>
      <c r="PA13" s="60">
        <f t="shared" ref="PA13" si="322">PA10+PA11-PA12</f>
        <v>0</v>
      </c>
      <c r="PB13" s="60">
        <f t="shared" ref="PB13" si="323">PB10+PB11-PB12</f>
        <v>0</v>
      </c>
      <c r="PC13" s="60">
        <f t="shared" ref="PC13" si="324">PC10+PC11-PC12</f>
        <v>0</v>
      </c>
      <c r="PD13" s="60">
        <f t="shared" ref="PD13" si="325">PD10+PD11-PD12</f>
        <v>0</v>
      </c>
      <c r="PE13" s="60">
        <f t="shared" ref="PE13:PF13" si="326">PE10+PE11-PE12</f>
        <v>0</v>
      </c>
      <c r="PF13" s="60">
        <f t="shared" si="326"/>
        <v>0</v>
      </c>
      <c r="PG13" s="60"/>
      <c r="PH13" t="s">
        <v>84</v>
      </c>
      <c r="PI13" s="60">
        <f>PI10+PI11-PI12</f>
        <v>0</v>
      </c>
      <c r="PJ13" s="60">
        <f t="shared" ref="PJ13" si="327">PJ10+PJ11-PJ12</f>
        <v>0</v>
      </c>
      <c r="PK13" s="60">
        <f t="shared" ref="PK13" si="328">PK10+PK11-PK12</f>
        <v>0</v>
      </c>
      <c r="PL13" s="60">
        <f t="shared" ref="PL13" si="329">PL10+PL11-PL12</f>
        <v>0</v>
      </c>
      <c r="PM13" s="60">
        <f t="shared" ref="PM13" si="330">PM10+PM11-PM12</f>
        <v>0</v>
      </c>
      <c r="PN13" s="60">
        <f t="shared" ref="PN13" si="331">PN10+PN11-PN12</f>
        <v>0</v>
      </c>
      <c r="PO13" s="60">
        <f t="shared" ref="PO13" si="332">PO10+PO11-PO12</f>
        <v>0</v>
      </c>
      <c r="PP13" s="60">
        <f t="shared" ref="PP13:PQ13" si="333">PP10+PP11-PP12</f>
        <v>0</v>
      </c>
      <c r="PQ13" s="60">
        <f t="shared" si="333"/>
        <v>0</v>
      </c>
      <c r="PR13" s="60"/>
      <c r="PS13" t="s">
        <v>84</v>
      </c>
      <c r="PT13" s="60" t="e">
        <f>PT9+PT10-PT11-PT12</f>
        <v>#N/A</v>
      </c>
      <c r="PU13" s="60" t="e">
        <f t="shared" ref="PU13:QA13" si="334">PU9+PU10-PU11-PU12</f>
        <v>#N/A</v>
      </c>
      <c r="PV13" s="60" t="e">
        <f t="shared" si="334"/>
        <v>#N/A</v>
      </c>
      <c r="PW13" s="60" t="e">
        <f t="shared" si="334"/>
        <v>#N/A</v>
      </c>
      <c r="PX13" s="60" t="e">
        <f t="shared" si="334"/>
        <v>#N/A</v>
      </c>
      <c r="PY13" s="60" t="e">
        <f t="shared" si="334"/>
        <v>#N/A</v>
      </c>
      <c r="PZ13" s="60" t="e">
        <f t="shared" si="334"/>
        <v>#N/A</v>
      </c>
      <c r="QA13" s="60" t="e">
        <f t="shared" si="334"/>
        <v>#N/A</v>
      </c>
      <c r="QB13" s="60" t="e">
        <f t="shared" ref="QB13" si="335">QB9+QB10-QB11-QB12</f>
        <v>#VALUE!</v>
      </c>
      <c r="QC13" s="60"/>
      <c r="QD13" t="s">
        <v>84</v>
      </c>
      <c r="QE13" s="60">
        <f t="shared" ref="QE13" si="336">QE10+QE11-QE12</f>
        <v>0</v>
      </c>
      <c r="QF13" s="60">
        <f t="shared" ref="QF13" si="337">QF10+QF11-QF12</f>
        <v>0</v>
      </c>
      <c r="QG13" s="60">
        <f t="shared" ref="QG13" si="338">QG10+QG11-QG12</f>
        <v>0</v>
      </c>
      <c r="QH13" s="60">
        <f t="shared" ref="QH13" si="339">QH10+QH11-QH12</f>
        <v>0</v>
      </c>
      <c r="QI13" s="60">
        <f t="shared" ref="QI13" si="340">QI10+QI11-QI12</f>
        <v>0</v>
      </c>
      <c r="QJ13" s="60">
        <f t="shared" ref="QJ13" si="341">QJ10+QJ11-QJ12</f>
        <v>0</v>
      </c>
      <c r="QK13" s="60">
        <f t="shared" ref="QK13" si="342">QK10+QK11-QK12</f>
        <v>0</v>
      </c>
      <c r="QL13" s="60">
        <f t="shared" ref="QL13:QM13" si="343">QL10+QL11-QL12</f>
        <v>0</v>
      </c>
      <c r="QM13" s="60">
        <f t="shared" si="343"/>
        <v>0</v>
      </c>
      <c r="QN13" s="60"/>
      <c r="QO13" t="s">
        <v>84</v>
      </c>
      <c r="QP13" s="60">
        <f t="shared" ref="QP13" si="344">QP10+QP11-QP12</f>
        <v>0</v>
      </c>
      <c r="QQ13" s="60">
        <f t="shared" ref="QQ13" si="345">QQ10+QQ11-QQ12</f>
        <v>0</v>
      </c>
      <c r="QR13" s="60">
        <f t="shared" ref="QR13" si="346">QR10+QR11-QR12</f>
        <v>0</v>
      </c>
      <c r="QS13" s="60">
        <f t="shared" ref="QS13" si="347">QS10+QS11-QS12</f>
        <v>0</v>
      </c>
      <c r="QT13" s="60">
        <f t="shared" ref="QT13" si="348">QT10+QT11-QT12</f>
        <v>0</v>
      </c>
      <c r="QU13" s="60">
        <f t="shared" ref="QU13" si="349">QU10+QU11-QU12</f>
        <v>0</v>
      </c>
      <c r="QV13" s="60">
        <f t="shared" ref="QV13" si="350">QV10+QV11-QV12</f>
        <v>0</v>
      </c>
      <c r="QW13" s="60">
        <f t="shared" ref="QW13:QX13" si="351">QW10+QW11-QW12</f>
        <v>0</v>
      </c>
      <c r="QX13" s="60">
        <f t="shared" si="351"/>
        <v>0</v>
      </c>
      <c r="QY13" s="60"/>
      <c r="QZ13" t="s">
        <v>84</v>
      </c>
      <c r="RA13" s="60">
        <f t="shared" ref="RA13" si="352">RA10+RA11-RA12</f>
        <v>0</v>
      </c>
      <c r="RB13" s="60">
        <f t="shared" ref="RB13" si="353">RB10+RB11-RB12</f>
        <v>0</v>
      </c>
      <c r="RC13" s="60">
        <f t="shared" ref="RC13" si="354">RC10+RC11-RC12</f>
        <v>0</v>
      </c>
      <c r="RD13" s="60">
        <f t="shared" ref="RD13" si="355">RD10+RD11-RD12</f>
        <v>0</v>
      </c>
      <c r="RE13" s="60">
        <f t="shared" ref="RE13" si="356">RE10+RE11-RE12</f>
        <v>0</v>
      </c>
      <c r="RF13" s="60">
        <f t="shared" ref="RF13" si="357">RF10+RF11-RF12</f>
        <v>0</v>
      </c>
      <c r="RG13" s="60">
        <f t="shared" ref="RG13" si="358">RG10+RG11-RG12</f>
        <v>0</v>
      </c>
      <c r="RH13" s="60">
        <f t="shared" ref="RH13:RI13" si="359">RH10+RH11-RH12</f>
        <v>0</v>
      </c>
      <c r="RI13" s="60" t="e">
        <f t="shared" si="359"/>
        <v>#VALUE!</v>
      </c>
      <c r="RJ13" s="60"/>
      <c r="RK13" t="s">
        <v>84</v>
      </c>
      <c r="RL13" s="60">
        <f t="shared" ref="RL13" si="360">RL10+RL11-RL12</f>
        <v>0</v>
      </c>
      <c r="RM13" s="60">
        <f t="shared" ref="RM13" si="361">RM10+RM11-RM12</f>
        <v>0</v>
      </c>
      <c r="RN13" s="60">
        <f t="shared" ref="RN13" si="362">RN10+RN11-RN12</f>
        <v>0</v>
      </c>
      <c r="RO13" s="60">
        <f t="shared" ref="RO13" si="363">RO10+RO11-RO12</f>
        <v>0</v>
      </c>
      <c r="RP13" s="60">
        <f t="shared" ref="RP13" si="364">RP10+RP11-RP12</f>
        <v>0</v>
      </c>
      <c r="RQ13" s="60">
        <f t="shared" ref="RQ13" si="365">RQ10+RQ11-RQ12</f>
        <v>0</v>
      </c>
      <c r="RR13" s="60">
        <f t="shared" ref="RR13" si="366">RR10+RR11-RR12</f>
        <v>0</v>
      </c>
      <c r="RS13" s="60">
        <f t="shared" ref="RS13:RT13" si="367">RS10+RS11-RS12</f>
        <v>0</v>
      </c>
      <c r="RT13" s="60">
        <f t="shared" si="367"/>
        <v>0</v>
      </c>
      <c r="RU13" s="60"/>
      <c r="RV13" t="s">
        <v>84</v>
      </c>
      <c r="RW13" s="60">
        <f t="shared" ref="RW13" si="368">RW10+RW11-RW12</f>
        <v>0</v>
      </c>
      <c r="RX13" s="60">
        <f t="shared" ref="RX13" si="369">RX10+RX11-RX12</f>
        <v>0</v>
      </c>
      <c r="RY13" s="60">
        <f t="shared" ref="RY13" si="370">RY10+RY11-RY12</f>
        <v>0</v>
      </c>
      <c r="RZ13" s="60">
        <f t="shared" ref="RZ13" si="371">RZ10+RZ11-RZ12</f>
        <v>0</v>
      </c>
      <c r="SA13" s="60">
        <f t="shared" ref="SA13" si="372">SA10+SA11-SA12</f>
        <v>0</v>
      </c>
      <c r="SB13" s="60">
        <f t="shared" ref="SB13" si="373">SB10+SB11-SB12</f>
        <v>0</v>
      </c>
      <c r="SC13" s="60">
        <f t="shared" ref="SC13" si="374">SC10+SC11-SC12</f>
        <v>0</v>
      </c>
      <c r="SD13" s="60">
        <f t="shared" ref="SD13:SE13" si="375">SD10+SD11-SD12</f>
        <v>0</v>
      </c>
      <c r="SE13" s="60">
        <f t="shared" si="375"/>
        <v>0</v>
      </c>
      <c r="SF13" s="60"/>
      <c r="SG13" t="s">
        <v>84</v>
      </c>
      <c r="SH13" s="60">
        <f t="shared" ref="SH13" si="376">SH10+SH11-SH12</f>
        <v>0</v>
      </c>
      <c r="SI13" s="60">
        <f t="shared" ref="SI13" si="377">SI10+SI11-SI12</f>
        <v>0</v>
      </c>
      <c r="SJ13" s="60">
        <f t="shared" ref="SJ13" si="378">SJ10+SJ11-SJ12</f>
        <v>0</v>
      </c>
      <c r="SK13" s="60">
        <f t="shared" ref="SK13" si="379">SK10+SK11-SK12</f>
        <v>0</v>
      </c>
      <c r="SL13" s="60">
        <f t="shared" ref="SL13" si="380">SL10+SL11-SL12</f>
        <v>0</v>
      </c>
      <c r="SM13" s="60">
        <f t="shared" ref="SM13" si="381">SM10+SM11-SM12</f>
        <v>0</v>
      </c>
      <c r="SN13" s="60">
        <f t="shared" ref="SN13" si="382">SN10+SN11-SN12</f>
        <v>0</v>
      </c>
      <c r="SO13" s="60">
        <f t="shared" ref="SO13:SP13" si="383">SO10+SO11-SO12</f>
        <v>0</v>
      </c>
      <c r="SP13" s="60">
        <f t="shared" si="383"/>
        <v>0</v>
      </c>
      <c r="SQ13" s="60"/>
      <c r="SR13" t="s">
        <v>84</v>
      </c>
      <c r="SS13" s="60">
        <f t="shared" ref="SS13:SZ13" si="384">SS10+SS11-SS12</f>
        <v>0</v>
      </c>
      <c r="ST13" s="60">
        <f t="shared" si="384"/>
        <v>0</v>
      </c>
      <c r="SU13" s="60">
        <f t="shared" si="384"/>
        <v>0</v>
      </c>
      <c r="SV13" s="60">
        <f t="shared" si="384"/>
        <v>0</v>
      </c>
      <c r="SW13" s="60">
        <f t="shared" si="384"/>
        <v>0</v>
      </c>
      <c r="SX13" s="60">
        <f t="shared" si="384"/>
        <v>0</v>
      </c>
      <c r="SY13" s="60">
        <f t="shared" si="384"/>
        <v>0</v>
      </c>
      <c r="SZ13" s="60">
        <f t="shared" si="384"/>
        <v>0</v>
      </c>
      <c r="TA13" s="60">
        <f t="shared" ref="TA13" si="385">TA10+TA11-TA12</f>
        <v>0</v>
      </c>
      <c r="TB13" s="60"/>
      <c r="TC13" t="s">
        <v>84</v>
      </c>
      <c r="TD13" s="60">
        <f t="shared" ref="TD13" si="386">TD10+TD11-TD12</f>
        <v>0</v>
      </c>
      <c r="TE13" s="60">
        <f t="shared" ref="TE13" si="387">TE10+TE11-TE12</f>
        <v>0</v>
      </c>
      <c r="TF13" s="60">
        <f t="shared" ref="TF13" si="388">TF10+TF11-TF12</f>
        <v>0</v>
      </c>
      <c r="TG13" s="60">
        <f t="shared" ref="TG13" si="389">TG10+TG11-TG12</f>
        <v>0</v>
      </c>
      <c r="TH13" s="60">
        <f t="shared" ref="TH13" si="390">TH10+TH11-TH12</f>
        <v>0</v>
      </c>
      <c r="TI13" s="60">
        <f t="shared" ref="TI13" si="391">TI10+TI11-TI12</f>
        <v>0</v>
      </c>
      <c r="TJ13" s="60">
        <f t="shared" ref="TJ13" si="392">TJ10+TJ11-TJ12</f>
        <v>0</v>
      </c>
      <c r="TK13" s="60">
        <f t="shared" ref="TK13:TL13" si="393">TK10+TK11-TK12</f>
        <v>0</v>
      </c>
      <c r="TL13" s="60">
        <f t="shared" si="393"/>
        <v>0</v>
      </c>
      <c r="TM13" s="60"/>
      <c r="TN13" t="s">
        <v>84</v>
      </c>
      <c r="TO13" s="60">
        <f t="shared" ref="TO13:TV13" si="394">TO10+TO11-TO12</f>
        <v>0</v>
      </c>
      <c r="TP13" s="60">
        <f t="shared" si="394"/>
        <v>0</v>
      </c>
      <c r="TQ13" s="60">
        <f t="shared" si="394"/>
        <v>0</v>
      </c>
      <c r="TR13" s="60">
        <f t="shared" si="394"/>
        <v>0</v>
      </c>
      <c r="TS13" s="60">
        <f t="shared" si="394"/>
        <v>0</v>
      </c>
      <c r="TT13" s="60">
        <f t="shared" si="394"/>
        <v>0</v>
      </c>
      <c r="TU13" s="60">
        <f t="shared" si="394"/>
        <v>0</v>
      </c>
      <c r="TV13" s="60">
        <f t="shared" si="394"/>
        <v>0</v>
      </c>
      <c r="TW13" s="60">
        <f t="shared" ref="TW13" si="395">TW10+TW11-TW12</f>
        <v>0</v>
      </c>
      <c r="TX13" s="60"/>
      <c r="TY13" t="s">
        <v>84</v>
      </c>
      <c r="TZ13" s="60">
        <f t="shared" ref="TZ13" si="396">TZ10+TZ11-TZ12</f>
        <v>0</v>
      </c>
      <c r="UA13" s="60">
        <f t="shared" ref="UA13" si="397">UA10+UA11-UA12</f>
        <v>0</v>
      </c>
      <c r="UB13" s="60">
        <f t="shared" ref="UB13" si="398">UB10+UB11-UB12</f>
        <v>0</v>
      </c>
      <c r="UC13" s="60">
        <f t="shared" ref="UC13" si="399">UC10+UC11-UC12</f>
        <v>0</v>
      </c>
      <c r="UD13" s="60">
        <f t="shared" ref="UD13" si="400">UD10+UD11-UD12</f>
        <v>0</v>
      </c>
      <c r="UE13" s="60">
        <f t="shared" ref="UE13" si="401">UE10+UE11-UE12</f>
        <v>0</v>
      </c>
      <c r="UF13" s="60">
        <f t="shared" ref="UF13" si="402">UF10+UF11-UF12</f>
        <v>0</v>
      </c>
      <c r="UG13" s="60">
        <f t="shared" ref="UG13:UH13" si="403">UG10+UG11-UG12</f>
        <v>0</v>
      </c>
      <c r="UH13" s="60">
        <f t="shared" si="403"/>
        <v>0</v>
      </c>
      <c r="UI13" s="60"/>
      <c r="UJ13" t="s">
        <v>84</v>
      </c>
      <c r="UK13" s="60">
        <f t="shared" ref="UK13" si="404">UK10+UK11-UK12</f>
        <v>0</v>
      </c>
      <c r="UL13" s="60">
        <f t="shared" ref="UL13" si="405">UL10+UL11-UL12</f>
        <v>0</v>
      </c>
      <c r="UM13" s="60">
        <f t="shared" ref="UM13" si="406">UM10+UM11-UM12</f>
        <v>0</v>
      </c>
      <c r="UN13" s="60">
        <f t="shared" ref="UN13" si="407">UN10+UN11-UN12</f>
        <v>0</v>
      </c>
      <c r="UO13" s="60">
        <f t="shared" ref="UO13" si="408">UO10+UO11-UO12</f>
        <v>0</v>
      </c>
      <c r="UP13" s="60">
        <f t="shared" ref="UP13" si="409">UP10+UP11-UP12</f>
        <v>0</v>
      </c>
      <c r="UQ13" s="60">
        <f t="shared" ref="UQ13" si="410">UQ10+UQ11-UQ12</f>
        <v>0</v>
      </c>
      <c r="UR13" s="60">
        <f t="shared" ref="UR13:US13" si="411">UR10+UR11-UR12</f>
        <v>0</v>
      </c>
      <c r="US13" s="60">
        <f t="shared" si="411"/>
        <v>0</v>
      </c>
      <c r="UT13" s="60"/>
      <c r="UU13" t="s">
        <v>84</v>
      </c>
      <c r="UV13" s="60" t="e">
        <f>UV11-UV12</f>
        <v>#VALUE!</v>
      </c>
      <c r="UW13" s="60" t="e">
        <f t="shared" ref="UW13:VC13" si="412">UW11-UW12</f>
        <v>#VALUE!</v>
      </c>
      <c r="UX13" s="60" t="e">
        <f t="shared" si="412"/>
        <v>#VALUE!</v>
      </c>
      <c r="UY13" s="60" t="e">
        <f t="shared" si="412"/>
        <v>#VALUE!</v>
      </c>
      <c r="UZ13" s="60" t="e">
        <f t="shared" si="412"/>
        <v>#VALUE!</v>
      </c>
      <c r="VA13" s="60" t="e">
        <f t="shared" si="412"/>
        <v>#VALUE!</v>
      </c>
      <c r="VB13" s="60" t="e">
        <f t="shared" si="412"/>
        <v>#VALUE!</v>
      </c>
      <c r="VC13" s="60" t="e">
        <f t="shared" si="412"/>
        <v>#VALUE!</v>
      </c>
      <c r="VD13" s="60" t="e">
        <f t="shared" ref="VD13" si="413">VD11-VD12</f>
        <v>#VALUE!</v>
      </c>
      <c r="VE13" s="60"/>
      <c r="VF13" t="s">
        <v>84</v>
      </c>
      <c r="VG13" s="60">
        <f t="shared" ref="VG13" si="414">VG10+VG11-VG12</f>
        <v>0</v>
      </c>
      <c r="VH13" s="60">
        <f t="shared" ref="VH13" si="415">VH10+VH11-VH12</f>
        <v>0</v>
      </c>
      <c r="VI13" s="60">
        <f t="shared" ref="VI13" si="416">VI10+VI11-VI12</f>
        <v>0</v>
      </c>
      <c r="VJ13" s="60">
        <f t="shared" ref="VJ13" si="417">VJ10+VJ11-VJ12</f>
        <v>0</v>
      </c>
      <c r="VK13" s="60">
        <f t="shared" ref="VK13" si="418">VK10+VK11-VK12</f>
        <v>0</v>
      </c>
      <c r="VL13" s="60">
        <f t="shared" ref="VL13" si="419">VL10+VL11-VL12</f>
        <v>0</v>
      </c>
      <c r="VM13" s="60">
        <f t="shared" ref="VM13" si="420">VM10+VM11-VM12</f>
        <v>0</v>
      </c>
      <c r="VN13" s="60">
        <f t="shared" ref="VN13:VO13" si="421">VN10+VN11-VN12</f>
        <v>0</v>
      </c>
      <c r="VO13" s="60">
        <f t="shared" si="421"/>
        <v>0</v>
      </c>
      <c r="VT13" s="59">
        <v>0</v>
      </c>
    </row>
    <row r="14" spans="1:592" x14ac:dyDescent="0.25">
      <c r="A14" s="2" t="s">
        <v>12</v>
      </c>
      <c r="B14" s="39"/>
      <c r="C14" s="2"/>
      <c r="D14" s="39"/>
      <c r="E14" s="2" t="s">
        <v>579</v>
      </c>
      <c r="F14" s="310">
        <v>0</v>
      </c>
      <c r="G14" s="39" t="str">
        <f ca="1">DATEDIF(F14, TODAY(), "Y") &amp; " years old"</f>
        <v>124 years old</v>
      </c>
      <c r="H14" s="2"/>
      <c r="I14" s="2"/>
      <c r="J14" s="2"/>
      <c r="K14" s="47"/>
      <c r="Q14" s="74" t="s">
        <v>220</v>
      </c>
      <c r="R14" s="75"/>
      <c r="S14" s="76"/>
      <c r="T14" s="35"/>
      <c r="U14" s="21"/>
      <c r="AM14" t="s">
        <v>203</v>
      </c>
      <c r="AN14" s="126" t="str">
        <f>IF(OR(B$2="Single", B$2="HOH", B$2="MFS"),
    IF(AN13&lt;=500, AN13*0.02,
       IF(AN13&lt;=3000, 10 + 0.04*(AN13-500),
          110 + 0.05*(AN13-3000))),
    IF(B$2="MFJ",
        IF(AN13&lt;=1000, AN13*0.02,
           IF(AN13&lt;=6000, 20 + 0.04*(AN13-1000),
              220 + 0.05*(AN13-6000))),
        "-")
   )</f>
        <v>-</v>
      </c>
      <c r="AO14" s="126" t="str">
        <f t="shared" ref="AO14:AV14" si="422">IF(OR(C$2="Single", C$2="HOH", C$2="MFS"),
    IF(AO13&lt;=500, AO13*0.02,
       IF(AO13&lt;=3000, 10 + 0.04*(AO13-500),
          110 + 0.05*(AO13-3000))),
    IF(C$2="MFJ",
        IF(AO13&lt;=1000, AO13*0.02,
           IF(AO13&lt;=6000, 20 + 0.04*(AO13-1000),
              220 + 0.05*(AO13-6000))),
        "-")
   )</f>
        <v>-</v>
      </c>
      <c r="AP14" s="126" t="str">
        <f t="shared" si="422"/>
        <v>-</v>
      </c>
      <c r="AQ14" s="126" t="str">
        <f t="shared" si="422"/>
        <v>-</v>
      </c>
      <c r="AR14" s="126" t="str">
        <f t="shared" si="422"/>
        <v>-</v>
      </c>
      <c r="AS14" s="126" t="str">
        <f t="shared" si="422"/>
        <v>-</v>
      </c>
      <c r="AT14" s="126" t="str">
        <f t="shared" si="422"/>
        <v>-</v>
      </c>
      <c r="AU14" s="126" t="str">
        <f t="shared" si="422"/>
        <v>-</v>
      </c>
      <c r="AV14" s="126" t="str">
        <f t="shared" si="422"/>
        <v>-</v>
      </c>
      <c r="AW14" s="126"/>
      <c r="AX14" s="60" t="s">
        <v>203</v>
      </c>
      <c r="AY14" s="60"/>
      <c r="AZ14" s="60"/>
      <c r="BA14" s="60"/>
      <c r="BB14" s="60"/>
      <c r="BC14" s="60"/>
      <c r="BD14" s="60"/>
      <c r="BE14" s="60"/>
      <c r="BF14" s="60"/>
      <c r="BG14" s="60"/>
      <c r="BH14" s="60"/>
      <c r="BI14" s="60" t="s">
        <v>203</v>
      </c>
      <c r="BJ14" s="60" t="str">
        <f t="shared" ref="BJ14:BR14" si="423">IF(B1=2022,
    IF(OR(B2="Single", B2="MFS"),
        IF(BJ13 &lt;= 28653, 0.0255*BJ13, 0.0298*BJ13 + 731),
        IF(OR(B2="MFJ", B2="HOH"),
            IF(BJ13 &lt;= 57305, 0.0255*BJ13, 0.0298*BJ13 + 1461)
        )
    ),
    IF(OR(B1=2023, B1=2024),
        BJ13*0.025,
        "Check Inputs"
    )
)</f>
        <v>Check Inputs</v>
      </c>
      <c r="BK14" s="60" t="str">
        <f t="shared" si="423"/>
        <v>Check Inputs</v>
      </c>
      <c r="BL14" s="60" t="str">
        <f t="shared" si="423"/>
        <v>Check Inputs</v>
      </c>
      <c r="BM14" s="60" t="str">
        <f t="shared" si="423"/>
        <v>Check Inputs</v>
      </c>
      <c r="BN14" s="60" t="str">
        <f t="shared" si="423"/>
        <v>Check Inputs</v>
      </c>
      <c r="BO14" s="60" t="str">
        <f t="shared" si="423"/>
        <v>Check Inputs</v>
      </c>
      <c r="BP14" s="60" t="str">
        <f t="shared" si="423"/>
        <v>Check Inputs</v>
      </c>
      <c r="BQ14" s="60" t="str">
        <f t="shared" si="423"/>
        <v>Check Inputs</v>
      </c>
      <c r="BR14" s="60" t="str">
        <f t="shared" si="423"/>
        <v>Check Inputs</v>
      </c>
      <c r="BS14" s="60"/>
      <c r="BT14" s="127" t="s">
        <v>203</v>
      </c>
      <c r="BU14" s="60">
        <f>IF(
    BU13 &lt;= 5099, BU13 * 0,
    IF(
        BU13 &lt;= 10299, BU13 * 0.02 - 101.98,
        IF(
            BU13 &lt;= 14699, BU13 * 0.03 - 204.97,
            IF(
                BU13 &lt;= 24299, BU13 * 0.034 - 263.77,
                IF(
                    BU13 &lt;= 87000, BU13 * 0.049 - 628.25,
                    BU13 * 0.049 - 627.2
                )
            )
        )
    )
)</f>
        <v>0</v>
      </c>
      <c r="BV14" s="60">
        <f t="shared" ref="BV14:CB14" si="424">IF(
    BV13 &lt;= 5099, BV13 * 0,
    IF(
        BV13 &lt;= 10299, BV13 * 0.02 - 101.98,
        IF(
            BV13 &lt;= 14699, BV13 * 0.03 - 204.97,
            IF(
                BV13 &lt;= 24299, BV13 * 0.034 - 263.77,
                IF(
                    BV13 &lt;= 87000, BV13 * 0.049 - 628.25,
                    BV13 * 0.049 - 627.2
                )
            )
        )
    )
)</f>
        <v>0</v>
      </c>
      <c r="BW14" s="60">
        <f t="shared" si="424"/>
        <v>0</v>
      </c>
      <c r="BX14" s="60">
        <f t="shared" si="424"/>
        <v>0</v>
      </c>
      <c r="BY14" s="60">
        <f t="shared" si="424"/>
        <v>0</v>
      </c>
      <c r="BZ14" s="60">
        <f t="shared" si="424"/>
        <v>0</v>
      </c>
      <c r="CA14" s="60">
        <f t="shared" si="424"/>
        <v>0</v>
      </c>
      <c r="CB14" s="60">
        <f t="shared" si="424"/>
        <v>0</v>
      </c>
      <c r="CC14" s="60">
        <f t="shared" ref="CC14" si="425">IF(
    CC13 &lt;= 5099, CC13 * 0,
    IF(
        CC13 &lt;= 10299, CC13 * 0.02 - 101.98,
        IF(
            CC13 &lt;= 14699, CC13 * 0.03 - 204.97,
            IF(
                CC13 &lt;= 24299, CC13 * 0.034 - 263.77,
                IF(
                    CC13 &lt;= 87000, CC13 * 0.049 - 628.25,
                    CC13 * 0.049 - 627.2
                )
            )
        )
    )
)</f>
        <v>0</v>
      </c>
      <c r="CD14" s="60"/>
      <c r="CE14" s="60" t="s">
        <v>203</v>
      </c>
      <c r="CF14" s="273" t="str">
        <f t="shared" ref="CF14:CN14" si="426">IF(B1=2022, CF21, IF(OR(B1=2023, B1=2024), CF20, "Check Inputs"))</f>
        <v>Check Inputs</v>
      </c>
      <c r="CG14" s="273" t="str">
        <f t="shared" si="426"/>
        <v>Check Inputs</v>
      </c>
      <c r="CH14" s="273" t="str">
        <f t="shared" si="426"/>
        <v>Check Inputs</v>
      </c>
      <c r="CI14" s="273" t="str">
        <f t="shared" si="426"/>
        <v>Check Inputs</v>
      </c>
      <c r="CJ14" s="273" t="str">
        <f t="shared" si="426"/>
        <v>Check Inputs</v>
      </c>
      <c r="CK14" s="273" t="str">
        <f t="shared" si="426"/>
        <v>Check Inputs</v>
      </c>
      <c r="CL14" s="273" t="str">
        <f t="shared" si="426"/>
        <v>Check Inputs</v>
      </c>
      <c r="CM14" s="273" t="str">
        <f t="shared" si="426"/>
        <v>Check Inputs</v>
      </c>
      <c r="CN14" s="273" t="str">
        <f t="shared" si="426"/>
        <v>Check Inputs</v>
      </c>
      <c r="CO14" s="60"/>
      <c r="CP14" s="60" t="s">
        <v>203</v>
      </c>
      <c r="CQ14" s="60">
        <f>CQ13*0.044</f>
        <v>0</v>
      </c>
      <c r="CR14" s="60">
        <f t="shared" ref="CR14:CX14" si="427">CR13*0.044</f>
        <v>0</v>
      </c>
      <c r="CS14" s="60">
        <f t="shared" si="427"/>
        <v>0</v>
      </c>
      <c r="CT14" s="60">
        <f t="shared" si="427"/>
        <v>0</v>
      </c>
      <c r="CU14" s="60">
        <f t="shared" si="427"/>
        <v>0</v>
      </c>
      <c r="CV14" s="60">
        <f t="shared" si="427"/>
        <v>0</v>
      </c>
      <c r="CW14" s="60">
        <f t="shared" si="427"/>
        <v>0</v>
      </c>
      <c r="CX14" s="60">
        <f t="shared" si="427"/>
        <v>0</v>
      </c>
      <c r="CY14" s="60" t="e">
        <f t="shared" ref="CY14" si="428">CY13*0.044</f>
        <v>#VALUE!</v>
      </c>
      <c r="CZ14" s="60"/>
      <c r="DA14" s="60" t="s">
        <v>203</v>
      </c>
      <c r="DB14" s="60" t="str">
        <f t="shared" ref="DB14:DJ14" si="429">IF(OR(B2="Single",B2="MFS"),IF(DB13&lt;10000,DB13*0.03,
IF(DB13&lt;50000,(DB13-10000)*0.05+300,
IF(DB13&lt;100000,(DB13-50000)*0.055+2300,
IF(DB13&lt;200000,(DB13-100000)*0.06+5050,
IF(DB13&lt;250000,(DB13-200000)*0.065+11050,
IF(DB13&lt;500000,(DB13-250000)*0.069+14300,
(DB13-500000)*0.0699+31550)))))),
IF(B2="HOH",IF(DB13&lt;16000,DB13*0.03,
IF(DB13&lt;80000,(DB13-16000)*0.05+480,
IF(DB13&lt;160000,(DB13-80000)*0.055+3680,
IF(DB13&lt;320000,(DB13-160000)*0.06+8080,
IF(DB13&lt;400000,(DB13-320000)*0.065+17680,
IF(DB13&lt;800000,(DB13-400000)*0.069+22880,
(DB13-800000)*0.0699+50480)))))),
IF(B2="MFJ",IF(DB13&lt;20000,DB13*0.03,
IF(DB13&lt;100000,(DB13-20000)*0.05+600,
IF(DB13&lt;200000,(DB13-100000)*0.055+4600,
IF(DB13&lt;400000,(DB13-200000)*0.06+10100,
IF(DB13&lt;500000,(DB13-400000)*0.065+22100,
IF(DB13&lt;1000000,(DB13-500000)*0.069+28600,
(DB13-1000000)*0.0699+63100)))))),
"Invalid Input")))</f>
        <v>Invalid Input</v>
      </c>
      <c r="DC14" s="60" t="str">
        <f t="shared" si="429"/>
        <v>Invalid Input</v>
      </c>
      <c r="DD14" s="60" t="str">
        <f t="shared" si="429"/>
        <v>Invalid Input</v>
      </c>
      <c r="DE14" s="60" t="str">
        <f t="shared" si="429"/>
        <v>Invalid Input</v>
      </c>
      <c r="DF14" s="60" t="str">
        <f t="shared" si="429"/>
        <v>Invalid Input</v>
      </c>
      <c r="DG14" s="60" t="str">
        <f t="shared" si="429"/>
        <v>Invalid Input</v>
      </c>
      <c r="DH14" s="60" t="str">
        <f t="shared" si="429"/>
        <v>Invalid Input</v>
      </c>
      <c r="DI14" s="60" t="str">
        <f t="shared" si="429"/>
        <v>Invalid Input</v>
      </c>
      <c r="DJ14" s="60" t="str">
        <f t="shared" si="429"/>
        <v>Invalid Input</v>
      </c>
      <c r="DL14" s="60" t="s">
        <v>203</v>
      </c>
      <c r="DM14" s="60">
        <f>IF(DM13&lt;=2000, 0,
  IF(DM13&lt;=5000, (DM13-2000)*0.022,
    IF(DM13&lt;=10000, (DM13-5000)*0.039+66,
      IF(DM13&lt;=20000, (DM13-10000)*0.048+261,
        IF(DM13&lt;=25000, (DM13-20000)*0.052+741,
          IF(DM13&lt;=60000, (DM13-25000)*0.055+1001,
            (DM13-60000)*0.066+2943.5))))))</f>
        <v>0</v>
      </c>
      <c r="DN14" s="60">
        <f t="shared" ref="DN14:DT14" si="430">IF(DN13&lt;=2000, 0,
  IF(DN13&lt;=5000, (DN13-2000)*0.022,
    IF(DN13&lt;=10000, (DN13-5000)*0.039+66,
      IF(DN13&lt;=20000, (DN13-10000)*0.048+261,
        IF(DN13&lt;=25000, (DN13-20000)*0.052+741,
          IF(DN13&lt;=60000, (DN13-25000)*0.055+1001,
            (DN13-60000)*0.066+2943.5))))))</f>
        <v>0</v>
      </c>
      <c r="DO14" s="60">
        <f t="shared" si="430"/>
        <v>0</v>
      </c>
      <c r="DP14" s="60">
        <f t="shared" si="430"/>
        <v>0</v>
      </c>
      <c r="DQ14" s="60">
        <f t="shared" si="430"/>
        <v>0</v>
      </c>
      <c r="DR14" s="60">
        <f t="shared" si="430"/>
        <v>0</v>
      </c>
      <c r="DS14" s="60">
        <f t="shared" si="430"/>
        <v>0</v>
      </c>
      <c r="DT14" s="60">
        <f t="shared" si="430"/>
        <v>0</v>
      </c>
      <c r="DU14" s="60">
        <f t="shared" ref="DU14" si="431">IF(DU13&lt;=2000, 0,
  IF(DU13&lt;=5000, (DU13-2000)*0.022,
    IF(DU13&lt;=10000, (DU13-5000)*0.039+66,
      IF(DU13&lt;=20000, (DU13-10000)*0.048+261,
        IF(DU13&lt;=25000, (DU13-20000)*0.052+741,
          IF(DU13&lt;=60000, (DU13-25000)*0.055+1001,
            (DU13-60000)*0.066+2943.5))))))</f>
        <v>0</v>
      </c>
      <c r="DV14" s="60"/>
      <c r="DW14" s="60" t="s">
        <v>203</v>
      </c>
      <c r="DX14" s="60" t="e">
        <f>DX13*5.5%</f>
        <v>#VALUE!</v>
      </c>
      <c r="DY14" s="60" t="e">
        <f t="shared" ref="DY14:EE14" si="432">DY13*5.5%</f>
        <v>#VALUE!</v>
      </c>
      <c r="DZ14" s="60" t="e">
        <f t="shared" si="432"/>
        <v>#VALUE!</v>
      </c>
      <c r="EA14" s="60" t="e">
        <f t="shared" si="432"/>
        <v>#VALUE!</v>
      </c>
      <c r="EB14" s="60" t="e">
        <f t="shared" si="432"/>
        <v>#VALUE!</v>
      </c>
      <c r="EC14" s="60" t="e">
        <f t="shared" si="432"/>
        <v>#VALUE!</v>
      </c>
      <c r="ED14" s="60" t="e">
        <f t="shared" si="432"/>
        <v>#VALUE!</v>
      </c>
      <c r="EE14" s="60" t="e">
        <f t="shared" si="432"/>
        <v>#VALUE!</v>
      </c>
      <c r="EF14" s="60" t="e">
        <f t="shared" ref="EF14" si="433">EF13*5.5%</f>
        <v>#VALUE!</v>
      </c>
      <c r="EH14" s="60" t="s">
        <v>203</v>
      </c>
      <c r="EI14" s="60" t="b">
        <f t="shared" ref="EI14:EQ14" si="434">IF(B$1=2024,EI13*0.0549,
IF(OR(B$1=2022,B$1=2023),
IF(B$2="Single",
IF(EI13&lt;750,EI13*0.01,
IF(EI13&lt;2250,(EI13-750)*0.02+7.5,
IF(EI13&lt;3750,(EI13-2250)*0.03+37,
IF(EI13&lt;5250,(EI13-3750)*0.04+82.5,
IF(EI13&lt;7000,(EI13-5250)*0.05+142.5,
(EI13-7000)*0.0575+227.5))))),
IF(B$2="MFS",
IF(EI13&lt;500,EI13*0.01,
IF(EI13&lt;1500,(EI13-500)*0.02+5,
IF(EI13&lt;2500,(EI13-1500)*0.03+25,
IF(EI13&lt;3500,(EI13-2500)*0.04+55,
IF(EI13&lt;5000,(EI13-3500)*0.05+95,
(EI13-5000)*0.0575+170))))),
IF(OR(B$2="MFJ",B$2="HOH"),
IF(EI13&lt;1000,EI13*0.01,
IF(EI13&lt;3000,(EI13-1000)*0.02+10,
IF(EI13&lt;5000,(EI13-3000)*0.03+50,
IF(EI13&lt;7000,(EI13-5000)*0.04+110,
IF(EI13&lt;10000,(EI13-7000)*0.05+190,
(EI13-10000)*0.0575+340))))),
"Invalid Year or Filing Status"))
)))</f>
        <v>0</v>
      </c>
      <c r="EJ14" s="60" t="b">
        <f t="shared" si="434"/>
        <v>0</v>
      </c>
      <c r="EK14" s="60" t="b">
        <f t="shared" si="434"/>
        <v>0</v>
      </c>
      <c r="EL14" s="60" t="b">
        <f t="shared" si="434"/>
        <v>0</v>
      </c>
      <c r="EM14" s="60" t="b">
        <f t="shared" si="434"/>
        <v>0</v>
      </c>
      <c r="EN14" s="60" t="b">
        <f t="shared" si="434"/>
        <v>0</v>
      </c>
      <c r="EO14" s="60" t="b">
        <f t="shared" si="434"/>
        <v>0</v>
      </c>
      <c r="EP14" s="60" t="b">
        <f t="shared" si="434"/>
        <v>0</v>
      </c>
      <c r="EQ14" s="60" t="b">
        <f t="shared" si="434"/>
        <v>0</v>
      </c>
      <c r="ER14" s="60"/>
      <c r="ES14" s="60" t="s">
        <v>203</v>
      </c>
      <c r="ET14" s="60" t="str">
        <f t="shared" ref="ET14:FB14" si="435">IF(OR(B2="Single",B2="MFS"),
  IF(ET13&lt;=2400, ET13*0.014,
    IF(ET13&lt;=4800, (ET13-2400)*0.032+34,
      IF(ET13&lt;=9600, (ET13-4800)*0.055+110,
        IF(ET13&lt;=14400, (ET13-9600)*0.064+374,
          IF(ET13&lt;=19200, (ET13-14400)*0.068+682,
            IF(ET13&lt;=24000, (ET13-19200)*0.072+1008,
              IF(ET13&lt;=36000, (ET13-24000)*0.076+1354,
                IF(ET13&lt;=48000, (ET13-36000)*0.079+2266,
                  IF(ET13&lt;=150000, (ET13-48000)*0.0825+3214,
                    IF(ET13&lt;=175000, (ET13-150000)*0.09+11629,
                      IF(ET13&lt;=200000, (ET13-175000)*0.1+13879,
                        (ET13-200000)*0.11+16379))))))))))),
  IF(OR(B2="MFJ",B2="QW"),
    IF(ET13&lt;=4800, ET13*0.014,
      IF(ET13&lt;=9600, (ET13-4800)*0.032+67,
        IF(ET13&lt;=19200, (ET13-9600)*0.055+221,
          IF(ET13&lt;=28800, (ET13-19200)*0.064+749,
            IF(ET13&lt;=38400, (ET13-28800)*0.068+1363,
              IF(ET13&lt;=48000, (ET13-38400)*0.072+2016,
                IF(ET13&lt;=72000, (ET13-48000)*0.076+2707,
                  IF(ET13&lt;=96000, (ET13-72000)*0.079+4531,
                    IF(ET13&lt;=300000, (ET13-96000)*0.0825+6427,
                      IF(ET13&lt;=350000, (ET13-300000)*0.09+23257,
                        IF(ET13&lt;=400000, (ET13-350000)*0.1+27757,
                          (ET13-400000)*0.11+32757))))))))))),
    IF(B2="HOH",
      IF(ET13&lt;=3600, ET13*0.014,
        IF(ET13&lt;=7200, (ET13-3600)*0.032+50,
          IF(ET13&lt;=14400, (ET13-7200)*0.055+166,
            IF(ET13&lt;=21600, (ET13-14400)*0.064+562,
              IF(ET13&lt;=28800, (ET13-21600)*0.068+1022,
                IF(ET13&lt;=36000, (ET13-28800)*0.072+1512,
                  IF(ET13&lt;=54000, (ET13-36000)*0.076+2030,
                    IF(ET13&lt;=72000, (ET13-54000)*0.079+3398,
                      IF(ET13&lt;=225000, (ET13-72000)*0.0825+4820,
                        IF(ET13&lt;=262500, (ET13-225000)*0.09+17443,
                          IF(ET13&lt;=300000, (ET13-262500)*0.1+20818,
                            (ET13-300000)*0.11+24568))))))))))),
      "Invalid Filing Status")))</f>
        <v>Invalid Filing Status</v>
      </c>
      <c r="EU14" s="60" t="str">
        <f t="shared" si="435"/>
        <v>Invalid Filing Status</v>
      </c>
      <c r="EV14" s="60" t="str">
        <f t="shared" si="435"/>
        <v>Invalid Filing Status</v>
      </c>
      <c r="EW14" s="60" t="str">
        <f t="shared" si="435"/>
        <v>Invalid Filing Status</v>
      </c>
      <c r="EX14" s="60" t="str">
        <f t="shared" si="435"/>
        <v>Invalid Filing Status</v>
      </c>
      <c r="EY14" s="60" t="str">
        <f t="shared" si="435"/>
        <v>Invalid Filing Status</v>
      </c>
      <c r="EZ14" s="60" t="str">
        <f t="shared" si="435"/>
        <v>Invalid Filing Status</v>
      </c>
      <c r="FA14" s="60" t="str">
        <f t="shared" si="435"/>
        <v>Invalid Filing Status</v>
      </c>
      <c r="FB14" s="60" t="str">
        <f t="shared" si="435"/>
        <v>Invalid Filing Status</v>
      </c>
      <c r="FC14" s="60"/>
      <c r="FD14" s="60" t="s">
        <v>203</v>
      </c>
      <c r="FE14" s="60" t="str">
        <f t="shared" ref="FE14:FM14" si="436">IF(OR(B1=2023,B1=2024),
    IF(B2="MFJ",
        IF(FE13&lt;8979, 0, (FE13-8978)*0.058),
        IF(FE13&lt;4489, 0, (FE13-4489)*0.058)),
    IF(B1=2022,
        IF(B2="MFJ",
            IF(FE13&lt;3324, FE13*0.01,
                IF(FE13&lt;9974, (FE13-3324)*0.03+33.24,
                    IF(FE13&lt;16622, (FE13-9974)*0.045+232.72,
                        (FE13-16622)*0.06+531.92))),
            IF(FE13&lt;1662, FE13*0.01,
                IF(FE13&lt;4987, (FE13-1662)*0.03+16.62,
                    IF(FE13&lt;8311, (FE13-4987)*0.045+116.36,
                        (FE13-8311)*0.06+265.96)))),
        "Check Year/Filing Status")
)</f>
        <v>Check Year/Filing Status</v>
      </c>
      <c r="FF14" s="60" t="str">
        <f t="shared" si="436"/>
        <v>Check Year/Filing Status</v>
      </c>
      <c r="FG14" s="60" t="str">
        <f t="shared" si="436"/>
        <v>Check Year/Filing Status</v>
      </c>
      <c r="FH14" s="60" t="str">
        <f t="shared" si="436"/>
        <v>Check Year/Filing Status</v>
      </c>
      <c r="FI14" s="60" t="str">
        <f t="shared" si="436"/>
        <v>Check Year/Filing Status</v>
      </c>
      <c r="FJ14" s="60" t="str">
        <f t="shared" si="436"/>
        <v>Check Year/Filing Status</v>
      </c>
      <c r="FK14" s="60" t="str">
        <f t="shared" si="436"/>
        <v>Check Year/Filing Status</v>
      </c>
      <c r="FL14" s="60" t="str">
        <f t="shared" si="436"/>
        <v>Check Year/Filing Status</v>
      </c>
      <c r="FM14" s="60" t="str">
        <f t="shared" si="436"/>
        <v>Check Year/Filing Status</v>
      </c>
      <c r="FN14" s="60"/>
      <c r="FO14" s="60" t="s">
        <v>203</v>
      </c>
      <c r="FP14" s="60">
        <f>FP13*0.0495</f>
        <v>0</v>
      </c>
      <c r="FQ14" s="60">
        <f t="shared" ref="FQ14:FW14" si="437">FQ13*0.0495</f>
        <v>0</v>
      </c>
      <c r="FR14" s="60">
        <f t="shared" si="437"/>
        <v>0</v>
      </c>
      <c r="FS14" s="60">
        <f t="shared" si="437"/>
        <v>0</v>
      </c>
      <c r="FT14" s="60">
        <f t="shared" si="437"/>
        <v>0</v>
      </c>
      <c r="FU14" s="60">
        <f t="shared" si="437"/>
        <v>0</v>
      </c>
      <c r="FV14" s="60">
        <f t="shared" si="437"/>
        <v>0</v>
      </c>
      <c r="FW14" s="60">
        <f t="shared" si="437"/>
        <v>0</v>
      </c>
      <c r="FX14" s="60">
        <f t="shared" ref="FX14" si="438">FX13*0.0495</f>
        <v>0</v>
      </c>
      <c r="FY14" s="60"/>
      <c r="FZ14" s="60" t="s">
        <v>203</v>
      </c>
      <c r="GA14" s="60" t="str">
        <f t="shared" ref="GA14:GI14" si="439">IF(B1=2022, GA13*0.0323, IF(B1=2023, GA13*0.0315, IF(B1=2024, GA13*0.0305, "")))</f>
        <v/>
      </c>
      <c r="GB14" s="60" t="str">
        <f t="shared" si="439"/>
        <v/>
      </c>
      <c r="GC14" s="60" t="str">
        <f t="shared" si="439"/>
        <v/>
      </c>
      <c r="GD14" s="60" t="str">
        <f t="shared" si="439"/>
        <v/>
      </c>
      <c r="GE14" s="60" t="str">
        <f t="shared" si="439"/>
        <v/>
      </c>
      <c r="GF14" s="60" t="str">
        <f t="shared" si="439"/>
        <v/>
      </c>
      <c r="GG14" s="60" t="str">
        <f t="shared" si="439"/>
        <v/>
      </c>
      <c r="GH14" s="60" t="str">
        <f t="shared" si="439"/>
        <v/>
      </c>
      <c r="GI14" s="60" t="str">
        <f t="shared" si="439"/>
        <v/>
      </c>
      <c r="GJ14" s="60"/>
      <c r="GK14" s="60" t="s">
        <v>203</v>
      </c>
      <c r="GL14" s="60" t="str">
        <f t="shared" ref="GL14:GT14" si="440">IF(B1=2022,
    IF(GL13&lt;1743, GL13*0.0033,
    IF(GL13&lt;3486, (GL13-1743)*0.0067+5.75,
    IF(GL13&lt;6972, (GL13-3486)*0.0225+17.43,
    IF(GL13&lt;15687, (GL13-6972)*0.0414+95.87,
    IF(GL13&lt;26145, (GL13-15687)*0.0563+456.67,
    IF(GL13&lt;34860, (GL13-26145)*0.0596+1045.46,
    IF(GL13&lt;52290, (GL13-34860)*0.0625+1564.87,
    IF(GL13&lt;78435, (GL13-52290)*0.0744+2654.25,
    IF(GL13&gt;78435, (GL13-78435)*0.0853+4599.44, "Out of range"))))))))),
IF(AND(OR(B1=2023, B1=2024), B2="MFJ"),
    IF(GL13&lt;12000, GL13*0.044,
    IF(GL13&lt;60000, (GL13-12000)*0.0482+528,
    IF(GL13&lt;150000, (GL13-60000)*0.057+2841.6,
    IF(GL13&gt;150000, (GL13-150000)*0.06+7971.6, "Out of range")))),
IF(AND(OR(B1=2023, B1=2024), NOT(B2="MFJ")),
    IF(GL13&lt;6000, GL13*0.044,
    IF(GL13&lt;30000, (GL13-6000)*0.0482+264,
    IF(GL13&lt;75000, (GL13-30000)*0.057+1420.8,
    IF(GL13&gt;75000, (GL13-75000)*0.06+3985.8, "Out of range")))),
"Check year and filing status")))</f>
        <v>Check year and filing status</v>
      </c>
      <c r="GM14" s="60" t="str">
        <f t="shared" si="440"/>
        <v>Check year and filing status</v>
      </c>
      <c r="GN14" s="60" t="str">
        <f t="shared" si="440"/>
        <v>Check year and filing status</v>
      </c>
      <c r="GO14" s="60" t="str">
        <f t="shared" si="440"/>
        <v>Check year and filing status</v>
      </c>
      <c r="GP14" s="60" t="str">
        <f t="shared" si="440"/>
        <v>Check year and filing status</v>
      </c>
      <c r="GQ14" s="60" t="str">
        <f t="shared" si="440"/>
        <v>Check year and filing status</v>
      </c>
      <c r="GR14" s="60" t="str">
        <f t="shared" si="440"/>
        <v>Check year and filing status</v>
      </c>
      <c r="GS14" s="60" t="str">
        <f t="shared" si="440"/>
        <v>Check year and filing status</v>
      </c>
      <c r="GT14" s="60" t="str">
        <f t="shared" si="440"/>
        <v>Check year and filing status</v>
      </c>
      <c r="GU14" s="60"/>
      <c r="GV14" s="60" t="s">
        <v>203</v>
      </c>
      <c r="GW14" s="60" t="str">
        <f t="shared" ref="GW14:HE14" si="441">IF(B2="Single",
  IF(GW13&lt;=15000, GW13*0.031,
    IF(GW13&lt;=30000, 465 + (GW13-15000)*0.0525,
      1252.5 + (GW13-30000)*0.057)),
  IF(B2="MFJ",
    IF(GW13&lt;=30000, GW13*0.031,
      IF(GW13&lt;=60000, 930 + (GW13-30000)*0.0525,
        2505 + (GW13-60000)*0.057)),
    IF(B2="MFS",
      IF(GW13&lt;=15000, GW13*0.031,
        IF(GW13&lt;=30000, 465 + (GW13-15000)*0.0525,
          1252.5 + (GW13-30000)*0.057)),
      IF(B2="HOH",
        IF(GW13&lt;=15000, GW13*0.031,
          IF(GW13&lt;=30000, 465 + (GW13-15000)*0.0525,
            1252.5 + (GW13-30000)*0.057)),
        "Invalid Filing Status"))))</f>
        <v>Invalid Filing Status</v>
      </c>
      <c r="GX14" s="60" t="str">
        <f t="shared" si="441"/>
        <v>Invalid Filing Status</v>
      </c>
      <c r="GY14" s="60" t="str">
        <f t="shared" si="441"/>
        <v>Invalid Filing Status</v>
      </c>
      <c r="GZ14" s="60" t="str">
        <f t="shared" si="441"/>
        <v>Invalid Filing Status</v>
      </c>
      <c r="HA14" s="60" t="str">
        <f t="shared" si="441"/>
        <v>Invalid Filing Status</v>
      </c>
      <c r="HB14" s="60" t="str">
        <f t="shared" si="441"/>
        <v>Invalid Filing Status</v>
      </c>
      <c r="HC14" s="60" t="str">
        <f t="shared" si="441"/>
        <v>Invalid Filing Status</v>
      </c>
      <c r="HD14" s="60" t="str">
        <f t="shared" si="441"/>
        <v>Invalid Filing Status</v>
      </c>
      <c r="HE14" s="60" t="str">
        <f t="shared" si="441"/>
        <v>Invalid Filing Status</v>
      </c>
      <c r="HF14" s="60"/>
      <c r="HG14" s="60" t="s">
        <v>203</v>
      </c>
      <c r="HH14" s="60" t="str">
        <f t="shared" ref="HH14:HP14" si="442">IF(B1=2022, HH13*0.05, IF(OR(B1=2023, B1=2024), HH13*0.045, "Invalid Year"))</f>
        <v>Invalid Year</v>
      </c>
      <c r="HI14" s="60" t="str">
        <f t="shared" si="442"/>
        <v>Invalid Year</v>
      </c>
      <c r="HJ14" s="60" t="str">
        <f t="shared" si="442"/>
        <v>Invalid Year</v>
      </c>
      <c r="HK14" s="60" t="str">
        <f t="shared" si="442"/>
        <v>Invalid Year</v>
      </c>
      <c r="HL14" s="60" t="str">
        <f t="shared" si="442"/>
        <v>Invalid Year</v>
      </c>
      <c r="HM14" s="60" t="str">
        <f t="shared" si="442"/>
        <v>Invalid Year</v>
      </c>
      <c r="HN14" s="60" t="str">
        <f t="shared" si="442"/>
        <v>Invalid Year</v>
      </c>
      <c r="HO14" s="60" t="str">
        <f t="shared" si="442"/>
        <v>Invalid Year</v>
      </c>
      <c r="HP14" s="60" t="str">
        <f t="shared" si="442"/>
        <v>Invalid Year</v>
      </c>
      <c r="HQ14" s="60"/>
      <c r="HR14" s="60" t="s">
        <v>203</v>
      </c>
      <c r="HS14" s="60" t="str">
        <f t="shared" ref="HS14:IA14" si="443">IF(OR(B2="Single", B2="MFS", B2="HOH"),
    IF(HS13&lt;12500, HS13*0.0185,
        IF(HS13&lt;50000, (HS13-12500)*0.035 + (12500*0.0185),
            (HS13-50000)*0.0425 + (37500*0.035) + (12500*0.0185)
        )
    ),
    IF(OR(B2="MFJ", B2="QW"),
        IF(HS13&lt;25000, HS13*0.0185,
            IF(HS13&lt;100000, (HS13-25000)*0.035 + (25000*0.0185),
                (HS13-100000)*0.0425 + (75000*0.035) + (25000*0.0185)
            )
        ),
        "Invalid Filing Status"
    )
)</f>
        <v>Invalid Filing Status</v>
      </c>
      <c r="HT14" s="60" t="str">
        <f t="shared" si="443"/>
        <v>Invalid Filing Status</v>
      </c>
      <c r="HU14" s="60" t="str">
        <f t="shared" si="443"/>
        <v>Invalid Filing Status</v>
      </c>
      <c r="HV14" s="60" t="str">
        <f t="shared" si="443"/>
        <v>Invalid Filing Status</v>
      </c>
      <c r="HW14" s="60" t="str">
        <f t="shared" si="443"/>
        <v>Invalid Filing Status</v>
      </c>
      <c r="HX14" s="60" t="str">
        <f t="shared" si="443"/>
        <v>Invalid Filing Status</v>
      </c>
      <c r="HY14" s="60" t="str">
        <f t="shared" si="443"/>
        <v>Invalid Filing Status</v>
      </c>
      <c r="HZ14" s="60" t="str">
        <f t="shared" si="443"/>
        <v>Invalid Filing Status</v>
      </c>
      <c r="IA14" s="60" t="str">
        <f t="shared" si="443"/>
        <v>Invalid Filing Status</v>
      </c>
      <c r="IB14" s="60"/>
      <c r="IC14" s="60" t="s">
        <v>203</v>
      </c>
      <c r="ID14" s="252" t="str">
        <f t="shared" ref="ID14:IL14" si="444">IF(AND(B1=2022, OR(B2="Single", B2="MFS")),
    IF(ID13&lt;23000, ID13*0.058,
        IF(ID13&lt;54450, (ID13-23000)*0.0675+1334,
            (ID13-54450)*0.0715+3457)),
    IF(AND(B1=2022, B2="HOH"),
        IF(ID13&lt;34500, ID13*0.058,
            IF(ID13&lt;81700, (ID13-34500)*0.0675+2001,
                (ID13-81700)*0.0715+5187)),
        IF(AND(B1=2022, B2="MFJ"),
            IF(ID13&lt;46000, ID13*0.058,
                IF(ID13&lt;108900, (ID13-46000)*0.0675+2668,
                    (ID13-108900)*0.0715+6914)),
            IF(AND(OR(B1=2023, B1=2024), OR(B2="Single", B2="MFS")),
                IF(ID13&lt;24500, ID13*0.058,
                    IF(ID13&lt;58050, (ID13-24500)*0.0675+1421,
                        (ID13-58050)*0.0715+3686)),
                IF(AND(OR(B1=2023, B1=2024), B2="HOH"),
                    IF(ID13&lt;36750, ID13*0.058,
                        IF(ID13&lt;87100, (ID13-36750)*0.0675+2132,
                            (ID13-87100)*0.0715+5531)),
                    IF(AND(OR(B1=2023, B1=2024), B2="MFJ"),
                        IF(ID13&lt;49050, ID13*0.058,
                            IF(ID13&lt;116100, (ID13-49050)*0.0675+2845,
                                (ID13-116100)*0.0715+7371)),
                        "Invalid Input"))))))</f>
        <v>Invalid Input</v>
      </c>
      <c r="IE14" s="60" t="str">
        <f t="shared" si="444"/>
        <v>Invalid Input</v>
      </c>
      <c r="IF14" s="60" t="str">
        <f t="shared" si="444"/>
        <v>Invalid Input</v>
      </c>
      <c r="IG14" s="60" t="str">
        <f t="shared" si="444"/>
        <v>Invalid Input</v>
      </c>
      <c r="IH14" s="60" t="str">
        <f t="shared" si="444"/>
        <v>Invalid Input</v>
      </c>
      <c r="II14" s="60" t="str">
        <f t="shared" si="444"/>
        <v>Invalid Input</v>
      </c>
      <c r="IJ14" s="60" t="str">
        <f t="shared" si="444"/>
        <v>Invalid Input</v>
      </c>
      <c r="IK14" s="60" t="str">
        <f t="shared" si="444"/>
        <v>Invalid Input</v>
      </c>
      <c r="IL14" s="60" t="str">
        <f t="shared" si="444"/>
        <v>Invalid Input</v>
      </c>
      <c r="IM14" s="60"/>
      <c r="IN14" s="60" t="s">
        <v>203</v>
      </c>
      <c r="IO14" s="60" t="str">
        <f t="shared" ref="IO14:IW14" si="445">IF(OR(B2="Single", B2="MFS"),
    IF(IO13&lt;=1000, IO13*0.02,
        IF(IO13&lt;=2000, 20 + 0.03*(IO13-1000),
            IF(IO13&lt;=3000, 50 + 0.04*(IO13-2000),
                IF(IO13&lt;=100000, 90 + 0.0475*(IO13-3000),
                    IF(IO13&lt;=125000, 4697.5 + 0.05*(IO13-100000),
                        IF(IO13&lt;=150000, 5947.5 + 0.0525*(IO13-125000),
                            IF(IO13&lt;=250000, 7260 + 0.055*(IO13-150000),
                                12760 + 0.0575*(IO13-250000)
                            )
                        )
                    )
                )
            )
        )
    ),
    IF(OR(B2="MFJ", B2="HOH", B2="QW"),
        IF(IO13&lt;=1000, IO13*0.02,
            IF(IO13&lt;=2000, 20 + 0.03*(IO13-1000),
                IF(IO13&lt;=3000, 50 + 0.04*(IO13-2000),
                    IF(IO13&lt;=150000, 90 + 0.0475*(IO13-3000),
                        IF(IO13&lt;=175000, 7072.5 + 0.05*(IO13-150000),
                            IF(IO13&lt;=225000, 8322.5 + 0.0525*(IO13-175000),
                                IF(IO13&lt;=300000, 10947.5 + 0.055*(IO13-225000),
                                    15072.5 + 0.0575*(IO13-300000)
                                )
                            )
                        )
                    )
                )
            )
        ),
        "Invalid Filing Status"
    )
)</f>
        <v>Invalid Filing Status</v>
      </c>
      <c r="IP14" s="60" t="str">
        <f t="shared" si="445"/>
        <v>Invalid Filing Status</v>
      </c>
      <c r="IQ14" s="60" t="str">
        <f t="shared" si="445"/>
        <v>Invalid Filing Status</v>
      </c>
      <c r="IR14" s="60" t="str">
        <f t="shared" si="445"/>
        <v>Invalid Filing Status</v>
      </c>
      <c r="IS14" s="60" t="str">
        <f t="shared" si="445"/>
        <v>Invalid Filing Status</v>
      </c>
      <c r="IT14" s="60" t="str">
        <f t="shared" si="445"/>
        <v>Invalid Filing Status</v>
      </c>
      <c r="IU14" s="60" t="str">
        <f t="shared" si="445"/>
        <v>Invalid Filing Status</v>
      </c>
      <c r="IV14" s="60" t="str">
        <f t="shared" si="445"/>
        <v>Invalid Filing Status</v>
      </c>
      <c r="IW14" s="60" t="str">
        <f t="shared" si="445"/>
        <v>Invalid Filing Status</v>
      </c>
      <c r="IX14" s="60"/>
      <c r="IY14" s="60" t="s">
        <v>203</v>
      </c>
      <c r="IZ14" s="60" t="e">
        <f>IF(IZ13&lt;=1000000, IZ13*0.05, 0.05*1000000 + 0.09*(IZ13-1000000))</f>
        <v>#VALUE!</v>
      </c>
      <c r="JA14" s="60" t="e">
        <f t="shared" ref="JA14:JG14" si="446">IF(JA13&lt;=1000000, JA13*0.05, 0.05*1000000 + 0.09*(JA13-1000000))</f>
        <v>#VALUE!</v>
      </c>
      <c r="JB14" s="60" t="e">
        <f t="shared" si="446"/>
        <v>#VALUE!</v>
      </c>
      <c r="JC14" s="60" t="e">
        <f t="shared" si="446"/>
        <v>#VALUE!</v>
      </c>
      <c r="JD14" s="60" t="e">
        <f t="shared" si="446"/>
        <v>#VALUE!</v>
      </c>
      <c r="JE14" s="60" t="e">
        <f t="shared" si="446"/>
        <v>#VALUE!</v>
      </c>
      <c r="JF14" s="60" t="e">
        <f t="shared" si="446"/>
        <v>#VALUE!</v>
      </c>
      <c r="JG14" s="60" t="e">
        <f t="shared" si="446"/>
        <v>#VALUE!</v>
      </c>
      <c r="JH14" s="60" t="e">
        <f t="shared" ref="JH14" si="447">IF(JH13&lt;=1000000, JH13*0.05, 0.05*1000000 + 0.09*(JH13-1000000))</f>
        <v>#VALUE!</v>
      </c>
      <c r="JI14" s="60"/>
      <c r="JJ14" s="60" t="s">
        <v>203</v>
      </c>
      <c r="JK14" s="60" t="str">
        <f t="shared" ref="JK14:JS14" si="448">IF(B1=2022, JK13*0.0425, IF(B1=2023, JK13*0.0405, IF(B1=2024, JK13*0.0425, "Invalid Year")))</f>
        <v>Invalid Year</v>
      </c>
      <c r="JL14" s="60" t="str">
        <f t="shared" si="448"/>
        <v>Invalid Year</v>
      </c>
      <c r="JM14" s="60" t="str">
        <f t="shared" si="448"/>
        <v>Invalid Year</v>
      </c>
      <c r="JN14" s="60" t="str">
        <f t="shared" si="448"/>
        <v>Invalid Year</v>
      </c>
      <c r="JO14" s="60" t="str">
        <f t="shared" si="448"/>
        <v>Invalid Year</v>
      </c>
      <c r="JP14" s="60" t="str">
        <f t="shared" si="448"/>
        <v>Invalid Year</v>
      </c>
      <c r="JQ14" s="60" t="str">
        <f t="shared" si="448"/>
        <v>Invalid Year</v>
      </c>
      <c r="JR14" s="60" t="str">
        <f t="shared" si="448"/>
        <v>Invalid Year</v>
      </c>
      <c r="JS14" s="60" t="str">
        <f t="shared" si="448"/>
        <v>Invalid Year</v>
      </c>
      <c r="JT14" s="60"/>
      <c r="JU14" s="60" t="s">
        <v>203</v>
      </c>
      <c r="JV14" s="60" t="str">
        <f t="shared" ref="JV14:KD14" si="449">IF(AND(B1=2022,B2="MFJ"),IF(JV13&lt;41050,JV13*0.0535,IF(JV13&lt;163060,(JV13-41050)*0.068+2196.175,IF(JV13&lt;284810,(JV13-163060)*0.0785+10492.855,(JV13-284810)*0.0985+20050.23))),IF(AND(B1=2022,B2="MFS"),IF(JV13&lt;20525,JV13*0.0535,IF(JV13&lt;81530,(JV13-20525)*0.068+1098.0875,IF(JV13&lt;142405,(JV13-81530)*0.0785+5246.4275,(JV13-142405)*0.0985+10025.115))),IF(AND(B1=2022,B2="HOH"),IF(JV13&lt;34570,JV13*0.0535,IF(JV13&lt;138890,(JV13-34570)*0.068+1849.495,IF(JV13&lt;227600,(JV13-138890)*0.0785+8943.255,(JV13-227600)*0.0985+15906.99))),IF(AND(B1=2022,B2="Single"),IF(JV13&lt;28080,JV13*0.0535,IF(JV13&lt;92230,(JV13-28080)*0.068+1502.28,IF(JV13&lt;171220,(JV13-92230)*0.0785+5864.48,(JV13-171220)*0.0985+12065.195))),IF(AND(B1=2023,B2="MFJ"),IF(JV13&lt;43950,JV13*0.0535,IF(JV13&lt;174610,(JV13-43950)*0.068+2351.325,IF(JV13&lt;304970,(JV13-174610)*0.0785+11236.205,(JV13-304970)*0.0985+21469.465))),IF(AND(B1=2023,B2="MFS"),IF(JV13&lt;21975,JV13*0.0535,IF(JV13&lt;87305,(JV13-21975)*0.068+1175.6625,IF(JV13&lt;152485,(JV13-87305)*0.0785+5618.1025,(JV13-152485)*0.0985+10734.7325))),IF(AND(B1=2023,B2="HOH"),IF(JV13&lt;37010,JV13*0.0535,IF(JV13&lt;148730,(JV13-37010)*0.068+1980.035,IF(JV13&lt;243720,(JV13-148730)*0.0785+9576.995,(JV13-243720)*0.0985+17033.71))),IF(AND(B1=2023,B2="Single"),IF(JV13&lt;30070,JV13*0.0535,IF(JV13&lt;98760,(JV13-30070)*0.068+1608.745,IF(JV13&lt;183340,(JV13-98760)*0.0785+6279.665,(JV13-183340)*0.0985+12919.195))),IF(AND(B1=2024,B2="MFJ"),IF(JV13&lt;46330,JV13*0.0535,IF(JV13&lt;184040,(JV13-46330)*0.068+2478.655,IF(JV13&lt;321450,(JV13-184040)*0.0785+11842.935,(JV13-321450)*0.0985+22645.67))),IF(AND(B1=2024,B2="MFS"),IF(JV13&lt;23165,JV13*0.0535,IF(JV13&lt;92020,(JV13-23165)*0.068+1239.3275,IF(JV13&lt;160725,(JV13-92020)*0.0785+5921.4675,(JV13-160725)*0.0985+11314.81))),IF(AND(B1=2024,B2="HOH"),IF(JV13&lt;39010,JV13*0.0535,IF(JV13&lt;156760,(JV13-39010)*0.068+2087.035,IF(JV13&lt;256880,(JV13-156760)*0.0785+10094.035,(JV13-256880)*0.0985+17953.455))),IF(AND(B1=2024,B2="Single"),IF(JV13&lt;31690,JV13*0.0535,IF(JV13&lt;104090,(JV13-31690)*0.068+1695.412,IF(JV13&lt;193240,(JV13-104090)*0.0785+6618.615,(JV13-193240)*0.0985+13616.89))),"Check Inputs"))))))))))))</f>
        <v>Check Inputs</v>
      </c>
      <c r="JW14" s="60" t="str">
        <f t="shared" si="449"/>
        <v>Check Inputs</v>
      </c>
      <c r="JX14" s="60" t="str">
        <f t="shared" si="449"/>
        <v>Check Inputs</v>
      </c>
      <c r="JY14" s="60" t="str">
        <f t="shared" si="449"/>
        <v>Check Inputs</v>
      </c>
      <c r="JZ14" s="60" t="str">
        <f t="shared" si="449"/>
        <v>Check Inputs</v>
      </c>
      <c r="KA14" s="60" t="str">
        <f t="shared" si="449"/>
        <v>Check Inputs</v>
      </c>
      <c r="KB14" s="60" t="str">
        <f t="shared" si="449"/>
        <v>Check Inputs</v>
      </c>
      <c r="KC14" s="60" t="str">
        <f t="shared" si="449"/>
        <v>Check Inputs</v>
      </c>
      <c r="KD14" s="60" t="str">
        <f t="shared" si="449"/>
        <v>Check Inputs</v>
      </c>
      <c r="KE14" s="60"/>
      <c r="KF14" s="60" t="s">
        <v>203</v>
      </c>
      <c r="KG14" s="60" t="str">
        <f t="shared" ref="KG14:KO14" si="450">IF(B1=2022,
    IF(KG13&lt;5000, 0,
       IF(KG13&lt;10000, (KG13-5000)*0.04,
          (KG13-10000)*0.05+200)),
    IF(OR(B1=2023, B1=2024),
       IF(KG13&lt;10000, 0,
          (KG13-10000)*0.05),
       "Invalid Year"))</f>
        <v>Invalid Year</v>
      </c>
      <c r="KH14" s="60" t="str">
        <f t="shared" si="450"/>
        <v>Invalid Year</v>
      </c>
      <c r="KI14" s="60" t="str">
        <f t="shared" si="450"/>
        <v>Invalid Year</v>
      </c>
      <c r="KJ14" s="60" t="str">
        <f t="shared" si="450"/>
        <v>Invalid Year</v>
      </c>
      <c r="KK14" s="60" t="str">
        <f t="shared" si="450"/>
        <v>Invalid Year</v>
      </c>
      <c r="KL14" s="60" t="str">
        <f t="shared" si="450"/>
        <v>Invalid Year</v>
      </c>
      <c r="KM14" s="60" t="str">
        <f t="shared" si="450"/>
        <v>Invalid Year</v>
      </c>
      <c r="KN14" s="60" t="str">
        <f t="shared" si="450"/>
        <v>Invalid Year</v>
      </c>
      <c r="KO14" s="60" t="str">
        <f t="shared" si="450"/>
        <v>Invalid Year</v>
      </c>
      <c r="KP14" s="60"/>
      <c r="LB14" s="60" t="s">
        <v>203</v>
      </c>
      <c r="LC14" s="60" t="str">
        <f t="shared" ref="LC14:LK14" si="451">IF(B1=2022,
    IF(LC13&lt;3300, LC13*0.01,
        IF(LC13&lt;5800, (LC13-3300)*0.02+33,
            IF(LC13&lt;8900, (LC13-5800)*0.03+91,
                IF(LC13&lt;12000, (LC13-8900)*0.04+180,
                    IF(LC13&lt;15400, (LC13-12000)*0.05+300,
                        IF(LC13&lt;19800, (LC13-15400)*0.06+454,
                            (LC13-19800)*0.0675+603)))))),
    IF(OR(B1=2023, B1=2024),
        IF(LC13&lt;3600, LC13*0.01,
            IF(LC13&lt;6300, (LC13-3600)*0.02+36,
                IF(LC13&lt;9700, (LC13-6300)*0.03+99,
                    IF(LC13&lt;13000, (LC13-9700)*0.04+196,
                        IF(LC13&lt;16800, (LC13-13000)*0.05+326,
                            IF(LC13&lt;21600, (LC13-16800)*0.06+494,
                                (LC13-21600)*0.0675+656)))))),
        "Invalid Year"))</f>
        <v>Invalid Year</v>
      </c>
      <c r="LD14" s="60" t="str">
        <f t="shared" si="451"/>
        <v>Invalid Year</v>
      </c>
      <c r="LE14" s="60" t="str">
        <f t="shared" si="451"/>
        <v>Invalid Year</v>
      </c>
      <c r="LF14" s="60" t="str">
        <f t="shared" si="451"/>
        <v>Invalid Year</v>
      </c>
      <c r="LG14" s="60" t="str">
        <f t="shared" si="451"/>
        <v>Invalid Year</v>
      </c>
      <c r="LH14" s="60" t="str">
        <f t="shared" si="451"/>
        <v>Invalid Year</v>
      </c>
      <c r="LI14" s="60" t="str">
        <f t="shared" si="451"/>
        <v>Invalid Year</v>
      </c>
      <c r="LJ14" s="60" t="str">
        <f t="shared" si="451"/>
        <v>Invalid Year</v>
      </c>
      <c r="LK14" s="60" t="str">
        <f t="shared" si="451"/>
        <v>Invalid Year</v>
      </c>
      <c r="LL14" s="60"/>
      <c r="LM14" s="60" t="s">
        <v>203</v>
      </c>
      <c r="LN14" s="60" t="b">
        <f t="shared" ref="LN14:LV14" si="452">IF(B1=2022,
IF(OR(B2="Single",B2="MFS"),
IF(LN13&lt;3440,LN13*2.46%,
IF(LN13&lt;20590,84.62+(LN13-3440)*3.51%,
IF(LN13&lt;33180,686.59+(LN13-20590)*5.01%,
1317.35+(LN13-33180)*6.84%))),
IF(B2="HOH",
IF(LN13&lt;6410,LN13*2.46%,
IF(LN13&lt;32950,157.69+(LN13-6410)*3.51%,
IF(LN13&lt;49200,1089.24+(LN13-32950)*5.01%,
1903.37+(LN13-49200)*6.84%))),
IF(OR(B2="MFJ",B2="QW"),
IF(LN13&lt;6860,LN13*2.46%,
IF(LN13&lt;41190,168.76+(LN13-6860)*3.51%,
IF(LN13&lt;66360,1373.74+(LN13-41190)*5.01%,
2634.76+(LN13-66360)*6.84%)))))),
IF(OR(B1=2023,B1=2024),
IF(OR(B2="Single",B2="MFS"),
IF(LN13&lt;3700,LN13*2.46%,
IF(LN13&lt;22170,91.02+(LN13-3700)*3.51%,
IF(LN13&lt;35730,739.32+(LN13-22170)*5.01%,
1418.68+(LN13-35730)*6.64%))),
IF(B2="HOH",
IF(LN13&lt;6900,LN13*2.46%,
IF(LN13&lt;35480,169.74+(LN13-6900)*3.51%,
IF(LN13&lt;52980,1172.9+(LN13-35480)*5.01%,
2049.65+(LN13-52980)*6.64%))),
IF(OR(B2="MFJ",B2="QW"),
IF(LN13&lt;7390,LN13*2.46%,
IF(LN13&lt;44350,181.79+(LN13-7390)*3.51%,
IF(LN13&lt;71460,1479.09+(LN13-44350)*5.01%,
2837.3+(LN13-71460)*6.64%))))))))</f>
        <v>0</v>
      </c>
      <c r="LO14" s="60" t="b">
        <f t="shared" si="452"/>
        <v>0</v>
      </c>
      <c r="LP14" s="60" t="b">
        <f t="shared" si="452"/>
        <v>0</v>
      </c>
      <c r="LQ14" s="60" t="b">
        <f t="shared" si="452"/>
        <v>0</v>
      </c>
      <c r="LR14" s="60" t="b">
        <f t="shared" si="452"/>
        <v>0</v>
      </c>
      <c r="LS14" s="60" t="b">
        <f t="shared" si="452"/>
        <v>0</v>
      </c>
      <c r="LT14" s="60" t="b">
        <f t="shared" si="452"/>
        <v>0</v>
      </c>
      <c r="LU14" s="60" t="b">
        <f t="shared" si="452"/>
        <v>0</v>
      </c>
      <c r="LV14" s="60" t="b">
        <f t="shared" si="452"/>
        <v>0</v>
      </c>
      <c r="LW14" s="60"/>
      <c r="LX14" s="60" t="s">
        <v>203</v>
      </c>
      <c r="LY14" s="60"/>
      <c r="LZ14" s="60"/>
      <c r="MA14" s="60"/>
      <c r="MB14" s="60"/>
      <c r="MC14" s="60"/>
      <c r="MD14" s="60"/>
      <c r="ME14" s="60"/>
      <c r="MF14" s="60"/>
      <c r="MG14" s="60"/>
      <c r="MH14" s="60"/>
      <c r="MI14" s="60" t="s">
        <v>203</v>
      </c>
      <c r="MJ14" s="60"/>
      <c r="MK14" s="60"/>
      <c r="ML14" s="60"/>
      <c r="MM14" s="60"/>
      <c r="MN14" s="60"/>
      <c r="MO14" s="60"/>
      <c r="MP14" s="60"/>
      <c r="MQ14" s="60"/>
      <c r="MR14" s="60"/>
      <c r="MS14" s="60"/>
      <c r="MT14" s="60" t="s">
        <v>203</v>
      </c>
      <c r="MU14" s="60" t="b">
        <f t="shared" ref="MU14:NC14" si="453">IF(
    OR(B2="Single", B2="MFS"),
    IF(
        MU13&lt;=20000, MU13*0.014,
        IF(
            MU13&lt;=35000, (MU13*0.0175)-70,
            IF(
                MU13&lt;=40000, (MU13*0.035)-682.5,
                IF(
                    MU13&lt;=75000, (MU13*0.05525)-1492.5,
                    IF(
                        MU13&lt;=500000, (MU13*0.0637)-2126.25,
                        IF(
                            MU13&lt;=1000000, (MU13*0.0897)-15126.25,
                            (MU13*0.1075)-32926.25
                        )
                    )
                )
            )
        )
    ),
    IF(
        OR(B2="MFJ", B2="QW", B2="HOH"),
        IF(
            MU13&lt;=20000, MU13*0.014,
            IF(
                MU13&lt;=50000, (MU13*0.0175)-70,
                IF(
                    MU13&lt;=70000, (MU13*0.0245)-420,
                    IF(
                        MU13&lt;=80000, (MU13*0.035)-1154.5,
                        IF(
                            MU13&lt;=150000, (MU13*0.05525)-2775,
                            IF(
                                MU13&lt;=500000, (MU13*0.0637)-4042.5,
                                IF(
                                    MU13&lt;=1000000, (MU13*0.0897)-17042.5,
                                    (MU13*0.1075)-34842.5
                                )
                            )
                        )
                    )
                )
            )
        )
    )
)</f>
        <v>0</v>
      </c>
      <c r="MV14" s="60" t="b">
        <f t="shared" si="453"/>
        <v>0</v>
      </c>
      <c r="MW14" s="60" t="b">
        <f t="shared" si="453"/>
        <v>0</v>
      </c>
      <c r="MX14" s="60" t="b">
        <f t="shared" si="453"/>
        <v>0</v>
      </c>
      <c r="MY14" s="60" t="b">
        <f t="shared" si="453"/>
        <v>0</v>
      </c>
      <c r="MZ14" s="60" t="b">
        <f t="shared" si="453"/>
        <v>0</v>
      </c>
      <c r="NA14" s="60" t="b">
        <f t="shared" si="453"/>
        <v>0</v>
      </c>
      <c r="NB14" s="60" t="b">
        <f t="shared" si="453"/>
        <v>0</v>
      </c>
      <c r="NC14" s="60" t="b">
        <f t="shared" si="453"/>
        <v>0</v>
      </c>
      <c r="ND14" s="60"/>
      <c r="NE14" s="60" t="s">
        <v>203</v>
      </c>
      <c r="NF14" s="60" t="str">
        <f t="shared" ref="NF14:NN14" si="454">IF(B2="Single",IF(NF13&lt;=5500,NF13*0.017,IF(NF13&lt;=11000,93.5+(NF13-5500)*0.032,IF(NF13&lt;=16000,268.5+(NF13-11000)*0.047,IF(NF13&lt;=210000,508.5+(NF13-16000)*0.049,9958.5+(NF13-210000)*0.059)))),IF(OR(B2="MFJ",B2="QW"),IF(NF13&lt;=8000,NF13*0.017,IF(NF13&lt;=16000,136+(NF13-8000)*0.032,IF(NF13&lt;=24000,392+(NF13-16000)*0.047,IF(NF13&lt;=315000,772+(NF13-24000)*0.049,15007+(NF13-315000)*0.059)))),IF(B2="MFS",IF(NF13&lt;=4000,NF13*0.017,IF(NF13&lt;=8000,68+(NF13-4000)*0.032,IF(NF13&lt;=12000,196+(NF13-8000)*0.047,IF(NF13&lt;=315000,372+(NF13-12000)*0.049,15007+(NF13-315000)*0.059)))),IF(B2="HOH",IF(NF13&lt;=8000,NF13*0.017,IF(NF13&lt;=16000,136+(NF13-8000)*0.032,IF(NF13&lt;=24000,392+(NF13-16000)*0.047,IF(NF13&lt;=315000,772+(NF13-24000)*0.049,15007+(NF13-315000)*0.059)))),
"Invalid Filing Status"))))</f>
        <v>Invalid Filing Status</v>
      </c>
      <c r="NG14" s="60" t="str">
        <f t="shared" si="454"/>
        <v>Invalid Filing Status</v>
      </c>
      <c r="NH14" s="60" t="str">
        <f t="shared" si="454"/>
        <v>Invalid Filing Status</v>
      </c>
      <c r="NI14" s="60" t="str">
        <f t="shared" si="454"/>
        <v>Invalid Filing Status</v>
      </c>
      <c r="NJ14" s="60" t="str">
        <f t="shared" si="454"/>
        <v>Invalid Filing Status</v>
      </c>
      <c r="NK14" s="60" t="str">
        <f t="shared" si="454"/>
        <v>Invalid Filing Status</v>
      </c>
      <c r="NL14" s="60" t="str">
        <f t="shared" si="454"/>
        <v>Invalid Filing Status</v>
      </c>
      <c r="NM14" s="60" t="str">
        <f t="shared" si="454"/>
        <v>Invalid Filing Status</v>
      </c>
      <c r="NN14" s="60" t="str">
        <f t="shared" si="454"/>
        <v>Invalid Filing Status</v>
      </c>
      <c r="NO14" s="60"/>
      <c r="NP14" s="60"/>
      <c r="NQ14" s="60"/>
      <c r="NR14" s="60"/>
      <c r="NS14" s="60"/>
      <c r="NT14" s="60"/>
      <c r="NU14" s="60"/>
      <c r="NV14" s="60"/>
      <c r="NW14" s="60"/>
      <c r="NX14" s="60"/>
      <c r="NY14" s="60"/>
      <c r="NZ14" s="60"/>
      <c r="OA14" s="60" t="s">
        <v>203</v>
      </c>
      <c r="OB14" s="60" t="e">
        <f t="shared" ref="OB14:OJ14" si="455">MAX(0, IF(B1=2022, OB13*4.99%, IF(B1=2023, OB13*4.75%, IF(B1=2024, OB13*4.5%, "Invalid Year"))))</f>
        <v>#VALUE!</v>
      </c>
      <c r="OC14" s="60" t="e">
        <f t="shared" si="455"/>
        <v>#VALUE!</v>
      </c>
      <c r="OD14" s="60" t="e">
        <f t="shared" si="455"/>
        <v>#VALUE!</v>
      </c>
      <c r="OE14" s="60" t="e">
        <f t="shared" si="455"/>
        <v>#VALUE!</v>
      </c>
      <c r="OF14" s="60" t="e">
        <f t="shared" si="455"/>
        <v>#VALUE!</v>
      </c>
      <c r="OG14" s="60" t="e">
        <f t="shared" si="455"/>
        <v>#VALUE!</v>
      </c>
      <c r="OH14" s="60" t="e">
        <f t="shared" si="455"/>
        <v>#VALUE!</v>
      </c>
      <c r="OI14" s="60" t="e">
        <f t="shared" si="455"/>
        <v>#VALUE!</v>
      </c>
      <c r="OJ14" s="60" t="e">
        <f t="shared" si="455"/>
        <v>#VALUE!</v>
      </c>
      <c r="OK14" s="60"/>
      <c r="OL14" s="60" t="s">
        <v>203</v>
      </c>
      <c r="OM14" s="60" t="str">
        <f t="shared" ref="OM14:OU14" si="456">IF(B1=2022,
    IF(B2="Single",
        IF(OM13&lt;41775, OM13*0.011,
            IF(OM13&lt;101050, (OM13-41775)*0.0204+459.53,
                IF(OM13&lt;210825, (OM13-101050)*0.0227+1668.74,
                    IF(OM13&lt;458350, (OM13-210825)*0.0264+4160.63,
                        (OM13-458350)*0.029+10695.29
                    )
                )
            )
        ),
        IF(OR(B2="MFJ", B2="QW"),
            IF(OM13&lt;69700, OM13*0.011,
                IF(OM13&lt;168450, (OM13-69700)*0.0204+766.7,
                    IF(OM13&lt;256650, (OM13-168450)*0.0227+2781.2,
                        IF(OM13&lt;458350, (OM13-256650)*0.0264+4783.34,
                            (OM13-458350)*0.029+10108.22
                        )
                    )
                )
            ),
            IF(B2="MFS",
                IF(OM13&lt;34850, OM13*0.011,
                    IF(OM13&lt;84225, (OM13-34850)*0.0204+383.35,
                        IF(OM13&lt;128325, (OM13-84225)*0.0227+1390.6,
                            IF(OM13&lt;229175, (OM13-128325)*0.0264+2391.67,
                                (OM13-229175)*0.029+5054.11
                            )
                        )
                    )
                ),
                IF(B2="HOH",
                    IF(OM13&lt;55900, OM13*0.011,
                        IF(OM13&lt;144400, (OM13-55900)*0.0204+614.9,
                            IF(OM13&lt;233750, (OM13-144400)*0.0227+2420.3,
                                IF(OM13&lt;458350, (OM13-233750)*0.0264+4448.55,
                                    (OM13-458350)*0.029+10377.99
                                )
                            )
                        )
                    ),
                    "Invalid Filing Status"
                )
            )
        )
    ),
    IF(OR(B1=2023, B1=2024),
        IF(B2="Single",
            IF(OM13&lt;44725, 0,
                IF(OM13&lt;225975, (OM13-44725)*0.0195,
                    (OM13-225975)*0.025+3534.38
                )
            ),
            IF(OR(B2="MFJ", B2="QW"),
                IF(OM13&lt;74750, 0,
                    IF(OM13&lt;275100, (OM13-74750)*0.0195,
                        (OM13-275100)*0.025+3906.83
                    )
                ),
                IF(B2="MFS",
                    IF(OM13&lt;37375, 0,
                        IF(OM13&lt;137550, (OM13-37375)*0.0195,
                            (OM13-137550)*0.025+1953.41
                        )
                    ),
                    IF(B2="HOH",
                        IF(OM13&lt;59950, 0,
                            IF(OM13&lt;250550, (OM13-59950)*0.0195,
                                (OM13-250550)*0.025+3716.7
                            )
                        ),
                        "Invalid Filing Status"
                    )
                )
            )
        ),
        "Invalid Year"
    )
)</f>
        <v>Invalid Year</v>
      </c>
      <c r="ON14" s="60" t="str">
        <f t="shared" si="456"/>
        <v>Invalid Year</v>
      </c>
      <c r="OO14" s="60" t="str">
        <f t="shared" si="456"/>
        <v>Invalid Year</v>
      </c>
      <c r="OP14" s="60" t="str">
        <f t="shared" si="456"/>
        <v>Invalid Year</v>
      </c>
      <c r="OQ14" s="60" t="str">
        <f t="shared" si="456"/>
        <v>Invalid Year</v>
      </c>
      <c r="OR14" s="60" t="str">
        <f t="shared" si="456"/>
        <v>Invalid Year</v>
      </c>
      <c r="OS14" s="60" t="str">
        <f t="shared" si="456"/>
        <v>Invalid Year</v>
      </c>
      <c r="OT14" s="60" t="str">
        <f t="shared" si="456"/>
        <v>Invalid Year</v>
      </c>
      <c r="OU14" s="60" t="str">
        <f t="shared" si="456"/>
        <v>Invalid Year</v>
      </c>
      <c r="OV14" s="60"/>
      <c r="OW14" s="60" t="s">
        <v>203</v>
      </c>
      <c r="OX14" s="60" t="str">
        <f>IF(OR(B1=2022, B1=2023, B1=2024),
    IF(B1=2022,
        IF(OX13&lt;26050, 0,
            IF(OX13&lt;46100, (OX13-26050)*0.02765+360.69,
                IF(OX13&lt;92150, (OX13-46100)*0.03226+915.07,
                    IF(OX13&lt;115300, (OX13-92150)*0.03688+2400.64,
                        (OX13-115300)*0.0399+3254.41)))),
    IF(B1=2023,
        IF(OX13&lt;26050, 0,
            IF(OX13&lt;100000, (OX13-26050)*0.0275+360.69,
                IF(OX13&lt;115300, (OX13-100000)*0.03688+2394.32,
                    (OX13-115300)*0.0375+2958.58))),
    IF(B1=2024,
        IF(OX13&lt;26050, 0,
            IF(OX13&lt;100000, (OX13-26050)*0.0275+360.69,
                IF(OX13&lt;115300, (OX13-100000)*0.03688+2394.32,
                    (OX13-115300)*0.0375+2958.58))),
        "Invalid Year"))),
    "Invalid Year")</f>
        <v>Invalid Year</v>
      </c>
      <c r="OY14" s="60" t="str">
        <f t="shared" ref="OY14:PF14" si="457">IF(OR(C1=2022, C1=2023, C1=2024),
    IF(C1=2022,
        IF(OY13&lt;26050, 0,
            IF(OY13&lt;46100, (OY13-26050)*0.02765+360.69,
                IF(OY13&lt;92150, (OY13-46100)*0.03226+915.07,
                    IF(OY13&lt;115300, (OY13-92150)*0.03688+2400.64,
                        (OY13-115300)*0.0399+3254.41)))),
    IF(C1=2023,
        IF(OY13&lt;26050, 0,
            IF(OY13&lt;100000, (OY13-26050)*0.0275+360.69,
                IF(OY13&lt;115300, (OY13-100000)*0.03688+2394.32,
                    (OY13-115300)*0.0375+2958.58))),
    IF(C1=2024,
        IF(OY13&lt;26050, 0,
            IF(OY13&lt;100000, (OY13-26050)*0.0275+360.69,
                IF(OY13&lt;115300, (OY13-100000)*0.03688+2394.32,
                    (OY13-115300)*0.0375+2958.58))),
        "Invalid Year"))),
    "Invalid Year")</f>
        <v>Invalid Year</v>
      </c>
      <c r="OZ14" s="60" t="str">
        <f t="shared" si="457"/>
        <v>Invalid Year</v>
      </c>
      <c r="PA14" s="60" t="str">
        <f t="shared" si="457"/>
        <v>Invalid Year</v>
      </c>
      <c r="PB14" s="60" t="str">
        <f t="shared" si="457"/>
        <v>Invalid Year</v>
      </c>
      <c r="PC14" s="60" t="str">
        <f t="shared" si="457"/>
        <v>Invalid Year</v>
      </c>
      <c r="PD14" s="60" t="str">
        <f t="shared" si="457"/>
        <v>Invalid Year</v>
      </c>
      <c r="PE14" s="60" t="str">
        <f t="shared" si="457"/>
        <v>Invalid Year</v>
      </c>
      <c r="PF14" s="60" t="str">
        <f t="shared" si="457"/>
        <v>Invalid Year</v>
      </c>
      <c r="PG14" s="60"/>
      <c r="PH14" s="60" t="s">
        <v>203</v>
      </c>
      <c r="PI14" s="60" t="str">
        <f t="shared" ref="PI14:PQ14" si="458">IF(OR(B2="Single", B2="MFS"),
    IF(PI13&lt;1000, PI13*0.0025,
    IF(PI13&lt;2500, (PI13-1000)*0.0075+2.5,
    IF(PI13&lt;3750, (PI13-2500)*0.0175+13.75,
    IF(PI13&lt;4900, (PI13-3750)*0.0275+35.63,
    IF(PI13&lt;7200, (PI13-4900)*0.0375+67.25,
    (PI13-7200)*0.0475+153.5))))),
    IF(OR(B2="MFJ", B2="HOH"),
        IF(PI13&lt;2000, PI13*0.0025,
        IF(PI13&lt;5000, (PI13-2000)*0.0075+5,
        IF(PI13&lt;7500, (PI13-5000)*0.0175+27.5,
        IF(PI13&lt;9800, (PI13-7500)*0.0275+71.25,
        IF(PI13&lt;12200, (PI13-9800)*0.0375+134.5,
        (PI13-12200)*0.0475+224.5))))),
    "Invalid Filing Status"))</f>
        <v>Invalid Filing Status</v>
      </c>
      <c r="PJ14" s="60" t="str">
        <f t="shared" si="458"/>
        <v>Invalid Filing Status</v>
      </c>
      <c r="PK14" s="60" t="str">
        <f t="shared" si="458"/>
        <v>Invalid Filing Status</v>
      </c>
      <c r="PL14" s="60" t="str">
        <f t="shared" si="458"/>
        <v>Invalid Filing Status</v>
      </c>
      <c r="PM14" s="60" t="str">
        <f t="shared" si="458"/>
        <v>Invalid Filing Status</v>
      </c>
      <c r="PN14" s="60" t="str">
        <f t="shared" si="458"/>
        <v>Invalid Filing Status</v>
      </c>
      <c r="PO14" s="60" t="str">
        <f t="shared" si="458"/>
        <v>Invalid Filing Status</v>
      </c>
      <c r="PP14" s="60" t="str">
        <f t="shared" si="458"/>
        <v>Invalid Filing Status</v>
      </c>
      <c r="PQ14" s="60" t="str">
        <f t="shared" si="458"/>
        <v>Invalid Filing Status</v>
      </c>
      <c r="PR14" s="60"/>
      <c r="PS14" s="60" t="s">
        <v>203</v>
      </c>
      <c r="PT14" s="60" t="str">
        <f t="shared" ref="PT14:QB14" si="459">IF(AND(B1=2022, OR(B2="Single", B2="HOH", B2="MFS", B2="QW")), IF(PT13&lt;3750.01, PT13*0.0475, IF(PT13&lt;9450.01, 178.125+(PT13-3750)*0.0675, IF(PT13&lt;125000.01, 562.875+(PT13-9450)*0.0875, 10673.5+(PT13-125000)*0.099))), IF(B1=2022, IF(PT13&lt;7500.01, PT13*0.0475, IF(PT13&lt;18900.01, 356.25+(PT13-7500)*0.0675, IF(PT13&lt;250000.01, 1125.75+(PT13-18900)*0.0875, 21347+(PT13-250000)*0.099))), IF(AND(B1=2023, OR(B2="Single", B2="HOH", B2="MFS", B2="QW")), IF(PT13&lt;4050.01, PT13*0.0475, IF(PT13&lt;10200.01, 192.375+(PT13-4050)*0.0675, IF(PT13&lt;125000.01, 607.5+(PT13-10200)*0.0875, 10652.5+(PT13-125000)*0.099))), IF(B1=2023, IF(PT13&lt;8100.01, PT13*0.0475, IF(PT13&lt;20400.01, 384.75+(PT13-8100)*0.0675, IF(PT13&lt;250000.01, 1215+(PT13-20400)*0.0875, 21305+(PT13-250000)*0.099))), IF(AND(B1=2024, OR(B2="Single", B2="HOH", B2="MFS", B2="QW")), IF(PT13&lt;4050.01, PT13*0.0475, IF(PT13&lt;10200.01, 192.375+(PT13-4050)*0.0675, IF(PT13&lt;125000.01, 607.5+(PT13-10200)*0.0875, 10652.5+(PT13-125000)*0.099))), IF(B1=2024, IF(PT13&lt;8100.01, PT13*0.0475, IF(PT13&lt;20400.01, 384.75+(PT13-8100)*0.0675, IF(PT13&lt;250000.01, 1215+(PT13-20400)*0.0875, 21305+(PT13-250000)*0.099))), "Check Year/Filing Status"))))))</f>
        <v>Check Year/Filing Status</v>
      </c>
      <c r="PU14" s="60" t="str">
        <f t="shared" si="459"/>
        <v>Check Year/Filing Status</v>
      </c>
      <c r="PV14" s="60" t="str">
        <f t="shared" si="459"/>
        <v>Check Year/Filing Status</v>
      </c>
      <c r="PW14" s="60" t="str">
        <f t="shared" si="459"/>
        <v>Check Year/Filing Status</v>
      </c>
      <c r="PX14" s="60" t="str">
        <f t="shared" si="459"/>
        <v>Check Year/Filing Status</v>
      </c>
      <c r="PY14" s="60" t="str">
        <f t="shared" si="459"/>
        <v>Check Year/Filing Status</v>
      </c>
      <c r="PZ14" s="60" t="str">
        <f t="shared" si="459"/>
        <v>Check Year/Filing Status</v>
      </c>
      <c r="QA14" s="60" t="str">
        <f t="shared" si="459"/>
        <v>Check Year/Filing Status</v>
      </c>
      <c r="QB14" s="60" t="str">
        <f t="shared" si="459"/>
        <v>Check Year/Filing Status</v>
      </c>
      <c r="QC14" s="60"/>
      <c r="QD14" s="60" t="s">
        <v>203</v>
      </c>
      <c r="QE14" s="60">
        <f>QE13*0.0307</f>
        <v>0</v>
      </c>
      <c r="QF14" s="60">
        <f t="shared" ref="QF14:QL14" si="460">QF13*0.0307</f>
        <v>0</v>
      </c>
      <c r="QG14" s="60">
        <f t="shared" si="460"/>
        <v>0</v>
      </c>
      <c r="QH14" s="60">
        <f t="shared" si="460"/>
        <v>0</v>
      </c>
      <c r="QI14" s="60">
        <f t="shared" si="460"/>
        <v>0</v>
      </c>
      <c r="QJ14" s="60">
        <f t="shared" si="460"/>
        <v>0</v>
      </c>
      <c r="QK14" s="60">
        <f t="shared" si="460"/>
        <v>0</v>
      </c>
      <c r="QL14" s="60">
        <f t="shared" si="460"/>
        <v>0</v>
      </c>
      <c r="QM14" s="60">
        <f t="shared" ref="QM14" si="461">QM13*0.0307</f>
        <v>0</v>
      </c>
      <c r="QN14" s="60"/>
      <c r="QO14" s="60" t="s">
        <v>203</v>
      </c>
      <c r="QP14" s="60" t="str">
        <f t="shared" ref="QP14:QX14" si="462">IF(B1=2022,
    IF(QP13&lt;68200, QP13*0.0375,
    IF(QP13&lt;155050, (QP13-68200)*0.0475+2557.5,
    (QP13-155050)*0.0599+6682.88)),
IF(OR(B1=2023, B1=2024),
    IF(QP13&lt;73450, QP13*0.0375,
    IF(QP13&lt;166950, (QP13-73450)*0.0475+2754.375,
    (QP13-166950)*0.0599+7195.625)),
"Invalid Year"))</f>
        <v>Invalid Year</v>
      </c>
      <c r="QQ14" s="60" t="str">
        <f t="shared" si="462"/>
        <v>Invalid Year</v>
      </c>
      <c r="QR14" s="60" t="str">
        <f t="shared" si="462"/>
        <v>Invalid Year</v>
      </c>
      <c r="QS14" s="60" t="str">
        <f t="shared" si="462"/>
        <v>Invalid Year</v>
      </c>
      <c r="QT14" s="60" t="str">
        <f t="shared" si="462"/>
        <v>Invalid Year</v>
      </c>
      <c r="QU14" s="60" t="str">
        <f t="shared" si="462"/>
        <v>Invalid Year</v>
      </c>
      <c r="QV14" s="60" t="str">
        <f t="shared" si="462"/>
        <v>Invalid Year</v>
      </c>
      <c r="QW14" s="60" t="str">
        <f t="shared" si="462"/>
        <v>Invalid Year</v>
      </c>
      <c r="QX14" s="60" t="str">
        <f t="shared" si="462"/>
        <v>Invalid Year</v>
      </c>
      <c r="QY14" s="60"/>
      <c r="QZ14" s="60" t="s">
        <v>203</v>
      </c>
      <c r="RA14" s="60" t="str">
        <f>IF(B1=2022,
    IF(RA13&lt;3200, 0,
    IF(RA13&lt;6410, (RA13-3200)*0.03-96,
    IF(RA13&lt;9620, (RA13-6410)*0.04-160 + (RA13-3200)*0.03-96,
    IF(RA13&lt;12820, (RA13-9620)*0.05-256 + (RA13-6410)*0.04-160 + (RA13-3200)*0.03-96,
    IF(RA13&lt;16040, (RA13-12820)*0.06-385 + (RA13-9620)*0.05-256 + (RA13-6410)*0.04-160 + (RA13-3200)*0.03-96,
    (RA13-16040)*0.07-545 + (RA13-12820)*0.06-385 + (RA13-9620)*0.05-256 + (RA13-6410)*0.04-160 + (RA13-3200)*0.03-96))))),
    IF(OR(B1=2023, B1=2024),
    IF(RA13&lt;3329, 0,
    IF(RA13&lt;16679, (RA13-3329)*0.03,
    (RA13-16679)*0.064 + 401)),
    "Invalid Year")
)</f>
        <v>Invalid Year</v>
      </c>
      <c r="RB14" s="60" t="str">
        <f t="shared" ref="RB14:RI14" si="463">IF(C1=2022,
    IF(RB13&lt;3200, 0,
    IF(RB13&lt;6410, (RB13-3200)*0.03-96,
    IF(RB13&lt;9620, (RB13-6410)*0.04-160 + (RB13-3200)*0.03-96,
    IF(RB13&lt;12820, (RB13-9620)*0.05-256 + (RB13-6410)*0.04-160 + (RB13-3200)*0.03-96,
    IF(RB13&lt;16040, (RB13-12820)*0.06-385 + (RB13-9620)*0.05-256 + (RB13-6410)*0.04-160 + (RB13-3200)*0.03-96,
    (RB13-16040)*0.07-545 + (RB13-12820)*0.06-385 + (RB13-9620)*0.05-256 + (RB13-6410)*0.04-160 + (RB13-3200)*0.03-96))))),
    IF(OR(C1=2023, C1=2024),
    IF(RB13&lt;3329, 0,
    IF(RB13&lt;16679, (RB13-3329)*0.03,
    (RB13-16679)*0.064 + 401)),
    "Invalid Year")
)</f>
        <v>Invalid Year</v>
      </c>
      <c r="RC14" s="60" t="str">
        <f t="shared" si="463"/>
        <v>Invalid Year</v>
      </c>
      <c r="RD14" s="60" t="str">
        <f t="shared" si="463"/>
        <v>Invalid Year</v>
      </c>
      <c r="RE14" s="60" t="str">
        <f t="shared" si="463"/>
        <v>Invalid Year</v>
      </c>
      <c r="RF14" s="60" t="str">
        <f t="shared" si="463"/>
        <v>Invalid Year</v>
      </c>
      <c r="RG14" s="60" t="str">
        <f t="shared" si="463"/>
        <v>Invalid Year</v>
      </c>
      <c r="RH14" s="60" t="str">
        <f t="shared" si="463"/>
        <v>Invalid Year</v>
      </c>
      <c r="RI14" s="60" t="str">
        <f t="shared" si="463"/>
        <v>Invalid Year</v>
      </c>
      <c r="RJ14" s="60"/>
      <c r="RK14" s="60" t="s">
        <v>203</v>
      </c>
      <c r="RL14" s="60"/>
      <c r="RM14" s="60"/>
      <c r="RN14" s="60"/>
      <c r="RO14" s="60"/>
      <c r="RP14" s="60"/>
      <c r="RQ14" s="60"/>
      <c r="RR14" s="60"/>
      <c r="RS14" s="60"/>
      <c r="RT14" s="60"/>
      <c r="RU14" s="60"/>
      <c r="RV14" s="60" t="s">
        <v>203</v>
      </c>
      <c r="RW14" s="60"/>
      <c r="RX14" s="60"/>
      <c r="RY14" s="60"/>
      <c r="RZ14" s="60"/>
      <c r="SA14" s="60"/>
      <c r="SB14" s="60"/>
      <c r="SC14" s="60"/>
      <c r="SD14" s="60"/>
      <c r="SE14" s="60"/>
      <c r="SF14" s="60"/>
      <c r="SG14" s="60" t="s">
        <v>203</v>
      </c>
      <c r="SH14" s="60"/>
      <c r="SI14" s="60"/>
      <c r="SJ14" s="60"/>
      <c r="SK14" s="60"/>
      <c r="SL14" s="60"/>
      <c r="SM14" s="60"/>
      <c r="SN14" s="60"/>
      <c r="SO14" s="60"/>
      <c r="SP14" s="60"/>
      <c r="SQ14" s="60"/>
      <c r="SR14" s="60" t="s">
        <v>203</v>
      </c>
      <c r="SS14" s="60" t="str">
        <f t="shared" ref="SS14:TA14" si="464">IF(B1=2022, SS13*0.0485, IF(OR(B1=2023, B1=2024), SS13*0.0465, "Invalid Year"))</f>
        <v>Invalid Year</v>
      </c>
      <c r="ST14" s="60" t="str">
        <f t="shared" si="464"/>
        <v>Invalid Year</v>
      </c>
      <c r="SU14" s="60" t="str">
        <f t="shared" si="464"/>
        <v>Invalid Year</v>
      </c>
      <c r="SV14" s="60" t="str">
        <f t="shared" si="464"/>
        <v>Invalid Year</v>
      </c>
      <c r="SW14" s="60" t="str">
        <f t="shared" si="464"/>
        <v>Invalid Year</v>
      </c>
      <c r="SX14" s="60" t="str">
        <f t="shared" si="464"/>
        <v>Invalid Year</v>
      </c>
      <c r="SY14" s="60" t="str">
        <f t="shared" si="464"/>
        <v>Invalid Year</v>
      </c>
      <c r="SZ14" s="60" t="str">
        <f t="shared" si="464"/>
        <v>Invalid Year</v>
      </c>
      <c r="TA14" s="60" t="str">
        <f t="shared" si="464"/>
        <v>Invalid Year</v>
      </c>
      <c r="TB14" s="60"/>
      <c r="TC14" s="60" t="s">
        <v>203</v>
      </c>
      <c r="TD14" s="60" t="str" cm="1">
        <f t="array" ref="TD14">_xlfn.IFS(
    B1=2022, _xlfn.IFS(
        B2="Single", _xlfn.IFS(
            TD13&lt;42150, TD13*0.035,
            TD13&lt;75000, (TD13-42150)*0.066+1412,
            TD13&lt;102200, (TD13-75000)*0.066+3580,
            TD13&lt;213150, (TD13-102200)*0.076+5375,
            TD13&gt;=213150, (TD13-213150)*0.0875+13808
        ),
        B2="MFS", _xlfn.IFS(
            TD13&lt;35225, TD13*0.035,
            TD13&lt;75000, (TD13-35225)*0.066+1180,
            TD13&lt;85150, (TD13-75000)*0.066+3805,
            TD13&lt;129750, (TD13-85150)*0.076+4475,
            TD13&gt;=129750, (TD13-129750)*0.0875+7865
        ),
        OR(B2="MFJ", B2="QW"), _xlfn.IFS(
            TD13&lt;70450, TD13*0.035,
            TD13&lt;75000, (TD13-70450)*0.066+2360,
            TD13&lt;170300, (TD13-75000)*0.066+2660,
            TD13&lt;259500, (TD13-170300)*0.076+8950,
            TD13&gt;=259500, (TD13-259500)*0.0875+15729
        ),
        B2="HOH", _xlfn.IFS(
            TD13&lt;56500, TD13*0.035,
            TD13&lt;75000, (TD13-56500)*0.066+1893,
            TD13&lt;145950, (TD13-75000)*0.066+3114,
            TD13&lt;236350, (TD13-145950)*0.076+7796,
            TD13&gt;=236350, (TD13-236350)*0.0875+14667
        )
    ),
    OR(B1=2023, B1=2024), _xlfn.IFS(
        B2="Single", _xlfn.IFS(
            TD13&lt;45400, TD13*0.035,
            TD13&lt;75000, (TD13-45400)*0.066+1521,
            TD13&lt;110050, (TD13-75000)*0.066+3475,
            TD13&lt;229550, (TD13-110050)*0.076+5788,
            TD13&gt;=229550, (TD13-229550)*0.0875+14870
        ),
        B2="MFS", _xlfn.IFS(
            TD13&lt;37925, TD13*0.035,
            TD13&lt;75000, (TD13-37925)*0.066+1270,
            TD13&lt;91700, (TD13-75000)*0.066+3717,
            TD13&lt;139725, (TD13-91700)*0.076+4820,
            TD13&gt;=139725, (TD13-139725)*0.0875+8470
        ),
        OR(B2="MFJ", B2="QW"), _xlfn.IFS(
            TD13&lt;75000, TD13*0.035,
            TD13&lt;75850, (TD13-75000)*0.035+2513,
            TD13&lt;183400, (TD13-75850)*0.066+2541,
            TD13&lt;279450, (TD13-183400)*0.076+9639,
            TD13&gt;=279450, (TD13-279450)*0.0875+16939
        ),
        B2="HOH", _xlfn.IFS(
            TD13&lt;60850, TD13*0.035,
            TD13&lt;75000, (TD13-60850)*0.066+2038,
            TD13&lt;157150, (TD13-75000)*0.066+2972,
            TD13&lt;254500, (TD13-157150)*0.076+8394,
            TD13&gt;=254500, (TD13-254500)*0.0875+15793
        )
    ),
    TRUE, "Invalid Input"
)</f>
        <v>Invalid Input</v>
      </c>
      <c r="TE14" s="60" t="str" cm="1">
        <f t="array" ref="TE14">_xlfn.IFS(
    C1=2022, _xlfn.IFS(
        C2="Single", _xlfn.IFS(
            TE13&lt;42150, TE13*0.035,
            TE13&lt;75000, (TE13-42150)*0.066+1412,
            TE13&lt;102200, (TE13-75000)*0.066+3580,
            TE13&lt;213150, (TE13-102200)*0.076+5375,
            TE13&gt;=213150, (TE13-213150)*0.0875+13808
        ),
        C2="MFS", _xlfn.IFS(
            TE13&lt;35225, TE13*0.035,
            TE13&lt;75000, (TE13-35225)*0.066+1180,
            TE13&lt;85150, (TE13-75000)*0.066+3805,
            TE13&lt;129750, (TE13-85150)*0.076+4475,
            TE13&gt;=129750, (TE13-129750)*0.0875+7865
        ),
        OR(C2="MFJ", C2="QW"), _xlfn.IFS(
            TE13&lt;70450, TE13*0.035,
            TE13&lt;75000, (TE13-70450)*0.066+2360,
            TE13&lt;170300, (TE13-75000)*0.066+2660,
            TE13&lt;259500, (TE13-170300)*0.076+8950,
            TE13&gt;=259500, (TE13-259500)*0.0875+15729
        ),
        C2="HOH", _xlfn.IFS(
            TE13&lt;56500, TE13*0.035,
            TE13&lt;75000, (TE13-56500)*0.066+1893,
            TE13&lt;145950, (TE13-75000)*0.066+3114,
            TE13&lt;236350, (TE13-145950)*0.076+7796,
            TE13&gt;=236350, (TE13-236350)*0.0875+14667
        )
    ),
    OR(C1=2023, C1=2024), _xlfn.IFS(
        C2="Single", _xlfn.IFS(
            TE13&lt;45400, TE13*0.035,
            TE13&lt;75000, (TE13-45400)*0.066+1521,
            TE13&lt;110050, (TE13-75000)*0.066+3475,
            TE13&lt;229550, (TE13-110050)*0.076+5788,
            TE13&gt;=229550, (TE13-229550)*0.0875+14870
        ),
        C2="MFS", _xlfn.IFS(
            TE13&lt;37925, TE13*0.035,
            TE13&lt;75000, (TE13-37925)*0.066+1270,
            TE13&lt;91700, (TE13-75000)*0.066+3717,
            TE13&lt;139725, (TE13-91700)*0.076+4820,
            TE13&gt;=139725, (TE13-139725)*0.0875+8470
        ),
        OR(C2="MFJ", C2="QW"), _xlfn.IFS(
            TE13&lt;75000, TE13*0.035,
            TE13&lt;75850, (TE13-75000)*0.035+2513,
            TE13&lt;183400, (TE13-75850)*0.066+2541,
            TE13&lt;279450, (TE13-183400)*0.076+9639,
            TE13&gt;=279450, (TE13-279450)*0.0875+16939
        ),
        C2="HOH", _xlfn.IFS(
            TE13&lt;60850, TE13*0.035,
            TE13&lt;75000, (TE13-60850)*0.066+2038,
            TE13&lt;157150, (TE13-75000)*0.066+2972,
            TE13&lt;254500, (TE13-157150)*0.076+8394,
            TE13&gt;=254500, (TE13-254500)*0.0875+15793
        )
    ),
    TRUE, "Invalid Input"
)</f>
        <v>Invalid Input</v>
      </c>
      <c r="TF14" s="60" t="str" cm="1">
        <f t="array" ref="TF14">_xlfn.IFS(
    D1=2022, _xlfn.IFS(
        D2="Single", _xlfn.IFS(
            TF13&lt;42150, TF13*0.035,
            TF13&lt;75000, (TF13-42150)*0.066+1412,
            TF13&lt;102200, (TF13-75000)*0.066+3580,
            TF13&lt;213150, (TF13-102200)*0.076+5375,
            TF13&gt;=213150, (TF13-213150)*0.0875+13808
        ),
        D2="MFS", _xlfn.IFS(
            TF13&lt;35225, TF13*0.035,
            TF13&lt;75000, (TF13-35225)*0.066+1180,
            TF13&lt;85150, (TF13-75000)*0.066+3805,
            TF13&lt;129750, (TF13-85150)*0.076+4475,
            TF13&gt;=129750, (TF13-129750)*0.0875+7865
        ),
        OR(D2="MFJ", D2="QW"), _xlfn.IFS(
            TF13&lt;70450, TF13*0.035,
            TF13&lt;75000, (TF13-70450)*0.066+2360,
            TF13&lt;170300, (TF13-75000)*0.066+2660,
            TF13&lt;259500, (TF13-170300)*0.076+8950,
            TF13&gt;=259500, (TF13-259500)*0.0875+15729
        ),
        D2="HOH", _xlfn.IFS(
            TF13&lt;56500, TF13*0.035,
            TF13&lt;75000, (TF13-56500)*0.066+1893,
            TF13&lt;145950, (TF13-75000)*0.066+3114,
            TF13&lt;236350, (TF13-145950)*0.076+7796,
            TF13&gt;=236350, (TF13-236350)*0.0875+14667
        )
    ),
    OR(D1=2023, D1=2024), _xlfn.IFS(
        D2="Single", _xlfn.IFS(
            TF13&lt;45400, TF13*0.035,
            TF13&lt;75000, (TF13-45400)*0.066+1521,
            TF13&lt;110050, (TF13-75000)*0.066+3475,
            TF13&lt;229550, (TF13-110050)*0.076+5788,
            TF13&gt;=229550, (TF13-229550)*0.0875+14870
        ),
        D2="MFS", _xlfn.IFS(
            TF13&lt;37925, TF13*0.035,
            TF13&lt;75000, (TF13-37925)*0.066+1270,
            TF13&lt;91700, (TF13-75000)*0.066+3717,
            TF13&lt;139725, (TF13-91700)*0.076+4820,
            TF13&gt;=139725, (TF13-139725)*0.0875+8470
        ),
        OR(D2="MFJ", D2="QW"), _xlfn.IFS(
            TF13&lt;75000, TF13*0.035,
            TF13&lt;75850, (TF13-75000)*0.035+2513,
            TF13&lt;183400, (TF13-75850)*0.066+2541,
            TF13&lt;279450, (TF13-183400)*0.076+9639,
            TF13&gt;=279450, (TF13-279450)*0.0875+16939
        ),
        D2="HOH", _xlfn.IFS(
            TF13&lt;60850, TF13*0.035,
            TF13&lt;75000, (TF13-60850)*0.066+2038,
            TF13&lt;157150, (TF13-75000)*0.066+2972,
            TF13&lt;254500, (TF13-157150)*0.076+8394,
            TF13&gt;=254500, (TF13-254500)*0.0875+15793
        )
    ),
    TRUE, "Invalid Input"
)</f>
        <v>Invalid Input</v>
      </c>
      <c r="TG14" s="60" t="str" cm="1">
        <f t="array" ref="TG14">_xlfn.IFS(
    E1=2022, _xlfn.IFS(
        E2="Single", _xlfn.IFS(
            TG13&lt;42150, TG13*0.035,
            TG13&lt;75000, (TG13-42150)*0.066+1412,
            TG13&lt;102200, (TG13-75000)*0.066+3580,
            TG13&lt;213150, (TG13-102200)*0.076+5375,
            TG13&gt;=213150, (TG13-213150)*0.0875+13808
        ),
        E2="MFS", _xlfn.IFS(
            TG13&lt;35225, TG13*0.035,
            TG13&lt;75000, (TG13-35225)*0.066+1180,
            TG13&lt;85150, (TG13-75000)*0.066+3805,
            TG13&lt;129750, (TG13-85150)*0.076+4475,
            TG13&gt;=129750, (TG13-129750)*0.0875+7865
        ),
        OR(E2="MFJ", E2="QW"), _xlfn.IFS(
            TG13&lt;70450, TG13*0.035,
            TG13&lt;75000, (TG13-70450)*0.066+2360,
            TG13&lt;170300, (TG13-75000)*0.066+2660,
            TG13&lt;259500, (TG13-170300)*0.076+8950,
            TG13&gt;=259500, (TG13-259500)*0.0875+15729
        ),
        E2="HOH", _xlfn.IFS(
            TG13&lt;56500, TG13*0.035,
            TG13&lt;75000, (TG13-56500)*0.066+1893,
            TG13&lt;145950, (TG13-75000)*0.066+3114,
            TG13&lt;236350, (TG13-145950)*0.076+7796,
            TG13&gt;=236350, (TG13-236350)*0.0875+14667
        )
    ),
    OR(E1=2023, E1=2024), _xlfn.IFS(
        E2="Single", _xlfn.IFS(
            TG13&lt;45400, TG13*0.035,
            TG13&lt;75000, (TG13-45400)*0.066+1521,
            TG13&lt;110050, (TG13-75000)*0.066+3475,
            TG13&lt;229550, (TG13-110050)*0.076+5788,
            TG13&gt;=229550, (TG13-229550)*0.0875+14870
        ),
        E2="MFS", _xlfn.IFS(
            TG13&lt;37925, TG13*0.035,
            TG13&lt;75000, (TG13-37925)*0.066+1270,
            TG13&lt;91700, (TG13-75000)*0.066+3717,
            TG13&lt;139725, (TG13-91700)*0.076+4820,
            TG13&gt;=139725, (TG13-139725)*0.0875+8470
        ),
        OR(E2="MFJ", E2="QW"), _xlfn.IFS(
            TG13&lt;75000, TG13*0.035,
            TG13&lt;75850, (TG13-75000)*0.035+2513,
            TG13&lt;183400, (TG13-75850)*0.066+2541,
            TG13&lt;279450, (TG13-183400)*0.076+9639,
            TG13&gt;=279450, (TG13-279450)*0.0875+16939
        ),
        E2="HOH", _xlfn.IFS(
            TG13&lt;60850, TG13*0.035,
            TG13&lt;75000, (TG13-60850)*0.066+2038,
            TG13&lt;157150, (TG13-75000)*0.066+2972,
            TG13&lt;254500, (TG13-157150)*0.076+8394,
            TG13&gt;=254500, (TG13-254500)*0.0875+15793
        )
    ),
    TRUE, "Invalid Input"
)</f>
        <v>Invalid Input</v>
      </c>
      <c r="TH14" s="60" t="str" cm="1">
        <f t="array" ref="TH14">_xlfn.IFS(
    F1=2022, _xlfn.IFS(
        F2="Single", _xlfn.IFS(
            TH13&lt;42150, TH13*0.035,
            TH13&lt;75000, (TH13-42150)*0.066+1412,
            TH13&lt;102200, (TH13-75000)*0.066+3580,
            TH13&lt;213150, (TH13-102200)*0.076+5375,
            TH13&gt;=213150, (TH13-213150)*0.0875+13808
        ),
        F2="MFS", _xlfn.IFS(
            TH13&lt;35225, TH13*0.035,
            TH13&lt;75000, (TH13-35225)*0.066+1180,
            TH13&lt;85150, (TH13-75000)*0.066+3805,
            TH13&lt;129750, (TH13-85150)*0.076+4475,
            TH13&gt;=129750, (TH13-129750)*0.0875+7865
        ),
        OR(F2="MFJ", F2="QW"), _xlfn.IFS(
            TH13&lt;70450, TH13*0.035,
            TH13&lt;75000, (TH13-70450)*0.066+2360,
            TH13&lt;170300, (TH13-75000)*0.066+2660,
            TH13&lt;259500, (TH13-170300)*0.076+8950,
            TH13&gt;=259500, (TH13-259500)*0.0875+15729
        ),
        F2="HOH", _xlfn.IFS(
            TH13&lt;56500, TH13*0.035,
            TH13&lt;75000, (TH13-56500)*0.066+1893,
            TH13&lt;145950, (TH13-75000)*0.066+3114,
            TH13&lt;236350, (TH13-145950)*0.076+7796,
            TH13&gt;=236350, (TH13-236350)*0.0875+14667
        )
    ),
    OR(F1=2023, F1=2024), _xlfn.IFS(
        F2="Single", _xlfn.IFS(
            TH13&lt;45400, TH13*0.035,
            TH13&lt;75000, (TH13-45400)*0.066+1521,
            TH13&lt;110050, (TH13-75000)*0.066+3475,
            TH13&lt;229550, (TH13-110050)*0.076+5788,
            TH13&gt;=229550, (TH13-229550)*0.0875+14870
        ),
        F2="MFS", _xlfn.IFS(
            TH13&lt;37925, TH13*0.035,
            TH13&lt;75000, (TH13-37925)*0.066+1270,
            TH13&lt;91700, (TH13-75000)*0.066+3717,
            TH13&lt;139725, (TH13-91700)*0.076+4820,
            TH13&gt;=139725, (TH13-139725)*0.0875+8470
        ),
        OR(F2="MFJ", F2="QW"), _xlfn.IFS(
            TH13&lt;75000, TH13*0.035,
            TH13&lt;75850, (TH13-75000)*0.035+2513,
            TH13&lt;183400, (TH13-75850)*0.066+2541,
            TH13&lt;279450, (TH13-183400)*0.076+9639,
            TH13&gt;=279450, (TH13-279450)*0.0875+16939
        ),
        F2="HOH", _xlfn.IFS(
            TH13&lt;60850, TH13*0.035,
            TH13&lt;75000, (TH13-60850)*0.066+2038,
            TH13&lt;157150, (TH13-75000)*0.066+2972,
            TH13&lt;254500, (TH13-157150)*0.076+8394,
            TH13&gt;=254500, (TH13-254500)*0.0875+15793
        )
    ),
    TRUE, "Invalid Input"
)</f>
        <v>Invalid Input</v>
      </c>
      <c r="TI14" s="60" t="str" cm="1">
        <f t="array" ref="TI14">_xlfn.IFS(
    G1=2022, _xlfn.IFS(
        G2="Single", _xlfn.IFS(
            TI13&lt;42150, TI13*0.035,
            TI13&lt;75000, (TI13-42150)*0.066+1412,
            TI13&lt;102200, (TI13-75000)*0.066+3580,
            TI13&lt;213150, (TI13-102200)*0.076+5375,
            TI13&gt;=213150, (TI13-213150)*0.0875+13808
        ),
        G2="MFS", _xlfn.IFS(
            TI13&lt;35225, TI13*0.035,
            TI13&lt;75000, (TI13-35225)*0.066+1180,
            TI13&lt;85150, (TI13-75000)*0.066+3805,
            TI13&lt;129750, (TI13-85150)*0.076+4475,
            TI13&gt;=129750, (TI13-129750)*0.0875+7865
        ),
        OR(G2="MFJ", G2="QW"), _xlfn.IFS(
            TI13&lt;70450, TI13*0.035,
            TI13&lt;75000, (TI13-70450)*0.066+2360,
            TI13&lt;170300, (TI13-75000)*0.066+2660,
            TI13&lt;259500, (TI13-170300)*0.076+8950,
            TI13&gt;=259500, (TI13-259500)*0.0875+15729
        ),
        G2="HOH", _xlfn.IFS(
            TI13&lt;56500, TI13*0.035,
            TI13&lt;75000, (TI13-56500)*0.066+1893,
            TI13&lt;145950, (TI13-75000)*0.066+3114,
            TI13&lt;236350, (TI13-145950)*0.076+7796,
            TI13&gt;=236350, (TI13-236350)*0.0875+14667
        )
    ),
    OR(G1=2023, G1=2024), _xlfn.IFS(
        G2="Single", _xlfn.IFS(
            TI13&lt;45400, TI13*0.035,
            TI13&lt;75000, (TI13-45400)*0.066+1521,
            TI13&lt;110050, (TI13-75000)*0.066+3475,
            TI13&lt;229550, (TI13-110050)*0.076+5788,
            TI13&gt;=229550, (TI13-229550)*0.0875+14870
        ),
        G2="MFS", _xlfn.IFS(
            TI13&lt;37925, TI13*0.035,
            TI13&lt;75000, (TI13-37925)*0.066+1270,
            TI13&lt;91700, (TI13-75000)*0.066+3717,
            TI13&lt;139725, (TI13-91700)*0.076+4820,
            TI13&gt;=139725, (TI13-139725)*0.0875+8470
        ),
        OR(G2="MFJ", G2="QW"), _xlfn.IFS(
            TI13&lt;75000, TI13*0.035,
            TI13&lt;75850, (TI13-75000)*0.035+2513,
            TI13&lt;183400, (TI13-75850)*0.066+2541,
            TI13&lt;279450, (TI13-183400)*0.076+9639,
            TI13&gt;=279450, (TI13-279450)*0.0875+16939
        ),
        G2="HOH", _xlfn.IFS(
            TI13&lt;60850, TI13*0.035,
            TI13&lt;75000, (TI13-60850)*0.066+2038,
            TI13&lt;157150, (TI13-75000)*0.066+2972,
            TI13&lt;254500, (TI13-157150)*0.076+8394,
            TI13&gt;=254500, (TI13-254500)*0.0875+15793
        )
    ),
    TRUE, "Invalid Input"
)</f>
        <v>Invalid Input</v>
      </c>
      <c r="TJ14" s="60" t="str" cm="1">
        <f t="array" ref="TJ14">_xlfn.IFS(
    H1=2022, _xlfn.IFS(
        H2="Single", _xlfn.IFS(
            TJ13&lt;42150, TJ13*0.035,
            TJ13&lt;75000, (TJ13-42150)*0.066+1412,
            TJ13&lt;102200, (TJ13-75000)*0.066+3580,
            TJ13&lt;213150, (TJ13-102200)*0.076+5375,
            TJ13&gt;=213150, (TJ13-213150)*0.0875+13808
        ),
        H2="MFS", _xlfn.IFS(
            TJ13&lt;35225, TJ13*0.035,
            TJ13&lt;75000, (TJ13-35225)*0.066+1180,
            TJ13&lt;85150, (TJ13-75000)*0.066+3805,
            TJ13&lt;129750, (TJ13-85150)*0.076+4475,
            TJ13&gt;=129750, (TJ13-129750)*0.0875+7865
        ),
        OR(H2="MFJ", H2="QW"), _xlfn.IFS(
            TJ13&lt;70450, TJ13*0.035,
            TJ13&lt;75000, (TJ13-70450)*0.066+2360,
            TJ13&lt;170300, (TJ13-75000)*0.066+2660,
            TJ13&lt;259500, (TJ13-170300)*0.076+8950,
            TJ13&gt;=259500, (TJ13-259500)*0.0875+15729
        ),
        H2="HOH", _xlfn.IFS(
            TJ13&lt;56500, TJ13*0.035,
            TJ13&lt;75000, (TJ13-56500)*0.066+1893,
            TJ13&lt;145950, (TJ13-75000)*0.066+3114,
            TJ13&lt;236350, (TJ13-145950)*0.076+7796,
            TJ13&gt;=236350, (TJ13-236350)*0.0875+14667
        )
    ),
    OR(H1=2023, H1=2024), _xlfn.IFS(
        H2="Single", _xlfn.IFS(
            TJ13&lt;45400, TJ13*0.035,
            TJ13&lt;75000, (TJ13-45400)*0.066+1521,
            TJ13&lt;110050, (TJ13-75000)*0.066+3475,
            TJ13&lt;229550, (TJ13-110050)*0.076+5788,
            TJ13&gt;=229550, (TJ13-229550)*0.0875+14870
        ),
        H2="MFS", _xlfn.IFS(
            TJ13&lt;37925, TJ13*0.035,
            TJ13&lt;75000, (TJ13-37925)*0.066+1270,
            TJ13&lt;91700, (TJ13-75000)*0.066+3717,
            TJ13&lt;139725, (TJ13-91700)*0.076+4820,
            TJ13&gt;=139725, (TJ13-139725)*0.0875+8470
        ),
        OR(H2="MFJ", H2="QW"), _xlfn.IFS(
            TJ13&lt;75000, TJ13*0.035,
            TJ13&lt;75850, (TJ13-75000)*0.035+2513,
            TJ13&lt;183400, (TJ13-75850)*0.066+2541,
            TJ13&lt;279450, (TJ13-183400)*0.076+9639,
            TJ13&gt;=279450, (TJ13-279450)*0.0875+16939
        ),
        H2="HOH", _xlfn.IFS(
            TJ13&lt;60850, TJ13*0.035,
            TJ13&lt;75000, (TJ13-60850)*0.066+2038,
            TJ13&lt;157150, (TJ13-75000)*0.066+2972,
            TJ13&lt;254500, (TJ13-157150)*0.076+8394,
            TJ13&gt;=254500, (TJ13-254500)*0.0875+15793
        )
    ),
    TRUE, "Invalid Input"
)</f>
        <v>Invalid Input</v>
      </c>
      <c r="TK14" s="60" t="str" cm="1">
        <f t="array" ref="TK14">_xlfn.IFS(
    I1=2022, _xlfn.IFS(
        I2="Single", _xlfn.IFS(
            TK13&lt;42150, TK13*0.035,
            TK13&lt;75000, (TK13-42150)*0.066+1412,
            TK13&lt;102200, (TK13-75000)*0.066+3580,
            TK13&lt;213150, (TK13-102200)*0.076+5375,
            TK13&gt;=213150, (TK13-213150)*0.0875+13808
        ),
        I2="MFS", _xlfn.IFS(
            TK13&lt;35225, TK13*0.035,
            TK13&lt;75000, (TK13-35225)*0.066+1180,
            TK13&lt;85150, (TK13-75000)*0.066+3805,
            TK13&lt;129750, (TK13-85150)*0.076+4475,
            TK13&gt;=129750, (TK13-129750)*0.0875+7865
        ),
        OR(I2="MFJ", I2="QW"), _xlfn.IFS(
            TK13&lt;70450, TK13*0.035,
            TK13&lt;75000, (TK13-70450)*0.066+2360,
            TK13&lt;170300, (TK13-75000)*0.066+2660,
            TK13&lt;259500, (TK13-170300)*0.076+8950,
            TK13&gt;=259500, (TK13-259500)*0.0875+15729
        ),
        I2="HOH", _xlfn.IFS(
            TK13&lt;56500, TK13*0.035,
            TK13&lt;75000, (TK13-56500)*0.066+1893,
            TK13&lt;145950, (TK13-75000)*0.066+3114,
            TK13&lt;236350, (TK13-145950)*0.076+7796,
            TK13&gt;=236350, (TK13-236350)*0.0875+14667
        )
    ),
    OR(I1=2023, I1=2024), _xlfn.IFS(
        I2="Single", _xlfn.IFS(
            TK13&lt;45400, TK13*0.035,
            TK13&lt;75000, (TK13-45400)*0.066+1521,
            TK13&lt;110050, (TK13-75000)*0.066+3475,
            TK13&lt;229550, (TK13-110050)*0.076+5788,
            TK13&gt;=229550, (TK13-229550)*0.0875+14870
        ),
        I2="MFS", _xlfn.IFS(
            TK13&lt;37925, TK13*0.035,
            TK13&lt;75000, (TK13-37925)*0.066+1270,
            TK13&lt;91700, (TK13-75000)*0.066+3717,
            TK13&lt;139725, (TK13-91700)*0.076+4820,
            TK13&gt;=139725, (TK13-139725)*0.0875+8470
        ),
        OR(I2="MFJ", I2="QW"), _xlfn.IFS(
            TK13&lt;75000, TK13*0.035,
            TK13&lt;75850, (TK13-75000)*0.035+2513,
            TK13&lt;183400, (TK13-75850)*0.066+2541,
            TK13&lt;279450, (TK13-183400)*0.076+9639,
            TK13&gt;=279450, (TK13-279450)*0.0875+16939
        ),
        I2="HOH", _xlfn.IFS(
            TK13&lt;60850, TK13*0.035,
            TK13&lt;75000, (TK13-60850)*0.066+2038,
            TK13&lt;157150, (TK13-75000)*0.066+2972,
            TK13&lt;254500, (TK13-157150)*0.076+8394,
            TK13&gt;=254500, (TK13-254500)*0.0875+15793
        )
    ),
    TRUE, "Invalid Input"
)</f>
        <v>Invalid Input</v>
      </c>
      <c r="TL14" s="60" t="str" cm="1">
        <f t="array" ref="TL14">_xlfn.IFS(
    J1=2022, _xlfn.IFS(
        J2="Single", _xlfn.IFS(
            TL13&lt;42150, TL13*0.035,
            TL13&lt;75000, (TL13-42150)*0.066+1412,
            TL13&lt;102200, (TL13-75000)*0.066+3580,
            TL13&lt;213150, (TL13-102200)*0.076+5375,
            TL13&gt;=213150, (TL13-213150)*0.0875+13808
        ),
        J2="MFS", _xlfn.IFS(
            TL13&lt;35225, TL13*0.035,
            TL13&lt;75000, (TL13-35225)*0.066+1180,
            TL13&lt;85150, (TL13-75000)*0.066+3805,
            TL13&lt;129750, (TL13-85150)*0.076+4475,
            TL13&gt;=129750, (TL13-129750)*0.0875+7865
        ),
        OR(J2="MFJ", J2="QW"), _xlfn.IFS(
            TL13&lt;70450, TL13*0.035,
            TL13&lt;75000, (TL13-70450)*0.066+2360,
            TL13&lt;170300, (TL13-75000)*0.066+2660,
            TL13&lt;259500, (TL13-170300)*0.076+8950,
            TL13&gt;=259500, (TL13-259500)*0.0875+15729
        ),
        J2="HOH", _xlfn.IFS(
            TL13&lt;56500, TL13*0.035,
            TL13&lt;75000, (TL13-56500)*0.066+1893,
            TL13&lt;145950, (TL13-75000)*0.066+3114,
            TL13&lt;236350, (TL13-145950)*0.076+7796,
            TL13&gt;=236350, (TL13-236350)*0.0875+14667
        )
    ),
    OR(J1=2023, J1=2024), _xlfn.IFS(
        J2="Single", _xlfn.IFS(
            TL13&lt;45400, TL13*0.035,
            TL13&lt;75000, (TL13-45400)*0.066+1521,
            TL13&lt;110050, (TL13-75000)*0.066+3475,
            TL13&lt;229550, (TL13-110050)*0.076+5788,
            TL13&gt;=229550, (TL13-229550)*0.0875+14870
        ),
        J2="MFS", _xlfn.IFS(
            TL13&lt;37925, TL13*0.035,
            TL13&lt;75000, (TL13-37925)*0.066+1270,
            TL13&lt;91700, (TL13-75000)*0.066+3717,
            TL13&lt;139725, (TL13-91700)*0.076+4820,
            TL13&gt;=139725, (TL13-139725)*0.0875+8470
        ),
        OR(J2="MFJ", J2="QW"), _xlfn.IFS(
            TL13&lt;75000, TL13*0.035,
            TL13&lt;75850, (TL13-75000)*0.035+2513,
            TL13&lt;183400, (TL13-75850)*0.066+2541,
            TL13&lt;279450, (TL13-183400)*0.076+9639,
            TL13&gt;=279450, (TL13-279450)*0.0875+16939
        ),
        J2="HOH", _xlfn.IFS(
            TL13&lt;60850, TL13*0.035,
            TL13&lt;75000, (TL13-60850)*0.066+2038,
            TL13&lt;157150, (TL13-75000)*0.066+2972,
            TL13&lt;254500, (TL13-157150)*0.076+8394,
            TL13&gt;=254500, (TL13-254500)*0.0875+15793
        )
    ),
    TRUE, "Invalid Input"
)</f>
        <v>Invalid Input</v>
      </c>
      <c r="TM14" s="60"/>
      <c r="TN14" s="60" t="s">
        <v>203</v>
      </c>
      <c r="TO14" s="60">
        <f>MAX(0, IF(TO13&lt;3000, TO13*0.02, IF(TO13&lt;5000, 60+(TO13-3000)*0.03, IF(TO13&lt;17000, 120+(TO13-5000)*0.05, 720+(TO13-17000)*0.0575))))</f>
        <v>0</v>
      </c>
      <c r="TP14" s="60">
        <f t="shared" ref="TP14:TV14" si="465">MAX(0, IF(TP13&lt;3000, TP13*0.02, IF(TP13&lt;5000, 60+(TP13-3000)*0.03, IF(TP13&lt;17000, 120+(TP13-5000)*0.05, 720+(TP13-17000)*0.0575))))</f>
        <v>0</v>
      </c>
      <c r="TQ14" s="60">
        <f t="shared" si="465"/>
        <v>0</v>
      </c>
      <c r="TR14" s="60">
        <f t="shared" si="465"/>
        <v>0</v>
      </c>
      <c r="TS14" s="60">
        <f t="shared" si="465"/>
        <v>0</v>
      </c>
      <c r="TT14" s="60">
        <f t="shared" si="465"/>
        <v>0</v>
      </c>
      <c r="TU14" s="60">
        <f t="shared" si="465"/>
        <v>0</v>
      </c>
      <c r="TV14" s="60">
        <f t="shared" si="465"/>
        <v>0</v>
      </c>
      <c r="TW14" s="60">
        <f t="shared" ref="TW14" si="466">MAX(0, IF(TW13&lt;3000, TW13*0.02, IF(TW13&lt;5000, 60+(TW13-3000)*0.03, IF(TW13&lt;17000, 120+(TW13-5000)*0.05, 720+(TW13-17000)*0.0575))))</f>
        <v>0</v>
      </c>
      <c r="TX14" s="60"/>
      <c r="TY14" s="60" t="s">
        <v>203</v>
      </c>
      <c r="TZ14" s="60"/>
      <c r="UA14" s="60"/>
      <c r="UB14" s="60"/>
      <c r="UC14" s="60"/>
      <c r="UD14" s="60"/>
      <c r="UE14" s="60"/>
      <c r="UF14" s="60"/>
      <c r="UG14" s="60"/>
      <c r="UH14" s="60"/>
      <c r="UI14" s="60"/>
      <c r="UJ14" s="60" t="s">
        <v>203</v>
      </c>
      <c r="UK14" s="60" t="str">
        <f t="shared" ref="UK14:US14" si="467">IF(B1=2022,
    IF(B2="MFS",
        IF(UK13&lt;5000, UK13*0.03,
            IF(UK13&lt;12500, (UK13-5000)*0.04+150,
                IF(UK13&lt;20000, (UK13-12500)*0.045+450,
                    IF(UK13&lt;30000, (UK13-20000)*0.06+787.5,
                        IF(UK13&gt;30000, (UK13-30000)*0.065+1387.5, "Error")
                    )
                )
            )
        ),
        IF(OR(B2="Single", B2="MFJ", B2="HOH", B2="QW"),
            IF(UK13&lt;10000, UK13*0.03,
                IF(UK13&lt;25000, (UK13-10000)*0.04+300,
                    IF(UK13&lt;40000, (UK13-25000)*0.045+900,
                        IF(UK13&lt;60000, (UK13-40000)*0.06+1575,
                            IF(UK13&gt;60000, (UK13-60000)*0.065+2775, "Error")
                        )
                    )
                )
            ),
            "Invalid Filing Status"
        )
    ),
    IF(OR(B1=2023, B1=2024),
        IF(B2="MFS",
            IF(UK13&lt;5000, UK13*0.0236,
                IF(UK13&lt;12500, (UK13-5000)*0.0315+118,
                    IF(UK13&lt;20000, (UK13-12500)*0.0354+354.25,
                        IF(UK13&lt;30000, (UK13-20000)*0.0472+619.75,
                            IF(UK13&gt;30000, (UK13-30000)*0.0512+1091.75, "Error")
                        )
                    )
                )
            ),
            IF(OR(B2="Single", B2="MFJ", B2="HOH", B2="QW"),
                IF(UK13&lt;10000, UK13*0.0236,
                    IF(UK13&lt;25000, (UK13-10000)*0.0315+236,
                        IF(UK13&lt;40000, (UK13-25000)*0.0354+708.5,
                            IF(UK13&lt;60000, (UK13-40000)*0.0472+1239.5,
                                IF(UK13&gt;60000, (UK13-60000)*0.0512+2183.5, "Error")
                            )
                        )
                    )
                ),
                "Invalid Filing Status"
            )
        ),
        "Invalid Year"
    )
)</f>
        <v>Invalid Year</v>
      </c>
      <c r="UL14" s="60" t="str">
        <f t="shared" si="467"/>
        <v>Invalid Year</v>
      </c>
      <c r="UM14" s="60" t="str">
        <f t="shared" si="467"/>
        <v>Invalid Year</v>
      </c>
      <c r="UN14" s="60" t="str">
        <f t="shared" si="467"/>
        <v>Invalid Year</v>
      </c>
      <c r="UO14" s="60" t="str">
        <f t="shared" si="467"/>
        <v>Invalid Year</v>
      </c>
      <c r="UP14" s="60" t="str">
        <f t="shared" si="467"/>
        <v>Invalid Year</v>
      </c>
      <c r="UQ14" s="60" t="str">
        <f t="shared" si="467"/>
        <v>Invalid Year</v>
      </c>
      <c r="UR14" s="60" t="str">
        <f t="shared" si="467"/>
        <v>Invalid Year</v>
      </c>
      <c r="US14" s="60" t="str">
        <f t="shared" si="467"/>
        <v>Invalid Year</v>
      </c>
      <c r="UT14" s="60"/>
      <c r="UU14" s="60" t="s">
        <v>203</v>
      </c>
      <c r="UV14" s="60" t="str">
        <f t="shared" ref="UV14:VD14" si="468">IF(AND(B1=2022, OR(B2="Single", B2="HOH")),
    IF(UV13&lt;12760, UV13*0.0354,
        IF(UV13&lt;25520, (UV13-12760)*0.0465+451.7,
            IF(UV13&lt;280950, (UV13-25520)*0.053+1045.04,
                (UV13-280950)*0.0765+14582.83))),
    IF(AND(B1=2022, B2="MFS"),
        IF(UV13&lt;8510, UV13*0.0354,
            IF(UV13&lt;17010, (UV13-8510)*0.0465+301.25,
                IF(UV13&lt;187300, (UV13-17010)*0.053+696.5,
                    (UV13-187300)*0.0765+9721.87))),
        IF(AND(B1=2022, B2="MFJ"),
            IF(UV13&lt;17010, UV13*0.0354,
                IF(UV13&lt;34030, (UV13-17010)*0.0465+602.15,
                    IF(UV13&lt;374600, (UV13-34030)*0.053+1393.58,
                        (UV13-374600)*0.0765+19443.79))),
            IF(AND(OR(B1=2023, B1=2024), OR(B2="Single", B2="HOH")),
                IF(UV13&lt;13810, UV13*0.035,
                    IF(UV13&lt;27630, (UV13-13810)*0.044+483.35,
                        IF(UV13&lt;304170, (UV13-27630)*0.053+1091.43,
                            (UV13-304170)*0.0765+15748.05))),
                IF(AND(OR(B1=2023, B1=2024), B2="MFS"),
                    IF(UV13&lt;9210, UV13*0.035,
                        IF(UV13&lt;18420, (UV13-9210)*0.044+322.35,
                            IF(UV13&lt;202780, (UV13-18420)*0.053+727.59,
                                (UV13-202780)*0.0765+10498.67))),
                    IF(AND(OR(B1=2023, B1=2024), B2="MFJ"),
                        IF(UV13&lt;18420, UV13*0.035,
                            IF(UV13&lt;36840, (UV13-18420)*0.044+644.7,
                                IF(UV13&lt;405550, (UV13-36840)*0.053+1455.18,
                                    (UV13-405550)*0.0765+20996.81))),
                        "Invalid Input"
                    )
                )
            )
        )
    )
)</f>
        <v>Invalid Input</v>
      </c>
      <c r="UW14" s="60" t="str">
        <f t="shared" si="468"/>
        <v>Invalid Input</v>
      </c>
      <c r="UX14" s="60" t="str">
        <f t="shared" si="468"/>
        <v>Invalid Input</v>
      </c>
      <c r="UY14" s="60" t="str">
        <f t="shared" si="468"/>
        <v>Invalid Input</v>
      </c>
      <c r="UZ14" s="60" t="str">
        <f t="shared" si="468"/>
        <v>Invalid Input</v>
      </c>
      <c r="VA14" s="60" t="str">
        <f t="shared" si="468"/>
        <v>Invalid Input</v>
      </c>
      <c r="VB14" s="60" t="str">
        <f t="shared" si="468"/>
        <v>Invalid Input</v>
      </c>
      <c r="VC14" s="60" t="str">
        <f t="shared" si="468"/>
        <v>Invalid Input</v>
      </c>
      <c r="VD14" s="60" t="str">
        <f t="shared" si="468"/>
        <v>Invalid Input</v>
      </c>
      <c r="VE14" s="60"/>
      <c r="VF14" s="60" t="s">
        <v>203</v>
      </c>
      <c r="VG14" s="60"/>
      <c r="VH14" s="60"/>
      <c r="VI14" s="60"/>
      <c r="VJ14" s="60"/>
      <c r="VK14" s="60"/>
      <c r="VL14" s="60"/>
      <c r="VM14" s="60"/>
      <c r="VN14" s="60"/>
      <c r="VO14" s="60"/>
      <c r="VT14" s="59">
        <v>0</v>
      </c>
    </row>
    <row r="15" spans="1:592" ht="15.75" thickBot="1" x14ac:dyDescent="0.3">
      <c r="A15" s="2" t="s">
        <v>4</v>
      </c>
      <c r="B15" s="39"/>
      <c r="C15" s="2" t="s">
        <v>5</v>
      </c>
      <c r="D15" s="39">
        <v>0</v>
      </c>
      <c r="E15" s="47"/>
      <c r="F15" s="2"/>
      <c r="G15" s="2"/>
      <c r="H15" s="2"/>
      <c r="I15" s="2"/>
      <c r="J15" s="2" t="s">
        <v>5</v>
      </c>
      <c r="K15" s="47"/>
      <c r="Q15" s="69"/>
      <c r="R15" s="70"/>
      <c r="S15" s="71">
        <v>4</v>
      </c>
      <c r="T15" s="72">
        <v>350</v>
      </c>
      <c r="U15" s="73">
        <f>S15*T15</f>
        <v>1400</v>
      </c>
      <c r="AM15" t="s">
        <v>44</v>
      </c>
      <c r="AN15" s="60"/>
      <c r="AO15" s="60"/>
      <c r="AP15" s="60"/>
      <c r="AQ15" s="60"/>
      <c r="AR15" s="60"/>
      <c r="AS15" s="60"/>
      <c r="AT15" s="60"/>
      <c r="AU15" s="60"/>
      <c r="AV15" s="60"/>
      <c r="AW15" s="60"/>
      <c r="AX15" s="60" t="s">
        <v>44</v>
      </c>
      <c r="AY15" s="60"/>
      <c r="AZ15" s="60"/>
      <c r="BA15" s="60"/>
      <c r="BB15" s="60"/>
      <c r="BC15" s="60"/>
      <c r="BD15" s="60"/>
      <c r="BE15" s="60"/>
      <c r="BF15" s="60"/>
      <c r="BG15" s="60"/>
      <c r="BH15" s="60"/>
      <c r="BI15" s="60" t="s">
        <v>44</v>
      </c>
      <c r="BJ15" s="60"/>
      <c r="BK15" s="60"/>
      <c r="BL15" s="60"/>
      <c r="BM15" s="60"/>
      <c r="BN15" s="60"/>
      <c r="BO15" s="60"/>
      <c r="BP15" s="60"/>
      <c r="BQ15" s="60"/>
      <c r="BR15" s="60"/>
      <c r="BS15" s="60"/>
      <c r="BT15" s="60" t="s">
        <v>44</v>
      </c>
      <c r="BU15" s="60"/>
      <c r="BV15" s="60"/>
      <c r="BW15" s="60"/>
      <c r="BX15" s="60"/>
      <c r="BY15" s="60"/>
      <c r="BZ15" s="60"/>
      <c r="CA15" s="60"/>
      <c r="CB15" s="60"/>
      <c r="CC15" s="60"/>
      <c r="CD15" s="60"/>
      <c r="CE15" s="60" t="s">
        <v>44</v>
      </c>
      <c r="CF15" s="60"/>
      <c r="CG15" s="60"/>
      <c r="CH15" s="60"/>
      <c r="CI15" s="60"/>
      <c r="CJ15" s="60"/>
      <c r="CK15" s="60"/>
      <c r="CL15" s="60"/>
      <c r="CM15" s="60"/>
      <c r="CN15" s="60"/>
      <c r="CO15" s="60"/>
      <c r="CP15" s="60" t="s">
        <v>44</v>
      </c>
      <c r="CQ15" s="60"/>
      <c r="CR15" s="60"/>
      <c r="CS15" s="60"/>
      <c r="CT15" s="60"/>
      <c r="CU15" s="60"/>
      <c r="CV15" s="60"/>
      <c r="CW15" s="60"/>
      <c r="CX15" s="60"/>
      <c r="CY15" s="60"/>
      <c r="CZ15" s="60"/>
      <c r="DA15" s="60" t="s">
        <v>377</v>
      </c>
      <c r="DB15" s="60" t="str">
        <f t="shared" ref="DB15:DJ15" si="469">IF(B2="Single",
    IF(DB13&gt;56500, MIN(200, FLOOR((DB13-56500)/5000, 1)*20), 0),
  IF(B2="MFJ",
    IF(DB13&gt;100500, MIN(400, FLOOR((DB13-100500)/5000, 1)*40), 0),
  IF(B2="MFS",
    IF(DB13&gt;50250, MIN(200, FLOOR((DB13-50250)/2500, 1)*20), 0),
  IF(B2="HOH",
    IF(DB13&gt;78500, MIN(320, FLOOR((DB13-78500)/4000, 1)*32), 0),
  "Invalid Filing Status"))))</f>
        <v>Invalid Filing Status</v>
      </c>
      <c r="DC15" s="60" t="str">
        <f t="shared" si="469"/>
        <v>Invalid Filing Status</v>
      </c>
      <c r="DD15" s="60" t="str">
        <f t="shared" si="469"/>
        <v>Invalid Filing Status</v>
      </c>
      <c r="DE15" s="60" t="str">
        <f t="shared" si="469"/>
        <v>Invalid Filing Status</v>
      </c>
      <c r="DF15" s="60" t="str">
        <f t="shared" si="469"/>
        <v>Invalid Filing Status</v>
      </c>
      <c r="DG15" s="60" t="str">
        <f t="shared" si="469"/>
        <v>Invalid Filing Status</v>
      </c>
      <c r="DH15" s="60" t="str">
        <f t="shared" si="469"/>
        <v>Invalid Filing Status</v>
      </c>
      <c r="DI15" s="60" t="str">
        <f t="shared" si="469"/>
        <v>Invalid Filing Status</v>
      </c>
      <c r="DJ15" s="60" t="str">
        <f t="shared" si="469"/>
        <v>Invalid Filing Status</v>
      </c>
      <c r="DL15" s="60" t="s">
        <v>44</v>
      </c>
      <c r="DM15" s="60"/>
      <c r="DN15" s="60"/>
      <c r="DO15" s="60"/>
      <c r="DP15" s="60"/>
      <c r="DQ15" s="60"/>
      <c r="DR15" s="60"/>
      <c r="DS15" s="60"/>
      <c r="DT15" s="60"/>
      <c r="DU15" s="60"/>
      <c r="DV15" s="60"/>
      <c r="DW15" s="60" t="s">
        <v>44</v>
      </c>
      <c r="DX15" s="60"/>
      <c r="DY15" s="60"/>
      <c r="DZ15" s="60"/>
      <c r="EA15" s="60"/>
      <c r="EB15" s="60"/>
      <c r="EC15" s="60"/>
      <c r="ED15" s="60"/>
      <c r="EE15" s="60"/>
      <c r="EF15" s="60"/>
      <c r="EH15" s="60" t="s">
        <v>44</v>
      </c>
      <c r="EI15" s="60"/>
      <c r="EJ15" s="60"/>
      <c r="EK15" s="60"/>
      <c r="EL15" s="60"/>
      <c r="EM15" s="60"/>
      <c r="EN15" s="60"/>
      <c r="EO15" s="60"/>
      <c r="EP15" s="60"/>
      <c r="EQ15" s="60"/>
      <c r="ER15" s="60"/>
      <c r="ES15" s="60" t="s">
        <v>44</v>
      </c>
      <c r="ET15" s="60"/>
      <c r="EU15" s="60"/>
      <c r="EV15" s="60"/>
      <c r="EW15" s="60"/>
      <c r="EX15" s="60"/>
      <c r="EY15" s="60"/>
      <c r="EZ15" s="60"/>
      <c r="FA15" s="60"/>
      <c r="FB15" s="60"/>
      <c r="FC15" s="60"/>
      <c r="FD15" s="60" t="s">
        <v>44</v>
      </c>
      <c r="FE15" s="60"/>
      <c r="FF15" s="60"/>
      <c r="FG15" s="60"/>
      <c r="FH15" s="60"/>
      <c r="FI15" s="60"/>
      <c r="FJ15" s="60"/>
      <c r="FK15" s="60"/>
      <c r="FL15" s="60"/>
      <c r="FM15" s="60"/>
      <c r="FN15" s="60"/>
      <c r="FO15" s="60" t="s">
        <v>44</v>
      </c>
      <c r="FP15" s="60"/>
      <c r="FQ15" s="60"/>
      <c r="FR15" s="60"/>
      <c r="FS15" s="60"/>
      <c r="FT15" s="60"/>
      <c r="FU15" s="60"/>
      <c r="FV15" s="60"/>
      <c r="FW15" s="60"/>
      <c r="FX15" s="60"/>
      <c r="FY15" s="60"/>
      <c r="FZ15" s="60" t="s">
        <v>44</v>
      </c>
      <c r="GA15" s="60"/>
      <c r="GB15" s="60"/>
      <c r="GC15" s="60"/>
      <c r="GD15" s="60"/>
      <c r="GE15" s="60"/>
      <c r="GF15" s="60"/>
      <c r="GG15" s="60"/>
      <c r="GH15" s="60"/>
      <c r="GI15" s="60"/>
      <c r="GJ15" s="60"/>
      <c r="GK15" s="60" t="s">
        <v>44</v>
      </c>
      <c r="GL15" s="60"/>
      <c r="GM15" s="60"/>
      <c r="GN15" s="60"/>
      <c r="GO15" s="60"/>
      <c r="GP15" s="60"/>
      <c r="GQ15" s="60"/>
      <c r="GR15" s="60"/>
      <c r="GS15" s="60"/>
      <c r="GT15" s="60"/>
      <c r="GU15" s="60"/>
      <c r="GV15" s="60" t="s">
        <v>44</v>
      </c>
      <c r="GW15" s="60"/>
      <c r="GX15" s="60"/>
      <c r="GY15" s="60"/>
      <c r="GZ15" s="60"/>
      <c r="HA15" s="60"/>
      <c r="HB15" s="60"/>
      <c r="HC15" s="60"/>
      <c r="HD15" s="60"/>
      <c r="HE15" s="60"/>
      <c r="HF15" s="60"/>
      <c r="HG15" s="60" t="s">
        <v>44</v>
      </c>
      <c r="HH15" s="60"/>
      <c r="HI15" s="60"/>
      <c r="HJ15" s="60"/>
      <c r="HK15" s="60"/>
      <c r="HL15" s="60"/>
      <c r="HM15" s="60"/>
      <c r="HN15" s="60"/>
      <c r="HO15" s="60"/>
      <c r="HP15" s="60"/>
      <c r="HQ15" s="60"/>
      <c r="HR15" s="60" t="s">
        <v>44</v>
      </c>
      <c r="HS15" s="60"/>
      <c r="HT15" s="60"/>
      <c r="HU15" s="60"/>
      <c r="HV15" s="60"/>
      <c r="HW15" s="60"/>
      <c r="HX15" s="60"/>
      <c r="HY15" s="60"/>
      <c r="HZ15" s="60"/>
      <c r="IA15" s="60"/>
      <c r="IB15" s="60"/>
      <c r="IC15" s="60" t="s">
        <v>44</v>
      </c>
      <c r="ID15" s="60"/>
      <c r="IE15" s="60"/>
      <c r="IF15" s="60"/>
      <c r="IG15" s="60"/>
      <c r="IH15" s="60"/>
      <c r="II15" s="60"/>
      <c r="IJ15" s="60"/>
      <c r="IK15" s="60"/>
      <c r="IL15" s="60"/>
      <c r="IM15" s="60"/>
      <c r="IN15" s="60" t="s">
        <v>328</v>
      </c>
      <c r="IO15" s="60">
        <f>IO13*0.032</f>
        <v>0</v>
      </c>
      <c r="IP15" s="60" t="e">
        <f t="shared" ref="IP15:IV15" si="470">IP13*0.032</f>
        <v>#VALUE!</v>
      </c>
      <c r="IQ15" s="60" t="e">
        <f t="shared" si="470"/>
        <v>#VALUE!</v>
      </c>
      <c r="IR15" s="60" t="e">
        <f t="shared" si="470"/>
        <v>#VALUE!</v>
      </c>
      <c r="IS15" s="60" t="e">
        <f t="shared" si="470"/>
        <v>#VALUE!</v>
      </c>
      <c r="IT15" s="60" t="e">
        <f t="shared" si="470"/>
        <v>#VALUE!</v>
      </c>
      <c r="IU15" s="60" t="e">
        <f t="shared" si="470"/>
        <v>#VALUE!</v>
      </c>
      <c r="IV15" s="60" t="e">
        <f t="shared" si="470"/>
        <v>#VALUE!</v>
      </c>
      <c r="IW15" s="60" t="e">
        <f t="shared" ref="IW15" si="471">IW13*0.032</f>
        <v>#VALUE!</v>
      </c>
      <c r="IX15" s="60"/>
      <c r="IY15" s="60" t="s">
        <v>44</v>
      </c>
      <c r="IZ15" s="60"/>
      <c r="JA15" s="60"/>
      <c r="JB15" s="60"/>
      <c r="JC15" s="60"/>
      <c r="JD15" s="60"/>
      <c r="JE15" s="60"/>
      <c r="JF15" s="60"/>
      <c r="JG15" s="60"/>
      <c r="JH15" s="60"/>
      <c r="JI15" s="60"/>
      <c r="JJ15" s="60" t="s">
        <v>44</v>
      </c>
      <c r="JK15" s="60"/>
      <c r="JL15" s="60"/>
      <c r="JM15" s="60"/>
      <c r="JN15" s="60"/>
      <c r="JO15" s="60"/>
      <c r="JP15" s="60"/>
      <c r="JQ15" s="60"/>
      <c r="JR15" s="60"/>
      <c r="JS15" s="60"/>
      <c r="JT15" s="60"/>
      <c r="JU15" s="60" t="s">
        <v>44</v>
      </c>
      <c r="JV15" s="60"/>
      <c r="JW15" s="60"/>
      <c r="JX15" s="60"/>
      <c r="JY15" s="60"/>
      <c r="JZ15" s="60"/>
      <c r="KA15" s="60"/>
      <c r="KB15" s="60"/>
      <c r="KC15" s="60"/>
      <c r="KD15" s="60"/>
      <c r="KE15" s="60"/>
      <c r="KF15" s="60" t="s">
        <v>44</v>
      </c>
      <c r="KG15" s="60"/>
      <c r="KH15" s="60"/>
      <c r="KI15" s="60"/>
      <c r="KJ15" s="60"/>
      <c r="KK15" s="60"/>
      <c r="KL15" s="60"/>
      <c r="KM15" s="60"/>
      <c r="KN15" s="60"/>
      <c r="KO15" s="60"/>
      <c r="KP15" s="60"/>
      <c r="KQ15" s="60" t="s">
        <v>225</v>
      </c>
      <c r="KR15" s="60">
        <f t="shared" ref="KR15:KZ15" si="472">B65</f>
        <v>0</v>
      </c>
      <c r="KS15" s="60">
        <f t="shared" si="472"/>
        <v>0</v>
      </c>
      <c r="KT15" s="60">
        <f t="shared" si="472"/>
        <v>0</v>
      </c>
      <c r="KU15" s="60">
        <f t="shared" si="472"/>
        <v>0</v>
      </c>
      <c r="KV15" s="60">
        <f t="shared" si="472"/>
        <v>0</v>
      </c>
      <c r="KW15" s="60">
        <f t="shared" si="472"/>
        <v>0</v>
      </c>
      <c r="KX15" s="60">
        <f t="shared" si="472"/>
        <v>0</v>
      </c>
      <c r="KY15" s="60">
        <f t="shared" si="472"/>
        <v>0</v>
      </c>
      <c r="KZ15" s="60">
        <f t="shared" si="472"/>
        <v>0</v>
      </c>
      <c r="LB15" s="60" t="s">
        <v>44</v>
      </c>
      <c r="LC15" s="60"/>
      <c r="LD15" s="60"/>
      <c r="LE15" s="60"/>
      <c r="LF15" s="60"/>
      <c r="LG15" s="60"/>
      <c r="LH15" s="60"/>
      <c r="LI15" s="60"/>
      <c r="LJ15" s="60"/>
      <c r="LK15" s="60"/>
      <c r="LL15" s="60"/>
      <c r="LM15" s="60" t="s">
        <v>44</v>
      </c>
      <c r="LN15" s="60"/>
      <c r="LO15" s="60"/>
      <c r="LP15" s="60"/>
      <c r="LQ15" s="60"/>
      <c r="LR15" s="60"/>
      <c r="LS15" s="60"/>
      <c r="LT15" s="60"/>
      <c r="LU15" s="60"/>
      <c r="LV15" s="60"/>
      <c r="LW15" s="60"/>
      <c r="LX15" s="60" t="s">
        <v>44</v>
      </c>
      <c r="LY15" s="60"/>
      <c r="LZ15" s="60"/>
      <c r="MA15" s="60"/>
      <c r="MB15" s="60"/>
      <c r="MC15" s="60"/>
      <c r="MD15" s="60"/>
      <c r="ME15" s="60"/>
      <c r="MF15" s="60"/>
      <c r="MG15" s="60"/>
      <c r="MH15" s="60"/>
      <c r="MI15" s="60" t="s">
        <v>44</v>
      </c>
      <c r="MJ15" s="60"/>
      <c r="MK15" s="60"/>
      <c r="ML15" s="60"/>
      <c r="MM15" s="60"/>
      <c r="MN15" s="60"/>
      <c r="MO15" s="60"/>
      <c r="MP15" s="60"/>
      <c r="MQ15" s="60"/>
      <c r="MR15" s="60"/>
      <c r="MS15" s="60"/>
      <c r="MT15" s="60" t="s">
        <v>44</v>
      </c>
      <c r="ND15" s="60"/>
      <c r="NE15" s="60" t="s">
        <v>44</v>
      </c>
      <c r="NF15" s="60"/>
      <c r="NG15" s="60"/>
      <c r="NH15" s="60"/>
      <c r="NI15" s="60"/>
      <c r="NJ15" s="60"/>
      <c r="NK15" s="60"/>
      <c r="NL15" s="60"/>
      <c r="NM15" s="60"/>
      <c r="NN15" s="60"/>
      <c r="NO15" s="60"/>
      <c r="NP15" s="60"/>
      <c r="NQ15" s="60"/>
      <c r="NR15" s="60"/>
      <c r="NS15" s="60"/>
      <c r="NT15" s="60"/>
      <c r="NU15" s="60"/>
      <c r="NV15" s="60"/>
      <c r="NW15" s="60"/>
      <c r="NX15" s="60"/>
      <c r="NY15" s="60"/>
      <c r="NZ15" s="60"/>
      <c r="OA15" s="60" t="s">
        <v>44</v>
      </c>
      <c r="OB15" s="60"/>
      <c r="OC15" s="60"/>
      <c r="OD15" s="60"/>
      <c r="OE15" s="60"/>
      <c r="OF15" s="60"/>
      <c r="OG15" s="60"/>
      <c r="OH15" s="60"/>
      <c r="OI15" s="60"/>
      <c r="OJ15" s="60"/>
      <c r="OK15" s="60"/>
      <c r="OL15" s="60" t="s">
        <v>44</v>
      </c>
      <c r="OM15" s="60"/>
      <c r="ON15" s="60"/>
      <c r="OO15" s="60"/>
      <c r="OP15" s="60"/>
      <c r="OQ15" s="60"/>
      <c r="OR15" s="60"/>
      <c r="OS15" s="60"/>
      <c r="OT15" s="60"/>
      <c r="OU15" s="60"/>
      <c r="OV15" s="60"/>
      <c r="OW15" s="60" t="s">
        <v>44</v>
      </c>
      <c r="OX15" s="60"/>
      <c r="OY15" s="60"/>
      <c r="OZ15" s="60"/>
      <c r="PA15" s="60"/>
      <c r="PB15" s="60"/>
      <c r="PC15" s="60"/>
      <c r="PD15" s="60"/>
      <c r="PE15" s="60"/>
      <c r="PF15" s="60"/>
      <c r="PG15" s="60"/>
      <c r="PH15" s="60" t="s">
        <v>44</v>
      </c>
      <c r="PJ15" s="60"/>
      <c r="PK15" s="60"/>
      <c r="PL15" s="60"/>
      <c r="PM15" s="60"/>
      <c r="PN15" s="60"/>
      <c r="PO15" s="60"/>
      <c r="PP15" s="60"/>
      <c r="PQ15" s="60"/>
      <c r="PR15" s="60"/>
      <c r="PS15" s="60" t="s">
        <v>44</v>
      </c>
      <c r="PT15" s="60"/>
      <c r="PU15" s="60"/>
      <c r="PV15" s="60"/>
      <c r="PW15" s="60"/>
      <c r="PX15" s="60"/>
      <c r="PY15" s="60"/>
      <c r="PZ15" s="60"/>
      <c r="QA15" s="60"/>
      <c r="QB15" s="60"/>
      <c r="QC15" s="60"/>
      <c r="QD15" s="60" t="s">
        <v>44</v>
      </c>
      <c r="QE15" s="60"/>
      <c r="QF15" s="60"/>
      <c r="QG15" s="60"/>
      <c r="QH15" s="60"/>
      <c r="QI15" s="60"/>
      <c r="QJ15" s="60"/>
      <c r="QK15" s="60"/>
      <c r="QL15" s="60"/>
      <c r="QM15" s="60"/>
      <c r="QN15" s="60"/>
      <c r="QO15" s="60" t="s">
        <v>44</v>
      </c>
      <c r="QP15" s="60"/>
      <c r="QQ15" s="60"/>
      <c r="QR15" s="60"/>
      <c r="QS15" s="60"/>
      <c r="QT15" s="60"/>
      <c r="QU15" s="60"/>
      <c r="QV15" s="60"/>
      <c r="QW15" s="60"/>
      <c r="QX15" s="60"/>
      <c r="QY15" s="60"/>
      <c r="QZ15" s="60" t="s">
        <v>44</v>
      </c>
      <c r="RA15" s="60"/>
      <c r="RB15" s="60"/>
      <c r="RC15" s="60"/>
      <c r="RD15" s="60"/>
      <c r="RE15" s="60"/>
      <c r="RF15" s="60"/>
      <c r="RG15" s="60"/>
      <c r="RH15" s="60"/>
      <c r="RI15" s="60"/>
      <c r="RJ15" s="60"/>
      <c r="RK15" s="60" t="s">
        <v>44</v>
      </c>
      <c r="RL15" s="60"/>
      <c r="RM15" s="60"/>
      <c r="RN15" s="60"/>
      <c r="RO15" s="60"/>
      <c r="RP15" s="60"/>
      <c r="RQ15" s="60"/>
      <c r="RR15" s="60"/>
      <c r="RS15" s="60"/>
      <c r="RT15" s="60"/>
      <c r="RU15" s="60"/>
      <c r="RV15" s="60" t="s">
        <v>44</v>
      </c>
      <c r="RW15" s="60"/>
      <c r="RX15" s="60"/>
      <c r="RY15" s="60"/>
      <c r="RZ15" s="60"/>
      <c r="SA15" s="60"/>
      <c r="SB15" s="60"/>
      <c r="SC15" s="60"/>
      <c r="SD15" s="60"/>
      <c r="SE15" s="60"/>
      <c r="SF15" s="60"/>
      <c r="SG15" s="60" t="s">
        <v>44</v>
      </c>
      <c r="SH15" s="60"/>
      <c r="SI15" s="60"/>
      <c r="SJ15" s="60"/>
      <c r="SK15" s="60"/>
      <c r="SL15" s="60"/>
      <c r="SM15" s="60"/>
      <c r="SN15" s="60"/>
      <c r="SO15" s="60"/>
      <c r="SP15" s="60"/>
      <c r="SQ15" s="60"/>
      <c r="SR15" s="60" t="s">
        <v>44</v>
      </c>
      <c r="SS15" s="60"/>
      <c r="ST15" s="60"/>
      <c r="SU15" s="60"/>
      <c r="SV15" s="60"/>
      <c r="SW15" s="60"/>
      <c r="SX15" s="60"/>
      <c r="SY15" s="60"/>
      <c r="SZ15" s="60"/>
      <c r="TA15" s="60"/>
      <c r="TB15" s="60"/>
      <c r="TC15" s="60" t="s">
        <v>44</v>
      </c>
      <c r="TD15" s="60"/>
      <c r="TE15" s="60"/>
      <c r="TF15" s="60"/>
      <c r="TG15" s="60"/>
      <c r="TH15" s="60"/>
      <c r="TI15" s="60"/>
      <c r="TJ15" s="60"/>
      <c r="TK15" s="60"/>
      <c r="TL15" s="60"/>
      <c r="TM15" s="60"/>
      <c r="TN15" s="60" t="s">
        <v>343</v>
      </c>
      <c r="TO15" s="60"/>
      <c r="TP15" s="60"/>
      <c r="TQ15" s="60"/>
      <c r="TR15" s="60"/>
      <c r="TS15" s="60"/>
      <c r="TT15" s="60"/>
      <c r="TU15" s="60"/>
      <c r="TV15" s="60"/>
      <c r="TW15" s="60"/>
      <c r="TX15" s="60"/>
      <c r="TY15" s="60" t="s">
        <v>44</v>
      </c>
      <c r="TZ15" s="60"/>
      <c r="UA15" s="60"/>
      <c r="UB15" s="60"/>
      <c r="UC15" s="60"/>
      <c r="UD15" s="60"/>
      <c r="UE15" s="60"/>
      <c r="UF15" s="60"/>
      <c r="UG15" s="60"/>
      <c r="UH15" s="60"/>
      <c r="UI15" s="60"/>
      <c r="UJ15" s="60" t="s">
        <v>44</v>
      </c>
      <c r="UK15" s="60"/>
      <c r="UL15" s="60"/>
      <c r="UM15" s="60"/>
      <c r="UN15" s="60"/>
      <c r="UO15" s="60"/>
      <c r="UP15" s="60"/>
      <c r="UQ15" s="60"/>
      <c r="UR15" s="60"/>
      <c r="US15" s="60"/>
      <c r="UT15" s="60"/>
      <c r="UU15" s="60" t="s">
        <v>44</v>
      </c>
      <c r="UV15" s="60"/>
      <c r="UW15" s="60"/>
      <c r="UX15" s="60"/>
      <c r="UY15" s="60"/>
      <c r="UZ15" s="60"/>
      <c r="VA15" s="60"/>
      <c r="VB15" s="60"/>
      <c r="VC15" s="60"/>
      <c r="VD15" s="60"/>
      <c r="VE15" s="60"/>
      <c r="VF15" s="60" t="s">
        <v>44</v>
      </c>
      <c r="VG15" s="60"/>
      <c r="VH15" s="60"/>
      <c r="VI15" s="60"/>
      <c r="VJ15" s="60"/>
      <c r="VK15" s="60"/>
      <c r="VL15" s="60"/>
      <c r="VM15" s="60"/>
      <c r="VN15" s="60"/>
      <c r="VO15" s="60"/>
      <c r="VT15" s="59">
        <v>0</v>
      </c>
    </row>
    <row r="16" spans="1:592" x14ac:dyDescent="0.25">
      <c r="A16" s="2" t="s">
        <v>8</v>
      </c>
      <c r="B16" s="39"/>
      <c r="C16" s="2" t="s">
        <v>9</v>
      </c>
      <c r="D16" s="39">
        <v>0</v>
      </c>
      <c r="E16" s="2" t="s">
        <v>579</v>
      </c>
      <c r="F16" s="310">
        <v>0</v>
      </c>
      <c r="G16" s="39" t="str">
        <f ca="1">DATEDIF(F16, TODAY(), "Y") &amp; " years old"</f>
        <v>124 years old</v>
      </c>
      <c r="H16" s="2"/>
      <c r="I16" s="2"/>
      <c r="J16" s="2"/>
      <c r="K16" s="47"/>
      <c r="Q16" s="10"/>
      <c r="S16" s="35"/>
      <c r="U16" s="21"/>
      <c r="AM16" t="s">
        <v>202</v>
      </c>
      <c r="AN16" s="60"/>
      <c r="AO16" s="60"/>
      <c r="AP16" s="60"/>
      <c r="AQ16" s="60"/>
      <c r="AR16" s="60"/>
      <c r="AS16" s="60"/>
      <c r="AT16" s="60"/>
      <c r="AU16" s="60"/>
      <c r="AV16" s="60"/>
      <c r="AW16" s="60"/>
      <c r="AX16" s="60" t="s">
        <v>202</v>
      </c>
      <c r="AY16" s="60"/>
      <c r="AZ16" s="60"/>
      <c r="BA16" s="60"/>
      <c r="BB16" s="60"/>
      <c r="BC16" s="60"/>
      <c r="BD16" s="60"/>
      <c r="BE16" s="60"/>
      <c r="BF16" s="60"/>
      <c r="BG16" s="60"/>
      <c r="BH16" s="60"/>
      <c r="BI16" s="60" t="s">
        <v>202</v>
      </c>
      <c r="BJ16" s="60"/>
      <c r="BK16" s="60"/>
      <c r="BL16" s="60"/>
      <c r="BM16" s="60"/>
      <c r="BN16" s="60"/>
      <c r="BO16" s="60"/>
      <c r="BP16" s="60"/>
      <c r="BQ16" s="60"/>
      <c r="BR16" s="60"/>
      <c r="BS16" s="60"/>
      <c r="BT16" s="60" t="s">
        <v>202</v>
      </c>
      <c r="BU16" s="60"/>
      <c r="BV16" s="60"/>
      <c r="BW16" s="60"/>
      <c r="BX16" s="60"/>
      <c r="BY16" s="60"/>
      <c r="BZ16" s="60"/>
      <c r="CA16" s="60"/>
      <c r="CB16" s="60"/>
      <c r="CC16" s="60"/>
      <c r="CD16" s="60"/>
      <c r="CE16" s="60" t="s">
        <v>202</v>
      </c>
      <c r="CF16" s="60"/>
      <c r="CG16" s="60"/>
      <c r="CH16" s="60"/>
      <c r="CI16" s="60"/>
      <c r="CJ16" s="60"/>
      <c r="CK16" s="60"/>
      <c r="CL16" s="60"/>
      <c r="CM16" s="60"/>
      <c r="CN16" s="60"/>
      <c r="CO16" s="60"/>
      <c r="CP16" s="60" t="s">
        <v>202</v>
      </c>
      <c r="CQ16" s="60"/>
      <c r="CR16" s="60"/>
      <c r="CS16" s="60"/>
      <c r="CT16" s="60"/>
      <c r="CU16" s="60"/>
      <c r="CV16" s="60"/>
      <c r="CW16" s="60"/>
      <c r="CX16" s="60"/>
      <c r="CY16" s="60"/>
      <c r="CZ16" s="60"/>
      <c r="DA16" s="60" t="s">
        <v>378</v>
      </c>
      <c r="DB16" s="60" t="str">
        <f t="shared" ref="DB16:DJ16" si="473">IF(B2="HOH",
  IF(DB13&lt;320000, 0,
     IF(DB13&lt;800000, MIN(ROUNDUP((DB13-320000)/8000, 0)*140, 4920),
        MIN(4920 + ROUNDUP((DB13-800000)/8000, 0)*80, 4920+720))),
  IF(OR(B2="Single", B2="MFS"),
     IF(DB13&lt;200000, 0,
        IF(DB13&lt;500000, MIN(ROUNDUP((DB13-200000)/5000, 0)*90, 2700),
           MIN(2700 + ROUNDUP((DB13-500000)/5000, 0)*50, 2700+450))),
     IF(B2="MFJ",
        IF(DB13&lt;400000, 0,
           IF(DB13&lt;1000000, MIN(ROUNDUP((DB13-400000)/10000, 0)*180, 5400),
              MIN(5400 + ROUNDUP((DB13-1000000)/10000, 0)*100, 5400+900))),
        "Invalid Filing Status")))</f>
        <v>Invalid Filing Status</v>
      </c>
      <c r="DC16" s="60" t="str">
        <f t="shared" si="473"/>
        <v>Invalid Filing Status</v>
      </c>
      <c r="DD16" s="60" t="str">
        <f t="shared" si="473"/>
        <v>Invalid Filing Status</v>
      </c>
      <c r="DE16" s="60" t="str">
        <f t="shared" si="473"/>
        <v>Invalid Filing Status</v>
      </c>
      <c r="DF16" s="60" t="str">
        <f t="shared" si="473"/>
        <v>Invalid Filing Status</v>
      </c>
      <c r="DG16" s="60" t="str">
        <f t="shared" si="473"/>
        <v>Invalid Filing Status</v>
      </c>
      <c r="DH16" s="60" t="str">
        <f t="shared" si="473"/>
        <v>Invalid Filing Status</v>
      </c>
      <c r="DI16" s="60" t="str">
        <f t="shared" si="473"/>
        <v>Invalid Filing Status</v>
      </c>
      <c r="DJ16" s="60" t="str">
        <f t="shared" si="473"/>
        <v>Invalid Filing Status</v>
      </c>
      <c r="DL16" s="60" t="s">
        <v>202</v>
      </c>
      <c r="DM16" s="60"/>
      <c r="DN16" s="60"/>
      <c r="DO16" s="60"/>
      <c r="DP16" s="60"/>
      <c r="DQ16" s="60"/>
      <c r="DR16" s="60"/>
      <c r="DS16" s="60"/>
      <c r="DT16" s="60"/>
      <c r="DU16" s="60"/>
      <c r="DV16" s="60"/>
      <c r="DW16" s="60" t="s">
        <v>202</v>
      </c>
      <c r="DX16" s="60"/>
      <c r="DY16" s="60"/>
      <c r="DZ16" s="60"/>
      <c r="EA16" s="60"/>
      <c r="EB16" s="60"/>
      <c r="EC16" s="60"/>
      <c r="ED16" s="60"/>
      <c r="EE16" s="60"/>
      <c r="EF16" s="60"/>
      <c r="EH16" s="60" t="s">
        <v>202</v>
      </c>
      <c r="EI16" s="60"/>
      <c r="EJ16" s="60"/>
      <c r="EK16" s="60"/>
      <c r="EL16" s="60"/>
      <c r="EM16" s="60"/>
      <c r="EN16" s="60"/>
      <c r="EO16" s="60"/>
      <c r="EP16" s="60"/>
      <c r="EQ16" s="60"/>
      <c r="ER16" s="60"/>
      <c r="ES16" s="60" t="s">
        <v>202</v>
      </c>
      <c r="ET16" s="60"/>
      <c r="EU16" s="60"/>
      <c r="EV16" s="60"/>
      <c r="EW16" s="60"/>
      <c r="EX16" s="60"/>
      <c r="EY16" s="60"/>
      <c r="EZ16" s="60"/>
      <c r="FA16" s="60"/>
      <c r="FB16" s="60"/>
      <c r="FC16" s="60"/>
      <c r="FD16" s="60" t="s">
        <v>202</v>
      </c>
      <c r="FE16" s="60"/>
      <c r="FF16" s="60"/>
      <c r="FG16" s="60"/>
      <c r="FH16" s="60"/>
      <c r="FI16" s="60"/>
      <c r="FJ16" s="60"/>
      <c r="FK16" s="60"/>
      <c r="FL16" s="60"/>
      <c r="FM16" s="60"/>
      <c r="FN16" s="60"/>
      <c r="FO16" s="60" t="s">
        <v>202</v>
      </c>
      <c r="FP16" s="60"/>
      <c r="FQ16" s="60"/>
      <c r="FR16" s="60"/>
      <c r="FS16" s="60"/>
      <c r="FT16" s="60"/>
      <c r="FU16" s="60"/>
      <c r="FV16" s="60"/>
      <c r="FW16" s="60"/>
      <c r="FX16" s="60"/>
      <c r="FY16" s="60"/>
      <c r="FZ16" s="60" t="s">
        <v>202</v>
      </c>
      <c r="GA16" s="60"/>
      <c r="GB16" s="60"/>
      <c r="GC16" s="60"/>
      <c r="GD16" s="60"/>
      <c r="GE16" s="60"/>
      <c r="GF16" s="60"/>
      <c r="GG16" s="60"/>
      <c r="GH16" s="60"/>
      <c r="GI16" s="60"/>
      <c r="GJ16" s="60"/>
      <c r="GK16" s="60" t="s">
        <v>202</v>
      </c>
      <c r="GL16" s="60"/>
      <c r="GM16" s="60"/>
      <c r="GN16" s="60"/>
      <c r="GO16" s="60"/>
      <c r="GP16" s="60"/>
      <c r="GQ16" s="60"/>
      <c r="GR16" s="60"/>
      <c r="GS16" s="60"/>
      <c r="GT16" s="60"/>
      <c r="GU16" s="60"/>
      <c r="GV16" s="60" t="s">
        <v>202</v>
      </c>
      <c r="GW16" s="60"/>
      <c r="GX16" s="60"/>
      <c r="GY16" s="60"/>
      <c r="GZ16" s="60"/>
      <c r="HA16" s="60"/>
      <c r="HB16" s="60"/>
      <c r="HC16" s="60"/>
      <c r="HD16" s="60"/>
      <c r="HE16" s="60"/>
      <c r="HF16" s="60"/>
      <c r="HG16" s="60" t="s">
        <v>202</v>
      </c>
      <c r="HH16" s="60"/>
      <c r="HI16" s="60"/>
      <c r="HJ16" s="60"/>
      <c r="HK16" s="60"/>
      <c r="HL16" s="60"/>
      <c r="HM16" s="60"/>
      <c r="HN16" s="60"/>
      <c r="HO16" s="60"/>
      <c r="HP16" s="60"/>
      <c r="HQ16" s="60"/>
      <c r="HR16" s="60" t="s">
        <v>202</v>
      </c>
      <c r="HS16" s="60"/>
      <c r="HT16" s="60"/>
      <c r="HU16" s="60"/>
      <c r="HV16" s="60"/>
      <c r="HW16" s="60"/>
      <c r="HX16" s="60"/>
      <c r="HY16" s="60"/>
      <c r="HZ16" s="60"/>
      <c r="IA16" s="60"/>
      <c r="IB16" s="60"/>
      <c r="IC16" s="60" t="s">
        <v>202</v>
      </c>
      <c r="ID16" s="60"/>
      <c r="IE16" s="60"/>
      <c r="IF16" s="60"/>
      <c r="IG16" s="60"/>
      <c r="IH16" s="60"/>
      <c r="II16" s="60"/>
      <c r="IJ16" s="60"/>
      <c r="IK16" s="60"/>
      <c r="IL16" s="60"/>
      <c r="IM16" s="60"/>
      <c r="IN16" s="60" t="s">
        <v>70</v>
      </c>
      <c r="IO16" s="60" t="e">
        <f>IO14+IO15</f>
        <v>#VALUE!</v>
      </c>
      <c r="IP16" s="60" t="e">
        <f t="shared" ref="IP16:IV16" si="474">IP14+IP15</f>
        <v>#VALUE!</v>
      </c>
      <c r="IQ16" s="60" t="e">
        <f t="shared" si="474"/>
        <v>#VALUE!</v>
      </c>
      <c r="IR16" s="60" t="e">
        <f t="shared" si="474"/>
        <v>#VALUE!</v>
      </c>
      <c r="IS16" s="60" t="e">
        <f t="shared" si="474"/>
        <v>#VALUE!</v>
      </c>
      <c r="IT16" s="60" t="e">
        <f t="shared" si="474"/>
        <v>#VALUE!</v>
      </c>
      <c r="IU16" s="60" t="e">
        <f t="shared" si="474"/>
        <v>#VALUE!</v>
      </c>
      <c r="IV16" s="60" t="e">
        <f t="shared" si="474"/>
        <v>#VALUE!</v>
      </c>
      <c r="IW16" s="60" t="e">
        <f t="shared" ref="IW16" si="475">IW14+IW15</f>
        <v>#VALUE!</v>
      </c>
      <c r="IX16" s="60"/>
      <c r="IY16" s="60" t="s">
        <v>202</v>
      </c>
      <c r="IZ16" s="60"/>
      <c r="JA16" s="60"/>
      <c r="JB16" s="60"/>
      <c r="JC16" s="60"/>
      <c r="JD16" s="60"/>
      <c r="JE16" s="60"/>
      <c r="JF16" s="60"/>
      <c r="JG16" s="60"/>
      <c r="JH16" s="60"/>
      <c r="JI16" s="60"/>
      <c r="JJ16" s="60" t="s">
        <v>202</v>
      </c>
      <c r="JK16" s="60"/>
      <c r="JL16" s="60"/>
      <c r="JM16" s="60"/>
      <c r="JN16" s="60"/>
      <c r="JO16" s="60"/>
      <c r="JP16" s="60"/>
      <c r="JQ16" s="60"/>
      <c r="JR16" s="60"/>
      <c r="JS16" s="60"/>
      <c r="JT16" s="60"/>
      <c r="JU16" s="60" t="s">
        <v>202</v>
      </c>
      <c r="JV16" s="60"/>
      <c r="JW16" s="60"/>
      <c r="JX16" s="60"/>
      <c r="JY16" s="60"/>
      <c r="JZ16" s="60"/>
      <c r="KA16" s="60"/>
      <c r="KB16" s="60"/>
      <c r="KC16" s="60"/>
      <c r="KD16" s="60"/>
      <c r="KE16" s="60"/>
      <c r="KF16" s="60" t="s">
        <v>202</v>
      </c>
      <c r="KG16" s="60"/>
      <c r="KH16" s="60"/>
      <c r="KI16" s="60"/>
      <c r="KJ16" s="60"/>
      <c r="KK16" s="60"/>
      <c r="KL16" s="60"/>
      <c r="KM16" s="60"/>
      <c r="KN16" s="60"/>
      <c r="KO16" s="60"/>
      <c r="KP16" s="60"/>
      <c r="KQ16" s="6" t="s">
        <v>280</v>
      </c>
      <c r="KR16" s="115">
        <v>0</v>
      </c>
      <c r="KS16" s="115">
        <v>0</v>
      </c>
      <c r="KT16" s="115">
        <v>0</v>
      </c>
      <c r="KU16" s="115">
        <v>0</v>
      </c>
      <c r="KV16" s="115">
        <v>0</v>
      </c>
      <c r="KW16" s="115">
        <v>0</v>
      </c>
      <c r="KX16" s="115">
        <v>0</v>
      </c>
      <c r="KY16" s="115">
        <v>0</v>
      </c>
      <c r="KZ16" s="115">
        <v>0</v>
      </c>
      <c r="LB16" s="60" t="s">
        <v>202</v>
      </c>
      <c r="LC16" s="60"/>
      <c r="LD16" s="60"/>
      <c r="LE16" s="60"/>
      <c r="LF16" s="60"/>
      <c r="LG16" s="60"/>
      <c r="LH16" s="60"/>
      <c r="LI16" s="60"/>
      <c r="LJ16" s="60"/>
      <c r="LK16" s="60"/>
      <c r="LL16" s="60"/>
      <c r="LM16" s="60" t="s">
        <v>202</v>
      </c>
      <c r="LN16" s="60"/>
      <c r="LO16" s="60"/>
      <c r="LP16" s="60"/>
      <c r="LQ16" s="60"/>
      <c r="LR16" s="60"/>
      <c r="LS16" s="60"/>
      <c r="LT16" s="60"/>
      <c r="LU16" s="60"/>
      <c r="LV16" s="60"/>
      <c r="LW16" s="60"/>
      <c r="LX16" s="60" t="s">
        <v>202</v>
      </c>
      <c r="LY16" s="60"/>
      <c r="LZ16" s="60"/>
      <c r="MA16" s="60"/>
      <c r="MB16" s="60"/>
      <c r="MC16" s="60"/>
      <c r="MD16" s="60"/>
      <c r="ME16" s="60"/>
      <c r="MF16" s="60"/>
      <c r="MG16" s="60"/>
      <c r="MH16" s="60"/>
      <c r="MI16" s="60" t="s">
        <v>202</v>
      </c>
      <c r="MJ16" s="60"/>
      <c r="MK16" s="60"/>
      <c r="ML16" s="60"/>
      <c r="MM16" s="60"/>
      <c r="MN16" s="60"/>
      <c r="MO16" s="60"/>
      <c r="MP16" s="60"/>
      <c r="MQ16" s="60"/>
      <c r="MR16" s="60"/>
      <c r="MS16" s="60"/>
      <c r="MT16" s="60" t="s">
        <v>202</v>
      </c>
      <c r="ND16" s="60"/>
      <c r="NE16" s="60" t="s">
        <v>202</v>
      </c>
      <c r="NF16" s="60"/>
      <c r="NG16" s="60"/>
      <c r="NH16" s="60"/>
      <c r="NI16" s="60"/>
      <c r="NJ16" s="60"/>
      <c r="NK16" s="60"/>
      <c r="NL16" s="60"/>
      <c r="NM16" s="60"/>
      <c r="NN16" s="60"/>
      <c r="NO16" s="60"/>
      <c r="NP16" s="60"/>
      <c r="NQ16" s="60"/>
      <c r="NR16" s="60"/>
      <c r="NS16" s="60"/>
      <c r="NT16" s="60"/>
      <c r="NU16" s="60"/>
      <c r="NV16" s="60"/>
      <c r="NW16" s="60"/>
      <c r="NX16" s="60"/>
      <c r="NY16" s="60"/>
      <c r="NZ16" s="60"/>
      <c r="OA16" s="60" t="s">
        <v>202</v>
      </c>
      <c r="OB16" s="60"/>
      <c r="OC16" s="60"/>
      <c r="OD16" s="60"/>
      <c r="OE16" s="60"/>
      <c r="OF16" s="60"/>
      <c r="OG16" s="60"/>
      <c r="OH16" s="60"/>
      <c r="OI16" s="60"/>
      <c r="OJ16" s="60"/>
      <c r="OK16" s="60"/>
      <c r="OL16" s="60" t="s">
        <v>202</v>
      </c>
      <c r="OM16" s="60"/>
      <c r="ON16" s="60"/>
      <c r="OO16" s="60"/>
      <c r="OP16" s="60"/>
      <c r="OQ16" s="60"/>
      <c r="OR16" s="60"/>
      <c r="OS16" s="60"/>
      <c r="OT16" s="60"/>
      <c r="OU16" s="60"/>
      <c r="OV16" s="60"/>
      <c r="OW16" s="60" t="s">
        <v>202</v>
      </c>
      <c r="OX16" s="60"/>
      <c r="OY16" s="60"/>
      <c r="OZ16" s="60"/>
      <c r="PA16" s="60"/>
      <c r="PB16" s="60"/>
      <c r="PC16" s="60"/>
      <c r="PD16" s="60"/>
      <c r="PE16" s="60"/>
      <c r="PF16" s="60"/>
      <c r="PG16" s="60"/>
      <c r="PH16" s="60" t="s">
        <v>202</v>
      </c>
      <c r="PI16" s="60"/>
      <c r="PJ16" s="60"/>
      <c r="PK16" s="60"/>
      <c r="PL16" s="60"/>
      <c r="PM16" s="60"/>
      <c r="PN16" s="60"/>
      <c r="PO16" s="60"/>
      <c r="PP16" s="60"/>
      <c r="PQ16" s="60"/>
      <c r="PR16" s="60"/>
      <c r="PS16" s="60" t="s">
        <v>202</v>
      </c>
      <c r="PT16" s="60"/>
      <c r="PU16" s="60"/>
      <c r="PV16" s="60"/>
      <c r="PW16" s="60"/>
      <c r="PX16" s="60"/>
      <c r="PY16" s="60"/>
      <c r="PZ16" s="60"/>
      <c r="QA16" s="60"/>
      <c r="QB16" s="60"/>
      <c r="QC16" s="60"/>
      <c r="QD16" s="60" t="s">
        <v>202</v>
      </c>
      <c r="QE16" s="60"/>
      <c r="QF16" s="60"/>
      <c r="QG16" s="60"/>
      <c r="QH16" s="60"/>
      <c r="QI16" s="60"/>
      <c r="QJ16" s="60"/>
      <c r="QK16" s="60"/>
      <c r="QL16" s="60"/>
      <c r="QM16" s="60"/>
      <c r="QN16" s="60"/>
      <c r="QO16" s="60" t="s">
        <v>202</v>
      </c>
      <c r="QP16" s="60"/>
      <c r="QQ16" s="60"/>
      <c r="QR16" s="60"/>
      <c r="QS16" s="60"/>
      <c r="QT16" s="60"/>
      <c r="QU16" s="60"/>
      <c r="QV16" s="60"/>
      <c r="QW16" s="60"/>
      <c r="QX16" s="60"/>
      <c r="QY16" s="60"/>
      <c r="QZ16" s="60" t="s">
        <v>202</v>
      </c>
      <c r="RA16" s="60"/>
      <c r="RB16" s="60"/>
      <c r="RC16" s="60"/>
      <c r="RD16" s="60"/>
      <c r="RE16" s="60"/>
      <c r="RF16" s="60"/>
      <c r="RG16" s="60"/>
      <c r="RH16" s="60"/>
      <c r="RI16" s="60"/>
      <c r="RJ16" s="60"/>
      <c r="RK16" s="60" t="s">
        <v>202</v>
      </c>
      <c r="RL16" s="60"/>
      <c r="RM16" s="60"/>
      <c r="RN16" s="60"/>
      <c r="RO16" s="60"/>
      <c r="RP16" s="60"/>
      <c r="RQ16" s="60"/>
      <c r="RR16" s="60"/>
      <c r="RS16" s="60"/>
      <c r="RT16" s="60"/>
      <c r="RU16" s="60"/>
      <c r="RV16" s="60" t="s">
        <v>202</v>
      </c>
      <c r="RW16" s="60"/>
      <c r="RX16" s="60"/>
      <c r="RY16" s="60"/>
      <c r="RZ16" s="60"/>
      <c r="SA16" s="60"/>
      <c r="SB16" s="60"/>
      <c r="SC16" s="60"/>
      <c r="SD16" s="60"/>
      <c r="SE16" s="60"/>
      <c r="SF16" s="60"/>
      <c r="SG16" s="60" t="s">
        <v>202</v>
      </c>
      <c r="SH16" s="60"/>
      <c r="SI16" s="60"/>
      <c r="SJ16" s="60"/>
      <c r="SK16" s="60"/>
      <c r="SL16" s="60"/>
      <c r="SM16" s="60"/>
      <c r="SN16" s="60"/>
      <c r="SO16" s="60"/>
      <c r="SP16" s="60"/>
      <c r="SQ16" s="60"/>
      <c r="SR16" s="60" t="s">
        <v>202</v>
      </c>
      <c r="SS16" s="60"/>
      <c r="ST16" s="60"/>
      <c r="SU16" s="60"/>
      <c r="SV16" s="60"/>
      <c r="SW16" s="60"/>
      <c r="SX16" s="60"/>
      <c r="SY16" s="60"/>
      <c r="SZ16" s="60"/>
      <c r="TA16" s="60"/>
      <c r="TB16" s="60"/>
      <c r="TC16" s="60" t="s">
        <v>202</v>
      </c>
      <c r="TD16" s="60"/>
      <c r="TE16" s="60"/>
      <c r="TF16" s="60"/>
      <c r="TG16" s="60"/>
      <c r="TH16" s="60"/>
      <c r="TI16" s="60"/>
      <c r="TJ16" s="60"/>
      <c r="TK16" s="60"/>
      <c r="TL16" s="60"/>
      <c r="TM16" s="60"/>
      <c r="TN16" s="60" t="s">
        <v>202</v>
      </c>
      <c r="TO16" s="60"/>
      <c r="TP16" s="60"/>
      <c r="TQ16" s="60"/>
      <c r="TR16" s="60"/>
      <c r="TS16" s="60"/>
      <c r="TT16" s="60"/>
      <c r="TU16" s="60"/>
      <c r="TV16" s="60"/>
      <c r="TW16" s="60"/>
      <c r="TX16" s="60"/>
      <c r="TY16" s="60" t="s">
        <v>202</v>
      </c>
      <c r="TZ16" s="60"/>
      <c r="UA16" s="60"/>
      <c r="UB16" s="60"/>
      <c r="UC16" s="60"/>
      <c r="UD16" s="60"/>
      <c r="UE16" s="60"/>
      <c r="UF16" s="60"/>
      <c r="UG16" s="60"/>
      <c r="UH16" s="60"/>
      <c r="UI16" s="60"/>
      <c r="UJ16" s="60" t="s">
        <v>202</v>
      </c>
      <c r="UK16" s="60"/>
      <c r="UL16" s="60"/>
      <c r="UM16" s="60"/>
      <c r="UN16" s="60"/>
      <c r="UO16" s="60"/>
      <c r="UP16" s="60"/>
      <c r="UQ16" s="60"/>
      <c r="UR16" s="60"/>
      <c r="US16" s="60"/>
      <c r="UT16" s="60"/>
      <c r="UU16" s="60" t="s">
        <v>202</v>
      </c>
      <c r="UV16" s="60"/>
      <c r="UW16" s="60"/>
      <c r="UX16" s="60"/>
      <c r="UY16" s="60"/>
      <c r="UZ16" s="60"/>
      <c r="VA16" s="60"/>
      <c r="VB16" s="60"/>
      <c r="VC16" s="60"/>
      <c r="VD16" s="60"/>
      <c r="VE16" s="60"/>
      <c r="VF16" s="60" t="s">
        <v>202</v>
      </c>
      <c r="VG16" s="60"/>
      <c r="VH16" s="60"/>
      <c r="VI16" s="60"/>
      <c r="VJ16" s="60"/>
      <c r="VK16" s="60"/>
      <c r="VL16" s="60"/>
      <c r="VM16" s="60"/>
      <c r="VN16" s="60"/>
      <c r="VO16" s="60"/>
      <c r="VT16" s="59">
        <v>0</v>
      </c>
    </row>
    <row r="17" spans="1:596" ht="15.75" thickBot="1" x14ac:dyDescent="0.3">
      <c r="A17" s="2" t="s">
        <v>11</v>
      </c>
      <c r="B17" s="39"/>
      <c r="C17" s="2"/>
      <c r="D17" s="39"/>
      <c r="E17" s="2"/>
      <c r="F17" s="2"/>
      <c r="G17" s="2"/>
      <c r="H17" s="2"/>
      <c r="I17" s="2"/>
      <c r="J17" s="2"/>
      <c r="K17" s="47" t="s">
        <v>594</v>
      </c>
      <c r="Q17" s="10"/>
      <c r="S17" s="77">
        <f>SUM(S7:S15)</f>
        <v>25</v>
      </c>
      <c r="T17" s="78"/>
      <c r="U17" s="79">
        <f>SUM(U7:U15)</f>
        <v>8750</v>
      </c>
      <c r="AM17" t="s">
        <v>70</v>
      </c>
      <c r="AN17" s="60" t="e">
        <f>AN14-AN15-AN16</f>
        <v>#VALUE!</v>
      </c>
      <c r="AO17" s="60" t="e">
        <f t="shared" ref="AO17:AU17" si="476">AO14-AO15-AO16</f>
        <v>#VALUE!</v>
      </c>
      <c r="AP17" s="60" t="e">
        <f t="shared" si="476"/>
        <v>#VALUE!</v>
      </c>
      <c r="AQ17" s="60" t="e">
        <f t="shared" si="476"/>
        <v>#VALUE!</v>
      </c>
      <c r="AR17" s="60" t="e">
        <f t="shared" si="476"/>
        <v>#VALUE!</v>
      </c>
      <c r="AS17" s="60" t="e">
        <f t="shared" si="476"/>
        <v>#VALUE!</v>
      </c>
      <c r="AT17" s="60" t="e">
        <f t="shared" si="476"/>
        <v>#VALUE!</v>
      </c>
      <c r="AU17" s="60" t="e">
        <f t="shared" si="476"/>
        <v>#VALUE!</v>
      </c>
      <c r="AV17" s="60" t="e">
        <f t="shared" ref="AV17" si="477">AV14-AV15-AV16</f>
        <v>#VALUE!</v>
      </c>
      <c r="AW17" s="60"/>
      <c r="AX17" s="60" t="s">
        <v>70</v>
      </c>
      <c r="AY17" s="60"/>
      <c r="AZ17" s="60"/>
      <c r="BA17" s="60"/>
      <c r="BB17" s="60"/>
      <c r="BC17" s="60"/>
      <c r="BD17" s="60"/>
      <c r="BE17" s="60"/>
      <c r="BF17" s="60"/>
      <c r="BG17" s="60"/>
      <c r="BH17" s="60"/>
      <c r="BI17" s="60" t="s">
        <v>70</v>
      </c>
      <c r="BJ17" s="60" t="str">
        <f>IFERROR(BJ14-BJ15-BJ16, "Check Inputs")</f>
        <v>Check Inputs</v>
      </c>
      <c r="BK17" s="60" t="str">
        <f t="shared" ref="BK17:BQ17" si="478">IFERROR(BK14-BK15-BK16, "Check Inputs")</f>
        <v>Check Inputs</v>
      </c>
      <c r="BL17" s="60" t="str">
        <f t="shared" si="478"/>
        <v>Check Inputs</v>
      </c>
      <c r="BM17" s="60" t="str">
        <f t="shared" si="478"/>
        <v>Check Inputs</v>
      </c>
      <c r="BN17" s="60" t="str">
        <f t="shared" si="478"/>
        <v>Check Inputs</v>
      </c>
      <c r="BO17" s="60" t="str">
        <f t="shared" si="478"/>
        <v>Check Inputs</v>
      </c>
      <c r="BP17" s="60" t="str">
        <f t="shared" si="478"/>
        <v>Check Inputs</v>
      </c>
      <c r="BQ17" s="60" t="str">
        <f t="shared" si="478"/>
        <v>Check Inputs</v>
      </c>
      <c r="BR17" s="60" t="str">
        <f t="shared" ref="BR17" si="479">IFERROR(BR14-BR15-BR16, "Check Inputs")</f>
        <v>Check Inputs</v>
      </c>
      <c r="BS17" s="60"/>
      <c r="BT17" s="60" t="s">
        <v>70</v>
      </c>
      <c r="BU17" s="60">
        <f>BU14-BU15-BU16</f>
        <v>0</v>
      </c>
      <c r="BV17" s="60">
        <f t="shared" ref="BV17:CB17" si="480">BV14-BV15-BV16</f>
        <v>0</v>
      </c>
      <c r="BW17" s="60">
        <f t="shared" si="480"/>
        <v>0</v>
      </c>
      <c r="BX17" s="60">
        <f t="shared" si="480"/>
        <v>0</v>
      </c>
      <c r="BY17" s="60">
        <f t="shared" si="480"/>
        <v>0</v>
      </c>
      <c r="BZ17" s="60">
        <f t="shared" si="480"/>
        <v>0</v>
      </c>
      <c r="CA17" s="60">
        <f t="shared" si="480"/>
        <v>0</v>
      </c>
      <c r="CB17" s="60">
        <f t="shared" si="480"/>
        <v>0</v>
      </c>
      <c r="CC17" s="60">
        <f t="shared" ref="CC17" si="481">CC14-CC15-CC16</f>
        <v>0</v>
      </c>
      <c r="CD17" s="60"/>
      <c r="CE17" s="60" t="s">
        <v>70</v>
      </c>
      <c r="CF17" s="60" t="e">
        <f>CF14-CF15-CF16</f>
        <v>#VALUE!</v>
      </c>
      <c r="CG17" s="60" t="e">
        <f t="shared" ref="CG17:CM17" si="482">CG14-CG15-CG16</f>
        <v>#VALUE!</v>
      </c>
      <c r="CH17" s="60" t="e">
        <f t="shared" si="482"/>
        <v>#VALUE!</v>
      </c>
      <c r="CI17" s="60" t="e">
        <f t="shared" si="482"/>
        <v>#VALUE!</v>
      </c>
      <c r="CJ17" s="60" t="e">
        <f t="shared" si="482"/>
        <v>#VALUE!</v>
      </c>
      <c r="CK17" s="60" t="e">
        <f t="shared" si="482"/>
        <v>#VALUE!</v>
      </c>
      <c r="CL17" s="60" t="e">
        <f t="shared" si="482"/>
        <v>#VALUE!</v>
      </c>
      <c r="CM17" s="60" t="e">
        <f t="shared" si="482"/>
        <v>#VALUE!</v>
      </c>
      <c r="CN17" s="60" t="e">
        <f t="shared" ref="CN17" si="483">CN14-CN15-CN16</f>
        <v>#VALUE!</v>
      </c>
      <c r="CO17" s="60"/>
      <c r="CP17" s="60" t="s">
        <v>70</v>
      </c>
      <c r="CQ17" s="60">
        <f>CQ14-CQ15-CQ16</f>
        <v>0</v>
      </c>
      <c r="CR17" s="60">
        <f t="shared" ref="CR17:CX17" si="484">CR14-CR15-CR16</f>
        <v>0</v>
      </c>
      <c r="CS17" s="60">
        <f t="shared" si="484"/>
        <v>0</v>
      </c>
      <c r="CT17" s="60">
        <f t="shared" si="484"/>
        <v>0</v>
      </c>
      <c r="CU17" s="60">
        <f t="shared" si="484"/>
        <v>0</v>
      </c>
      <c r="CV17" s="60">
        <f t="shared" si="484"/>
        <v>0</v>
      </c>
      <c r="CW17" s="60">
        <f t="shared" si="484"/>
        <v>0</v>
      </c>
      <c r="CX17" s="60">
        <f t="shared" si="484"/>
        <v>0</v>
      </c>
      <c r="CY17" s="60" t="e">
        <f t="shared" ref="CY17" si="485">CY14-CY15-CY16</f>
        <v>#VALUE!</v>
      </c>
      <c r="CZ17" s="60"/>
      <c r="DA17" s="60" t="s">
        <v>379</v>
      </c>
      <c r="DB17" s="127">
        <f t="shared" ref="DB17" si="486">SUM(DB14:DB16)</f>
        <v>0</v>
      </c>
      <c r="DC17" s="127">
        <f t="shared" ref="DC17:DI17" si="487">SUM(DC14:DC16)</f>
        <v>0</v>
      </c>
      <c r="DD17" s="127">
        <f t="shared" si="487"/>
        <v>0</v>
      </c>
      <c r="DE17" s="127">
        <f t="shared" si="487"/>
        <v>0</v>
      </c>
      <c r="DF17" s="127">
        <f t="shared" si="487"/>
        <v>0</v>
      </c>
      <c r="DG17" s="127">
        <f t="shared" si="487"/>
        <v>0</v>
      </c>
      <c r="DH17" s="127">
        <f t="shared" si="487"/>
        <v>0</v>
      </c>
      <c r="DI17" s="127">
        <f t="shared" si="487"/>
        <v>0</v>
      </c>
      <c r="DJ17" s="127">
        <f t="shared" ref="DJ17" si="488">SUM(DJ14:DJ16)</f>
        <v>0</v>
      </c>
      <c r="DL17" s="60" t="s">
        <v>70</v>
      </c>
      <c r="DM17" s="60">
        <f>DM14-DM15-DM16</f>
        <v>0</v>
      </c>
      <c r="DN17" s="60">
        <f t="shared" ref="DN17:DT17" si="489">DN14-DN15-DN16</f>
        <v>0</v>
      </c>
      <c r="DO17" s="60">
        <f t="shared" si="489"/>
        <v>0</v>
      </c>
      <c r="DP17" s="60">
        <f t="shared" si="489"/>
        <v>0</v>
      </c>
      <c r="DQ17" s="60">
        <f t="shared" si="489"/>
        <v>0</v>
      </c>
      <c r="DR17" s="60">
        <f t="shared" si="489"/>
        <v>0</v>
      </c>
      <c r="DS17" s="60">
        <f t="shared" si="489"/>
        <v>0</v>
      </c>
      <c r="DT17" s="60">
        <f t="shared" si="489"/>
        <v>0</v>
      </c>
      <c r="DU17" s="60">
        <f t="shared" ref="DU17" si="490">DU14-DU15-DU16</f>
        <v>0</v>
      </c>
      <c r="DV17" s="60"/>
      <c r="DW17" s="60" t="s">
        <v>70</v>
      </c>
      <c r="DX17" s="60" t="e">
        <f>DX14+DX15+DX16</f>
        <v>#VALUE!</v>
      </c>
      <c r="DY17" s="60" t="e">
        <f t="shared" ref="DY17:EE17" si="491">DY14+DY15+DY16</f>
        <v>#VALUE!</v>
      </c>
      <c r="DZ17" s="60" t="e">
        <f t="shared" si="491"/>
        <v>#VALUE!</v>
      </c>
      <c r="EA17" s="60" t="e">
        <f t="shared" si="491"/>
        <v>#VALUE!</v>
      </c>
      <c r="EB17" s="60" t="e">
        <f t="shared" si="491"/>
        <v>#VALUE!</v>
      </c>
      <c r="EC17" s="60" t="e">
        <f t="shared" si="491"/>
        <v>#VALUE!</v>
      </c>
      <c r="ED17" s="60" t="e">
        <f t="shared" si="491"/>
        <v>#VALUE!</v>
      </c>
      <c r="EE17" s="60" t="e">
        <f t="shared" si="491"/>
        <v>#VALUE!</v>
      </c>
      <c r="EF17" s="60" t="e">
        <f t="shared" ref="EF17" si="492">EF14+EF15+EF16</f>
        <v>#VALUE!</v>
      </c>
      <c r="EH17" s="60" t="s">
        <v>70</v>
      </c>
      <c r="EI17" s="60">
        <f>EI14-EI15-EI16</f>
        <v>0</v>
      </c>
      <c r="EJ17" s="60">
        <f t="shared" ref="EJ17:EP17" si="493">EJ14-EJ15-EJ16</f>
        <v>0</v>
      </c>
      <c r="EK17" s="60">
        <f t="shared" si="493"/>
        <v>0</v>
      </c>
      <c r="EL17" s="60">
        <f t="shared" si="493"/>
        <v>0</v>
      </c>
      <c r="EM17" s="60">
        <f t="shared" si="493"/>
        <v>0</v>
      </c>
      <c r="EN17" s="60">
        <f t="shared" si="493"/>
        <v>0</v>
      </c>
      <c r="EO17" s="60">
        <f t="shared" si="493"/>
        <v>0</v>
      </c>
      <c r="EP17" s="60">
        <f t="shared" si="493"/>
        <v>0</v>
      </c>
      <c r="EQ17" s="60">
        <f t="shared" ref="EQ17" si="494">EQ14-EQ15-EQ16</f>
        <v>0</v>
      </c>
      <c r="ER17" s="60"/>
      <c r="ES17" s="60" t="s">
        <v>70</v>
      </c>
      <c r="ET17" s="60" t="e">
        <f>ET14-ET15-ET16</f>
        <v>#VALUE!</v>
      </c>
      <c r="EU17" s="60" t="e">
        <f t="shared" ref="EU17:FA17" si="495">EU14-EU15-EU16</f>
        <v>#VALUE!</v>
      </c>
      <c r="EV17" s="60" t="e">
        <f t="shared" si="495"/>
        <v>#VALUE!</v>
      </c>
      <c r="EW17" s="60" t="e">
        <f t="shared" si="495"/>
        <v>#VALUE!</v>
      </c>
      <c r="EX17" s="60" t="e">
        <f t="shared" si="495"/>
        <v>#VALUE!</v>
      </c>
      <c r="EY17" s="60" t="e">
        <f t="shared" si="495"/>
        <v>#VALUE!</v>
      </c>
      <c r="EZ17" s="60" t="e">
        <f t="shared" si="495"/>
        <v>#VALUE!</v>
      </c>
      <c r="FA17" s="60" t="e">
        <f t="shared" si="495"/>
        <v>#VALUE!</v>
      </c>
      <c r="FB17" s="60" t="e">
        <f t="shared" ref="FB17" si="496">FB14-FB15-FB16</f>
        <v>#VALUE!</v>
      </c>
      <c r="FC17" s="60"/>
      <c r="FD17" s="60" t="s">
        <v>70</v>
      </c>
      <c r="FE17" s="60" t="e">
        <f>FE14-FE15-FE16</f>
        <v>#VALUE!</v>
      </c>
      <c r="FF17" s="60" t="e">
        <f t="shared" ref="FF17:FL17" si="497">FF14-FF15-FF16</f>
        <v>#VALUE!</v>
      </c>
      <c r="FG17" s="60" t="e">
        <f t="shared" si="497"/>
        <v>#VALUE!</v>
      </c>
      <c r="FH17" s="60" t="e">
        <f t="shared" si="497"/>
        <v>#VALUE!</v>
      </c>
      <c r="FI17" s="60" t="e">
        <f t="shared" si="497"/>
        <v>#VALUE!</v>
      </c>
      <c r="FJ17" s="60" t="e">
        <f t="shared" si="497"/>
        <v>#VALUE!</v>
      </c>
      <c r="FK17" s="60" t="e">
        <f t="shared" si="497"/>
        <v>#VALUE!</v>
      </c>
      <c r="FL17" s="60" t="e">
        <f t="shared" si="497"/>
        <v>#VALUE!</v>
      </c>
      <c r="FM17" s="60" t="e">
        <f t="shared" ref="FM17" si="498">FM14-FM15-FM16</f>
        <v>#VALUE!</v>
      </c>
      <c r="FN17" s="60"/>
      <c r="FO17" s="60" t="s">
        <v>70</v>
      </c>
      <c r="FP17" s="60">
        <f>FP14-FP15-FP16</f>
        <v>0</v>
      </c>
      <c r="FQ17" s="60">
        <f t="shared" ref="FQ17:FW17" si="499">FQ14-FQ15-FQ16</f>
        <v>0</v>
      </c>
      <c r="FR17" s="60">
        <f t="shared" si="499"/>
        <v>0</v>
      </c>
      <c r="FS17" s="60">
        <f t="shared" si="499"/>
        <v>0</v>
      </c>
      <c r="FT17" s="60">
        <f t="shared" si="499"/>
        <v>0</v>
      </c>
      <c r="FU17" s="60">
        <f t="shared" si="499"/>
        <v>0</v>
      </c>
      <c r="FV17" s="60">
        <f t="shared" si="499"/>
        <v>0</v>
      </c>
      <c r="FW17" s="60">
        <f t="shared" si="499"/>
        <v>0</v>
      </c>
      <c r="FX17" s="60">
        <f t="shared" ref="FX17" si="500">FX14-FX15-FX16</f>
        <v>0</v>
      </c>
      <c r="FY17" s="60"/>
      <c r="FZ17" s="60" t="s">
        <v>70</v>
      </c>
      <c r="GA17" s="60" t="e">
        <f>GA14-GA15-GA16</f>
        <v>#VALUE!</v>
      </c>
      <c r="GB17" s="60" t="e">
        <f t="shared" ref="GB17:GH17" si="501">GB14-GB15-GB16</f>
        <v>#VALUE!</v>
      </c>
      <c r="GC17" s="60" t="e">
        <f t="shared" si="501"/>
        <v>#VALUE!</v>
      </c>
      <c r="GD17" s="60" t="e">
        <f t="shared" si="501"/>
        <v>#VALUE!</v>
      </c>
      <c r="GE17" s="60" t="e">
        <f t="shared" si="501"/>
        <v>#VALUE!</v>
      </c>
      <c r="GF17" s="60" t="e">
        <f t="shared" si="501"/>
        <v>#VALUE!</v>
      </c>
      <c r="GG17" s="60" t="e">
        <f t="shared" si="501"/>
        <v>#VALUE!</v>
      </c>
      <c r="GH17" s="60" t="e">
        <f t="shared" si="501"/>
        <v>#VALUE!</v>
      </c>
      <c r="GI17" s="60" t="e">
        <f t="shared" ref="GI17" si="502">GI14-GI15-GI16</f>
        <v>#VALUE!</v>
      </c>
      <c r="GJ17" s="60"/>
      <c r="GK17" s="60" t="s">
        <v>70</v>
      </c>
      <c r="GL17" s="60" t="e">
        <f>GL14-GL15-GL16</f>
        <v>#VALUE!</v>
      </c>
      <c r="GM17" s="60" t="e">
        <f t="shared" ref="GM17:GS17" si="503">GM14-GM15-GM16</f>
        <v>#VALUE!</v>
      </c>
      <c r="GN17" s="60" t="e">
        <f t="shared" si="503"/>
        <v>#VALUE!</v>
      </c>
      <c r="GO17" s="60" t="e">
        <f t="shared" si="503"/>
        <v>#VALUE!</v>
      </c>
      <c r="GP17" s="60" t="e">
        <f t="shared" si="503"/>
        <v>#VALUE!</v>
      </c>
      <c r="GQ17" s="60" t="e">
        <f t="shared" si="503"/>
        <v>#VALUE!</v>
      </c>
      <c r="GR17" s="60" t="e">
        <f t="shared" si="503"/>
        <v>#VALUE!</v>
      </c>
      <c r="GS17" s="60" t="e">
        <f t="shared" si="503"/>
        <v>#VALUE!</v>
      </c>
      <c r="GT17" s="60" t="e">
        <f t="shared" ref="GT17" si="504">GT14-GT15-GT16</f>
        <v>#VALUE!</v>
      </c>
      <c r="GU17" s="60"/>
      <c r="GV17" s="60" t="s">
        <v>70</v>
      </c>
      <c r="GW17" s="60" t="e">
        <f>GW14-GW15-GW16</f>
        <v>#VALUE!</v>
      </c>
      <c r="GX17" s="60" t="e">
        <f t="shared" ref="GX17:HD17" si="505">GX14-GX15-GX16</f>
        <v>#VALUE!</v>
      </c>
      <c r="GY17" s="60" t="e">
        <f t="shared" si="505"/>
        <v>#VALUE!</v>
      </c>
      <c r="GZ17" s="60" t="e">
        <f t="shared" si="505"/>
        <v>#VALUE!</v>
      </c>
      <c r="HA17" s="60" t="e">
        <f t="shared" si="505"/>
        <v>#VALUE!</v>
      </c>
      <c r="HB17" s="60" t="e">
        <f t="shared" si="505"/>
        <v>#VALUE!</v>
      </c>
      <c r="HC17" s="60" t="e">
        <f t="shared" si="505"/>
        <v>#VALUE!</v>
      </c>
      <c r="HD17" s="60" t="e">
        <f t="shared" si="505"/>
        <v>#VALUE!</v>
      </c>
      <c r="HE17" s="60" t="e">
        <f t="shared" ref="HE17" si="506">HE14-HE15-HE16</f>
        <v>#VALUE!</v>
      </c>
      <c r="HF17" s="60"/>
      <c r="HG17" s="60" t="s">
        <v>70</v>
      </c>
      <c r="HH17" s="60" t="e">
        <f>HH14-HH15-HH16</f>
        <v>#VALUE!</v>
      </c>
      <c r="HI17" s="60" t="e">
        <f t="shared" ref="HI17:HO17" si="507">HI14-HI15-HI16</f>
        <v>#VALUE!</v>
      </c>
      <c r="HJ17" s="60" t="e">
        <f t="shared" si="507"/>
        <v>#VALUE!</v>
      </c>
      <c r="HK17" s="60" t="e">
        <f t="shared" si="507"/>
        <v>#VALUE!</v>
      </c>
      <c r="HL17" s="60" t="e">
        <f t="shared" si="507"/>
        <v>#VALUE!</v>
      </c>
      <c r="HM17" s="60" t="e">
        <f t="shared" si="507"/>
        <v>#VALUE!</v>
      </c>
      <c r="HN17" s="60" t="e">
        <f t="shared" si="507"/>
        <v>#VALUE!</v>
      </c>
      <c r="HO17" s="60" t="e">
        <f t="shared" si="507"/>
        <v>#VALUE!</v>
      </c>
      <c r="HP17" s="60" t="e">
        <f t="shared" ref="HP17" si="508">HP14-HP15-HP16</f>
        <v>#VALUE!</v>
      </c>
      <c r="HQ17" s="60"/>
      <c r="HR17" s="60" t="s">
        <v>70</v>
      </c>
      <c r="HS17" s="60" t="e">
        <f>HS14-HS15-HS16</f>
        <v>#VALUE!</v>
      </c>
      <c r="HT17" s="60" t="e">
        <f t="shared" ref="HT17:HZ17" si="509">HT14-HT15-HT16</f>
        <v>#VALUE!</v>
      </c>
      <c r="HU17" s="60" t="e">
        <f t="shared" si="509"/>
        <v>#VALUE!</v>
      </c>
      <c r="HV17" s="60" t="e">
        <f t="shared" si="509"/>
        <v>#VALUE!</v>
      </c>
      <c r="HW17" s="60" t="e">
        <f t="shared" si="509"/>
        <v>#VALUE!</v>
      </c>
      <c r="HX17" s="60" t="e">
        <f t="shared" si="509"/>
        <v>#VALUE!</v>
      </c>
      <c r="HY17" s="60" t="e">
        <f t="shared" si="509"/>
        <v>#VALUE!</v>
      </c>
      <c r="HZ17" s="60" t="e">
        <f t="shared" si="509"/>
        <v>#VALUE!</v>
      </c>
      <c r="IA17" s="60" t="e">
        <f t="shared" ref="IA17" si="510">IA14-IA15-IA16</f>
        <v>#VALUE!</v>
      </c>
      <c r="IB17" s="60"/>
      <c r="IC17" s="60" t="s">
        <v>70</v>
      </c>
      <c r="ID17" s="60" t="e">
        <f>ID14-ID15-ID16</f>
        <v>#VALUE!</v>
      </c>
      <c r="IE17" s="60" t="e">
        <f t="shared" ref="IE17:IK17" si="511">IE14-IE15-IE16</f>
        <v>#VALUE!</v>
      </c>
      <c r="IF17" s="60" t="e">
        <f t="shared" si="511"/>
        <v>#VALUE!</v>
      </c>
      <c r="IG17" s="60" t="e">
        <f t="shared" si="511"/>
        <v>#VALUE!</v>
      </c>
      <c r="IH17" s="60" t="e">
        <f t="shared" si="511"/>
        <v>#VALUE!</v>
      </c>
      <c r="II17" s="60" t="e">
        <f t="shared" si="511"/>
        <v>#VALUE!</v>
      </c>
      <c r="IJ17" s="60" t="e">
        <f t="shared" si="511"/>
        <v>#VALUE!</v>
      </c>
      <c r="IK17" s="60" t="e">
        <f t="shared" si="511"/>
        <v>#VALUE!</v>
      </c>
      <c r="IL17" s="60" t="e">
        <f t="shared" ref="IL17" si="512">IL14-IL15-IL16</f>
        <v>#VALUE!</v>
      </c>
      <c r="IM17" s="60"/>
      <c r="IX17" s="60"/>
      <c r="IY17" s="60" t="s">
        <v>70</v>
      </c>
      <c r="IZ17" s="6" t="e">
        <f>IZ14-IZ15-IZ16</f>
        <v>#VALUE!</v>
      </c>
      <c r="JA17" s="6" t="e">
        <f t="shared" ref="JA17:JG17" si="513">JA14-JA15-JA16</f>
        <v>#VALUE!</v>
      </c>
      <c r="JB17" s="6" t="e">
        <f t="shared" si="513"/>
        <v>#VALUE!</v>
      </c>
      <c r="JC17" s="6" t="e">
        <f t="shared" si="513"/>
        <v>#VALUE!</v>
      </c>
      <c r="JD17" s="6" t="e">
        <f t="shared" si="513"/>
        <v>#VALUE!</v>
      </c>
      <c r="JE17" s="6" t="e">
        <f t="shared" si="513"/>
        <v>#VALUE!</v>
      </c>
      <c r="JF17" s="6" t="e">
        <f t="shared" si="513"/>
        <v>#VALUE!</v>
      </c>
      <c r="JG17" s="6" t="e">
        <f t="shared" si="513"/>
        <v>#VALUE!</v>
      </c>
      <c r="JH17" s="6" t="e">
        <f t="shared" ref="JH17" si="514">JH14-JH15-JH16</f>
        <v>#VALUE!</v>
      </c>
      <c r="JI17" s="60"/>
      <c r="JJ17" s="60" t="s">
        <v>70</v>
      </c>
      <c r="JK17" s="60" t="e">
        <f>JK14-JK15-JK16</f>
        <v>#VALUE!</v>
      </c>
      <c r="JL17" s="60" t="e">
        <f t="shared" ref="JL17:JR17" si="515">JL14-JL15-JL16</f>
        <v>#VALUE!</v>
      </c>
      <c r="JM17" s="60" t="e">
        <f t="shared" si="515"/>
        <v>#VALUE!</v>
      </c>
      <c r="JN17" s="60" t="e">
        <f t="shared" si="515"/>
        <v>#VALUE!</v>
      </c>
      <c r="JO17" s="60" t="e">
        <f t="shared" si="515"/>
        <v>#VALUE!</v>
      </c>
      <c r="JP17" s="60" t="e">
        <f t="shared" si="515"/>
        <v>#VALUE!</v>
      </c>
      <c r="JQ17" s="60" t="e">
        <f t="shared" si="515"/>
        <v>#VALUE!</v>
      </c>
      <c r="JR17" s="60" t="e">
        <f t="shared" si="515"/>
        <v>#VALUE!</v>
      </c>
      <c r="JS17" s="60" t="e">
        <f t="shared" ref="JS17" si="516">JS14-JS15-JS16</f>
        <v>#VALUE!</v>
      </c>
      <c r="JT17" s="60"/>
      <c r="JU17" s="60" t="s">
        <v>70</v>
      </c>
      <c r="JV17" s="60" t="e">
        <f>JV14-JV15-JV16</f>
        <v>#VALUE!</v>
      </c>
      <c r="JW17" s="60" t="e">
        <f t="shared" ref="JW17:KC17" si="517">JW14-JW15-JW16</f>
        <v>#VALUE!</v>
      </c>
      <c r="JX17" s="60" t="e">
        <f t="shared" si="517"/>
        <v>#VALUE!</v>
      </c>
      <c r="JY17" s="60" t="e">
        <f t="shared" si="517"/>
        <v>#VALUE!</v>
      </c>
      <c r="JZ17" s="60" t="e">
        <f t="shared" si="517"/>
        <v>#VALUE!</v>
      </c>
      <c r="KA17" s="60" t="e">
        <f t="shared" si="517"/>
        <v>#VALUE!</v>
      </c>
      <c r="KB17" s="60" t="e">
        <f t="shared" si="517"/>
        <v>#VALUE!</v>
      </c>
      <c r="KC17" s="60" t="e">
        <f t="shared" si="517"/>
        <v>#VALUE!</v>
      </c>
      <c r="KD17" s="60" t="e">
        <f t="shared" ref="KD17" si="518">KD14-KD15-KD16</f>
        <v>#VALUE!</v>
      </c>
      <c r="KE17" s="60"/>
      <c r="KF17" s="60" t="s">
        <v>70</v>
      </c>
      <c r="KG17" s="60" t="e">
        <f>KG14-KG15-KG16</f>
        <v>#VALUE!</v>
      </c>
      <c r="KH17" s="60" t="e">
        <f t="shared" ref="KH17" si="519">KH14-KH15-KH16</f>
        <v>#VALUE!</v>
      </c>
      <c r="KI17" s="60" t="e">
        <f t="shared" ref="KI17" si="520">KI14-KI15-KI16</f>
        <v>#VALUE!</v>
      </c>
      <c r="KJ17" s="60" t="e">
        <f t="shared" ref="KJ17" si="521">KJ14-KJ15-KJ16</f>
        <v>#VALUE!</v>
      </c>
      <c r="KK17" s="60" t="e">
        <f t="shared" ref="KK17" si="522">KK14-KK15-KK16</f>
        <v>#VALUE!</v>
      </c>
      <c r="KL17" s="60" t="e">
        <f t="shared" ref="KL17" si="523">KL14-KL15-KL16</f>
        <v>#VALUE!</v>
      </c>
      <c r="KM17" s="60" t="e">
        <f t="shared" ref="KM17" si="524">KM14-KM15-KM16</f>
        <v>#VALUE!</v>
      </c>
      <c r="KN17" s="60" t="e">
        <f t="shared" ref="KN17:KO17" si="525">KN14-KN15-KN16</f>
        <v>#VALUE!</v>
      </c>
      <c r="KO17" s="60" t="e">
        <f t="shared" si="525"/>
        <v>#VALUE!</v>
      </c>
      <c r="KP17" s="60"/>
      <c r="KQ17" t="s">
        <v>281</v>
      </c>
      <c r="KR17" s="115">
        <v>0</v>
      </c>
      <c r="KS17" s="115">
        <v>0</v>
      </c>
      <c r="KT17" s="115">
        <v>0</v>
      </c>
      <c r="KU17" s="115">
        <v>0</v>
      </c>
      <c r="KV17" s="115">
        <v>0</v>
      </c>
      <c r="KW17" s="115">
        <v>0</v>
      </c>
      <c r="KX17" s="115">
        <v>0</v>
      </c>
      <c r="KY17" s="115">
        <v>0</v>
      </c>
      <c r="KZ17" s="115">
        <v>0</v>
      </c>
      <c r="LB17" s="60" t="s">
        <v>70</v>
      </c>
      <c r="LC17" s="60" t="e">
        <f>LC14-LC15-LC16</f>
        <v>#VALUE!</v>
      </c>
      <c r="LD17" s="60" t="e">
        <f t="shared" ref="LD17" si="526">LD14-LD15-LD16</f>
        <v>#VALUE!</v>
      </c>
      <c r="LE17" s="60" t="e">
        <f t="shared" ref="LE17" si="527">LE14-LE15-LE16</f>
        <v>#VALUE!</v>
      </c>
      <c r="LF17" s="60" t="e">
        <f t="shared" ref="LF17" si="528">LF14-LF15-LF16</f>
        <v>#VALUE!</v>
      </c>
      <c r="LG17" s="60" t="e">
        <f t="shared" ref="LG17" si="529">LG14-LG15-LG16</f>
        <v>#VALUE!</v>
      </c>
      <c r="LH17" s="60" t="e">
        <f t="shared" ref="LH17" si="530">LH14-LH15-LH16</f>
        <v>#VALUE!</v>
      </c>
      <c r="LI17" s="60" t="e">
        <f t="shared" ref="LI17" si="531">LI14-LI15-LI16</f>
        <v>#VALUE!</v>
      </c>
      <c r="LJ17" s="60" t="e">
        <f t="shared" ref="LJ17:LK17" si="532">LJ14-LJ15-LJ16</f>
        <v>#VALUE!</v>
      </c>
      <c r="LK17" s="60" t="e">
        <f t="shared" si="532"/>
        <v>#VALUE!</v>
      </c>
      <c r="LL17" s="60"/>
      <c r="LM17" s="60" t="s">
        <v>70</v>
      </c>
      <c r="LN17" s="60">
        <f>LN14-LN15-LN16</f>
        <v>0</v>
      </c>
      <c r="LO17" s="60">
        <f t="shared" ref="LO17:LU17" si="533">LO14-LO15-LO16</f>
        <v>0</v>
      </c>
      <c r="LP17" s="60">
        <f t="shared" si="533"/>
        <v>0</v>
      </c>
      <c r="LQ17" s="60">
        <f t="shared" si="533"/>
        <v>0</v>
      </c>
      <c r="LR17" s="60">
        <f t="shared" si="533"/>
        <v>0</v>
      </c>
      <c r="LS17" s="60">
        <f t="shared" si="533"/>
        <v>0</v>
      </c>
      <c r="LT17" s="60">
        <f t="shared" si="533"/>
        <v>0</v>
      </c>
      <c r="LU17" s="60">
        <f t="shared" si="533"/>
        <v>0</v>
      </c>
      <c r="LV17" s="60">
        <f t="shared" ref="LV17" si="534">LV14-LV15-LV16</f>
        <v>0</v>
      </c>
      <c r="LW17" s="60"/>
      <c r="LX17" s="60" t="s">
        <v>70</v>
      </c>
      <c r="LY17" s="60"/>
      <c r="LZ17" s="60"/>
      <c r="MA17" s="60"/>
      <c r="MB17" s="60"/>
      <c r="MC17" s="60"/>
      <c r="MD17" s="60"/>
      <c r="ME17" s="60"/>
      <c r="MF17" s="60"/>
      <c r="MG17" s="60"/>
      <c r="MH17" s="60"/>
      <c r="MI17" s="60" t="s">
        <v>70</v>
      </c>
      <c r="MJ17" s="60"/>
      <c r="MK17" s="60"/>
      <c r="ML17" s="60"/>
      <c r="MM17" s="60"/>
      <c r="MN17" s="60"/>
      <c r="MO17" s="60"/>
      <c r="MP17" s="60"/>
      <c r="MQ17" s="60"/>
      <c r="MR17" s="60"/>
      <c r="MS17" s="60"/>
      <c r="MT17" s="60" t="s">
        <v>70</v>
      </c>
      <c r="MU17" s="6">
        <f>MU14-MU15-MU16</f>
        <v>0</v>
      </c>
      <c r="MV17" s="6">
        <f t="shared" ref="MV17:NB17" si="535">MV14-MV15-MV16</f>
        <v>0</v>
      </c>
      <c r="MW17" s="6">
        <f t="shared" si="535"/>
        <v>0</v>
      </c>
      <c r="MX17" s="6">
        <f t="shared" si="535"/>
        <v>0</v>
      </c>
      <c r="MY17" s="6">
        <f t="shared" si="535"/>
        <v>0</v>
      </c>
      <c r="MZ17" s="6">
        <f t="shared" si="535"/>
        <v>0</v>
      </c>
      <c r="NA17" s="6">
        <f t="shared" si="535"/>
        <v>0</v>
      </c>
      <c r="NB17" s="6">
        <f t="shared" si="535"/>
        <v>0</v>
      </c>
      <c r="NC17" s="6">
        <f t="shared" ref="NC17" si="536">NC14-NC15-NC16</f>
        <v>0</v>
      </c>
      <c r="ND17" s="60"/>
      <c r="NE17" s="60" t="s">
        <v>70</v>
      </c>
      <c r="NF17" s="60" t="e">
        <f>NF14-NF15-NF16</f>
        <v>#VALUE!</v>
      </c>
      <c r="NG17" s="60" t="e">
        <f t="shared" ref="NG17:NM17" si="537">NG14-NG15-NG16</f>
        <v>#VALUE!</v>
      </c>
      <c r="NH17" s="60" t="e">
        <f t="shared" si="537"/>
        <v>#VALUE!</v>
      </c>
      <c r="NI17" s="60" t="e">
        <f t="shared" si="537"/>
        <v>#VALUE!</v>
      </c>
      <c r="NJ17" s="60" t="e">
        <f t="shared" si="537"/>
        <v>#VALUE!</v>
      </c>
      <c r="NK17" s="60" t="e">
        <f t="shared" si="537"/>
        <v>#VALUE!</v>
      </c>
      <c r="NL17" s="60" t="e">
        <f t="shared" si="537"/>
        <v>#VALUE!</v>
      </c>
      <c r="NM17" s="60" t="e">
        <f t="shared" si="537"/>
        <v>#VALUE!</v>
      </c>
      <c r="NN17" s="60" t="e">
        <f t="shared" ref="NN17" si="538">NN14-NN15-NN16</f>
        <v>#VALUE!</v>
      </c>
      <c r="NO17" s="60"/>
      <c r="NP17" t="s">
        <v>278</v>
      </c>
      <c r="NQ17" s="60"/>
      <c r="NR17" s="60"/>
      <c r="NS17" s="60"/>
      <c r="NT17" s="60"/>
      <c r="NU17" s="60"/>
      <c r="NV17" s="60"/>
      <c r="NW17" s="60"/>
      <c r="NX17" s="60"/>
      <c r="NY17" s="60"/>
      <c r="NZ17" s="60"/>
      <c r="OA17" s="60" t="s">
        <v>70</v>
      </c>
      <c r="OB17" s="60" t="e">
        <f>OB14-OB15-OB16</f>
        <v>#VALUE!</v>
      </c>
      <c r="OC17" s="60" t="e">
        <f t="shared" ref="OC17:OI17" si="539">OC14-OC15-OC16</f>
        <v>#VALUE!</v>
      </c>
      <c r="OD17" s="60" t="e">
        <f t="shared" si="539"/>
        <v>#VALUE!</v>
      </c>
      <c r="OE17" s="60" t="e">
        <f t="shared" si="539"/>
        <v>#VALUE!</v>
      </c>
      <c r="OF17" s="60" t="e">
        <f t="shared" si="539"/>
        <v>#VALUE!</v>
      </c>
      <c r="OG17" s="60" t="e">
        <f t="shared" si="539"/>
        <v>#VALUE!</v>
      </c>
      <c r="OH17" s="60" t="e">
        <f t="shared" si="539"/>
        <v>#VALUE!</v>
      </c>
      <c r="OI17" s="60" t="e">
        <f t="shared" si="539"/>
        <v>#VALUE!</v>
      </c>
      <c r="OJ17" s="60" t="e">
        <f t="shared" ref="OJ17" si="540">OJ14-OJ15-OJ16</f>
        <v>#VALUE!</v>
      </c>
      <c r="OK17" s="60"/>
      <c r="OL17" s="60" t="s">
        <v>70</v>
      </c>
      <c r="OM17" s="60" t="e">
        <f>OM14-OM15-OM16</f>
        <v>#VALUE!</v>
      </c>
      <c r="ON17" s="60" t="e">
        <f t="shared" ref="ON17:OT17" si="541">ON14-ON15-ON16</f>
        <v>#VALUE!</v>
      </c>
      <c r="OO17" s="60" t="e">
        <f t="shared" si="541"/>
        <v>#VALUE!</v>
      </c>
      <c r="OP17" s="60" t="e">
        <f t="shared" si="541"/>
        <v>#VALUE!</v>
      </c>
      <c r="OQ17" s="60" t="e">
        <f t="shared" si="541"/>
        <v>#VALUE!</v>
      </c>
      <c r="OR17" s="60" t="e">
        <f t="shared" si="541"/>
        <v>#VALUE!</v>
      </c>
      <c r="OS17" s="60" t="e">
        <f t="shared" si="541"/>
        <v>#VALUE!</v>
      </c>
      <c r="OT17" s="60" t="e">
        <f t="shared" si="541"/>
        <v>#VALUE!</v>
      </c>
      <c r="OU17" s="60" t="e">
        <f t="shared" ref="OU17" si="542">OU14-OU15-OU16</f>
        <v>#VALUE!</v>
      </c>
      <c r="OV17" s="60"/>
      <c r="OW17" s="60" t="s">
        <v>70</v>
      </c>
      <c r="OX17" s="60" t="e">
        <f>OX14-OX15-OX16</f>
        <v>#VALUE!</v>
      </c>
      <c r="OY17" s="60" t="e">
        <f t="shared" ref="OY17:PE17" si="543">OY14-OY15-OY16</f>
        <v>#VALUE!</v>
      </c>
      <c r="OZ17" s="60" t="e">
        <f t="shared" si="543"/>
        <v>#VALUE!</v>
      </c>
      <c r="PA17" s="60" t="e">
        <f t="shared" si="543"/>
        <v>#VALUE!</v>
      </c>
      <c r="PB17" s="60" t="e">
        <f t="shared" si="543"/>
        <v>#VALUE!</v>
      </c>
      <c r="PC17" s="60" t="e">
        <f t="shared" si="543"/>
        <v>#VALUE!</v>
      </c>
      <c r="PD17" s="60" t="e">
        <f t="shared" si="543"/>
        <v>#VALUE!</v>
      </c>
      <c r="PE17" s="60" t="e">
        <f t="shared" si="543"/>
        <v>#VALUE!</v>
      </c>
      <c r="PF17" s="60" t="e">
        <f t="shared" ref="PF17" si="544">PF14-PF15-PF16</f>
        <v>#VALUE!</v>
      </c>
      <c r="PG17" s="60"/>
      <c r="PH17" s="60" t="s">
        <v>70</v>
      </c>
      <c r="PI17" s="60" t="e">
        <f>PI14-PI15-PI16</f>
        <v>#VALUE!</v>
      </c>
      <c r="PJ17" s="60" t="e">
        <f t="shared" ref="PJ17:PP17" si="545">PJ14-PJ15-PJ16</f>
        <v>#VALUE!</v>
      </c>
      <c r="PK17" s="60" t="e">
        <f t="shared" si="545"/>
        <v>#VALUE!</v>
      </c>
      <c r="PL17" s="60" t="e">
        <f t="shared" si="545"/>
        <v>#VALUE!</v>
      </c>
      <c r="PM17" s="60" t="e">
        <f t="shared" si="545"/>
        <v>#VALUE!</v>
      </c>
      <c r="PN17" s="60" t="e">
        <f t="shared" si="545"/>
        <v>#VALUE!</v>
      </c>
      <c r="PO17" s="60" t="e">
        <f t="shared" si="545"/>
        <v>#VALUE!</v>
      </c>
      <c r="PP17" s="60" t="e">
        <f t="shared" si="545"/>
        <v>#VALUE!</v>
      </c>
      <c r="PQ17" s="60" t="e">
        <f t="shared" ref="PQ17" si="546">PQ14-PQ15-PQ16</f>
        <v>#VALUE!</v>
      </c>
      <c r="PR17" s="60"/>
      <c r="PS17" s="60" t="s">
        <v>70</v>
      </c>
      <c r="PT17" s="60" t="e">
        <f>PT14-PT15-PT16</f>
        <v>#VALUE!</v>
      </c>
      <c r="PU17" s="60" t="e">
        <f t="shared" ref="PU17:QA17" si="547">PU14-PU15-PU16</f>
        <v>#VALUE!</v>
      </c>
      <c r="PV17" s="60" t="e">
        <f t="shared" si="547"/>
        <v>#VALUE!</v>
      </c>
      <c r="PW17" s="60" t="e">
        <f t="shared" si="547"/>
        <v>#VALUE!</v>
      </c>
      <c r="PX17" s="60" t="e">
        <f t="shared" si="547"/>
        <v>#VALUE!</v>
      </c>
      <c r="PY17" s="60" t="e">
        <f t="shared" si="547"/>
        <v>#VALUE!</v>
      </c>
      <c r="PZ17" s="60" t="e">
        <f t="shared" si="547"/>
        <v>#VALUE!</v>
      </c>
      <c r="QA17" s="60" t="e">
        <f t="shared" si="547"/>
        <v>#VALUE!</v>
      </c>
      <c r="QB17" s="60" t="e">
        <f t="shared" ref="QB17" si="548">QB14-QB15-QB16</f>
        <v>#VALUE!</v>
      </c>
      <c r="QC17" s="60"/>
      <c r="QD17" s="60" t="s">
        <v>70</v>
      </c>
      <c r="QE17" s="60">
        <f>QE14-QE15-QE16</f>
        <v>0</v>
      </c>
      <c r="QF17" s="60">
        <f t="shared" ref="QF17:QL17" si="549">QF14-QF15-QF16</f>
        <v>0</v>
      </c>
      <c r="QG17" s="60">
        <f t="shared" si="549"/>
        <v>0</v>
      </c>
      <c r="QH17" s="60">
        <f t="shared" si="549"/>
        <v>0</v>
      </c>
      <c r="QI17" s="60">
        <f t="shared" si="549"/>
        <v>0</v>
      </c>
      <c r="QJ17" s="60">
        <f t="shared" si="549"/>
        <v>0</v>
      </c>
      <c r="QK17" s="60">
        <f t="shared" si="549"/>
        <v>0</v>
      </c>
      <c r="QL17" s="60">
        <f t="shared" si="549"/>
        <v>0</v>
      </c>
      <c r="QM17" s="60">
        <f t="shared" ref="QM17" si="550">QM14-QM15-QM16</f>
        <v>0</v>
      </c>
      <c r="QN17" s="60"/>
      <c r="QO17" s="60" t="s">
        <v>70</v>
      </c>
      <c r="QP17" s="60" t="e">
        <f>QP14-QP15-QP16</f>
        <v>#VALUE!</v>
      </c>
      <c r="QQ17" s="60" t="e">
        <f t="shared" ref="QQ17:QW17" si="551">QQ14-QQ15-QQ16</f>
        <v>#VALUE!</v>
      </c>
      <c r="QR17" s="60" t="e">
        <f t="shared" si="551"/>
        <v>#VALUE!</v>
      </c>
      <c r="QS17" s="60" t="e">
        <f t="shared" si="551"/>
        <v>#VALUE!</v>
      </c>
      <c r="QT17" s="60" t="e">
        <f t="shared" si="551"/>
        <v>#VALUE!</v>
      </c>
      <c r="QU17" s="60" t="e">
        <f t="shared" si="551"/>
        <v>#VALUE!</v>
      </c>
      <c r="QV17" s="60" t="e">
        <f t="shared" si="551"/>
        <v>#VALUE!</v>
      </c>
      <c r="QW17" s="60" t="e">
        <f t="shared" si="551"/>
        <v>#VALUE!</v>
      </c>
      <c r="QX17" s="60" t="e">
        <f t="shared" ref="QX17" si="552">QX14-QX15-QX16</f>
        <v>#VALUE!</v>
      </c>
      <c r="QY17" s="60"/>
      <c r="QZ17" s="60" t="s">
        <v>70</v>
      </c>
      <c r="RA17" s="60" t="e">
        <f>RA14-RA15-RA16</f>
        <v>#VALUE!</v>
      </c>
      <c r="RB17" s="60" t="e">
        <f t="shared" ref="RB17:RH17" si="553">RB14-RB15-RB16</f>
        <v>#VALUE!</v>
      </c>
      <c r="RC17" s="60" t="e">
        <f t="shared" si="553"/>
        <v>#VALUE!</v>
      </c>
      <c r="RD17" s="60" t="e">
        <f t="shared" si="553"/>
        <v>#VALUE!</v>
      </c>
      <c r="RE17" s="60" t="e">
        <f t="shared" si="553"/>
        <v>#VALUE!</v>
      </c>
      <c r="RF17" s="60" t="e">
        <f t="shared" si="553"/>
        <v>#VALUE!</v>
      </c>
      <c r="RG17" s="60" t="e">
        <f t="shared" si="553"/>
        <v>#VALUE!</v>
      </c>
      <c r="RH17" s="60" t="e">
        <f t="shared" si="553"/>
        <v>#VALUE!</v>
      </c>
      <c r="RI17" s="60" t="e">
        <f t="shared" ref="RI17" si="554">RI14-RI15-RI16</f>
        <v>#VALUE!</v>
      </c>
      <c r="RJ17" s="60"/>
      <c r="RK17" s="60" t="s">
        <v>70</v>
      </c>
      <c r="RL17" s="60"/>
      <c r="RM17" s="60"/>
      <c r="RN17" s="60"/>
      <c r="RO17" s="60"/>
      <c r="RP17" s="60"/>
      <c r="RQ17" s="60"/>
      <c r="RR17" s="60"/>
      <c r="RS17" s="60"/>
      <c r="RT17" s="60"/>
      <c r="RU17" s="60"/>
      <c r="RV17" s="60" t="s">
        <v>70</v>
      </c>
      <c r="RW17" s="60"/>
      <c r="RX17" s="60"/>
      <c r="RY17" s="60"/>
      <c r="RZ17" s="60"/>
      <c r="SA17" s="60"/>
      <c r="SB17" s="60"/>
      <c r="SC17" s="60"/>
      <c r="SD17" s="60"/>
      <c r="SE17" s="60"/>
      <c r="SF17" s="60"/>
      <c r="SG17" s="60" t="s">
        <v>70</v>
      </c>
      <c r="SH17" s="60"/>
      <c r="SI17" s="60"/>
      <c r="SJ17" s="60"/>
      <c r="SK17" s="60"/>
      <c r="SL17" s="60"/>
      <c r="SM17" s="60"/>
      <c r="SN17" s="60"/>
      <c r="SO17" s="60"/>
      <c r="SP17" s="60"/>
      <c r="SQ17" s="60"/>
      <c r="SR17" s="60" t="s">
        <v>70</v>
      </c>
      <c r="SS17" s="60" t="e">
        <f>SS14-SS15-SS16</f>
        <v>#VALUE!</v>
      </c>
      <c r="ST17" s="60" t="e">
        <f t="shared" ref="ST17:SZ17" si="555">ST14-ST15-ST16</f>
        <v>#VALUE!</v>
      </c>
      <c r="SU17" s="60" t="e">
        <f t="shared" si="555"/>
        <v>#VALUE!</v>
      </c>
      <c r="SV17" s="60" t="e">
        <f t="shared" si="555"/>
        <v>#VALUE!</v>
      </c>
      <c r="SW17" s="60" t="e">
        <f t="shared" si="555"/>
        <v>#VALUE!</v>
      </c>
      <c r="SX17" s="60" t="e">
        <f t="shared" si="555"/>
        <v>#VALUE!</v>
      </c>
      <c r="SY17" s="60" t="e">
        <f t="shared" si="555"/>
        <v>#VALUE!</v>
      </c>
      <c r="SZ17" s="60" t="e">
        <f t="shared" si="555"/>
        <v>#VALUE!</v>
      </c>
      <c r="TA17" s="60" t="e">
        <f t="shared" ref="TA17" si="556">TA14-TA15-TA16</f>
        <v>#VALUE!</v>
      </c>
      <c r="TB17" s="60"/>
      <c r="TC17" s="60" t="s">
        <v>70</v>
      </c>
      <c r="TD17" s="60" t="e">
        <f>TD14-TD15-TD16</f>
        <v>#VALUE!</v>
      </c>
      <c r="TE17" s="60" t="e">
        <f t="shared" ref="TE17:TK17" si="557">TE14-TE15-TE16</f>
        <v>#VALUE!</v>
      </c>
      <c r="TF17" s="60" t="e">
        <f t="shared" si="557"/>
        <v>#VALUE!</v>
      </c>
      <c r="TG17" s="60" t="e">
        <f t="shared" si="557"/>
        <v>#VALUE!</v>
      </c>
      <c r="TH17" s="60" t="e">
        <f t="shared" si="557"/>
        <v>#VALUE!</v>
      </c>
      <c r="TI17" s="60" t="e">
        <f t="shared" si="557"/>
        <v>#VALUE!</v>
      </c>
      <c r="TJ17" s="60" t="e">
        <f t="shared" si="557"/>
        <v>#VALUE!</v>
      </c>
      <c r="TK17" s="60" t="e">
        <f t="shared" si="557"/>
        <v>#VALUE!</v>
      </c>
      <c r="TL17" s="60" t="e">
        <f t="shared" ref="TL17" si="558">TL14-TL15-TL16</f>
        <v>#VALUE!</v>
      </c>
      <c r="TM17" s="60"/>
      <c r="TN17" s="60" t="s">
        <v>70</v>
      </c>
      <c r="TO17" s="60">
        <f>TO14-TO15</f>
        <v>0</v>
      </c>
      <c r="TP17" s="60">
        <f t="shared" ref="TP17:TV17" si="559">TP14-TP15</f>
        <v>0</v>
      </c>
      <c r="TQ17" s="60">
        <f t="shared" si="559"/>
        <v>0</v>
      </c>
      <c r="TR17" s="60">
        <f t="shared" si="559"/>
        <v>0</v>
      </c>
      <c r="TS17" s="60">
        <f t="shared" si="559"/>
        <v>0</v>
      </c>
      <c r="TT17" s="60">
        <f t="shared" si="559"/>
        <v>0</v>
      </c>
      <c r="TU17" s="60">
        <f t="shared" si="559"/>
        <v>0</v>
      </c>
      <c r="TV17" s="60">
        <f t="shared" si="559"/>
        <v>0</v>
      </c>
      <c r="TW17" s="60">
        <f t="shared" ref="TW17" si="560">TW14-TW15</f>
        <v>0</v>
      </c>
      <c r="TX17" s="60"/>
      <c r="TY17" s="60" t="s">
        <v>70</v>
      </c>
      <c r="TZ17" s="60"/>
      <c r="UA17" s="60"/>
      <c r="UB17" s="60"/>
      <c r="UC17" s="60"/>
      <c r="UD17" s="60"/>
      <c r="UE17" s="60"/>
      <c r="UF17" s="60"/>
      <c r="UG17" s="60"/>
      <c r="UH17" s="60"/>
      <c r="UI17" s="60"/>
      <c r="UJ17" s="60" t="s">
        <v>70</v>
      </c>
      <c r="UK17" s="60" t="e">
        <f>UK14-UK15-UK16</f>
        <v>#VALUE!</v>
      </c>
      <c r="UL17" s="60" t="e">
        <f t="shared" ref="UL17:UR17" si="561">UL14-UL15-UL16</f>
        <v>#VALUE!</v>
      </c>
      <c r="UM17" s="60" t="e">
        <f t="shared" si="561"/>
        <v>#VALUE!</v>
      </c>
      <c r="UN17" s="60" t="e">
        <f t="shared" si="561"/>
        <v>#VALUE!</v>
      </c>
      <c r="UO17" s="60" t="e">
        <f t="shared" si="561"/>
        <v>#VALUE!</v>
      </c>
      <c r="UP17" s="60" t="e">
        <f t="shared" si="561"/>
        <v>#VALUE!</v>
      </c>
      <c r="UQ17" s="60" t="e">
        <f t="shared" si="561"/>
        <v>#VALUE!</v>
      </c>
      <c r="UR17" s="60" t="e">
        <f t="shared" si="561"/>
        <v>#VALUE!</v>
      </c>
      <c r="US17" s="60" t="e">
        <f t="shared" ref="US17" si="562">US14-US15-US16</f>
        <v>#VALUE!</v>
      </c>
      <c r="UT17" s="60"/>
      <c r="UU17" s="60" t="s">
        <v>70</v>
      </c>
      <c r="UV17" s="60" t="e">
        <f>UV14-UV15-UV16</f>
        <v>#VALUE!</v>
      </c>
      <c r="UW17" s="60" t="e">
        <f t="shared" ref="UW17:VC17" si="563">UW14-UW15-UW16</f>
        <v>#VALUE!</v>
      </c>
      <c r="UX17" s="60" t="e">
        <f t="shared" si="563"/>
        <v>#VALUE!</v>
      </c>
      <c r="UY17" s="60" t="e">
        <f t="shared" si="563"/>
        <v>#VALUE!</v>
      </c>
      <c r="UZ17" s="60" t="e">
        <f t="shared" si="563"/>
        <v>#VALUE!</v>
      </c>
      <c r="VA17" s="60" t="e">
        <f t="shared" si="563"/>
        <v>#VALUE!</v>
      </c>
      <c r="VB17" s="60" t="e">
        <f t="shared" si="563"/>
        <v>#VALUE!</v>
      </c>
      <c r="VC17" s="60" t="e">
        <f t="shared" si="563"/>
        <v>#VALUE!</v>
      </c>
      <c r="VD17" s="60" t="e">
        <f t="shared" ref="VD17" si="564">VD14-VD15-VD16</f>
        <v>#VALUE!</v>
      </c>
      <c r="VE17" s="60"/>
      <c r="VF17" s="60" t="s">
        <v>70</v>
      </c>
      <c r="VT17" s="59">
        <v>0</v>
      </c>
    </row>
    <row r="18" spans="1:596" ht="16.5" thickTop="1" thickBot="1" x14ac:dyDescent="0.3">
      <c r="A18" s="4"/>
      <c r="B18" s="337" t="s">
        <v>552</v>
      </c>
      <c r="C18" s="337"/>
      <c r="D18" s="39">
        <v>0</v>
      </c>
      <c r="E18" s="2"/>
      <c r="F18" s="2"/>
      <c r="G18" s="2"/>
      <c r="H18" s="2"/>
      <c r="I18" s="2"/>
      <c r="J18" s="2"/>
      <c r="K18" s="47" t="s">
        <v>595</v>
      </c>
      <c r="Q18" s="17"/>
      <c r="R18" s="80"/>
      <c r="S18" s="80"/>
      <c r="T18" s="80"/>
      <c r="U18" s="22"/>
      <c r="BJ18" s="60"/>
      <c r="BK18" s="60"/>
      <c r="BL18" s="60"/>
      <c r="BM18" s="60"/>
      <c r="BN18" s="60"/>
      <c r="BO18" s="60"/>
      <c r="BP18" s="60"/>
      <c r="BQ18" s="60"/>
      <c r="BR18" s="60"/>
      <c r="DA18" s="60" t="s">
        <v>44</v>
      </c>
      <c r="KQ18" s="6" t="s">
        <v>282</v>
      </c>
      <c r="KR18" s="115">
        <v>0</v>
      </c>
      <c r="KS18" s="115">
        <v>0</v>
      </c>
      <c r="KT18" s="115">
        <v>0</v>
      </c>
      <c r="KU18" s="115">
        <v>0</v>
      </c>
      <c r="KV18" s="115">
        <v>0</v>
      </c>
      <c r="KW18" s="115">
        <v>0</v>
      </c>
      <c r="KX18" s="115">
        <v>0</v>
      </c>
      <c r="KY18" s="115">
        <v>0</v>
      </c>
      <c r="KZ18" s="115">
        <v>0</v>
      </c>
      <c r="NQ18" s="60" t="str" cm="1">
        <f t="array" ref="NQ18">_xlfn.IFS(
    AND(B1=2022, OR(B2="Single", B2="MFS")),
        _xlfn.IFS(NQ13&lt;=8500, NQ13*0.04,
            NQ13&lt;=11700, (NQ13-8500)*0.045+340,
            NQ13&lt;=13900, (NQ13-11700)*0.0525+484,
            NQ13&lt;=80650, (NQ13-13900)*0.0585+600,
            NQ13&lt;=215400, (NQ13-80650)*0.0625+4504,
            NQ13&lt;=1077550, (NQ13-215400)*0.0685+12926,
            NQ13&lt;=5000000, (NQ13-1077550)*0.0965+71984,
            NQ13&lt;=25000000, (NQ13-5000000)*0.103+450500,
            NQ13&gt;25000000, (NQ13-25000000)*0.109+2479135),
    AND(B1=2022, B2="HOH"),
        _xlfn.IFS(NQ13&lt;=12800, NQ13*0.04,
            NQ13&lt;=17650, (NQ13-12800)*0.045+512,
            NQ13&lt;=20900, (NQ13-17650)*0.0525+730,
            NQ13&lt;=107650, (NQ13-20900)*0.0585+901,
            NQ13&lt;=269300, (NQ13-107650)*0.0625+5976,
            NQ13&lt;=1616450, (NQ13-269300)*0.0685+16079,
            NQ13&lt;=5000000, (NQ13-1616450)*0.0965+108359,
            NQ13&lt;=25000000, (NQ13-5000000)*0.103+434871,
            NQ13&gt;25000000, (NQ13-25000000)*0.109+2494871),
    AND(B1=2022, B2="MFJ"),
        _xlfn.IFS(NQ13&lt;=17150, NQ13*0.04,
            NQ13&lt;=23600, (NQ13-17150)*0.045+686,
            NQ13&lt;=27900, (NQ13-23600)*0.0525+976,
            NQ13&lt;=161550, (NQ13-27900)*0.0585+1202,
            NQ13&lt;=323200, (NQ13-161550)*0.0625+9021,
            NQ13&lt;=2155350, (NQ13-323200)*0.0685+19124,
            NQ13&lt;=5000000, (NQ13-2155350)*0.0965+144626,
            NQ13&lt;=25000000, (NQ13-5000000)*0.103+419135,
            NQ13&gt;25000000, (NQ13-25000000)*0.109+2479135),
    AND(OR(B1=2023, B1=2024), OR(B2="Single", B2="MFS")),
        _xlfn.IFS(NQ13&lt;=8500, NQ13*0.04,
            NQ13&lt;=11700, (NQ13-8500)*0.045+340,
            NQ13&lt;=13900, (NQ13-11700)*0.0525+484,
            NQ13&lt;=80650, (NQ13-13900)*0.055+600,
            NQ13&lt;=215400, (NQ13-80650)*0.06+4271,
            NQ13&lt;=1077550, (NQ13-215400)*0.0685+12356,
            NQ13&lt;=5000000, (NQ13-1077550)*0.0965+71413,
            NQ13&lt;=25000000, (NQ13-5000000)*0.103+449929,
            NQ13&gt;25000000, (NQ13-25000000)*0.109+2509929),
    AND(OR(B1=2023, B1=2024), B2="HOH"),
        _xlfn.IFS(NQ13&lt;=12800, NQ13*0.04,
            NQ13&lt;=17650, (NQ13-12800)*0.045+512,
            NQ13&lt;=20900, (NQ13-17650)*0.0525+730,
            NQ13&lt;=107650, (NQ13-20900)*0.055+901,
            NQ13&lt;=269300, (NQ13-107650)*0.06+5672,
            NQ13&lt;=1616450, (NQ13-269300)*0.0685+15371,
            NQ13&lt;=5000000, (NQ13-1616450)*0.0965+107651,
            NQ13&lt;=25000000, (NQ13-5000000)*0.103+434163,
            NQ13&gt;25000000, (NQ13-25000000)*0.109+2494163),
    AND(OR(B1=2023, B1=2024), B2="MFJ"),
        _xlfn.IFS(NQ13&lt;=17150, NQ13*0.04,
            NQ13&lt;=23600, (NQ13-17150)*0.045+686,
            NQ13&lt;=27900, (NQ13-23600)*0.0525+976,
            NQ13&lt;=161550, (NQ13-27900)*0.055+1202,
            NQ13&lt;=323200, (NQ13-161550)*0.06+8553,
            NQ13&lt;=2155350, (NQ13-323200)*0.0685+18252,
            NQ13&lt;=5000000, (NQ13-2155350)*0.0965+143754,
            NQ13&lt;=25000000, (NQ13-5000000)*0.103+418263,
            NQ13&gt;25000000, (NQ13-25000000)*0.109+2478263),
    TRUE, "Invalid Input"
)</f>
        <v>Invalid Input</v>
      </c>
      <c r="NR18" s="60" t="str" cm="1">
        <f t="array" ref="NR18">_xlfn.IFS(
    AND(C1=2022, OR(C2="Single", C2="MFS")),
        _xlfn.IFS(NR13&lt;=8500, NR13*0.04,
            NR13&lt;=11700, (NR13-8500)*0.045+340,
            NR13&lt;=13900, (NR13-11700)*0.0525+484,
            NR13&lt;=80650, (NR13-13900)*0.0585+600,
            NR13&lt;=215400, (NR13-80650)*0.0625+4504,
            NR13&lt;=1077550, (NR13-215400)*0.0685+12926,
            NR13&lt;=5000000, (NR13-1077550)*0.0965+71984,
            NR13&lt;=25000000, (NR13-5000000)*0.103+450500,
            NR13&gt;25000000, (NR13-25000000)*0.109+2479135),
    AND(C1=2022, C2="HOH"),
        _xlfn.IFS(NR13&lt;=12800, NR13*0.04,
            NR13&lt;=17650, (NR13-12800)*0.045+512,
            NR13&lt;=20900, (NR13-17650)*0.0525+730,
            NR13&lt;=107650, (NR13-20900)*0.0585+901,
            NR13&lt;=269300, (NR13-107650)*0.0625+5976,
            NR13&lt;=1616450, (NR13-269300)*0.0685+16079,
            NR13&lt;=5000000, (NR13-1616450)*0.0965+108359,
            NR13&lt;=25000000, (NR13-5000000)*0.103+434871,
            NR13&gt;25000000, (NR13-25000000)*0.109+2494871),
    AND(C1=2022, C2="MFJ"),
        _xlfn.IFS(NR13&lt;=17150, NR13*0.04,
            NR13&lt;=23600, (NR13-17150)*0.045+686,
            NR13&lt;=27900, (NR13-23600)*0.0525+976,
            NR13&lt;=161550, (NR13-27900)*0.0585+1202,
            NR13&lt;=323200, (NR13-161550)*0.0625+9021,
            NR13&lt;=2155350, (NR13-323200)*0.0685+19124,
            NR13&lt;=5000000, (NR13-2155350)*0.0965+144626,
            NR13&lt;=25000000, (NR13-5000000)*0.103+419135,
            NR13&gt;25000000, (NR13-25000000)*0.109+2479135),
    AND(OR(C1=2023, C1=2024), OR(C2="Single", C2="MFS")),
        _xlfn.IFS(NR13&lt;=8500, NR13*0.04,
            NR13&lt;=11700, (NR13-8500)*0.045+340,
            NR13&lt;=13900, (NR13-11700)*0.0525+484,
            NR13&lt;=80650, (NR13-13900)*0.055+600,
            NR13&lt;=215400, (NR13-80650)*0.06+4271,
            NR13&lt;=1077550, (NR13-215400)*0.0685+12356,
            NR13&lt;=5000000, (NR13-1077550)*0.0965+71413,
            NR13&lt;=25000000, (NR13-5000000)*0.103+449929,
            NR13&gt;25000000, (NR13-25000000)*0.109+2509929),
    AND(OR(C1=2023, C1=2024), C2="HOH"),
        _xlfn.IFS(NR13&lt;=12800, NR13*0.04,
            NR13&lt;=17650, (NR13-12800)*0.045+512,
            NR13&lt;=20900, (NR13-17650)*0.0525+730,
            NR13&lt;=107650, (NR13-20900)*0.055+901,
            NR13&lt;=269300, (NR13-107650)*0.06+5672,
            NR13&lt;=1616450, (NR13-269300)*0.0685+15371,
            NR13&lt;=5000000, (NR13-1616450)*0.0965+107651,
            NR13&lt;=25000000, (NR13-5000000)*0.103+434163,
            NR13&gt;25000000, (NR13-25000000)*0.109+2494163),
    AND(OR(C1=2023, C1=2024), C2="MFJ"),
        _xlfn.IFS(NR13&lt;=17150, NR13*0.04,
            NR13&lt;=23600, (NR13-17150)*0.045+686,
            NR13&lt;=27900, (NR13-23600)*0.0525+976,
            NR13&lt;=161550, (NR13-27900)*0.055+1202,
            NR13&lt;=323200, (NR13-161550)*0.06+8553,
            NR13&lt;=2155350, (NR13-323200)*0.0685+18252,
            NR13&lt;=5000000, (NR13-2155350)*0.0965+143754,
            NR13&lt;=25000000, (NR13-5000000)*0.103+418263,
            NR13&gt;25000000, (NR13-25000000)*0.109+2478263),
    TRUE, "Invalid Input"
)</f>
        <v>Invalid Input</v>
      </c>
      <c r="NS18" s="60" t="str" cm="1">
        <f t="array" ref="NS18">_xlfn.IFS(
    AND(D1=2022, OR(D2="Single", D2="MFS")),
        _xlfn.IFS(NS13&lt;=8500, NS13*0.04,
            NS13&lt;=11700, (NS13-8500)*0.045+340,
            NS13&lt;=13900, (NS13-11700)*0.0525+484,
            NS13&lt;=80650, (NS13-13900)*0.0585+600,
            NS13&lt;=215400, (NS13-80650)*0.0625+4504,
            NS13&lt;=1077550, (NS13-215400)*0.0685+12926,
            NS13&lt;=5000000, (NS13-1077550)*0.0965+71984,
            NS13&lt;=25000000, (NS13-5000000)*0.103+450500,
            NS13&gt;25000000, (NS13-25000000)*0.109+2479135),
    AND(D1=2022, D2="HOH"),
        _xlfn.IFS(NS13&lt;=12800, NS13*0.04,
            NS13&lt;=17650, (NS13-12800)*0.045+512,
            NS13&lt;=20900, (NS13-17650)*0.0525+730,
            NS13&lt;=107650, (NS13-20900)*0.0585+901,
            NS13&lt;=269300, (NS13-107650)*0.0625+5976,
            NS13&lt;=1616450, (NS13-269300)*0.0685+16079,
            NS13&lt;=5000000, (NS13-1616450)*0.0965+108359,
            NS13&lt;=25000000, (NS13-5000000)*0.103+434871,
            NS13&gt;25000000, (NS13-25000000)*0.109+2494871),
    AND(D1=2022, D2="MFJ"),
        _xlfn.IFS(NS13&lt;=17150, NS13*0.04,
            NS13&lt;=23600, (NS13-17150)*0.045+686,
            NS13&lt;=27900, (NS13-23600)*0.0525+976,
            NS13&lt;=161550, (NS13-27900)*0.0585+1202,
            NS13&lt;=323200, (NS13-161550)*0.0625+9021,
            NS13&lt;=2155350, (NS13-323200)*0.0685+19124,
            NS13&lt;=5000000, (NS13-2155350)*0.0965+144626,
            NS13&lt;=25000000, (NS13-5000000)*0.103+419135,
            NS13&gt;25000000, (NS13-25000000)*0.109+2479135),
    AND(OR(D1=2023, D1=2024), OR(D2="Single", D2="MFS")),
        _xlfn.IFS(NS13&lt;=8500, NS13*0.04,
            NS13&lt;=11700, (NS13-8500)*0.045+340,
            NS13&lt;=13900, (NS13-11700)*0.0525+484,
            NS13&lt;=80650, (NS13-13900)*0.055+600,
            NS13&lt;=215400, (NS13-80650)*0.06+4271,
            NS13&lt;=1077550, (NS13-215400)*0.0685+12356,
            NS13&lt;=5000000, (NS13-1077550)*0.0965+71413,
            NS13&lt;=25000000, (NS13-5000000)*0.103+449929,
            NS13&gt;25000000, (NS13-25000000)*0.109+2509929),
    AND(OR(D1=2023, D1=2024), D2="HOH"),
        _xlfn.IFS(NS13&lt;=12800, NS13*0.04,
            NS13&lt;=17650, (NS13-12800)*0.045+512,
            NS13&lt;=20900, (NS13-17650)*0.0525+730,
            NS13&lt;=107650, (NS13-20900)*0.055+901,
            NS13&lt;=269300, (NS13-107650)*0.06+5672,
            NS13&lt;=1616450, (NS13-269300)*0.0685+15371,
            NS13&lt;=5000000, (NS13-1616450)*0.0965+107651,
            NS13&lt;=25000000, (NS13-5000000)*0.103+434163,
            NS13&gt;25000000, (NS13-25000000)*0.109+2494163),
    AND(OR(D1=2023, D1=2024), D2="MFJ"),
        _xlfn.IFS(NS13&lt;=17150, NS13*0.04,
            NS13&lt;=23600, (NS13-17150)*0.045+686,
            NS13&lt;=27900, (NS13-23600)*0.0525+976,
            NS13&lt;=161550, (NS13-27900)*0.055+1202,
            NS13&lt;=323200, (NS13-161550)*0.06+8553,
            NS13&lt;=2155350, (NS13-323200)*0.0685+18252,
            NS13&lt;=5000000, (NS13-2155350)*0.0965+143754,
            NS13&lt;=25000000, (NS13-5000000)*0.103+418263,
            NS13&gt;25000000, (NS13-25000000)*0.109+2478263),
    TRUE, "Invalid Input"
)</f>
        <v>Invalid Input</v>
      </c>
      <c r="NT18" s="60" t="str" cm="1">
        <f t="array" ref="NT18">_xlfn.IFS(
    AND(E1=2022, OR(E2="Single", E2="MFS")),
        _xlfn.IFS(NT13&lt;=8500, NT13*0.04,
            NT13&lt;=11700, (NT13-8500)*0.045+340,
            NT13&lt;=13900, (NT13-11700)*0.0525+484,
            NT13&lt;=80650, (NT13-13900)*0.0585+600,
            NT13&lt;=215400, (NT13-80650)*0.0625+4504,
            NT13&lt;=1077550, (NT13-215400)*0.0685+12926,
            NT13&lt;=5000000, (NT13-1077550)*0.0965+71984,
            NT13&lt;=25000000, (NT13-5000000)*0.103+450500,
            NT13&gt;25000000, (NT13-25000000)*0.109+2479135),
    AND(E1=2022, E2="HOH"),
        _xlfn.IFS(NT13&lt;=12800, NT13*0.04,
            NT13&lt;=17650, (NT13-12800)*0.045+512,
            NT13&lt;=20900, (NT13-17650)*0.0525+730,
            NT13&lt;=107650, (NT13-20900)*0.0585+901,
            NT13&lt;=269300, (NT13-107650)*0.0625+5976,
            NT13&lt;=1616450, (NT13-269300)*0.0685+16079,
            NT13&lt;=5000000, (NT13-1616450)*0.0965+108359,
            NT13&lt;=25000000, (NT13-5000000)*0.103+434871,
            NT13&gt;25000000, (NT13-25000000)*0.109+2494871),
    AND(E1=2022, E2="MFJ"),
        _xlfn.IFS(NT13&lt;=17150, NT13*0.04,
            NT13&lt;=23600, (NT13-17150)*0.045+686,
            NT13&lt;=27900, (NT13-23600)*0.0525+976,
            NT13&lt;=161550, (NT13-27900)*0.0585+1202,
            NT13&lt;=323200, (NT13-161550)*0.0625+9021,
            NT13&lt;=2155350, (NT13-323200)*0.0685+19124,
            NT13&lt;=5000000, (NT13-2155350)*0.0965+144626,
            NT13&lt;=25000000, (NT13-5000000)*0.103+419135,
            NT13&gt;25000000, (NT13-25000000)*0.109+2479135),
    AND(OR(E1=2023, E1=2024), OR(E2="Single", E2="MFS")),
        _xlfn.IFS(NT13&lt;=8500, NT13*0.04,
            NT13&lt;=11700, (NT13-8500)*0.045+340,
            NT13&lt;=13900, (NT13-11700)*0.0525+484,
            NT13&lt;=80650, (NT13-13900)*0.055+600,
            NT13&lt;=215400, (NT13-80650)*0.06+4271,
            NT13&lt;=1077550, (NT13-215400)*0.0685+12356,
            NT13&lt;=5000000, (NT13-1077550)*0.0965+71413,
            NT13&lt;=25000000, (NT13-5000000)*0.103+449929,
            NT13&gt;25000000, (NT13-25000000)*0.109+2509929),
    AND(OR(E1=2023, E1=2024), E2="HOH"),
        _xlfn.IFS(NT13&lt;=12800, NT13*0.04,
            NT13&lt;=17650, (NT13-12800)*0.045+512,
            NT13&lt;=20900, (NT13-17650)*0.0525+730,
            NT13&lt;=107650, (NT13-20900)*0.055+901,
            NT13&lt;=269300, (NT13-107650)*0.06+5672,
            NT13&lt;=1616450, (NT13-269300)*0.0685+15371,
            NT13&lt;=5000000, (NT13-1616450)*0.0965+107651,
            NT13&lt;=25000000, (NT13-5000000)*0.103+434163,
            NT13&gt;25000000, (NT13-25000000)*0.109+2494163),
    AND(OR(E1=2023, E1=2024), E2="MFJ"),
        _xlfn.IFS(NT13&lt;=17150, NT13*0.04,
            NT13&lt;=23600, (NT13-17150)*0.045+686,
            NT13&lt;=27900, (NT13-23600)*0.0525+976,
            NT13&lt;=161550, (NT13-27900)*0.055+1202,
            NT13&lt;=323200, (NT13-161550)*0.06+8553,
            NT13&lt;=2155350, (NT13-323200)*0.0685+18252,
            NT13&lt;=5000000, (NT13-2155350)*0.0965+143754,
            NT13&lt;=25000000, (NT13-5000000)*0.103+418263,
            NT13&gt;25000000, (NT13-25000000)*0.109+2478263),
    TRUE, "Invalid Input"
)</f>
        <v>Invalid Input</v>
      </c>
      <c r="NU18" s="60" t="str" cm="1">
        <f t="array" ref="NU18">_xlfn.IFS(
    AND(F1=2022, OR(F2="Single", F2="MFS")),
        _xlfn.IFS(NU13&lt;=8500, NU13*0.04,
            NU13&lt;=11700, (NU13-8500)*0.045+340,
            NU13&lt;=13900, (NU13-11700)*0.0525+484,
            NU13&lt;=80650, (NU13-13900)*0.0585+600,
            NU13&lt;=215400, (NU13-80650)*0.0625+4504,
            NU13&lt;=1077550, (NU13-215400)*0.0685+12926,
            NU13&lt;=5000000, (NU13-1077550)*0.0965+71984,
            NU13&lt;=25000000, (NU13-5000000)*0.103+450500,
            NU13&gt;25000000, (NU13-25000000)*0.109+2479135),
    AND(F1=2022, F2="HOH"),
        _xlfn.IFS(NU13&lt;=12800, NU13*0.04,
            NU13&lt;=17650, (NU13-12800)*0.045+512,
            NU13&lt;=20900, (NU13-17650)*0.0525+730,
            NU13&lt;=107650, (NU13-20900)*0.0585+901,
            NU13&lt;=269300, (NU13-107650)*0.0625+5976,
            NU13&lt;=1616450, (NU13-269300)*0.0685+16079,
            NU13&lt;=5000000, (NU13-1616450)*0.0965+108359,
            NU13&lt;=25000000, (NU13-5000000)*0.103+434871,
            NU13&gt;25000000, (NU13-25000000)*0.109+2494871),
    AND(F1=2022, F2="MFJ"),
        _xlfn.IFS(NU13&lt;=17150, NU13*0.04,
            NU13&lt;=23600, (NU13-17150)*0.045+686,
            NU13&lt;=27900, (NU13-23600)*0.0525+976,
            NU13&lt;=161550, (NU13-27900)*0.0585+1202,
            NU13&lt;=323200, (NU13-161550)*0.0625+9021,
            NU13&lt;=2155350, (NU13-323200)*0.0685+19124,
            NU13&lt;=5000000, (NU13-2155350)*0.0965+144626,
            NU13&lt;=25000000, (NU13-5000000)*0.103+419135,
            NU13&gt;25000000, (NU13-25000000)*0.109+2479135),
    AND(OR(F1=2023, F1=2024), OR(F2="Single", F2="MFS")),
        _xlfn.IFS(NU13&lt;=8500, NU13*0.04,
            NU13&lt;=11700, (NU13-8500)*0.045+340,
            NU13&lt;=13900, (NU13-11700)*0.0525+484,
            NU13&lt;=80650, (NU13-13900)*0.055+600,
            NU13&lt;=215400, (NU13-80650)*0.06+4271,
            NU13&lt;=1077550, (NU13-215400)*0.0685+12356,
            NU13&lt;=5000000, (NU13-1077550)*0.0965+71413,
            NU13&lt;=25000000, (NU13-5000000)*0.103+449929,
            NU13&gt;25000000, (NU13-25000000)*0.109+2509929),
    AND(OR(F1=2023, F1=2024), F2="HOH"),
        _xlfn.IFS(NU13&lt;=12800, NU13*0.04,
            NU13&lt;=17650, (NU13-12800)*0.045+512,
            NU13&lt;=20900, (NU13-17650)*0.0525+730,
            NU13&lt;=107650, (NU13-20900)*0.055+901,
            NU13&lt;=269300, (NU13-107650)*0.06+5672,
            NU13&lt;=1616450, (NU13-269300)*0.0685+15371,
            NU13&lt;=5000000, (NU13-1616450)*0.0965+107651,
            NU13&lt;=25000000, (NU13-5000000)*0.103+434163,
            NU13&gt;25000000, (NU13-25000000)*0.109+2494163),
    AND(OR(F1=2023, F1=2024), F2="MFJ"),
        _xlfn.IFS(NU13&lt;=17150, NU13*0.04,
            NU13&lt;=23600, (NU13-17150)*0.045+686,
            NU13&lt;=27900, (NU13-23600)*0.0525+976,
            NU13&lt;=161550, (NU13-27900)*0.055+1202,
            NU13&lt;=323200, (NU13-161550)*0.06+8553,
            NU13&lt;=2155350, (NU13-323200)*0.0685+18252,
            NU13&lt;=5000000, (NU13-2155350)*0.0965+143754,
            NU13&lt;=25000000, (NU13-5000000)*0.103+418263,
            NU13&gt;25000000, (NU13-25000000)*0.109+2478263),
    TRUE, "Invalid Input"
)</f>
        <v>Invalid Input</v>
      </c>
      <c r="NV18" s="60" t="str" cm="1">
        <f t="array" ref="NV18">_xlfn.IFS(
    AND(G1=2022, OR(G2="Single", G2="MFS")),
        _xlfn.IFS(NV13&lt;=8500, NV13*0.04,
            NV13&lt;=11700, (NV13-8500)*0.045+340,
            NV13&lt;=13900, (NV13-11700)*0.0525+484,
            NV13&lt;=80650, (NV13-13900)*0.0585+600,
            NV13&lt;=215400, (NV13-80650)*0.0625+4504,
            NV13&lt;=1077550, (NV13-215400)*0.0685+12926,
            NV13&lt;=5000000, (NV13-1077550)*0.0965+71984,
            NV13&lt;=25000000, (NV13-5000000)*0.103+450500,
            NV13&gt;25000000, (NV13-25000000)*0.109+2479135),
    AND(G1=2022, G2="HOH"),
        _xlfn.IFS(NV13&lt;=12800, NV13*0.04,
            NV13&lt;=17650, (NV13-12800)*0.045+512,
            NV13&lt;=20900, (NV13-17650)*0.0525+730,
            NV13&lt;=107650, (NV13-20900)*0.0585+901,
            NV13&lt;=269300, (NV13-107650)*0.0625+5976,
            NV13&lt;=1616450, (NV13-269300)*0.0685+16079,
            NV13&lt;=5000000, (NV13-1616450)*0.0965+108359,
            NV13&lt;=25000000, (NV13-5000000)*0.103+434871,
            NV13&gt;25000000, (NV13-25000000)*0.109+2494871),
    AND(G1=2022, G2="MFJ"),
        _xlfn.IFS(NV13&lt;=17150, NV13*0.04,
            NV13&lt;=23600, (NV13-17150)*0.045+686,
            NV13&lt;=27900, (NV13-23600)*0.0525+976,
            NV13&lt;=161550, (NV13-27900)*0.0585+1202,
            NV13&lt;=323200, (NV13-161550)*0.0625+9021,
            NV13&lt;=2155350, (NV13-323200)*0.0685+19124,
            NV13&lt;=5000000, (NV13-2155350)*0.0965+144626,
            NV13&lt;=25000000, (NV13-5000000)*0.103+419135,
            NV13&gt;25000000, (NV13-25000000)*0.109+2479135),
    AND(OR(G1=2023, G1=2024), OR(G2="Single", G2="MFS")),
        _xlfn.IFS(NV13&lt;=8500, NV13*0.04,
            NV13&lt;=11700, (NV13-8500)*0.045+340,
            NV13&lt;=13900, (NV13-11700)*0.0525+484,
            NV13&lt;=80650, (NV13-13900)*0.055+600,
            NV13&lt;=215400, (NV13-80650)*0.06+4271,
            NV13&lt;=1077550, (NV13-215400)*0.0685+12356,
            NV13&lt;=5000000, (NV13-1077550)*0.0965+71413,
            NV13&lt;=25000000, (NV13-5000000)*0.103+449929,
            NV13&gt;25000000, (NV13-25000000)*0.109+2509929),
    AND(OR(G1=2023, G1=2024), G2="HOH"),
        _xlfn.IFS(NV13&lt;=12800, NV13*0.04,
            NV13&lt;=17650, (NV13-12800)*0.045+512,
            NV13&lt;=20900, (NV13-17650)*0.0525+730,
            NV13&lt;=107650, (NV13-20900)*0.055+901,
            NV13&lt;=269300, (NV13-107650)*0.06+5672,
            NV13&lt;=1616450, (NV13-269300)*0.0685+15371,
            NV13&lt;=5000000, (NV13-1616450)*0.0965+107651,
            NV13&lt;=25000000, (NV13-5000000)*0.103+434163,
            NV13&gt;25000000, (NV13-25000000)*0.109+2494163),
    AND(OR(G1=2023, G1=2024), G2="MFJ"),
        _xlfn.IFS(NV13&lt;=17150, NV13*0.04,
            NV13&lt;=23600, (NV13-17150)*0.045+686,
            NV13&lt;=27900, (NV13-23600)*0.0525+976,
            NV13&lt;=161550, (NV13-27900)*0.055+1202,
            NV13&lt;=323200, (NV13-161550)*0.06+8553,
            NV13&lt;=2155350, (NV13-323200)*0.0685+18252,
            NV13&lt;=5000000, (NV13-2155350)*0.0965+143754,
            NV13&lt;=25000000, (NV13-5000000)*0.103+418263,
            NV13&gt;25000000, (NV13-25000000)*0.109+2478263),
    TRUE, "Invalid Input"
)</f>
        <v>Invalid Input</v>
      </c>
      <c r="NW18" s="60" t="str" cm="1">
        <f t="array" ref="NW18">_xlfn.IFS(
    AND(H1=2022, OR(H2="Single", H2="MFS")),
        _xlfn.IFS(NW13&lt;=8500, NW13*0.04,
            NW13&lt;=11700, (NW13-8500)*0.045+340,
            NW13&lt;=13900, (NW13-11700)*0.0525+484,
            NW13&lt;=80650, (NW13-13900)*0.0585+600,
            NW13&lt;=215400, (NW13-80650)*0.0625+4504,
            NW13&lt;=1077550, (NW13-215400)*0.0685+12926,
            NW13&lt;=5000000, (NW13-1077550)*0.0965+71984,
            NW13&lt;=25000000, (NW13-5000000)*0.103+450500,
            NW13&gt;25000000, (NW13-25000000)*0.109+2479135),
    AND(H1=2022, H2="HOH"),
        _xlfn.IFS(NW13&lt;=12800, NW13*0.04,
            NW13&lt;=17650, (NW13-12800)*0.045+512,
            NW13&lt;=20900, (NW13-17650)*0.0525+730,
            NW13&lt;=107650, (NW13-20900)*0.0585+901,
            NW13&lt;=269300, (NW13-107650)*0.0625+5976,
            NW13&lt;=1616450, (NW13-269300)*0.0685+16079,
            NW13&lt;=5000000, (NW13-1616450)*0.0965+108359,
            NW13&lt;=25000000, (NW13-5000000)*0.103+434871,
            NW13&gt;25000000, (NW13-25000000)*0.109+2494871),
    AND(H1=2022, H2="MFJ"),
        _xlfn.IFS(NW13&lt;=17150, NW13*0.04,
            NW13&lt;=23600, (NW13-17150)*0.045+686,
            NW13&lt;=27900, (NW13-23600)*0.0525+976,
            NW13&lt;=161550, (NW13-27900)*0.0585+1202,
            NW13&lt;=323200, (NW13-161550)*0.0625+9021,
            NW13&lt;=2155350, (NW13-323200)*0.0685+19124,
            NW13&lt;=5000000, (NW13-2155350)*0.0965+144626,
            NW13&lt;=25000000, (NW13-5000000)*0.103+419135,
            NW13&gt;25000000, (NW13-25000000)*0.109+2479135),
    AND(OR(H1=2023, H1=2024), OR(H2="Single", H2="MFS")),
        _xlfn.IFS(NW13&lt;=8500, NW13*0.04,
            NW13&lt;=11700, (NW13-8500)*0.045+340,
            NW13&lt;=13900, (NW13-11700)*0.0525+484,
            NW13&lt;=80650, (NW13-13900)*0.055+600,
            NW13&lt;=215400, (NW13-80650)*0.06+4271,
            NW13&lt;=1077550, (NW13-215400)*0.0685+12356,
            NW13&lt;=5000000, (NW13-1077550)*0.0965+71413,
            NW13&lt;=25000000, (NW13-5000000)*0.103+449929,
            NW13&gt;25000000, (NW13-25000000)*0.109+2509929),
    AND(OR(H1=2023, H1=2024), H2="HOH"),
        _xlfn.IFS(NW13&lt;=12800, NW13*0.04,
            NW13&lt;=17650, (NW13-12800)*0.045+512,
            NW13&lt;=20900, (NW13-17650)*0.0525+730,
            NW13&lt;=107650, (NW13-20900)*0.055+901,
            NW13&lt;=269300, (NW13-107650)*0.06+5672,
            NW13&lt;=1616450, (NW13-269300)*0.0685+15371,
            NW13&lt;=5000000, (NW13-1616450)*0.0965+107651,
            NW13&lt;=25000000, (NW13-5000000)*0.103+434163,
            NW13&gt;25000000, (NW13-25000000)*0.109+2494163),
    AND(OR(H1=2023, H1=2024), H2="MFJ"),
        _xlfn.IFS(NW13&lt;=17150, NW13*0.04,
            NW13&lt;=23600, (NW13-17150)*0.045+686,
            NW13&lt;=27900, (NW13-23600)*0.0525+976,
            NW13&lt;=161550, (NW13-27900)*0.055+1202,
            NW13&lt;=323200, (NW13-161550)*0.06+8553,
            NW13&lt;=2155350, (NW13-323200)*0.0685+18252,
            NW13&lt;=5000000, (NW13-2155350)*0.0965+143754,
            NW13&lt;=25000000, (NW13-5000000)*0.103+418263,
            NW13&gt;25000000, (NW13-25000000)*0.109+2478263),
    TRUE, "Invalid Input"
)</f>
        <v>Invalid Input</v>
      </c>
      <c r="NX18" s="60" t="str" cm="1">
        <f t="array" ref="NX18">_xlfn.IFS(
    AND(I1=2022, OR(I2="Single", I2="MFS")),
        _xlfn.IFS(NX13&lt;=8500, NX13*0.04,
            NX13&lt;=11700, (NX13-8500)*0.045+340,
            NX13&lt;=13900, (NX13-11700)*0.0525+484,
            NX13&lt;=80650, (NX13-13900)*0.0585+600,
            NX13&lt;=215400, (NX13-80650)*0.0625+4504,
            NX13&lt;=1077550, (NX13-215400)*0.0685+12926,
            NX13&lt;=5000000, (NX13-1077550)*0.0965+71984,
            NX13&lt;=25000000, (NX13-5000000)*0.103+450500,
            NX13&gt;25000000, (NX13-25000000)*0.109+2479135),
    AND(I1=2022, I2="HOH"),
        _xlfn.IFS(NX13&lt;=12800, NX13*0.04,
            NX13&lt;=17650, (NX13-12800)*0.045+512,
            NX13&lt;=20900, (NX13-17650)*0.0525+730,
            NX13&lt;=107650, (NX13-20900)*0.0585+901,
            NX13&lt;=269300, (NX13-107650)*0.0625+5976,
            NX13&lt;=1616450, (NX13-269300)*0.0685+16079,
            NX13&lt;=5000000, (NX13-1616450)*0.0965+108359,
            NX13&lt;=25000000, (NX13-5000000)*0.103+434871,
            NX13&gt;25000000, (NX13-25000000)*0.109+2494871),
    AND(I1=2022, I2="MFJ"),
        _xlfn.IFS(NX13&lt;=17150, NX13*0.04,
            NX13&lt;=23600, (NX13-17150)*0.045+686,
            NX13&lt;=27900, (NX13-23600)*0.0525+976,
            NX13&lt;=161550, (NX13-27900)*0.0585+1202,
            NX13&lt;=323200, (NX13-161550)*0.0625+9021,
            NX13&lt;=2155350, (NX13-323200)*0.0685+19124,
            NX13&lt;=5000000, (NX13-2155350)*0.0965+144626,
            NX13&lt;=25000000, (NX13-5000000)*0.103+419135,
            NX13&gt;25000000, (NX13-25000000)*0.109+2479135),
    AND(OR(I1=2023, I1=2024), OR(I2="Single", I2="MFS")),
        _xlfn.IFS(NX13&lt;=8500, NX13*0.04,
            NX13&lt;=11700, (NX13-8500)*0.045+340,
            NX13&lt;=13900, (NX13-11700)*0.0525+484,
            NX13&lt;=80650, (NX13-13900)*0.055+600,
            NX13&lt;=215400, (NX13-80650)*0.06+4271,
            NX13&lt;=1077550, (NX13-215400)*0.0685+12356,
            NX13&lt;=5000000, (NX13-1077550)*0.0965+71413,
            NX13&lt;=25000000, (NX13-5000000)*0.103+449929,
            NX13&gt;25000000, (NX13-25000000)*0.109+2509929),
    AND(OR(I1=2023, I1=2024), I2="HOH"),
        _xlfn.IFS(NX13&lt;=12800, NX13*0.04,
            NX13&lt;=17650, (NX13-12800)*0.045+512,
            NX13&lt;=20900, (NX13-17650)*0.0525+730,
            NX13&lt;=107650, (NX13-20900)*0.055+901,
            NX13&lt;=269300, (NX13-107650)*0.06+5672,
            NX13&lt;=1616450, (NX13-269300)*0.0685+15371,
            NX13&lt;=5000000, (NX13-1616450)*0.0965+107651,
            NX13&lt;=25000000, (NX13-5000000)*0.103+434163,
            NX13&gt;25000000, (NX13-25000000)*0.109+2494163),
    AND(OR(I1=2023, I1=2024), I2="MFJ"),
        _xlfn.IFS(NX13&lt;=17150, NX13*0.04,
            NX13&lt;=23600, (NX13-17150)*0.045+686,
            NX13&lt;=27900, (NX13-23600)*0.0525+976,
            NX13&lt;=161550, (NX13-27900)*0.055+1202,
            NX13&lt;=323200, (NX13-161550)*0.06+8553,
            NX13&lt;=2155350, (NX13-323200)*0.0685+18252,
            NX13&lt;=5000000, (NX13-2155350)*0.0965+143754,
            NX13&lt;=25000000, (NX13-5000000)*0.103+418263,
            NX13&gt;25000000, (NX13-25000000)*0.109+2478263),
    TRUE, "Invalid Input"
)</f>
        <v>Invalid Input</v>
      </c>
      <c r="NY18" s="60" t="str" cm="1">
        <f t="array" ref="NY18">_xlfn.IFS(
    AND(J1=2022, OR(J2="Single", J2="MFS")),
        _xlfn.IFS(NY13&lt;=8500, NY13*0.04,
            NY13&lt;=11700, (NY13-8500)*0.045+340,
            NY13&lt;=13900, (NY13-11700)*0.0525+484,
            NY13&lt;=80650, (NY13-13900)*0.0585+600,
            NY13&lt;=215400, (NY13-80650)*0.0625+4504,
            NY13&lt;=1077550, (NY13-215400)*0.0685+12926,
            NY13&lt;=5000000, (NY13-1077550)*0.0965+71984,
            NY13&lt;=25000000, (NY13-5000000)*0.103+450500,
            NY13&gt;25000000, (NY13-25000000)*0.109+2479135),
    AND(J1=2022, J2="HOH"),
        _xlfn.IFS(NY13&lt;=12800, NY13*0.04,
            NY13&lt;=17650, (NY13-12800)*0.045+512,
            NY13&lt;=20900, (NY13-17650)*0.0525+730,
            NY13&lt;=107650, (NY13-20900)*0.0585+901,
            NY13&lt;=269300, (NY13-107650)*0.0625+5976,
            NY13&lt;=1616450, (NY13-269300)*0.0685+16079,
            NY13&lt;=5000000, (NY13-1616450)*0.0965+108359,
            NY13&lt;=25000000, (NY13-5000000)*0.103+434871,
            NY13&gt;25000000, (NY13-25000000)*0.109+2494871),
    AND(J1=2022, J2="MFJ"),
        _xlfn.IFS(NY13&lt;=17150, NY13*0.04,
            NY13&lt;=23600, (NY13-17150)*0.045+686,
            NY13&lt;=27900, (NY13-23600)*0.0525+976,
            NY13&lt;=161550, (NY13-27900)*0.0585+1202,
            NY13&lt;=323200, (NY13-161550)*0.0625+9021,
            NY13&lt;=2155350, (NY13-323200)*0.0685+19124,
            NY13&lt;=5000000, (NY13-2155350)*0.0965+144626,
            NY13&lt;=25000000, (NY13-5000000)*0.103+419135,
            NY13&gt;25000000, (NY13-25000000)*0.109+2479135),
    AND(OR(J1=2023, J1=2024), OR(J2="Single", J2="MFS")),
        _xlfn.IFS(NY13&lt;=8500, NY13*0.04,
            NY13&lt;=11700, (NY13-8500)*0.045+340,
            NY13&lt;=13900, (NY13-11700)*0.0525+484,
            NY13&lt;=80650, (NY13-13900)*0.055+600,
            NY13&lt;=215400, (NY13-80650)*0.06+4271,
            NY13&lt;=1077550, (NY13-215400)*0.0685+12356,
            NY13&lt;=5000000, (NY13-1077550)*0.0965+71413,
            NY13&lt;=25000000, (NY13-5000000)*0.103+449929,
            NY13&gt;25000000, (NY13-25000000)*0.109+2509929),
    AND(OR(J1=2023, J1=2024), J2="HOH"),
        _xlfn.IFS(NY13&lt;=12800, NY13*0.04,
            NY13&lt;=17650, (NY13-12800)*0.045+512,
            NY13&lt;=20900, (NY13-17650)*0.0525+730,
            NY13&lt;=107650, (NY13-20900)*0.055+901,
            NY13&lt;=269300, (NY13-107650)*0.06+5672,
            NY13&lt;=1616450, (NY13-269300)*0.0685+15371,
            NY13&lt;=5000000, (NY13-1616450)*0.0965+107651,
            NY13&lt;=25000000, (NY13-5000000)*0.103+434163,
            NY13&gt;25000000, (NY13-25000000)*0.109+2494163),
    AND(OR(J1=2023, J1=2024), J2="MFJ"),
        _xlfn.IFS(NY13&lt;=17150, NY13*0.04,
            NY13&lt;=23600, (NY13-17150)*0.045+686,
            NY13&lt;=27900, (NY13-23600)*0.0525+976,
            NY13&lt;=161550, (NY13-27900)*0.055+1202,
            NY13&lt;=323200, (NY13-161550)*0.06+8553,
            NY13&lt;=2155350, (NY13-323200)*0.0685+18252,
            NY13&lt;=5000000, (NY13-2155350)*0.0965+143754,
            NY13&lt;=25000000, (NY13-5000000)*0.103+418263,
            NY13&gt;25000000, (NY13-25000000)*0.109+2478263),
    TRUE, "Invalid Input"
)</f>
        <v>Invalid Input</v>
      </c>
      <c r="NZ18" s="60"/>
      <c r="VT18" s="59">
        <v>0</v>
      </c>
    </row>
    <row r="19" spans="1:596" x14ac:dyDescent="0.25">
      <c r="A19" s="51" t="s">
        <v>98</v>
      </c>
      <c r="DA19" s="60" t="s">
        <v>70</v>
      </c>
      <c r="DB19" s="6">
        <f>DB17-DB18</f>
        <v>0</v>
      </c>
      <c r="DC19" s="6">
        <f t="shared" ref="DC19:DI19" si="565">DC17-DC18</f>
        <v>0</v>
      </c>
      <c r="DD19" s="6">
        <f t="shared" si="565"/>
        <v>0</v>
      </c>
      <c r="DE19" s="6">
        <f t="shared" si="565"/>
        <v>0</v>
      </c>
      <c r="DF19" s="6">
        <f t="shared" si="565"/>
        <v>0</v>
      </c>
      <c r="DG19" s="6">
        <f t="shared" si="565"/>
        <v>0</v>
      </c>
      <c r="DH19" s="6">
        <f t="shared" si="565"/>
        <v>0</v>
      </c>
      <c r="DI19" s="6">
        <f t="shared" si="565"/>
        <v>0</v>
      </c>
      <c r="DJ19" s="6">
        <f t="shared" ref="DJ19" si="566">DJ17-DJ18</f>
        <v>0</v>
      </c>
      <c r="KQ19" s="6" t="s">
        <v>283</v>
      </c>
      <c r="KR19" s="117">
        <f>KR16+KR17-KR18</f>
        <v>0</v>
      </c>
      <c r="KS19" s="117">
        <f t="shared" ref="KS19:KY19" si="567">KS16+KS17-KS18</f>
        <v>0</v>
      </c>
      <c r="KT19" s="117">
        <f t="shared" si="567"/>
        <v>0</v>
      </c>
      <c r="KU19" s="117">
        <f t="shared" si="567"/>
        <v>0</v>
      </c>
      <c r="KV19" s="117">
        <f t="shared" si="567"/>
        <v>0</v>
      </c>
      <c r="KW19" s="117">
        <f t="shared" si="567"/>
        <v>0</v>
      </c>
      <c r="KX19" s="117">
        <f t="shared" si="567"/>
        <v>0</v>
      </c>
      <c r="KY19" s="117">
        <f t="shared" si="567"/>
        <v>0</v>
      </c>
      <c r="KZ19" s="117">
        <f t="shared" ref="KZ19" si="568">KZ16+KZ17-KZ18</f>
        <v>0</v>
      </c>
      <c r="NQ19" s="60" cm="1">
        <f t="array" ref="NQ19">_xlfn.IFS(
    NQ9&lt;107650, 0,
    AND(B1=2022, OR(B2="MFJ", B2="QW"), NQ9&gt;=5000000), 63365,
    AND(B1=2022, OR(B2="MFJ", B2="QW"), NQ9&gt;=2155350), 3016,
    AND(B1=2022, OR(B2="MFJ", B2="QW"), NQ9&gt;=323200), 1076,
    AND(B1=2022, OR(B2="MFJ", B2="QW"), NQ9&gt;=161550), 430,
    AND(B1=2022, OR(B2="Single", B2="MFS"), NQ9&gt;=5000000), 320000,
    AND(B1=2022, OR(B2="Single", B2="MFS"), NQ9&gt;=1077550), 1829,
    AND(B1=2022, OR(B2="Single", B2="MFS"), NQ9&gt;=215400), 536,
    AND(B1=2022, B2="HOH", NQ9&gt;=5000000), 47629,
    AND(B1=2022, B2="HOH", NQ9&gt;=1616450), 2368,
    AND(B1=2022, B2="HOH", NQ9&gt;=269300), 752,
    AND(OR(B1=2023, B1=2024), OR(B2="MFJ", B2="QW"), NQ9&gt;=5000000), 64237,
    AND(OR(B1=2023, B1=2024), OR(B2="MFJ", B2="QW"), NQ9&gt;=2155350), 3887,
    AND(OR(B1=2023, B1=2024), OR(B2="MFJ", B2="QW"), NQ9&gt;=323200), 1140,
    AND(OR(B1=2023, B1=2024), OR(B2="MFJ", B2="QW"), NQ9&gt;=161550), 333,
    AND(OR(B1=2023, B1=2024), OR(B2="Single", B2="MFS"), NQ9&gt;=5000000), 32571,
    AND(OR(B1=2023, B1=2024), OR(B2="Single", B2="MFS"), NQ9&gt;=1077550), 2399,
    AND(OR(B1=2023, B1=2024), OR(B2="Single", B2="MFS"), NQ9&gt;=215400), 568,
    AND(OR(B1=2023, B1=2024), B2="HOH", NQ9&gt;=5000000), 48337,
    AND(OR(B1=2023, B1=2024), B2="HOH", NQ9&gt;=1616450), 3076,
    AND(OR(B1=2023, B1=2024), B2="HOH", NQ9&gt;=269300), 787,
    TRUE, 0
)</f>
        <v>0</v>
      </c>
      <c r="NR19" s="60" cm="1">
        <f t="array" ref="NR19">_xlfn.IFS(
    NR9&lt;107650, 0,
    AND(C1=2022, OR(C2="MFJ", C2="QW"), NR9&gt;=5000000), 63365,
    AND(C1=2022, OR(C2="MFJ", C2="QW"), NR9&gt;=2155350), 3016,
    AND(C1=2022, OR(C2="MFJ", C2="QW"), NR9&gt;=323200), 1076,
    AND(C1=2022, OR(C2="MFJ", C2="QW"), NR9&gt;=161550), 430,
    AND(C1=2022, OR(C2="Single", C2="MFS"), NR9&gt;=5000000), 320000,
    AND(C1=2022, OR(C2="Single", C2="MFS"), NR9&gt;=1077550), 1829,
    AND(C1=2022, OR(C2="Single", C2="MFS"), NR9&gt;=215400), 536,
    AND(C1=2022, C2="HOH", NR9&gt;=5000000), 47629,
    AND(C1=2022, C2="HOH", NR9&gt;=1616450), 2368,
    AND(C1=2022, C2="HOH", NR9&gt;=269300), 752,
    AND(OR(C1=2023, C1=2024), OR(C2="MFJ", C2="QW"), NR9&gt;=5000000), 64237,
    AND(OR(C1=2023, C1=2024), OR(C2="MFJ", C2="QW"), NR9&gt;=2155350), 3887,
    AND(OR(C1=2023, C1=2024), OR(C2="MFJ", C2="QW"), NR9&gt;=323200), 1140,
    AND(OR(C1=2023, C1=2024), OR(C2="MFJ", C2="QW"), NR9&gt;=161550), 333,
    AND(OR(C1=2023, C1=2024), OR(C2="Single", C2="MFS"), NR9&gt;=5000000), 32571,
    AND(OR(C1=2023, C1=2024), OR(C2="Single", C2="MFS"), NR9&gt;=1077550), 2399,
    AND(OR(C1=2023, C1=2024), OR(C2="Single", C2="MFS"), NR9&gt;=215400), 568,
    AND(OR(C1=2023, C1=2024), C2="HOH", NR9&gt;=5000000), 48337,
    AND(OR(C1=2023, C1=2024), C2="HOH", NR9&gt;=1616450), 3076,
    AND(OR(C1=2023, C1=2024), C2="HOH", NR9&gt;=269300), 787,
    TRUE, 0
)</f>
        <v>0</v>
      </c>
      <c r="NS19" s="60" cm="1">
        <f t="array" ref="NS19">_xlfn.IFS(
    NS9&lt;107650, 0,
    AND(D1=2022, OR(D2="MFJ", D2="QW"), NS9&gt;=5000000), 63365,
    AND(D1=2022, OR(D2="MFJ", D2="QW"), NS9&gt;=2155350), 3016,
    AND(D1=2022, OR(D2="MFJ", D2="QW"), NS9&gt;=323200), 1076,
    AND(D1=2022, OR(D2="MFJ", D2="QW"), NS9&gt;=161550), 430,
    AND(D1=2022, OR(D2="Single", D2="MFS"), NS9&gt;=5000000), 320000,
    AND(D1=2022, OR(D2="Single", D2="MFS"), NS9&gt;=1077550), 1829,
    AND(D1=2022, OR(D2="Single", D2="MFS"), NS9&gt;=215400), 536,
    AND(D1=2022, D2="HOH", NS9&gt;=5000000), 47629,
    AND(D1=2022, D2="HOH", NS9&gt;=1616450), 2368,
    AND(D1=2022, D2="HOH", NS9&gt;=269300), 752,
    AND(OR(D1=2023, D1=2024), OR(D2="MFJ", D2="QW"), NS9&gt;=5000000), 64237,
    AND(OR(D1=2023, D1=2024), OR(D2="MFJ", D2="QW"), NS9&gt;=2155350), 3887,
    AND(OR(D1=2023, D1=2024), OR(D2="MFJ", D2="QW"), NS9&gt;=323200), 1140,
    AND(OR(D1=2023, D1=2024), OR(D2="MFJ", D2="QW"), NS9&gt;=161550), 333,
    AND(OR(D1=2023, D1=2024), OR(D2="Single", D2="MFS"), NS9&gt;=5000000), 32571,
    AND(OR(D1=2023, D1=2024), OR(D2="Single", D2="MFS"), NS9&gt;=1077550), 2399,
    AND(OR(D1=2023, D1=2024), OR(D2="Single", D2="MFS"), NS9&gt;=215400), 568,
    AND(OR(D1=2023, D1=2024), D2="HOH", NS9&gt;=5000000), 48337,
    AND(OR(D1=2023, D1=2024), D2="HOH", NS9&gt;=1616450), 3076,
    AND(OR(D1=2023, D1=2024), D2="HOH", NS9&gt;=269300), 787,
    TRUE, 0
)</f>
        <v>0</v>
      </c>
      <c r="NT19" s="60" cm="1">
        <f t="array" ref="NT19">_xlfn.IFS(
    NT9&lt;107650, 0,
    AND(E1=2022, OR(E2="MFJ", E2="QW"), NT9&gt;=5000000), 63365,
    AND(E1=2022, OR(E2="MFJ", E2="QW"), NT9&gt;=2155350), 3016,
    AND(E1=2022, OR(E2="MFJ", E2="QW"), NT9&gt;=323200), 1076,
    AND(E1=2022, OR(E2="MFJ", E2="QW"), NT9&gt;=161550), 430,
    AND(E1=2022, OR(E2="Single", E2="MFS"), NT9&gt;=5000000), 320000,
    AND(E1=2022, OR(E2="Single", E2="MFS"), NT9&gt;=1077550), 1829,
    AND(E1=2022, OR(E2="Single", E2="MFS"), NT9&gt;=215400), 536,
    AND(E1=2022, E2="HOH", NT9&gt;=5000000), 47629,
    AND(E1=2022, E2="HOH", NT9&gt;=1616450), 2368,
    AND(E1=2022, E2="HOH", NT9&gt;=269300), 752,
    AND(OR(E1=2023, E1=2024), OR(E2="MFJ", E2="QW"), NT9&gt;=5000000), 64237,
    AND(OR(E1=2023, E1=2024), OR(E2="MFJ", E2="QW"), NT9&gt;=2155350), 3887,
    AND(OR(E1=2023, E1=2024), OR(E2="MFJ", E2="QW"), NT9&gt;=323200), 1140,
    AND(OR(E1=2023, E1=2024), OR(E2="MFJ", E2="QW"), NT9&gt;=161550), 333,
    AND(OR(E1=2023, E1=2024), OR(E2="Single", E2="MFS"), NT9&gt;=5000000), 32571,
    AND(OR(E1=2023, E1=2024), OR(E2="Single", E2="MFS"), NT9&gt;=1077550), 2399,
    AND(OR(E1=2023, E1=2024), OR(E2="Single", E2="MFS"), NT9&gt;=215400), 568,
    AND(OR(E1=2023, E1=2024), E2="HOH", NT9&gt;=5000000), 48337,
    AND(OR(E1=2023, E1=2024), E2="HOH", NT9&gt;=1616450), 3076,
    AND(OR(E1=2023, E1=2024), E2="HOH", NT9&gt;=269300), 787,
    TRUE, 0
)</f>
        <v>0</v>
      </c>
      <c r="NU19" s="60" cm="1">
        <f t="array" ref="NU19">_xlfn.IFS(
    NU9&lt;107650, 0,
    AND(F1=2022, OR(F2="MFJ", F2="QW"), NU9&gt;=5000000), 63365,
    AND(F1=2022, OR(F2="MFJ", F2="QW"), NU9&gt;=2155350), 3016,
    AND(F1=2022, OR(F2="MFJ", F2="QW"), NU9&gt;=323200), 1076,
    AND(F1=2022, OR(F2="MFJ", F2="QW"), NU9&gt;=161550), 430,
    AND(F1=2022, OR(F2="Single", F2="MFS"), NU9&gt;=5000000), 320000,
    AND(F1=2022, OR(F2="Single", F2="MFS"), NU9&gt;=1077550), 1829,
    AND(F1=2022, OR(F2="Single", F2="MFS"), NU9&gt;=215400), 536,
    AND(F1=2022, F2="HOH", NU9&gt;=5000000), 47629,
    AND(F1=2022, F2="HOH", NU9&gt;=1616450), 2368,
    AND(F1=2022, F2="HOH", NU9&gt;=269300), 752,
    AND(OR(F1=2023, F1=2024), OR(F2="MFJ", F2="QW"), NU9&gt;=5000000), 64237,
    AND(OR(F1=2023, F1=2024), OR(F2="MFJ", F2="QW"), NU9&gt;=2155350), 3887,
    AND(OR(F1=2023, F1=2024), OR(F2="MFJ", F2="QW"), NU9&gt;=323200), 1140,
    AND(OR(F1=2023, F1=2024), OR(F2="MFJ", F2="QW"), NU9&gt;=161550), 333,
    AND(OR(F1=2023, F1=2024), OR(F2="Single", F2="MFS"), NU9&gt;=5000000), 32571,
    AND(OR(F1=2023, F1=2024), OR(F2="Single", F2="MFS"), NU9&gt;=1077550), 2399,
    AND(OR(F1=2023, F1=2024), OR(F2="Single", F2="MFS"), NU9&gt;=215400), 568,
    AND(OR(F1=2023, F1=2024), F2="HOH", NU9&gt;=5000000), 48337,
    AND(OR(F1=2023, F1=2024), F2="HOH", NU9&gt;=1616450), 3076,
    AND(OR(F1=2023, F1=2024), F2="HOH", NU9&gt;=269300), 787,
    TRUE, 0
)</f>
        <v>0</v>
      </c>
      <c r="NV19" s="60" cm="1">
        <f t="array" ref="NV19">_xlfn.IFS(
    NV9&lt;107650, 0,
    AND(G1=2022, OR(G2="MFJ", G2="QW"), NV9&gt;=5000000), 63365,
    AND(G1=2022, OR(G2="MFJ", G2="QW"), NV9&gt;=2155350), 3016,
    AND(G1=2022, OR(G2="MFJ", G2="QW"), NV9&gt;=323200), 1076,
    AND(G1=2022, OR(G2="MFJ", G2="QW"), NV9&gt;=161550), 430,
    AND(G1=2022, OR(G2="Single", G2="MFS"), NV9&gt;=5000000), 320000,
    AND(G1=2022, OR(G2="Single", G2="MFS"), NV9&gt;=1077550), 1829,
    AND(G1=2022, OR(G2="Single", G2="MFS"), NV9&gt;=215400), 536,
    AND(G1=2022, G2="HOH", NV9&gt;=5000000), 47629,
    AND(G1=2022, G2="HOH", NV9&gt;=1616450), 2368,
    AND(G1=2022, G2="HOH", NV9&gt;=269300), 752,
    AND(OR(G1=2023, G1=2024), OR(G2="MFJ", G2="QW"), NV9&gt;=5000000), 64237,
    AND(OR(G1=2023, G1=2024), OR(G2="MFJ", G2="QW"), NV9&gt;=2155350), 3887,
    AND(OR(G1=2023, G1=2024), OR(G2="MFJ", G2="QW"), NV9&gt;=323200), 1140,
    AND(OR(G1=2023, G1=2024), OR(G2="MFJ", G2="QW"), NV9&gt;=161550), 333,
    AND(OR(G1=2023, G1=2024), OR(G2="Single", G2="MFS"), NV9&gt;=5000000), 32571,
    AND(OR(G1=2023, G1=2024), OR(G2="Single", G2="MFS"), NV9&gt;=1077550), 2399,
    AND(OR(G1=2023, G1=2024), OR(G2="Single", G2="MFS"), NV9&gt;=215400), 568,
    AND(OR(G1=2023, G1=2024), G2="HOH", NV9&gt;=5000000), 48337,
    AND(OR(G1=2023, G1=2024), G2="HOH", NV9&gt;=1616450), 3076,
    AND(OR(G1=2023, G1=2024), G2="HOH", NV9&gt;=269300), 787,
    TRUE, 0
)</f>
        <v>0</v>
      </c>
      <c r="NW19" s="60" cm="1">
        <f t="array" ref="NW19">_xlfn.IFS(
    NW9&lt;107650, 0,
    AND(H1=2022, OR(H2="MFJ", H2="QW"), NW9&gt;=5000000), 63365,
    AND(H1=2022, OR(H2="MFJ", H2="QW"), NW9&gt;=2155350), 3016,
    AND(H1=2022, OR(H2="MFJ", H2="QW"), NW9&gt;=323200), 1076,
    AND(H1=2022, OR(H2="MFJ", H2="QW"), NW9&gt;=161550), 430,
    AND(H1=2022, OR(H2="Single", H2="MFS"), NW9&gt;=5000000), 320000,
    AND(H1=2022, OR(H2="Single", H2="MFS"), NW9&gt;=1077550), 1829,
    AND(H1=2022, OR(H2="Single", H2="MFS"), NW9&gt;=215400), 536,
    AND(H1=2022, H2="HOH", NW9&gt;=5000000), 47629,
    AND(H1=2022, H2="HOH", NW9&gt;=1616450), 2368,
    AND(H1=2022, H2="HOH", NW9&gt;=269300), 752,
    AND(OR(H1=2023, H1=2024), OR(H2="MFJ", H2="QW"), NW9&gt;=5000000), 64237,
    AND(OR(H1=2023, H1=2024), OR(H2="MFJ", H2="QW"), NW9&gt;=2155350), 3887,
    AND(OR(H1=2023, H1=2024), OR(H2="MFJ", H2="QW"), NW9&gt;=323200), 1140,
    AND(OR(H1=2023, H1=2024), OR(H2="MFJ", H2="QW"), NW9&gt;=161550), 333,
    AND(OR(H1=2023, H1=2024), OR(H2="Single", H2="MFS"), NW9&gt;=5000000), 32571,
    AND(OR(H1=2023, H1=2024), OR(H2="Single", H2="MFS"), NW9&gt;=1077550), 2399,
    AND(OR(H1=2023, H1=2024), OR(H2="Single", H2="MFS"), NW9&gt;=215400), 568,
    AND(OR(H1=2023, H1=2024), H2="HOH", NW9&gt;=5000000), 48337,
    AND(OR(H1=2023, H1=2024), H2="HOH", NW9&gt;=1616450), 3076,
    AND(OR(H1=2023, H1=2024), H2="HOH", NW9&gt;=269300), 787,
    TRUE, 0
)</f>
        <v>0</v>
      </c>
      <c r="NX19" s="60" cm="1">
        <f t="array" ref="NX19">_xlfn.IFS(
    NX9&lt;107650, 0,
    AND(I1=2022, OR(I2="MFJ", I2="QW"), NX9&gt;=5000000), 63365,
    AND(I1=2022, OR(I2="MFJ", I2="QW"), NX9&gt;=2155350), 3016,
    AND(I1=2022, OR(I2="MFJ", I2="QW"), NX9&gt;=323200), 1076,
    AND(I1=2022, OR(I2="MFJ", I2="QW"), NX9&gt;=161550), 430,
    AND(I1=2022, OR(I2="Single", I2="MFS"), NX9&gt;=5000000), 320000,
    AND(I1=2022, OR(I2="Single", I2="MFS"), NX9&gt;=1077550), 1829,
    AND(I1=2022, OR(I2="Single", I2="MFS"), NX9&gt;=215400), 536,
    AND(I1=2022, I2="HOH", NX9&gt;=5000000), 47629,
    AND(I1=2022, I2="HOH", NX9&gt;=1616450), 2368,
    AND(I1=2022, I2="HOH", NX9&gt;=269300), 752,
    AND(OR(I1=2023, I1=2024), OR(I2="MFJ", I2="QW"), NX9&gt;=5000000), 64237,
    AND(OR(I1=2023, I1=2024), OR(I2="MFJ", I2="QW"), NX9&gt;=2155350), 3887,
    AND(OR(I1=2023, I1=2024), OR(I2="MFJ", I2="QW"), NX9&gt;=323200), 1140,
    AND(OR(I1=2023, I1=2024), OR(I2="MFJ", I2="QW"), NX9&gt;=161550), 333,
    AND(OR(I1=2023, I1=2024), OR(I2="Single", I2="MFS"), NX9&gt;=5000000), 32571,
    AND(OR(I1=2023, I1=2024), OR(I2="Single", I2="MFS"), NX9&gt;=1077550), 2399,
    AND(OR(I1=2023, I1=2024), OR(I2="Single", I2="MFS"), NX9&gt;=215400), 568,
    AND(OR(I1=2023, I1=2024), I2="HOH", NX9&gt;=5000000), 48337,
    AND(OR(I1=2023, I1=2024), I2="HOH", NX9&gt;=1616450), 3076,
    AND(OR(I1=2023, I1=2024), I2="HOH", NX9&gt;=269300), 787,
    TRUE, 0
)</f>
        <v>0</v>
      </c>
      <c r="NY19" s="60" cm="1">
        <f t="array" ref="NY19">_xlfn.IFS(
    NY9&lt;107650, 0,
    AND(J1=2022, OR(J2="MFJ", J2="QW"), NY9&gt;=5000000), 63365,
    AND(J1=2022, OR(J2="MFJ", J2="QW"), NY9&gt;=2155350), 3016,
    AND(J1=2022, OR(J2="MFJ", J2="QW"), NY9&gt;=323200), 1076,
    AND(J1=2022, OR(J2="MFJ", J2="QW"), NY9&gt;=161550), 430,
    AND(J1=2022, OR(J2="Single", J2="MFS"), NY9&gt;=5000000), 320000,
    AND(J1=2022, OR(J2="Single", J2="MFS"), NY9&gt;=1077550), 1829,
    AND(J1=2022, OR(J2="Single", J2="MFS"), NY9&gt;=215400), 536,
    AND(J1=2022, J2="HOH", NY9&gt;=5000000), 47629,
    AND(J1=2022, J2="HOH", NY9&gt;=1616450), 2368,
    AND(J1=2022, J2="HOH", NY9&gt;=269300), 752,
    AND(OR(J1=2023, J1=2024), OR(J2="MFJ", J2="QW"), NY9&gt;=5000000), 64237,
    AND(OR(J1=2023, J1=2024), OR(J2="MFJ", J2="QW"), NY9&gt;=2155350), 3887,
    AND(OR(J1=2023, J1=2024), OR(J2="MFJ", J2="QW"), NY9&gt;=323200), 1140,
    AND(OR(J1=2023, J1=2024), OR(J2="MFJ", J2="QW"), NY9&gt;=161550), 333,
    AND(OR(J1=2023, J1=2024), OR(J2="Single", J2="MFS"), NY9&gt;=5000000), 32571,
    AND(OR(J1=2023, J1=2024), OR(J2="Single", J2="MFS"), NY9&gt;=1077550), 2399,
    AND(OR(J1=2023, J1=2024), OR(J2="Single", J2="MFS"), NY9&gt;=215400), 568,
    AND(OR(J1=2023, J1=2024), J2="HOH", NY9&gt;=5000000), 48337,
    AND(OR(J1=2023, J1=2024), J2="HOH", NY9&gt;=1616450), 3076,
    AND(OR(J1=2023, J1=2024), J2="HOH", NY9&gt;=269300), 787,
    TRUE, 0
)</f>
        <v>0</v>
      </c>
      <c r="NZ19" s="60"/>
      <c r="VT19" s="59">
        <v>0</v>
      </c>
    </row>
    <row r="20" spans="1:596" ht="16.5" x14ac:dyDescent="0.25">
      <c r="A20" s="52"/>
      <c r="AM20" s="288" t="s">
        <v>508</v>
      </c>
      <c r="AN20" s="288" t="s">
        <v>509</v>
      </c>
      <c r="AO20" s="288" t="s">
        <v>510</v>
      </c>
      <c r="AP20" s="288" t="s">
        <v>511</v>
      </c>
      <c r="AQ20" s="288" t="s">
        <v>512</v>
      </c>
      <c r="AR20" s="288" t="s">
        <v>513</v>
      </c>
      <c r="AS20" s="288" t="s">
        <v>514</v>
      </c>
      <c r="AT20" s="288" t="s">
        <v>515</v>
      </c>
      <c r="AU20" s="288" t="s">
        <v>516</v>
      </c>
      <c r="AV20" s="288" t="s">
        <v>517</v>
      </c>
      <c r="AX20" s="288" t="s">
        <v>508</v>
      </c>
      <c r="AY20" s="288" t="s">
        <v>509</v>
      </c>
      <c r="AZ20" s="288" t="s">
        <v>510</v>
      </c>
      <c r="BA20" s="288" t="s">
        <v>511</v>
      </c>
      <c r="BB20" s="288" t="s">
        <v>512</v>
      </c>
      <c r="BC20" s="288" t="s">
        <v>513</v>
      </c>
      <c r="BD20" s="288" t="s">
        <v>514</v>
      </c>
      <c r="BE20" s="288" t="s">
        <v>515</v>
      </c>
      <c r="BF20" s="288" t="s">
        <v>516</v>
      </c>
      <c r="BG20" s="288" t="s">
        <v>517</v>
      </c>
      <c r="BI20" s="288" t="s">
        <v>508</v>
      </c>
      <c r="BJ20" s="288" t="s">
        <v>509</v>
      </c>
      <c r="BK20" s="288" t="s">
        <v>510</v>
      </c>
      <c r="BL20" s="288" t="s">
        <v>511</v>
      </c>
      <c r="BM20" s="288" t="s">
        <v>512</v>
      </c>
      <c r="BN20" s="288" t="s">
        <v>513</v>
      </c>
      <c r="BO20" s="288" t="s">
        <v>514</v>
      </c>
      <c r="BP20" s="288" t="s">
        <v>515</v>
      </c>
      <c r="BQ20" s="288" t="s">
        <v>516</v>
      </c>
      <c r="BR20" s="288" t="s">
        <v>517</v>
      </c>
      <c r="BT20" s="288" t="s">
        <v>508</v>
      </c>
      <c r="BU20" s="288" t="s">
        <v>509</v>
      </c>
      <c r="BV20" s="288" t="s">
        <v>510</v>
      </c>
      <c r="BW20" s="288" t="s">
        <v>511</v>
      </c>
      <c r="BX20" s="288" t="s">
        <v>512</v>
      </c>
      <c r="BY20" s="288" t="s">
        <v>513</v>
      </c>
      <c r="BZ20" s="288" t="s">
        <v>514</v>
      </c>
      <c r="CA20" s="288" t="s">
        <v>515</v>
      </c>
      <c r="CB20" s="288" t="s">
        <v>516</v>
      </c>
      <c r="CC20" s="288" t="s">
        <v>517</v>
      </c>
      <c r="CE20" t="s">
        <v>498</v>
      </c>
      <c r="CF20" t="b">
        <f t="shared" ref="CF20:CN20" si="569">IF(OR(B$1=2023,B$1=2024),
IF(OR(B$2="Single",B$2="MFS"),
IF(CF13&lt;10412,CF13*0.01,
IF(CF13&lt;24684,(CF13-10412)*0.02+104.12,
IF(CF13&lt;38959,(CF13-24684)*0.04+389.56,
IF(CF13&lt;54081,(CF13-38959)*0.06+960.56,
IF(CF13&lt;68350,(CF13-54081)*0.08+1867.88,
IF(CF13&lt;349137,(CF13-68350)*0.093+3009.4,
IF(CF13&lt;418961,(CF13-349137)*0.103+29122.59,
IF(CF13&lt;698271,(CF13-418961)*0.113+36314.46,
(CF13-698271)*0.123+67876.49)))))))),
IF(OR(B$2="MFJ",B$2="QW"),
IF(CF13&lt;20824,CF13*0.01,
IF(CF13&lt;49368,(CF13-20824)*0.02+208.24,
IF(CF13&lt;77918,(CF13-49368)*0.04+779.12,
IF(CF13&lt;108162,(CF13-77918)*0.06+1921.12,
IF(CF13&lt;136700,(CF13-108162)*0.08+3735.76,
IF(CF13&lt;698274,(CF13-136700)*0.093+6018.8,
IF(CF13&lt;837922,(CF13-698274)*0.103+58245.18,
IF(CF13&lt;1396542,(CF13-837922)*0.113+72628.92,
(CF13-1396542)*0.123+135752.98)))))))),
IF(B$2="HOH",
IF(CF13&lt;20839,CF13*0.01,
IF(CF13&lt;49371,(CF13-20839)*0.02+208.39,
IF(CF13&lt;63644,(CF13-49371)*0.04+779.03,
IF(CF13&lt;78765,(CF13-63644)*0.06+1349.95,
IF(CF13&lt;93037,(CF13-78765)*0.08+2257.21,
IF(CF13&lt;474824,(CF13-93037)*0.093+3398.97,
IF(CF13&lt;569790,(CF13-474824)*0.103+38905.16,
IF(CF13&lt;949649,(CF13-569790)*0.113+48686.66,
(CF13-949649)*0.123+91610.73)))))))))
)))</f>
        <v>0</v>
      </c>
      <c r="CG20" t="b">
        <f t="shared" si="569"/>
        <v>0</v>
      </c>
      <c r="CH20" t="b">
        <f t="shared" si="569"/>
        <v>0</v>
      </c>
      <c r="CI20" t="b">
        <f t="shared" si="569"/>
        <v>0</v>
      </c>
      <c r="CJ20" t="b">
        <f t="shared" si="569"/>
        <v>0</v>
      </c>
      <c r="CK20" t="b">
        <f t="shared" si="569"/>
        <v>0</v>
      </c>
      <c r="CL20" t="b">
        <f t="shared" si="569"/>
        <v>0</v>
      </c>
      <c r="CM20" t="b">
        <f t="shared" si="569"/>
        <v>0</v>
      </c>
      <c r="CN20" t="b">
        <f t="shared" si="569"/>
        <v>0</v>
      </c>
      <c r="DA20" s="60" t="s">
        <v>380</v>
      </c>
      <c r="DB20" s="6">
        <f t="shared" ref="DB20" si="570">IF(DB13&lt;=15000,ROUNDUP(DB17*0.75,0),
IF(DB13&lt;=18300,ROUNDUP(DB17*0.7,0),
IF(DB13&lt;=19300,ROUNDUP(DB17*0.65,0),
IF(DB13&lt;=20300,ROUNDUP(DB17*0.6,0),
IF(DB13&lt;=20800,ROUNDUP(DB17*0.55,0),
IF(DB13&lt;=21300,ROUNDUP(DB17*0.5,0),
IF(DB13&lt;=21800,ROUNDUP(DB17*0.45,0),
IF(DB13&lt;=22300,ROUNDUP(DB17*0.4,0),
IF(DB13&lt;=25500,ROUNDUP(DB17*0.35,0),
IF(DB13&lt;=26000,ROUNDUP(DB17*0.25,0),
IF(DB13&lt;=26500,ROUNDUP(DB17*0.2,0),
IF(DB13&lt;=31300,ROUNDUP(DB17*0.15,0),
IF(DB13&lt;=31800,ROUNDUP(DB17*0.14,0),
IF(DB13&lt;=32300,ROUNDUP(DB17*0.13,0),
IF(DB13&lt;=32800,ROUNDUP(DB17*0.12,0),
IF(DB13&lt;=33300,ROUNDUP(DB17*0.11,0),
IF(DB13&lt;=60000,ROUNDUP(DB17*0.1,0),
IF(DB13&lt;=60500,ROUNDUP(DB17*0.09,0),
IF(DB13&lt;=61000,ROUNDUP(DB17*0.08,0),
IF(DB13&lt;=61500,ROUNDUP(DB17*0.07,0),
IF(DB13&lt;=62000,ROUNDUP(DB17*0.06,0),
IF(DB13&lt;=62500,ROUNDUP(DB17*0.05,0),
IF(DB13&lt;=63000,ROUNDUP(DB17*0.04,0),
IF(DB13&lt;=63500,ROUNDUP(DB17*0.03,0),
IF(DB13&lt;=64000,ROUNDUP(DB17*0.02,0),
IF(DB13&lt;=64500,ROUNDUP(DB17*0.01,0),
ROUNDUP(DB17*0,0)))))))))))))))))))))))))))</f>
        <v>0</v>
      </c>
      <c r="DC20" s="6">
        <f t="shared" ref="DC20:DI20" si="571">IF(DC13&lt;=15000,ROUNDUP(DC17*0.75,0),
IF(DC13&lt;=18300,ROUNDUP(DC17*0.7,0),
IF(DC13&lt;=19300,ROUNDUP(DC17*0.65,0),
IF(DC13&lt;=20300,ROUNDUP(DC17*0.6,0),
IF(DC13&lt;=20800,ROUNDUP(DC17*0.55,0),
IF(DC13&lt;=21300,ROUNDUP(DC17*0.5,0),
IF(DC13&lt;=21800,ROUNDUP(DC17*0.45,0),
IF(DC13&lt;=22300,ROUNDUP(DC17*0.4,0),
IF(DC13&lt;=25500,ROUNDUP(DC17*0.35,0),
IF(DC13&lt;=26000,ROUNDUP(DC17*0.25,0),
IF(DC13&lt;=26500,ROUNDUP(DC17*0.2,0),
IF(DC13&lt;=31300,ROUNDUP(DC17*0.15,0),
IF(DC13&lt;=31800,ROUNDUP(DC17*0.14,0),
IF(DC13&lt;=32300,ROUNDUP(DC17*0.13,0),
IF(DC13&lt;=32800,ROUNDUP(DC17*0.12,0),
IF(DC13&lt;=33300,ROUNDUP(DC17*0.11,0),
IF(DC13&lt;=60000,ROUNDUP(DC17*0.1,0),
IF(DC13&lt;=60500,ROUNDUP(DC17*0.09,0),
IF(DC13&lt;=61000,ROUNDUP(DC17*0.08,0),
IF(DC13&lt;=61500,ROUNDUP(DC17*0.07,0),
IF(DC13&lt;=62000,ROUNDUP(DC17*0.06,0),
IF(DC13&lt;=62500,ROUNDUP(DC17*0.05,0),
IF(DC13&lt;=63000,ROUNDUP(DC17*0.04,0),
IF(DC13&lt;=63500,ROUNDUP(DC17*0.03,0),
IF(DC13&lt;=64000,ROUNDUP(DC17*0.02,0),
IF(DC13&lt;=64500,ROUNDUP(DC17*0.01,0),
ROUNDUP(DC17*0,0)))))))))))))))))))))))))))</f>
        <v>0</v>
      </c>
      <c r="DD20" s="6">
        <f t="shared" si="571"/>
        <v>0</v>
      </c>
      <c r="DE20" s="6">
        <f t="shared" si="571"/>
        <v>0</v>
      </c>
      <c r="DF20" s="6">
        <f t="shared" si="571"/>
        <v>0</v>
      </c>
      <c r="DG20" s="6">
        <f t="shared" si="571"/>
        <v>0</v>
      </c>
      <c r="DH20" s="6">
        <f t="shared" si="571"/>
        <v>0</v>
      </c>
      <c r="DI20" s="6">
        <f t="shared" si="571"/>
        <v>0</v>
      </c>
      <c r="DJ20" s="6">
        <f t="shared" ref="DJ20" si="572">IF(DJ13&lt;=15000,ROUNDUP(DJ17*0.75,0),
IF(DJ13&lt;=18300,ROUNDUP(DJ17*0.7,0),
IF(DJ13&lt;=19300,ROUNDUP(DJ17*0.65,0),
IF(DJ13&lt;=20300,ROUNDUP(DJ17*0.6,0),
IF(DJ13&lt;=20800,ROUNDUP(DJ17*0.55,0),
IF(DJ13&lt;=21300,ROUNDUP(DJ17*0.5,0),
IF(DJ13&lt;=21800,ROUNDUP(DJ17*0.45,0),
IF(DJ13&lt;=22300,ROUNDUP(DJ17*0.4,0),
IF(DJ13&lt;=25500,ROUNDUP(DJ17*0.35,0),
IF(DJ13&lt;=26000,ROUNDUP(DJ17*0.25,0),
IF(DJ13&lt;=26500,ROUNDUP(DJ17*0.2,0),
IF(DJ13&lt;=31300,ROUNDUP(DJ17*0.15,0),
IF(DJ13&lt;=31800,ROUNDUP(DJ17*0.14,0),
IF(DJ13&lt;=32300,ROUNDUP(DJ17*0.13,0),
IF(DJ13&lt;=32800,ROUNDUP(DJ17*0.12,0),
IF(DJ13&lt;=33300,ROUNDUP(DJ17*0.11,0),
IF(DJ13&lt;=60000,ROUNDUP(DJ17*0.1,0),
IF(DJ13&lt;=60500,ROUNDUP(DJ17*0.09,0),
IF(DJ13&lt;=61000,ROUNDUP(DJ17*0.08,0),
IF(DJ13&lt;=61500,ROUNDUP(DJ17*0.07,0),
IF(DJ13&lt;=62000,ROUNDUP(DJ17*0.06,0),
IF(DJ13&lt;=62500,ROUNDUP(DJ17*0.05,0),
IF(DJ13&lt;=63000,ROUNDUP(DJ17*0.04,0),
IF(DJ13&lt;=63500,ROUNDUP(DJ17*0.03,0),
IF(DJ13&lt;=64000,ROUNDUP(DJ17*0.02,0),
IF(DJ13&lt;=64500,ROUNDUP(DJ17*0.01,0),
ROUNDUP(DJ17*0,0)))))))))))))))))))))))))))</f>
        <v>0</v>
      </c>
      <c r="JK20" s="6"/>
      <c r="JL20" s="6"/>
      <c r="JM20" s="6"/>
      <c r="JN20" s="6"/>
      <c r="JO20" s="6"/>
      <c r="JP20" s="6"/>
      <c r="JQ20" s="6"/>
      <c r="JR20" s="6"/>
      <c r="JS20" s="6"/>
      <c r="KQ20" s="6" t="s">
        <v>284</v>
      </c>
      <c r="KR20" s="118">
        <v>0</v>
      </c>
      <c r="KS20" s="118">
        <v>0</v>
      </c>
      <c r="KT20" s="118">
        <v>0</v>
      </c>
      <c r="KU20" s="118">
        <v>0</v>
      </c>
      <c r="KV20" s="118">
        <v>0</v>
      </c>
      <c r="KW20" s="118">
        <v>0</v>
      </c>
      <c r="KX20" s="118">
        <v>0</v>
      </c>
      <c r="KY20" s="118">
        <v>0</v>
      </c>
      <c r="KZ20" s="118">
        <v>0</v>
      </c>
      <c r="LB20" s="288" t="s">
        <v>508</v>
      </c>
      <c r="LC20" s="288" t="s">
        <v>509</v>
      </c>
      <c r="LD20" s="288" t="s">
        <v>510</v>
      </c>
      <c r="LE20" s="288" t="s">
        <v>511</v>
      </c>
      <c r="LF20" s="288" t="s">
        <v>512</v>
      </c>
      <c r="LG20" s="288" t="s">
        <v>513</v>
      </c>
      <c r="LH20" s="288" t="s">
        <v>514</v>
      </c>
      <c r="LI20" s="288" t="s">
        <v>515</v>
      </c>
      <c r="LJ20" s="288" t="s">
        <v>516</v>
      </c>
      <c r="LK20" s="288" t="s">
        <v>517</v>
      </c>
      <c r="LM20" s="288" t="s">
        <v>508</v>
      </c>
      <c r="LN20" s="288" t="s">
        <v>509</v>
      </c>
      <c r="LO20" s="288" t="s">
        <v>510</v>
      </c>
      <c r="LP20" s="288" t="s">
        <v>511</v>
      </c>
      <c r="LQ20" s="288" t="s">
        <v>512</v>
      </c>
      <c r="LR20" s="288" t="s">
        <v>513</v>
      </c>
      <c r="LS20" s="288" t="s">
        <v>514</v>
      </c>
      <c r="LT20" s="288" t="s">
        <v>515</v>
      </c>
      <c r="LU20" s="288" t="s">
        <v>516</v>
      </c>
      <c r="LV20" s="288" t="s">
        <v>517</v>
      </c>
      <c r="LX20" s="288" t="s">
        <v>508</v>
      </c>
      <c r="LY20" s="288" t="s">
        <v>509</v>
      </c>
      <c r="LZ20" s="288" t="s">
        <v>510</v>
      </c>
      <c r="MA20" s="288" t="s">
        <v>511</v>
      </c>
      <c r="MB20" s="288" t="s">
        <v>512</v>
      </c>
      <c r="MC20" s="288" t="s">
        <v>513</v>
      </c>
      <c r="MD20" s="288" t="s">
        <v>514</v>
      </c>
      <c r="ME20" s="288" t="s">
        <v>515</v>
      </c>
      <c r="MF20" s="288" t="s">
        <v>516</v>
      </c>
      <c r="MG20" s="288" t="s">
        <v>517</v>
      </c>
      <c r="MI20" s="288" t="s">
        <v>508</v>
      </c>
      <c r="MJ20" s="288" t="s">
        <v>509</v>
      </c>
      <c r="MK20" s="288" t="s">
        <v>510</v>
      </c>
      <c r="ML20" s="288" t="s">
        <v>511</v>
      </c>
      <c r="MM20" s="288" t="s">
        <v>512</v>
      </c>
      <c r="MN20" s="288" t="s">
        <v>513</v>
      </c>
      <c r="MO20" s="288" t="s">
        <v>514</v>
      </c>
      <c r="MP20" s="288" t="s">
        <v>515</v>
      </c>
      <c r="MQ20" s="288" t="s">
        <v>516</v>
      </c>
      <c r="MR20" s="288" t="s">
        <v>517</v>
      </c>
      <c r="MT20" s="288" t="s">
        <v>508</v>
      </c>
      <c r="MU20" s="288" t="s">
        <v>509</v>
      </c>
      <c r="MV20" s="288" t="s">
        <v>510</v>
      </c>
      <c r="MW20" s="288" t="s">
        <v>511</v>
      </c>
      <c r="MX20" s="288" t="s">
        <v>512</v>
      </c>
      <c r="MY20" s="288" t="s">
        <v>513</v>
      </c>
      <c r="MZ20" s="288" t="s">
        <v>514</v>
      </c>
      <c r="NA20" s="288" t="s">
        <v>515</v>
      </c>
      <c r="NB20" s="288" t="s">
        <v>516</v>
      </c>
      <c r="NC20" s="288" t="s">
        <v>517</v>
      </c>
      <c r="NE20" s="288" t="s">
        <v>508</v>
      </c>
      <c r="NF20" s="288" t="s">
        <v>509</v>
      </c>
      <c r="NG20" s="288" t="s">
        <v>510</v>
      </c>
      <c r="NH20" s="288" t="s">
        <v>511</v>
      </c>
      <c r="NI20" s="288" t="s">
        <v>512</v>
      </c>
      <c r="NJ20" s="288" t="s">
        <v>513</v>
      </c>
      <c r="NK20" s="288" t="s">
        <v>514</v>
      </c>
      <c r="NL20" s="288" t="s">
        <v>515</v>
      </c>
      <c r="NM20" s="288" t="s">
        <v>516</v>
      </c>
      <c r="NN20" s="288" t="s">
        <v>517</v>
      </c>
      <c r="NQ20" s="60" cm="1">
        <f t="array" ref="NQ20">_xlfn.IFS(
    NQ9&lt;107650, 0,
    AND(B1=2022, OR(B2="MFJ", B2="QW"), NQ9&gt;=5000000), 32500,
    AND(B1=2022, OR(B2="MFJ", B2="QW"), NQ9&gt;=2155350), 60349,
    AND(B1=2022, OR(B2="MFJ", B2="QW"), NQ9&gt;=323200), 1940,
    AND(B1=2022, OR(B2="MFJ", B2="QW"), NQ9&gt;=161550), 646,
    AND(B1=2022, OR(B2="Single", B2="MFS"), NQ9&gt;=5000000), 32500,
    AND(B1=2022, OR(B2="Single", B2="MFS"), NQ9&gt;=1077550), 30171,
    AND(B1=2022, OR(B2="Single", B2="MFS"), NQ9&gt;=215400), 1293,
    AND(B1=2022, B2="HOH", NQ9&gt;=5000000), 32500,
    AND(B1=2022, B2="HOH", NQ9&gt;=1616450), 45261,
    AND(B1=2022, B2="HOH", NQ9&gt;=269300), 1616,
    AND(OR(B1=2023, B1=2024), OR(B2="MFJ", B2="QW"), NQ9&gt;=5000000), 32500,
    AND(OR(B1=2023, B1=2024), OR(B2="MFJ", B2="QW"), NQ9&gt;=2155350), 60350,
    AND(OR(B1=2023, B1=2024), OR(B2="MFJ", B2="QW"), NQ9&gt;=323200), 2747,
    AND(OR(B1=2023, B1=2024), OR(B2="MFJ", B2="QW"), NQ9&gt;=161550), 807,
    AND(OR(B1=2023, B1=2024), OR(B2="Single", B2="MFS"), NQ9&gt;=5000000), 32500,
    AND(OR(B1=2023, B1=2024), OR(B2="Single", B2="MFS"), NQ9&gt;=1077550), 30172,
    AND(OR(B1=2023, B1=2024), OR(B2="Single", B2="MFS"), NQ9&gt;=215400), 1831,
    AND(OR(B1=2023, B1=2024), B2="HOH", NQ9&gt;=5000000), 32500,
    AND(OR(B1=2023, B1=2024), B2="HOH", NQ9&gt;=1616450), 45261,
    AND(OR(B1=2023, B1=2024), B2="HOH", NQ9&gt;=269300), 2289,
    TRUE, 0
)</f>
        <v>0</v>
      </c>
      <c r="NR20" s="60" cm="1">
        <f t="array" ref="NR20">_xlfn.IFS(
    NR9&lt;107650, 0,
    AND(C1=2022, OR(C2="MFJ", C2="QW"), NR9&gt;=5000000), 32500,
    AND(C1=2022, OR(C2="MFJ", C2="QW"), NR9&gt;=2155350), 60349,
    AND(C1=2022, OR(C2="MFJ", C2="QW"), NR9&gt;=323200), 1940,
    AND(C1=2022, OR(C2="MFJ", C2="QW"), NR9&gt;=161550), 646,
    AND(C1=2022, OR(C2="Single", C2="MFS"), NR9&gt;=5000000), 32500,
    AND(C1=2022, OR(C2="Single", C2="MFS"), NR9&gt;=1077550), 30171,
    AND(C1=2022, OR(C2="Single", C2="MFS"), NR9&gt;=215400), 1293,
    AND(C1=2022, C2="HOH", NR9&gt;=5000000), 32500,
    AND(C1=2022, C2="HOH", NR9&gt;=1616450), 45261,
    AND(C1=2022, C2="HOH", NR9&gt;=269300), 1616,
    AND(OR(C1=2023, C1=2024), OR(C2="MFJ", C2="QW"), NR9&gt;=5000000), 32500,
    AND(OR(C1=2023, C1=2024), OR(C2="MFJ", C2="QW"), NR9&gt;=2155350), 60350,
    AND(OR(C1=2023, C1=2024), OR(C2="MFJ", C2="QW"), NR9&gt;=323200), 2747,
    AND(OR(C1=2023, C1=2024), OR(C2="MFJ", C2="QW"), NR9&gt;=161550), 807,
    AND(OR(C1=2023, C1=2024), OR(C2="Single", C2="MFS"), NR9&gt;=5000000), 32500,
    AND(OR(C1=2023, C1=2024), OR(C2="Single", C2="MFS"), NR9&gt;=1077550), 30172,
    AND(OR(C1=2023, C1=2024), OR(C2="Single", C2="MFS"), NR9&gt;=215400), 1831,
    AND(OR(C1=2023, C1=2024), C2="HOH", NR9&gt;=5000000), 32500,
    AND(OR(C1=2023, C1=2024), C2="HOH", NR9&gt;=1616450), 45261,
    AND(OR(C1=2023, C1=2024), C2="HOH", NR9&gt;=269300), 2289,
    TRUE, 0
)</f>
        <v>0</v>
      </c>
      <c r="NS20" s="60" cm="1">
        <f t="array" ref="NS20">_xlfn.IFS(
    NS9&lt;107650, 0,
    AND(D1=2022, OR(D2="MFJ", D2="QW"), NS9&gt;=5000000), 32500,
    AND(D1=2022, OR(D2="MFJ", D2="QW"), NS9&gt;=2155350), 60349,
    AND(D1=2022, OR(D2="MFJ", D2="QW"), NS9&gt;=323200), 1940,
    AND(D1=2022, OR(D2="MFJ", D2="QW"), NS9&gt;=161550), 646,
    AND(D1=2022, OR(D2="Single", D2="MFS"), NS9&gt;=5000000), 32500,
    AND(D1=2022, OR(D2="Single", D2="MFS"), NS9&gt;=1077550), 30171,
    AND(D1=2022, OR(D2="Single", D2="MFS"), NS9&gt;=215400), 1293,
    AND(D1=2022, D2="HOH", NS9&gt;=5000000), 32500,
    AND(D1=2022, D2="HOH", NS9&gt;=1616450), 45261,
    AND(D1=2022, D2="HOH", NS9&gt;=269300), 1616,
    AND(OR(D1=2023, D1=2024), OR(D2="MFJ", D2="QW"), NS9&gt;=5000000), 32500,
    AND(OR(D1=2023, D1=2024), OR(D2="MFJ", D2="QW"), NS9&gt;=2155350), 60350,
    AND(OR(D1=2023, D1=2024), OR(D2="MFJ", D2="QW"), NS9&gt;=323200), 2747,
    AND(OR(D1=2023, D1=2024), OR(D2="MFJ", D2="QW"), NS9&gt;=161550), 807,
    AND(OR(D1=2023, D1=2024), OR(D2="Single", D2="MFS"), NS9&gt;=5000000), 32500,
    AND(OR(D1=2023, D1=2024), OR(D2="Single", D2="MFS"), NS9&gt;=1077550), 30172,
    AND(OR(D1=2023, D1=2024), OR(D2="Single", D2="MFS"), NS9&gt;=215400), 1831,
    AND(OR(D1=2023, D1=2024), D2="HOH", NS9&gt;=5000000), 32500,
    AND(OR(D1=2023, D1=2024), D2="HOH", NS9&gt;=1616450), 45261,
    AND(OR(D1=2023, D1=2024), D2="HOH", NS9&gt;=269300), 2289,
    TRUE, 0
)</f>
        <v>0</v>
      </c>
      <c r="NT20" s="60" cm="1">
        <f t="array" ref="NT20">_xlfn.IFS(
    NT9&lt;107650, 0,
    AND(E1=2022, OR(E2="MFJ", E2="QW"), NT9&gt;=5000000), 32500,
    AND(E1=2022, OR(E2="MFJ", E2="QW"), NT9&gt;=2155350), 60349,
    AND(E1=2022, OR(E2="MFJ", E2="QW"), NT9&gt;=323200), 1940,
    AND(E1=2022, OR(E2="MFJ", E2="QW"), NT9&gt;=161550), 646,
    AND(E1=2022, OR(E2="Single", E2="MFS"), NT9&gt;=5000000), 32500,
    AND(E1=2022, OR(E2="Single", E2="MFS"), NT9&gt;=1077550), 30171,
    AND(E1=2022, OR(E2="Single", E2="MFS"), NT9&gt;=215400), 1293,
    AND(E1=2022, E2="HOH", NT9&gt;=5000000), 32500,
    AND(E1=2022, E2="HOH", NT9&gt;=1616450), 45261,
    AND(E1=2022, E2="HOH", NT9&gt;=269300), 1616,
    AND(OR(E1=2023, E1=2024), OR(E2="MFJ", E2="QW"), NT9&gt;=5000000), 32500,
    AND(OR(E1=2023, E1=2024), OR(E2="MFJ", E2="QW"), NT9&gt;=2155350), 60350,
    AND(OR(E1=2023, E1=2024), OR(E2="MFJ", E2="QW"), NT9&gt;=323200), 2747,
    AND(OR(E1=2023, E1=2024), OR(E2="MFJ", E2="QW"), NT9&gt;=161550), 807,
    AND(OR(E1=2023, E1=2024), OR(E2="Single", E2="MFS"), NT9&gt;=5000000), 32500,
    AND(OR(E1=2023, E1=2024), OR(E2="Single", E2="MFS"), NT9&gt;=1077550), 30172,
    AND(OR(E1=2023, E1=2024), OR(E2="Single", E2="MFS"), NT9&gt;=215400), 1831,
    AND(OR(E1=2023, E1=2024), E2="HOH", NT9&gt;=5000000), 32500,
    AND(OR(E1=2023, E1=2024), E2="HOH", NT9&gt;=1616450), 45261,
    AND(OR(E1=2023, E1=2024), E2="HOH", NT9&gt;=269300), 2289,
    TRUE, 0
)</f>
        <v>0</v>
      </c>
      <c r="NU20" s="60" cm="1">
        <f t="array" ref="NU20">_xlfn.IFS(
    NU9&lt;107650, 0,
    AND(F1=2022, OR(F2="MFJ", F2="QW"), NU9&gt;=5000000), 32500,
    AND(F1=2022, OR(F2="MFJ", F2="QW"), NU9&gt;=2155350), 60349,
    AND(F1=2022, OR(F2="MFJ", F2="QW"), NU9&gt;=323200), 1940,
    AND(F1=2022, OR(F2="MFJ", F2="QW"), NU9&gt;=161550), 646,
    AND(F1=2022, OR(F2="Single", F2="MFS"), NU9&gt;=5000000), 32500,
    AND(F1=2022, OR(F2="Single", F2="MFS"), NU9&gt;=1077550), 30171,
    AND(F1=2022, OR(F2="Single", F2="MFS"), NU9&gt;=215400), 1293,
    AND(F1=2022, F2="HOH", NU9&gt;=5000000), 32500,
    AND(F1=2022, F2="HOH", NU9&gt;=1616450), 45261,
    AND(F1=2022, F2="HOH", NU9&gt;=269300), 1616,
    AND(OR(F1=2023, F1=2024), OR(F2="MFJ", F2="QW"), NU9&gt;=5000000), 32500,
    AND(OR(F1=2023, F1=2024), OR(F2="MFJ", F2="QW"), NU9&gt;=2155350), 60350,
    AND(OR(F1=2023, F1=2024), OR(F2="MFJ", F2="QW"), NU9&gt;=323200), 2747,
    AND(OR(F1=2023, F1=2024), OR(F2="MFJ", F2="QW"), NU9&gt;=161550), 807,
    AND(OR(F1=2023, F1=2024), OR(F2="Single", F2="MFS"), NU9&gt;=5000000), 32500,
    AND(OR(F1=2023, F1=2024), OR(F2="Single", F2="MFS"), NU9&gt;=1077550), 30172,
    AND(OR(F1=2023, F1=2024), OR(F2="Single", F2="MFS"), NU9&gt;=215400), 1831,
    AND(OR(F1=2023, F1=2024), F2="HOH", NU9&gt;=5000000), 32500,
    AND(OR(F1=2023, F1=2024), F2="HOH", NU9&gt;=1616450), 45261,
    AND(OR(F1=2023, F1=2024), F2="HOH", NU9&gt;=269300), 2289,
    TRUE, 0
)</f>
        <v>0</v>
      </c>
      <c r="NV20" s="60" cm="1">
        <f t="array" ref="NV20">_xlfn.IFS(
    NV9&lt;107650, 0,
    AND(G1=2022, OR(G2="MFJ", G2="QW"), NV9&gt;=5000000), 32500,
    AND(G1=2022, OR(G2="MFJ", G2="QW"), NV9&gt;=2155350), 60349,
    AND(G1=2022, OR(G2="MFJ", G2="QW"), NV9&gt;=323200), 1940,
    AND(G1=2022, OR(G2="MFJ", G2="QW"), NV9&gt;=161550), 646,
    AND(G1=2022, OR(G2="Single", G2="MFS"), NV9&gt;=5000000), 32500,
    AND(G1=2022, OR(G2="Single", G2="MFS"), NV9&gt;=1077550), 30171,
    AND(G1=2022, OR(G2="Single", G2="MFS"), NV9&gt;=215400), 1293,
    AND(G1=2022, G2="HOH", NV9&gt;=5000000), 32500,
    AND(G1=2022, G2="HOH", NV9&gt;=1616450), 45261,
    AND(G1=2022, G2="HOH", NV9&gt;=269300), 1616,
    AND(OR(G1=2023, G1=2024), OR(G2="MFJ", G2="QW"), NV9&gt;=5000000), 32500,
    AND(OR(G1=2023, G1=2024), OR(G2="MFJ", G2="QW"), NV9&gt;=2155350), 60350,
    AND(OR(G1=2023, G1=2024), OR(G2="MFJ", G2="QW"), NV9&gt;=323200), 2747,
    AND(OR(G1=2023, G1=2024), OR(G2="MFJ", G2="QW"), NV9&gt;=161550), 807,
    AND(OR(G1=2023, G1=2024), OR(G2="Single", G2="MFS"), NV9&gt;=5000000), 32500,
    AND(OR(G1=2023, G1=2024), OR(G2="Single", G2="MFS"), NV9&gt;=1077550), 30172,
    AND(OR(G1=2023, G1=2024), OR(G2="Single", G2="MFS"), NV9&gt;=215400), 1831,
    AND(OR(G1=2023, G1=2024), G2="HOH", NV9&gt;=5000000), 32500,
    AND(OR(G1=2023, G1=2024), G2="HOH", NV9&gt;=1616450), 45261,
    AND(OR(G1=2023, G1=2024), G2="HOH", NV9&gt;=269300), 2289,
    TRUE, 0
)</f>
        <v>0</v>
      </c>
      <c r="NW20" s="60" cm="1">
        <f t="array" ref="NW20">_xlfn.IFS(
    NW9&lt;107650, 0,
    AND(H1=2022, OR(H2="MFJ", H2="QW"), NW9&gt;=5000000), 32500,
    AND(H1=2022, OR(H2="MFJ", H2="QW"), NW9&gt;=2155350), 60349,
    AND(H1=2022, OR(H2="MFJ", H2="QW"), NW9&gt;=323200), 1940,
    AND(H1=2022, OR(H2="MFJ", H2="QW"), NW9&gt;=161550), 646,
    AND(H1=2022, OR(H2="Single", H2="MFS"), NW9&gt;=5000000), 32500,
    AND(H1=2022, OR(H2="Single", H2="MFS"), NW9&gt;=1077550), 30171,
    AND(H1=2022, OR(H2="Single", H2="MFS"), NW9&gt;=215400), 1293,
    AND(H1=2022, H2="HOH", NW9&gt;=5000000), 32500,
    AND(H1=2022, H2="HOH", NW9&gt;=1616450), 45261,
    AND(H1=2022, H2="HOH", NW9&gt;=269300), 1616,
    AND(OR(H1=2023, H1=2024), OR(H2="MFJ", H2="QW"), NW9&gt;=5000000), 32500,
    AND(OR(H1=2023, H1=2024), OR(H2="MFJ", H2="QW"), NW9&gt;=2155350), 60350,
    AND(OR(H1=2023, H1=2024), OR(H2="MFJ", H2="QW"), NW9&gt;=323200), 2747,
    AND(OR(H1=2023, H1=2024), OR(H2="MFJ", H2="QW"), NW9&gt;=161550), 807,
    AND(OR(H1=2023, H1=2024), OR(H2="Single", H2="MFS"), NW9&gt;=5000000), 32500,
    AND(OR(H1=2023, H1=2024), OR(H2="Single", H2="MFS"), NW9&gt;=1077550), 30172,
    AND(OR(H1=2023, H1=2024), OR(H2="Single", H2="MFS"), NW9&gt;=215400), 1831,
    AND(OR(H1=2023, H1=2024), H2="HOH", NW9&gt;=5000000), 32500,
    AND(OR(H1=2023, H1=2024), H2="HOH", NW9&gt;=1616450), 45261,
    AND(OR(H1=2023, H1=2024), H2="HOH", NW9&gt;=269300), 2289,
    TRUE, 0
)</f>
        <v>0</v>
      </c>
      <c r="NX20" s="60" cm="1">
        <f t="array" ref="NX20">_xlfn.IFS(
    NX9&lt;107650, 0,
    AND(I1=2022, OR(I2="MFJ", I2="QW"), NX9&gt;=5000000), 32500,
    AND(I1=2022, OR(I2="MFJ", I2="QW"), NX9&gt;=2155350), 60349,
    AND(I1=2022, OR(I2="MFJ", I2="QW"), NX9&gt;=323200), 1940,
    AND(I1=2022, OR(I2="MFJ", I2="QW"), NX9&gt;=161550), 646,
    AND(I1=2022, OR(I2="Single", I2="MFS"), NX9&gt;=5000000), 32500,
    AND(I1=2022, OR(I2="Single", I2="MFS"), NX9&gt;=1077550), 30171,
    AND(I1=2022, OR(I2="Single", I2="MFS"), NX9&gt;=215400), 1293,
    AND(I1=2022, I2="HOH", NX9&gt;=5000000), 32500,
    AND(I1=2022, I2="HOH", NX9&gt;=1616450), 45261,
    AND(I1=2022, I2="HOH", NX9&gt;=269300), 1616,
    AND(OR(I1=2023, I1=2024), OR(I2="MFJ", I2="QW"), NX9&gt;=5000000), 32500,
    AND(OR(I1=2023, I1=2024), OR(I2="MFJ", I2="QW"), NX9&gt;=2155350), 60350,
    AND(OR(I1=2023, I1=2024), OR(I2="MFJ", I2="QW"), NX9&gt;=323200), 2747,
    AND(OR(I1=2023, I1=2024), OR(I2="MFJ", I2="QW"), NX9&gt;=161550), 807,
    AND(OR(I1=2023, I1=2024), OR(I2="Single", I2="MFS"), NX9&gt;=5000000), 32500,
    AND(OR(I1=2023, I1=2024), OR(I2="Single", I2="MFS"), NX9&gt;=1077550), 30172,
    AND(OR(I1=2023, I1=2024), OR(I2="Single", I2="MFS"), NX9&gt;=215400), 1831,
    AND(OR(I1=2023, I1=2024), I2="HOH", NX9&gt;=5000000), 32500,
    AND(OR(I1=2023, I1=2024), I2="HOH", NX9&gt;=1616450), 45261,
    AND(OR(I1=2023, I1=2024), I2="HOH", NX9&gt;=269300), 2289,
    TRUE, 0
)</f>
        <v>0</v>
      </c>
      <c r="NY20" s="60" cm="1">
        <f t="array" ref="NY20">_xlfn.IFS(
    NY9&lt;107650, 0,
    AND(J1=2022, OR(J2="MFJ", J2="QW"), NY9&gt;=5000000), 32500,
    AND(J1=2022, OR(J2="MFJ", J2="QW"), NY9&gt;=2155350), 60349,
    AND(J1=2022, OR(J2="MFJ", J2="QW"), NY9&gt;=323200), 1940,
    AND(J1=2022, OR(J2="MFJ", J2="QW"), NY9&gt;=161550), 646,
    AND(J1=2022, OR(J2="Single", J2="MFS"), NY9&gt;=5000000), 32500,
    AND(J1=2022, OR(J2="Single", J2="MFS"), NY9&gt;=1077550), 30171,
    AND(J1=2022, OR(J2="Single", J2="MFS"), NY9&gt;=215400), 1293,
    AND(J1=2022, J2="HOH", NY9&gt;=5000000), 32500,
    AND(J1=2022, J2="HOH", NY9&gt;=1616450), 45261,
    AND(J1=2022, J2="HOH", NY9&gt;=269300), 1616,
    AND(OR(J1=2023, J1=2024), OR(J2="MFJ", J2="QW"), NY9&gt;=5000000), 32500,
    AND(OR(J1=2023, J1=2024), OR(J2="MFJ", J2="QW"), NY9&gt;=2155350), 60350,
    AND(OR(J1=2023, J1=2024), OR(J2="MFJ", J2="QW"), NY9&gt;=323200), 2747,
    AND(OR(J1=2023, J1=2024), OR(J2="MFJ", J2="QW"), NY9&gt;=161550), 807,
    AND(OR(J1=2023, J1=2024), OR(J2="Single", J2="MFS"), NY9&gt;=5000000), 32500,
    AND(OR(J1=2023, J1=2024), OR(J2="Single", J2="MFS"), NY9&gt;=1077550), 30172,
    AND(OR(J1=2023, J1=2024), OR(J2="Single", J2="MFS"), NY9&gt;=215400), 1831,
    AND(OR(J1=2023, J1=2024), J2="HOH", NY9&gt;=5000000), 32500,
    AND(OR(J1=2023, J1=2024), J2="HOH", NY9&gt;=1616450), 45261,
    AND(OR(J1=2023, J1=2024), J2="HOH", NY9&gt;=269300), 2289,
    TRUE, 0
)</f>
        <v>0</v>
      </c>
      <c r="NZ20" s="60"/>
      <c r="OA20" s="288" t="s">
        <v>508</v>
      </c>
      <c r="OB20" s="288" t="s">
        <v>509</v>
      </c>
      <c r="OC20" s="288" t="s">
        <v>510</v>
      </c>
      <c r="OD20" s="288" t="s">
        <v>511</v>
      </c>
      <c r="OE20" s="288" t="s">
        <v>512</v>
      </c>
      <c r="OF20" s="288" t="s">
        <v>513</v>
      </c>
      <c r="OG20" s="288" t="s">
        <v>514</v>
      </c>
      <c r="OH20" s="288" t="s">
        <v>515</v>
      </c>
      <c r="OI20" s="288" t="s">
        <v>516</v>
      </c>
      <c r="OJ20" s="288" t="s">
        <v>517</v>
      </c>
      <c r="OL20" s="288" t="s">
        <v>508</v>
      </c>
      <c r="OM20" s="288" t="s">
        <v>509</v>
      </c>
      <c r="ON20" s="288" t="s">
        <v>510</v>
      </c>
      <c r="OO20" s="288" t="s">
        <v>511</v>
      </c>
      <c r="OP20" s="288" t="s">
        <v>512</v>
      </c>
      <c r="OQ20" s="288" t="s">
        <v>513</v>
      </c>
      <c r="OR20" s="288" t="s">
        <v>514</v>
      </c>
      <c r="OS20" s="288" t="s">
        <v>515</v>
      </c>
      <c r="OT20" s="288" t="s">
        <v>516</v>
      </c>
      <c r="OU20" s="288" t="s">
        <v>517</v>
      </c>
      <c r="OW20" s="288" t="s">
        <v>508</v>
      </c>
      <c r="OX20" s="288" t="s">
        <v>509</v>
      </c>
      <c r="OY20" s="288" t="s">
        <v>510</v>
      </c>
      <c r="OZ20" s="288" t="s">
        <v>511</v>
      </c>
      <c r="PA20" s="288" t="s">
        <v>512</v>
      </c>
      <c r="PB20" s="288" t="s">
        <v>513</v>
      </c>
      <c r="PC20" s="288" t="s">
        <v>514</v>
      </c>
      <c r="PD20" s="288" t="s">
        <v>515</v>
      </c>
      <c r="PE20" s="288" t="s">
        <v>516</v>
      </c>
      <c r="PF20" s="288" t="s">
        <v>517</v>
      </c>
      <c r="PH20" s="288" t="s">
        <v>508</v>
      </c>
      <c r="PI20" s="288" t="s">
        <v>509</v>
      </c>
      <c r="PJ20" s="288" t="s">
        <v>510</v>
      </c>
      <c r="PK20" s="288" t="s">
        <v>511</v>
      </c>
      <c r="PL20" s="288" t="s">
        <v>512</v>
      </c>
      <c r="PM20" s="288" t="s">
        <v>513</v>
      </c>
      <c r="PN20" s="288" t="s">
        <v>514</v>
      </c>
      <c r="PO20" s="288" t="s">
        <v>515</v>
      </c>
      <c r="PP20" s="288" t="s">
        <v>516</v>
      </c>
      <c r="PQ20" s="288" t="s">
        <v>517</v>
      </c>
      <c r="PS20" s="288" t="s">
        <v>508</v>
      </c>
      <c r="PT20" s="288" t="s">
        <v>509</v>
      </c>
      <c r="PU20" s="288" t="s">
        <v>510</v>
      </c>
      <c r="PV20" s="288" t="s">
        <v>511</v>
      </c>
      <c r="PW20" s="288" t="s">
        <v>512</v>
      </c>
      <c r="PX20" s="288" t="s">
        <v>513</v>
      </c>
      <c r="PY20" s="288" t="s">
        <v>514</v>
      </c>
      <c r="PZ20" s="288" t="s">
        <v>515</v>
      </c>
      <c r="QA20" s="288" t="s">
        <v>516</v>
      </c>
      <c r="QB20" s="288" t="s">
        <v>517</v>
      </c>
      <c r="QD20" s="288" t="s">
        <v>508</v>
      </c>
      <c r="QE20" s="288" t="s">
        <v>509</v>
      </c>
      <c r="QF20" s="288" t="s">
        <v>510</v>
      </c>
      <c r="QG20" s="288" t="s">
        <v>511</v>
      </c>
      <c r="QH20" s="288" t="s">
        <v>512</v>
      </c>
      <c r="QI20" s="288" t="s">
        <v>513</v>
      </c>
      <c r="QJ20" s="288" t="s">
        <v>514</v>
      </c>
      <c r="QK20" s="288" t="s">
        <v>515</v>
      </c>
      <c r="QL20" s="288" t="s">
        <v>516</v>
      </c>
      <c r="QM20" s="288" t="s">
        <v>517</v>
      </c>
      <c r="QO20" s="288" t="s">
        <v>508</v>
      </c>
      <c r="QP20" s="288" t="s">
        <v>509</v>
      </c>
      <c r="QQ20" s="288" t="s">
        <v>510</v>
      </c>
      <c r="QR20" s="288" t="s">
        <v>511</v>
      </c>
      <c r="QS20" s="288" t="s">
        <v>512</v>
      </c>
      <c r="QT20" s="288" t="s">
        <v>513</v>
      </c>
      <c r="QU20" s="288" t="s">
        <v>514</v>
      </c>
      <c r="QV20" s="288" t="s">
        <v>515</v>
      </c>
      <c r="QW20" s="288" t="s">
        <v>516</v>
      </c>
      <c r="QX20" s="288" t="s">
        <v>517</v>
      </c>
      <c r="QZ20" s="288" t="s">
        <v>508</v>
      </c>
      <c r="RA20" s="288" t="s">
        <v>509</v>
      </c>
      <c r="RB20" s="288" t="s">
        <v>510</v>
      </c>
      <c r="RC20" s="288" t="s">
        <v>511</v>
      </c>
      <c r="RD20" s="288" t="s">
        <v>512</v>
      </c>
      <c r="RE20" s="288" t="s">
        <v>513</v>
      </c>
      <c r="RF20" s="288" t="s">
        <v>514</v>
      </c>
      <c r="RG20" s="288" t="s">
        <v>515</v>
      </c>
      <c r="RH20" s="288" t="s">
        <v>516</v>
      </c>
      <c r="RI20" s="288" t="s">
        <v>517</v>
      </c>
      <c r="RK20" s="288" t="s">
        <v>508</v>
      </c>
      <c r="RL20" s="288" t="s">
        <v>509</v>
      </c>
      <c r="RM20" s="288" t="s">
        <v>510</v>
      </c>
      <c r="RN20" s="288" t="s">
        <v>511</v>
      </c>
      <c r="RO20" s="288" t="s">
        <v>512</v>
      </c>
      <c r="RP20" s="288" t="s">
        <v>513</v>
      </c>
      <c r="RQ20" s="288" t="s">
        <v>514</v>
      </c>
      <c r="RR20" s="288" t="s">
        <v>515</v>
      </c>
      <c r="RS20" s="288" t="s">
        <v>516</v>
      </c>
      <c r="RT20" s="288" t="s">
        <v>517</v>
      </c>
      <c r="RV20" s="288" t="s">
        <v>508</v>
      </c>
      <c r="RW20" s="288" t="s">
        <v>509</v>
      </c>
      <c r="RX20" s="288" t="s">
        <v>510</v>
      </c>
      <c r="RY20" s="288" t="s">
        <v>511</v>
      </c>
      <c r="RZ20" s="288" t="s">
        <v>512</v>
      </c>
      <c r="SA20" s="288" t="s">
        <v>513</v>
      </c>
      <c r="SB20" s="288" t="s">
        <v>514</v>
      </c>
      <c r="SC20" s="288" t="s">
        <v>515</v>
      </c>
      <c r="SD20" s="288" t="s">
        <v>516</v>
      </c>
      <c r="SE20" s="288" t="s">
        <v>517</v>
      </c>
      <c r="SG20" s="288" t="s">
        <v>508</v>
      </c>
      <c r="SH20" s="288" t="s">
        <v>509</v>
      </c>
      <c r="SI20" s="288" t="s">
        <v>510</v>
      </c>
      <c r="SJ20" s="288" t="s">
        <v>511</v>
      </c>
      <c r="SK20" s="288" t="s">
        <v>512</v>
      </c>
      <c r="SL20" s="288" t="s">
        <v>513</v>
      </c>
      <c r="SM20" s="288" t="s">
        <v>514</v>
      </c>
      <c r="SN20" s="288" t="s">
        <v>515</v>
      </c>
      <c r="SO20" s="288" t="s">
        <v>516</v>
      </c>
      <c r="SP20" s="288" t="s">
        <v>517</v>
      </c>
      <c r="SR20" s="288" t="s">
        <v>508</v>
      </c>
      <c r="SS20" s="288" t="s">
        <v>509</v>
      </c>
      <c r="ST20" s="288" t="s">
        <v>510</v>
      </c>
      <c r="SU20" s="288" t="s">
        <v>511</v>
      </c>
      <c r="SV20" s="288" t="s">
        <v>512</v>
      </c>
      <c r="SW20" s="288" t="s">
        <v>513</v>
      </c>
      <c r="SX20" s="288" t="s">
        <v>514</v>
      </c>
      <c r="SY20" s="288" t="s">
        <v>515</v>
      </c>
      <c r="SZ20" s="288" t="s">
        <v>516</v>
      </c>
      <c r="TA20" s="288" t="s">
        <v>517</v>
      </c>
      <c r="TC20" s="288" t="s">
        <v>508</v>
      </c>
      <c r="TD20" s="288" t="s">
        <v>509</v>
      </c>
      <c r="TE20" s="288" t="s">
        <v>510</v>
      </c>
      <c r="TF20" s="288" t="s">
        <v>511</v>
      </c>
      <c r="TG20" s="288" t="s">
        <v>512</v>
      </c>
      <c r="TH20" s="288" t="s">
        <v>513</v>
      </c>
      <c r="TI20" s="288" t="s">
        <v>514</v>
      </c>
      <c r="TJ20" s="288" t="s">
        <v>515</v>
      </c>
      <c r="TK20" s="288" t="s">
        <v>516</v>
      </c>
      <c r="TL20" s="288" t="s">
        <v>517</v>
      </c>
      <c r="TN20" s="288" t="s">
        <v>508</v>
      </c>
      <c r="TO20" s="288" t="s">
        <v>509</v>
      </c>
      <c r="TP20" s="288" t="s">
        <v>510</v>
      </c>
      <c r="TQ20" s="288" t="s">
        <v>511</v>
      </c>
      <c r="TR20" s="288" t="s">
        <v>512</v>
      </c>
      <c r="TS20" s="288" t="s">
        <v>513</v>
      </c>
      <c r="TT20" s="288" t="s">
        <v>514</v>
      </c>
      <c r="TU20" s="288" t="s">
        <v>515</v>
      </c>
      <c r="TV20" s="288" t="s">
        <v>516</v>
      </c>
      <c r="TW20" s="288" t="s">
        <v>517</v>
      </c>
      <c r="TY20" s="288" t="s">
        <v>508</v>
      </c>
      <c r="TZ20" s="288" t="s">
        <v>509</v>
      </c>
      <c r="UA20" s="288" t="s">
        <v>510</v>
      </c>
      <c r="UB20" s="288" t="s">
        <v>511</v>
      </c>
      <c r="UC20" s="288" t="s">
        <v>512</v>
      </c>
      <c r="UD20" s="288" t="s">
        <v>513</v>
      </c>
      <c r="UE20" s="288" t="s">
        <v>514</v>
      </c>
      <c r="UF20" s="288" t="s">
        <v>515</v>
      </c>
      <c r="UG20" s="288" t="s">
        <v>516</v>
      </c>
      <c r="UH20" s="288" t="s">
        <v>517</v>
      </c>
      <c r="UJ20" s="288" t="s">
        <v>508</v>
      </c>
      <c r="UK20" s="288" t="s">
        <v>509</v>
      </c>
      <c r="UL20" s="288" t="s">
        <v>510</v>
      </c>
      <c r="UM20" s="288" t="s">
        <v>511</v>
      </c>
      <c r="UN20" s="288" t="s">
        <v>512</v>
      </c>
      <c r="UO20" s="288" t="s">
        <v>513</v>
      </c>
      <c r="UP20" s="288" t="s">
        <v>514</v>
      </c>
      <c r="UQ20" s="288" t="s">
        <v>515</v>
      </c>
      <c r="UR20" s="288" t="s">
        <v>516</v>
      </c>
      <c r="US20" s="288" t="s">
        <v>517</v>
      </c>
      <c r="VT20" s="59">
        <v>0</v>
      </c>
    </row>
    <row r="21" spans="1:596" ht="16.5" x14ac:dyDescent="0.25">
      <c r="A21" s="52"/>
      <c r="K21" s="6"/>
      <c r="L21" s="5"/>
      <c r="CE21">
        <v>2022</v>
      </c>
      <c r="CF21" t="b">
        <f t="shared" ref="CF21:CN21" si="573">IF(OR(B$1=2022),
IF(OR(B$2="Single",B$2="MFS"),
IF(CF13&lt;=10099,CF13*0.01,
IF(CF13&lt;=23942,(CF13-10099)*0.02+100.99,
IF(CF13&lt;=37788,(CF13-23942)*0.04+377.85,
IF(CF13&lt;=52455,(CF13-37788)*0.06+931.69,
IF(CF13&lt;=66295,(CF13-52455)*0.08+1811.71,
IF(CF13&lt;=338639,(CF13-66295)*0.093+2918.91,
IF(CF13&lt;=406364,(CF13-338639)*0.103+28246.9,
IF(CF13&lt;=677275,(CF13-406364)*0.113+35222.58,
(CF13-677275)*0.123+65835.52)))))))),
IF(OR(B$2="MFJ",B$2="QW"),
IF(CF13&lt;=20198,CF13*0.01,
IF(CF13&lt;=47884,(CF13-20198)*0.02+201.98,
IF(CF13&lt;=75576,(CF13-47884)*0.04+755.7,
IF(CF13&lt;=104910,(CF13-75576)*0.06+1863.38,
IF(CF13&lt;=132590,(CF13-104910)*0.08+3623.42,
IF(CF13&lt;=677278,(CF13-132590)*0.093+5837.82,
IF(CF13&lt;=812728,(CF13-677278)*0.103+56493.8,
IF(CF13&lt;=1354550,(CF13-812728)*0.113+70445.15,
(CF13-1354550)*0.123+131671.04)))))))),
IF(B$2="HOH",
IF(CF13&lt;=20212,CF13*0.01,
IF(CF13&lt;=47887,(CF13-20212)*0.02+202.12,
IF(CF13&lt;=61730,(CF13-47887)*0.04+755.62,
IF(CF13&lt;=76397,(CF13-61730)*0.06+1309.34,
IF(CF13&lt;=90240,(CF13-76397)*0.08+2189.36,
IF(CF13&lt;=460547,(CF13-90240)*0.093+3296.8,
IF(CF13&lt;=552658,(CF13-460547)*0.103+37735.35,
IF(CF13&lt;=921095,(CF13-552658)*0.113+47222.78,
(CF13-921095)*0.123+88856.16)))))))),
"Invalid Year or Filing Status")
)))</f>
        <v>0</v>
      </c>
      <c r="CG21" t="b">
        <f t="shared" si="573"/>
        <v>0</v>
      </c>
      <c r="CH21" t="b">
        <f t="shared" si="573"/>
        <v>0</v>
      </c>
      <c r="CI21" t="b">
        <f t="shared" si="573"/>
        <v>0</v>
      </c>
      <c r="CJ21" t="b">
        <f t="shared" si="573"/>
        <v>0</v>
      </c>
      <c r="CK21" t="b">
        <f t="shared" si="573"/>
        <v>0</v>
      </c>
      <c r="CL21" t="b">
        <f t="shared" si="573"/>
        <v>0</v>
      </c>
      <c r="CM21" t="b">
        <f t="shared" si="573"/>
        <v>0</v>
      </c>
      <c r="CN21" t="b">
        <f t="shared" si="573"/>
        <v>0</v>
      </c>
      <c r="DA21" s="60" t="s">
        <v>70</v>
      </c>
      <c r="DB21" s="6">
        <f>DB19-DB20</f>
        <v>0</v>
      </c>
      <c r="DC21" s="6">
        <f t="shared" ref="DC21:DI21" si="574">DC19-DC20</f>
        <v>0</v>
      </c>
      <c r="DD21" s="6">
        <f t="shared" si="574"/>
        <v>0</v>
      </c>
      <c r="DE21" s="6">
        <f t="shared" si="574"/>
        <v>0</v>
      </c>
      <c r="DF21" s="6">
        <f t="shared" si="574"/>
        <v>0</v>
      </c>
      <c r="DG21" s="6">
        <f t="shared" si="574"/>
        <v>0</v>
      </c>
      <c r="DH21" s="6">
        <f t="shared" si="574"/>
        <v>0</v>
      </c>
      <c r="DI21" s="6">
        <f t="shared" si="574"/>
        <v>0</v>
      </c>
      <c r="DJ21" s="6">
        <f t="shared" ref="DJ21" si="575">DJ19-DJ20</f>
        <v>0</v>
      </c>
      <c r="JU21" s="253"/>
      <c r="KQ21" t="s">
        <v>285</v>
      </c>
      <c r="KR21" s="118">
        <v>0</v>
      </c>
      <c r="KS21" s="118">
        <v>0</v>
      </c>
      <c r="KT21" s="118">
        <v>0</v>
      </c>
      <c r="KU21" s="118">
        <v>0</v>
      </c>
      <c r="KV21" s="118">
        <v>0</v>
      </c>
      <c r="KW21" s="118">
        <v>0</v>
      </c>
      <c r="KX21" s="118">
        <v>0</v>
      </c>
      <c r="KY21" s="118">
        <v>0</v>
      </c>
      <c r="KZ21" s="118">
        <v>0</v>
      </c>
      <c r="NP21" t="s">
        <v>203</v>
      </c>
      <c r="NQ21" s="60">
        <f>SUM(NQ18:NQ20)</f>
        <v>0</v>
      </c>
      <c r="NR21" s="60">
        <f t="shared" ref="NR21:NX21" si="576">SUM(NR18:NR20)</f>
        <v>0</v>
      </c>
      <c r="NS21" s="60">
        <f t="shared" si="576"/>
        <v>0</v>
      </c>
      <c r="NT21" s="60">
        <f t="shared" si="576"/>
        <v>0</v>
      </c>
      <c r="NU21" s="60">
        <f t="shared" si="576"/>
        <v>0</v>
      </c>
      <c r="NV21" s="60">
        <f t="shared" si="576"/>
        <v>0</v>
      </c>
      <c r="NW21" s="60">
        <f t="shared" si="576"/>
        <v>0</v>
      </c>
      <c r="NX21" s="60">
        <f t="shared" si="576"/>
        <v>0</v>
      </c>
      <c r="NY21" s="60">
        <f t="shared" ref="NY21" si="577">SUM(NY18:NY20)</f>
        <v>0</v>
      </c>
      <c r="NZ21" s="60"/>
      <c r="VT21" s="59">
        <v>0</v>
      </c>
    </row>
    <row r="22" spans="1:596" ht="16.5" x14ac:dyDescent="0.25">
      <c r="A22" s="52"/>
      <c r="JK22" s="6"/>
      <c r="JL22" s="6"/>
      <c r="JM22" s="6"/>
      <c r="JN22" s="6"/>
      <c r="JO22" s="6"/>
      <c r="JP22" s="6"/>
      <c r="JQ22" s="6"/>
      <c r="JR22" s="6"/>
      <c r="JS22" s="6"/>
      <c r="KQ22" s="6" t="s">
        <v>286</v>
      </c>
      <c r="KR22" s="118">
        <v>0</v>
      </c>
      <c r="KS22" s="118">
        <v>0</v>
      </c>
      <c r="KT22" s="118">
        <v>0</v>
      </c>
      <c r="KU22" s="118">
        <v>0</v>
      </c>
      <c r="KV22" s="118">
        <v>0</v>
      </c>
      <c r="KW22" s="118">
        <v>0</v>
      </c>
      <c r="KX22" s="118">
        <v>0</v>
      </c>
      <c r="KY22" s="118">
        <v>0</v>
      </c>
      <c r="KZ22" s="118">
        <v>0</v>
      </c>
      <c r="NP22" t="s">
        <v>44</v>
      </c>
      <c r="NQ22" s="60"/>
      <c r="NR22" s="60"/>
      <c r="NS22" s="60"/>
      <c r="NT22" s="60"/>
      <c r="NU22" s="60"/>
      <c r="NV22" s="60"/>
      <c r="NW22" s="60"/>
      <c r="NX22" s="60"/>
      <c r="NY22" s="60"/>
      <c r="NZ22" s="60"/>
      <c r="UU22" s="288" t="s">
        <v>508</v>
      </c>
      <c r="UV22" s="288" t="s">
        <v>509</v>
      </c>
      <c r="UW22" s="288" t="s">
        <v>510</v>
      </c>
      <c r="UX22" s="288" t="s">
        <v>511</v>
      </c>
      <c r="UY22" s="288" t="s">
        <v>512</v>
      </c>
      <c r="UZ22" s="288" t="s">
        <v>513</v>
      </c>
      <c r="VA22" s="288" t="s">
        <v>514</v>
      </c>
      <c r="VB22" s="288" t="s">
        <v>515</v>
      </c>
      <c r="VC22" s="288" t="s">
        <v>516</v>
      </c>
      <c r="VD22" s="288" t="s">
        <v>517</v>
      </c>
      <c r="VF22" s="288" t="s">
        <v>508</v>
      </c>
      <c r="VG22" s="288" t="s">
        <v>509</v>
      </c>
      <c r="VH22" s="288" t="s">
        <v>510</v>
      </c>
      <c r="VI22" s="288" t="s">
        <v>511</v>
      </c>
      <c r="VJ22" s="288" t="s">
        <v>512</v>
      </c>
      <c r="VK22" s="288" t="s">
        <v>513</v>
      </c>
      <c r="VL22" s="288" t="s">
        <v>514</v>
      </c>
      <c r="VM22" s="288" t="s">
        <v>515</v>
      </c>
      <c r="VN22" s="288" t="s">
        <v>516</v>
      </c>
      <c r="VO22" s="288" t="s">
        <v>517</v>
      </c>
      <c r="VT22" s="59">
        <v>0</v>
      </c>
    </row>
    <row r="23" spans="1:596" ht="15.75" thickBot="1" x14ac:dyDescent="0.3">
      <c r="A23" s="41" t="s">
        <v>2</v>
      </c>
      <c r="B23" s="62" t="str">
        <f>IF(B80&lt;0,
"0%",
IF(ISNUMBER(SEARCH("2022",B1)),
CHOOSE(MATCH(B2,{"Single","MFS","MFJ","HOH","QW"},0),
IF(B80&lt;=10275,10%,IF(B80&lt;=41775,12%,IF(B80&lt;=89075,22%,IF(B80&lt;=170050,24%,IF(B80&lt;=215950,32%,IF(B80&lt;=539900,35%,37%)))))),
IF(B80&lt;=10275,10%,IF(B80&lt;=41775,12%,IF(B80&lt;=89075,22%,IF(B80&lt;=170050,24%,IF(B80&lt;=215950,32%,IF(B80&lt;=323925,35%,37%)))))),
IF(B80&lt;=20550,10%,IF(B80&lt;=83550,12%,IF(B80&lt;=178150,22%,IF(B80&lt;=340100,24%,IF(B80&lt;=431900,32%,IF(B80&lt;=647850,35%,37%)))))),
IF(B80&lt;=14650,10%,IF(B80&lt;=55900,12%,IF(B80&lt;=89050,22%,IF(B80&lt;=170050,24%,IF(B80&lt;=215950,32%,IF(B80&lt;=539900,35%,37%)))))),
IF(B80&lt;=20550,10%,IF(B80&lt;=83550,12%,IF(B80&lt;=178150,22%,IF(B80&lt;=340100,24%,IF(B80&lt;=431900,32%,IF(B80&lt;=647850,35%,37%))))))),
IF(ISNUMBER(SEARCH("2023",B1)),
CHOOSE(MATCH(B2,{"Single","MFS","MFJ","HOH","QW"},0),
IF(B80&lt;=11000,10%,IF(B80&lt;=44725,12%,IF(B80&lt;=95375,22%,IF(B80&lt;=182100,24%,IF(B80&lt;=231250,32%,IF(B80&lt;=578125,35%,37%)))))),
IF(B80&lt;=11000,10%,IF(B80&lt;=44725,12%,IF(B80&lt;=95375,22%,IF(B80&lt;=182100,24%,IF(B80&lt;=231250,32%,IF(B80&lt;=346875,35%,37%)))))),
IF(B80&lt;=22000,10%,IF(B80&lt;=89450,12%,IF(B80&lt;=190750,22%,IF(B80&lt;=364200,24%,IF(B80&lt;=462500,32%,IF(B80&lt;=693750,35%,37%)))))),
IF(B80&lt;=15700,10%,IF(B80&lt;=59850,12%,IF(B80&lt;=95350,22%,IF(B80&lt;=182100,24%,IF(B80&lt;=231250,32%,IF(B80&lt;=578100,35%,37%)))))),
IF(B80&lt;=22000,10%,IF(B80&lt;=89450,12%,IF(B80&lt;=190750,22%,IF(B80&lt;=364200,24%,IF(B80&lt;=462500,32%,IF(B80&lt;=693750,35%,37%))))))),
IF(ISNUMBER(SEARCH("2024",B1)),
    CHOOSE(MATCH(B2,{"Single","MFS","MFJ","HOH","QW"},0),
        IF(B80&lt;=11600,10%,IF(B80&lt;=47150,12%,IF(B80&lt;=100525,22%,IF(B80&lt;=191950,24%,IF(B80&lt;=243725,32%,IF(B80&lt;=609350,35%,37%)))))),
        IF(B80&lt;=11600,10%,IF(B80&lt;=47150,12%,IF(B80&lt;=100525,22%,IF(B80&lt;=191950,24%,IF(B80&lt;=243725,32%,IF(B80&lt;=365600,35%,37%)))))),
        IF(B80&lt;=23200,10%,IF(B80&lt;=94300,12%,IF(B80&lt;=201050,22%,IF(B80&lt;=383900,24%,IF(B80&lt;=487450,32%,IF(B80&lt;=731200,35%,37%)))))),
        IF(B80&lt;=16550,10%,IF(B80&lt;=63100,12%,IF(B80&lt;=100500,22%,IF(B80&lt;=191950,24%,IF(B80&lt;=243700,32%,IF(B80&lt;=609350,35%,37%)))))),
        IF(B80&lt;=23200,10%,IF(B80&lt;=94300,12%,IF(B80&lt;=201050,22%,IF(B80&lt;=383900,24%,IF(B80&lt;=487450,32%,IF(B80&lt;=731200,35%,37%))))))
    ),
""))))</f>
        <v/>
      </c>
      <c r="C23" s="62" t="str">
        <f>IF(C80&lt;0,
"0%",
IF(ISNUMBER(SEARCH("2022",C1)),
CHOOSE(MATCH(C2,{"Single","MFS","MFJ","HOH","QW"},0),
IF(C80&lt;=10275,10%,IF(C80&lt;=41775,12%,IF(C80&lt;=89075,22%,IF(C80&lt;=170050,24%,IF(C80&lt;=215950,32%,IF(C80&lt;=539900,35%,37%)))))),
IF(C80&lt;=10275,10%,IF(C80&lt;=41775,12%,IF(C80&lt;=89075,22%,IF(C80&lt;=170050,24%,IF(C80&lt;=215950,32%,IF(C80&lt;=323925,35%,37%)))))),
IF(C80&lt;=20550,10%,IF(C80&lt;=83550,12%,IF(C80&lt;=178150,22%,IF(C80&lt;=340100,24%,IF(C80&lt;=431900,32%,IF(C80&lt;=647850,35%,37%)))))),
IF(C80&lt;=14650,10%,IF(C80&lt;=55900,12%,IF(C80&lt;=89050,22%,IF(C80&lt;=170050,24%,IF(C80&lt;=215950,32%,IF(C80&lt;=539900,35%,37%)))))),
IF(C80&lt;=20550,10%,IF(C80&lt;=83550,12%,IF(C80&lt;=178150,22%,IF(C80&lt;=340100,24%,IF(C80&lt;=431900,32%,IF(C80&lt;=647850,35%,37%))))))),
IF(ISNUMBER(SEARCH("2023",C1)),
CHOOSE(MATCH(C2,{"Single","MFS","MFJ","HOH","QW"},0),
IF(C80&lt;=11000,10%,IF(C80&lt;=44725,12%,IF(C80&lt;=95375,22%,IF(C80&lt;=182100,24%,IF(C80&lt;=231250,32%,IF(C80&lt;=578125,35%,37%)))))),
IF(C80&lt;=11000,10%,IF(C80&lt;=44725,12%,IF(C80&lt;=95375,22%,IF(C80&lt;=182100,24%,IF(C80&lt;=231250,32%,IF(C80&lt;=346875,35%,37%)))))),
IF(C80&lt;=22000,10%,IF(C80&lt;=89450,12%,IF(C80&lt;=190750,22%,IF(C80&lt;=364200,24%,IF(C80&lt;=462500,32%,IF(C80&lt;=693750,35%,37%)))))),
IF(C80&lt;=15700,10%,IF(C80&lt;=59850,12%,IF(C80&lt;=95350,22%,IF(C80&lt;=182100,24%,IF(C80&lt;=231250,32%,IF(C80&lt;=578100,35%,37%)))))),
IF(C80&lt;=22000,10%,IF(C80&lt;=89450,12%,IF(C80&lt;=190750,22%,IF(C80&lt;=364200,24%,IF(C80&lt;=462500,32%,IF(C80&lt;=693750,35%,37%))))))),
IF(ISNUMBER(SEARCH("2024",C1)),
    CHOOSE(MATCH(C2,{"Single","MFS","MFJ","HOH","QW"},0),
        IF(C80&lt;=11600,10%,IF(C80&lt;=47150,12%,IF(C80&lt;=100525,22%,IF(C80&lt;=191950,24%,IF(C80&lt;=243725,32%,IF(C80&lt;=609350,35%,37%)))))),
        IF(C80&lt;=11600,10%,IF(C80&lt;=47150,12%,IF(C80&lt;=100525,22%,IF(C80&lt;=191950,24%,IF(C80&lt;=243725,32%,IF(C80&lt;=365600,35%,37%)))))),
        IF(C80&lt;=23200,10%,IF(C80&lt;=94300,12%,IF(C80&lt;=201050,22%,IF(C80&lt;=383900,24%,IF(C80&lt;=487450,32%,IF(C80&lt;=731200,35%,37%)))))),
        IF(C80&lt;=16550,10%,IF(C80&lt;=63100,12%,IF(C80&lt;=100500,22%,IF(C80&lt;=191950,24%,IF(C80&lt;=243700,32%,IF(C80&lt;=609350,35%,37%)))))),
        IF(C80&lt;=23200,10%,IF(C80&lt;=94300,12%,IF(C80&lt;=201050,22%,IF(C80&lt;=383900,24%,IF(C80&lt;=487450,32%,IF(C80&lt;=731200,35%,37%))))))
    ),
""))))</f>
        <v/>
      </c>
      <c r="D23" s="62" t="str">
        <f>IF(D80&lt;0,
"0%",
IF(ISNUMBER(SEARCH("2022",D1)),
CHOOSE(MATCH(D2,{"Single","MFS","MFJ","HOH","QW"},0),
IF(D80&lt;=10275,10%,IF(D80&lt;=41775,12%,IF(D80&lt;=89075,22%,IF(D80&lt;=170050,24%,IF(D80&lt;=215950,32%,IF(D80&lt;=539900,35%,37%)))))),
IF(D80&lt;=10275,10%,IF(D80&lt;=41775,12%,IF(D80&lt;=89075,22%,IF(D80&lt;=170050,24%,IF(D80&lt;=215950,32%,IF(D80&lt;=323925,35%,37%)))))),
IF(D80&lt;=20550,10%,IF(D80&lt;=83550,12%,IF(D80&lt;=178150,22%,IF(D80&lt;=340100,24%,IF(D80&lt;=431900,32%,IF(D80&lt;=647850,35%,37%)))))),
IF(D80&lt;=14650,10%,IF(D80&lt;=55900,12%,IF(D80&lt;=89050,22%,IF(D80&lt;=170050,24%,IF(D80&lt;=215950,32%,IF(D80&lt;=539900,35%,37%)))))),
IF(D80&lt;=20550,10%,IF(D80&lt;=83550,12%,IF(D80&lt;=178150,22%,IF(D80&lt;=340100,24%,IF(D80&lt;=431900,32%,IF(D80&lt;=647850,35%,37%))))))),
IF(ISNUMBER(SEARCH("2023",D1)),
CHOOSE(MATCH(D2,{"Single","MFS","MFJ","HOH","QW"},0),
IF(D80&lt;=11000,10%,IF(D80&lt;=44725,12%,IF(D80&lt;=95375,22%,IF(D80&lt;=182100,24%,IF(D80&lt;=231250,32%,IF(D80&lt;=578125,35%,37%)))))),
IF(D80&lt;=11000,10%,IF(D80&lt;=44725,12%,IF(D80&lt;=95375,22%,IF(D80&lt;=182100,24%,IF(D80&lt;=231250,32%,IF(D80&lt;=346875,35%,37%)))))),
IF(D80&lt;=22000,10%,IF(D80&lt;=89450,12%,IF(D80&lt;=190750,22%,IF(D80&lt;=364200,24%,IF(D80&lt;=462500,32%,IF(D80&lt;=693750,35%,37%)))))),
IF(D80&lt;=15700,10%,IF(D80&lt;=59850,12%,IF(D80&lt;=95350,22%,IF(D80&lt;=182100,24%,IF(D80&lt;=231250,32%,IF(D80&lt;=578100,35%,37%)))))),
IF(D80&lt;=22000,10%,IF(D80&lt;=89450,12%,IF(D80&lt;=190750,22%,IF(D80&lt;=364200,24%,IF(D80&lt;=462500,32%,IF(D80&lt;=693750,35%,37%))))))),
IF(ISNUMBER(SEARCH("2024",D1)),
    CHOOSE(MATCH(D2,{"Single","MFS","MFJ","HOH","QW"},0),
        IF(D80&lt;=11600,10%,IF(D80&lt;=47150,12%,IF(D80&lt;=100525,22%,IF(D80&lt;=191950,24%,IF(D80&lt;=243725,32%,IF(D80&lt;=609350,35%,37%)))))),
        IF(D80&lt;=11600,10%,IF(D80&lt;=47150,12%,IF(D80&lt;=100525,22%,IF(D80&lt;=191950,24%,IF(D80&lt;=243725,32%,IF(D80&lt;=365600,35%,37%)))))),
        IF(D80&lt;=23200,10%,IF(D80&lt;=94300,12%,IF(D80&lt;=201050,22%,IF(D80&lt;=383900,24%,IF(D80&lt;=487450,32%,IF(D80&lt;=731200,35%,37%)))))),
        IF(D80&lt;=16550,10%,IF(D80&lt;=63100,12%,IF(D80&lt;=100500,22%,IF(D80&lt;=191950,24%,IF(D80&lt;=243700,32%,IF(D80&lt;=609350,35%,37%)))))),
        IF(D80&lt;=23200,10%,IF(D80&lt;=94300,12%,IF(D80&lt;=201050,22%,IF(D80&lt;=383900,24%,IF(D80&lt;=487450,32%,IF(D80&lt;=731200,35%,37%))))))
    ),
""))))</f>
        <v/>
      </c>
      <c r="E23" s="62" t="str">
        <f>IF(E80&lt;0,
"0%",
IF(ISNUMBER(SEARCH("2022",E1)),
CHOOSE(MATCH(E2,{"Single","MFS","MFJ","HOH","QW"},0),
IF(E80&lt;=10275,10%,IF(E80&lt;=41775,12%,IF(E80&lt;=89075,22%,IF(E80&lt;=170050,24%,IF(E80&lt;=215950,32%,IF(E80&lt;=539900,35%,37%)))))),
IF(E80&lt;=10275,10%,IF(E80&lt;=41775,12%,IF(E80&lt;=89075,22%,IF(E80&lt;=170050,24%,IF(E80&lt;=215950,32%,IF(E80&lt;=323925,35%,37%)))))),
IF(E80&lt;=20550,10%,IF(E80&lt;=83550,12%,IF(E80&lt;=178150,22%,IF(E80&lt;=340100,24%,IF(E80&lt;=431900,32%,IF(E80&lt;=647850,35%,37%)))))),
IF(E80&lt;=14650,10%,IF(E80&lt;=55900,12%,IF(E80&lt;=89050,22%,IF(E80&lt;=170050,24%,IF(E80&lt;=215950,32%,IF(E80&lt;=539900,35%,37%)))))),
IF(E80&lt;=20550,10%,IF(E80&lt;=83550,12%,IF(E80&lt;=178150,22%,IF(E80&lt;=340100,24%,IF(E80&lt;=431900,32%,IF(E80&lt;=647850,35%,37%))))))),
IF(ISNUMBER(SEARCH("2023",E1)),
CHOOSE(MATCH(E2,{"Single","MFS","MFJ","HOH","QW"},0),
IF(E80&lt;=11000,10%,IF(E80&lt;=44725,12%,IF(E80&lt;=95375,22%,IF(E80&lt;=182100,24%,IF(E80&lt;=231250,32%,IF(E80&lt;=578125,35%,37%)))))),
IF(E80&lt;=11000,10%,IF(E80&lt;=44725,12%,IF(E80&lt;=95375,22%,IF(E80&lt;=182100,24%,IF(E80&lt;=231250,32%,IF(E80&lt;=346875,35%,37%)))))),
IF(E80&lt;=22000,10%,IF(E80&lt;=89450,12%,IF(E80&lt;=190750,22%,IF(E80&lt;=364200,24%,IF(E80&lt;=462500,32%,IF(E80&lt;=693750,35%,37%)))))),
IF(E80&lt;=15700,10%,IF(E80&lt;=59850,12%,IF(E80&lt;=95350,22%,IF(E80&lt;=182100,24%,IF(E80&lt;=231250,32%,IF(E80&lt;=578100,35%,37%)))))),
IF(E80&lt;=22000,10%,IF(E80&lt;=89450,12%,IF(E80&lt;=190750,22%,IF(E80&lt;=364200,24%,IF(E80&lt;=462500,32%,IF(E80&lt;=693750,35%,37%))))))),
IF(ISNUMBER(SEARCH("2024",E1)),
    CHOOSE(MATCH(E2,{"Single","MFS","MFJ","HOH","QW"},0),
        IF(E80&lt;=11600,10%,IF(E80&lt;=47150,12%,IF(E80&lt;=100525,22%,IF(E80&lt;=191950,24%,IF(E80&lt;=243725,32%,IF(E80&lt;=609350,35%,37%)))))),
        IF(E80&lt;=11600,10%,IF(E80&lt;=47150,12%,IF(E80&lt;=100525,22%,IF(E80&lt;=191950,24%,IF(E80&lt;=243725,32%,IF(E80&lt;=365600,35%,37%)))))),
        IF(E80&lt;=23200,10%,IF(E80&lt;=94300,12%,IF(E80&lt;=201050,22%,IF(E80&lt;=383900,24%,IF(E80&lt;=487450,32%,IF(E80&lt;=731200,35%,37%)))))),
        IF(E80&lt;=16550,10%,IF(E80&lt;=63100,12%,IF(E80&lt;=100500,22%,IF(E80&lt;=191950,24%,IF(E80&lt;=243700,32%,IF(E80&lt;=609350,35%,37%)))))),
        IF(E80&lt;=23200,10%,IF(E80&lt;=94300,12%,IF(E80&lt;=201050,22%,IF(E80&lt;=383900,24%,IF(E80&lt;=487450,32%,IF(E80&lt;=731200,35%,37%))))))
    ),
""))))</f>
        <v/>
      </c>
      <c r="F23" s="62" t="str">
        <f>IF(F80&lt;0,
"0%",
IF(ISNUMBER(SEARCH("2022",F1)),
CHOOSE(MATCH(F2,{"Single","MFS","MFJ","HOH","QW"},0),
IF(F80&lt;=10275,10%,IF(F80&lt;=41775,12%,IF(F80&lt;=89075,22%,IF(F80&lt;=170050,24%,IF(F80&lt;=215950,32%,IF(F80&lt;=539900,35%,37%)))))),
IF(F80&lt;=10275,10%,IF(F80&lt;=41775,12%,IF(F80&lt;=89075,22%,IF(F80&lt;=170050,24%,IF(F80&lt;=215950,32%,IF(F80&lt;=323925,35%,37%)))))),
IF(F80&lt;=20550,10%,IF(F80&lt;=83550,12%,IF(F80&lt;=178150,22%,IF(F80&lt;=340100,24%,IF(F80&lt;=431900,32%,IF(F80&lt;=647850,35%,37%)))))),
IF(F80&lt;=14650,10%,IF(F80&lt;=55900,12%,IF(F80&lt;=89050,22%,IF(F80&lt;=170050,24%,IF(F80&lt;=215950,32%,IF(F80&lt;=539900,35%,37%)))))),
IF(F80&lt;=20550,10%,IF(F80&lt;=83550,12%,IF(F80&lt;=178150,22%,IF(F80&lt;=340100,24%,IF(F80&lt;=431900,32%,IF(F80&lt;=647850,35%,37%))))))),
IF(ISNUMBER(SEARCH("2023",F1)),
CHOOSE(MATCH(F2,{"Single","MFS","MFJ","HOH","QW"},0),
IF(F80&lt;=11000,10%,IF(F80&lt;=44725,12%,IF(F80&lt;=95375,22%,IF(F80&lt;=182100,24%,IF(F80&lt;=231250,32%,IF(F80&lt;=578125,35%,37%)))))),
IF(F80&lt;=11000,10%,IF(F80&lt;=44725,12%,IF(F80&lt;=95375,22%,IF(F80&lt;=182100,24%,IF(F80&lt;=231250,32%,IF(F80&lt;=346875,35%,37%)))))),
IF(F80&lt;=22000,10%,IF(F80&lt;=89450,12%,IF(F80&lt;=190750,22%,IF(F80&lt;=364200,24%,IF(F80&lt;=462500,32%,IF(F80&lt;=693750,35%,37%)))))),
IF(F80&lt;=15700,10%,IF(F80&lt;=59850,12%,IF(F80&lt;=95350,22%,IF(F80&lt;=182100,24%,IF(F80&lt;=231250,32%,IF(F80&lt;=578100,35%,37%)))))),
IF(F80&lt;=22000,10%,IF(F80&lt;=89450,12%,IF(F80&lt;=190750,22%,IF(F80&lt;=364200,24%,IF(F80&lt;=462500,32%,IF(F80&lt;=693750,35%,37%))))))),
IF(ISNUMBER(SEARCH("2024",F1)),
    CHOOSE(MATCH(F2,{"Single","MFS","MFJ","HOH","QW"},0),
        IF(F80&lt;=11600,10%,IF(F80&lt;=47150,12%,IF(F80&lt;=100525,22%,IF(F80&lt;=191950,24%,IF(F80&lt;=243725,32%,IF(F80&lt;=609350,35%,37%)))))),
        IF(F80&lt;=11600,10%,IF(F80&lt;=47150,12%,IF(F80&lt;=100525,22%,IF(F80&lt;=191950,24%,IF(F80&lt;=243725,32%,IF(F80&lt;=365600,35%,37%)))))),
        IF(F80&lt;=23200,10%,IF(F80&lt;=94300,12%,IF(F80&lt;=201050,22%,IF(F80&lt;=383900,24%,IF(F80&lt;=487450,32%,IF(F80&lt;=731200,35%,37%)))))),
        IF(F80&lt;=16550,10%,IF(F80&lt;=63100,12%,IF(F80&lt;=100500,22%,IF(F80&lt;=191950,24%,IF(F80&lt;=243700,32%,IF(F80&lt;=609350,35%,37%)))))),
        IF(F80&lt;=23200,10%,IF(F80&lt;=94300,12%,IF(F80&lt;=201050,22%,IF(F80&lt;=383900,24%,IF(F80&lt;=487450,32%,IF(F80&lt;=731200,35%,37%))))))
    ),
""))))</f>
        <v/>
      </c>
      <c r="G23" s="62" t="str">
        <f>IF(G80&lt;0,
"0%",
IF(ISNUMBER(SEARCH("2022",G1)),
CHOOSE(MATCH(G2,{"Single","MFS","MFJ","HOH","QW"},0),
IF(G80&lt;=10275,10%,IF(G80&lt;=41775,12%,IF(G80&lt;=89075,22%,IF(G80&lt;=170050,24%,IF(G80&lt;=215950,32%,IF(G80&lt;=539900,35%,37%)))))),
IF(G80&lt;=10275,10%,IF(G80&lt;=41775,12%,IF(G80&lt;=89075,22%,IF(G80&lt;=170050,24%,IF(G80&lt;=215950,32%,IF(G80&lt;=323925,35%,37%)))))),
IF(G80&lt;=20550,10%,IF(G80&lt;=83550,12%,IF(G80&lt;=178150,22%,IF(G80&lt;=340100,24%,IF(G80&lt;=431900,32%,IF(G80&lt;=647850,35%,37%)))))),
IF(G80&lt;=14650,10%,IF(G80&lt;=55900,12%,IF(G80&lt;=89050,22%,IF(G80&lt;=170050,24%,IF(G80&lt;=215950,32%,IF(G80&lt;=539900,35%,37%)))))),
IF(G80&lt;=20550,10%,IF(G80&lt;=83550,12%,IF(G80&lt;=178150,22%,IF(G80&lt;=340100,24%,IF(G80&lt;=431900,32%,IF(G80&lt;=647850,35%,37%))))))),
IF(ISNUMBER(SEARCH("2023",G1)),
CHOOSE(MATCH(G2,{"Single","MFS","MFJ","HOH","QW"},0),
IF(G80&lt;=11000,10%,IF(G80&lt;=44725,12%,IF(G80&lt;=95375,22%,IF(G80&lt;=182100,24%,IF(G80&lt;=231250,32%,IF(G80&lt;=578125,35%,37%)))))),
IF(G80&lt;=11000,10%,IF(G80&lt;=44725,12%,IF(G80&lt;=95375,22%,IF(G80&lt;=182100,24%,IF(G80&lt;=231250,32%,IF(G80&lt;=346875,35%,37%)))))),
IF(G80&lt;=22000,10%,IF(G80&lt;=89450,12%,IF(G80&lt;=190750,22%,IF(G80&lt;=364200,24%,IF(G80&lt;=462500,32%,IF(G80&lt;=693750,35%,37%)))))),
IF(G80&lt;=15700,10%,IF(G80&lt;=59850,12%,IF(G80&lt;=95350,22%,IF(G80&lt;=182100,24%,IF(G80&lt;=231250,32%,IF(G80&lt;=578100,35%,37%)))))),
IF(G80&lt;=22000,10%,IF(G80&lt;=89450,12%,IF(G80&lt;=190750,22%,IF(G80&lt;=364200,24%,IF(G80&lt;=462500,32%,IF(G80&lt;=693750,35%,37%))))))),
IF(ISNUMBER(SEARCH("2024",G1)),
    CHOOSE(MATCH(G2,{"Single","MFS","MFJ","HOH","QW"},0),
        IF(G80&lt;=11600,10%,IF(G80&lt;=47150,12%,IF(G80&lt;=100525,22%,IF(G80&lt;=191950,24%,IF(G80&lt;=243725,32%,IF(G80&lt;=609350,35%,37%)))))),
        IF(G80&lt;=11600,10%,IF(G80&lt;=47150,12%,IF(G80&lt;=100525,22%,IF(G80&lt;=191950,24%,IF(G80&lt;=243725,32%,IF(G80&lt;=365600,35%,37%)))))),
        IF(G80&lt;=23200,10%,IF(G80&lt;=94300,12%,IF(G80&lt;=201050,22%,IF(G80&lt;=383900,24%,IF(G80&lt;=487450,32%,IF(G80&lt;=731200,35%,37%)))))),
        IF(G80&lt;=16550,10%,IF(G80&lt;=63100,12%,IF(G80&lt;=100500,22%,IF(G80&lt;=191950,24%,IF(G80&lt;=243700,32%,IF(G80&lt;=609350,35%,37%)))))),
        IF(G80&lt;=23200,10%,IF(G80&lt;=94300,12%,IF(G80&lt;=201050,22%,IF(G80&lt;=383900,24%,IF(G80&lt;=487450,32%,IF(G80&lt;=731200,35%,37%))))))
    ),
""))))</f>
        <v/>
      </c>
      <c r="H23" s="62" t="str">
        <f>IF(H80&lt;0,
"0%",
IF(ISNUMBER(SEARCH("2022",H1)),
CHOOSE(MATCH(H2,{"Single","MFS","MFJ","HOH","QW"},0),
IF(H80&lt;=10275,10%,IF(H80&lt;=41775,12%,IF(H80&lt;=89075,22%,IF(H80&lt;=170050,24%,IF(H80&lt;=215950,32%,IF(H80&lt;=539900,35%,37%)))))),
IF(H80&lt;=10275,10%,IF(H80&lt;=41775,12%,IF(H80&lt;=89075,22%,IF(H80&lt;=170050,24%,IF(H80&lt;=215950,32%,IF(H80&lt;=323925,35%,37%)))))),
IF(H80&lt;=20550,10%,IF(H80&lt;=83550,12%,IF(H80&lt;=178150,22%,IF(H80&lt;=340100,24%,IF(H80&lt;=431900,32%,IF(H80&lt;=647850,35%,37%)))))),
IF(H80&lt;=14650,10%,IF(H80&lt;=55900,12%,IF(H80&lt;=89050,22%,IF(H80&lt;=170050,24%,IF(H80&lt;=215950,32%,IF(H80&lt;=539900,35%,37%)))))),
IF(H80&lt;=20550,10%,IF(H80&lt;=83550,12%,IF(H80&lt;=178150,22%,IF(H80&lt;=340100,24%,IF(H80&lt;=431900,32%,IF(H80&lt;=647850,35%,37%))))))),
IF(ISNUMBER(SEARCH("2023",H1)),
CHOOSE(MATCH(H2,{"Single","MFS","MFJ","HOH","QW"},0),
IF(H80&lt;=11000,10%,IF(H80&lt;=44725,12%,IF(H80&lt;=95375,22%,IF(H80&lt;=182100,24%,IF(H80&lt;=231250,32%,IF(H80&lt;=578125,35%,37%)))))),
IF(H80&lt;=11000,10%,IF(H80&lt;=44725,12%,IF(H80&lt;=95375,22%,IF(H80&lt;=182100,24%,IF(H80&lt;=231250,32%,IF(H80&lt;=346875,35%,37%)))))),
IF(H80&lt;=22000,10%,IF(H80&lt;=89450,12%,IF(H80&lt;=190750,22%,IF(H80&lt;=364200,24%,IF(H80&lt;=462500,32%,IF(H80&lt;=693750,35%,37%)))))),
IF(H80&lt;=15700,10%,IF(H80&lt;=59850,12%,IF(H80&lt;=95350,22%,IF(H80&lt;=182100,24%,IF(H80&lt;=231250,32%,IF(H80&lt;=578100,35%,37%)))))),
IF(H80&lt;=22000,10%,IF(H80&lt;=89450,12%,IF(H80&lt;=190750,22%,IF(H80&lt;=364200,24%,IF(H80&lt;=462500,32%,IF(H80&lt;=693750,35%,37%))))))),
IF(ISNUMBER(SEARCH("2024",H1)),
    CHOOSE(MATCH(H2,{"Single","MFS","MFJ","HOH","QW"},0),
        IF(H80&lt;=11600,10%,IF(H80&lt;=47150,12%,IF(H80&lt;=100525,22%,IF(H80&lt;=191950,24%,IF(H80&lt;=243725,32%,IF(H80&lt;=609350,35%,37%)))))),
        IF(H80&lt;=11600,10%,IF(H80&lt;=47150,12%,IF(H80&lt;=100525,22%,IF(H80&lt;=191950,24%,IF(H80&lt;=243725,32%,IF(H80&lt;=365600,35%,37%)))))),
        IF(H80&lt;=23200,10%,IF(H80&lt;=94300,12%,IF(H80&lt;=201050,22%,IF(H80&lt;=383900,24%,IF(H80&lt;=487450,32%,IF(H80&lt;=731200,35%,37%)))))),
        IF(H80&lt;=16550,10%,IF(H80&lt;=63100,12%,IF(H80&lt;=100500,22%,IF(H80&lt;=191950,24%,IF(H80&lt;=243700,32%,IF(H80&lt;=609350,35%,37%)))))),
        IF(H80&lt;=23200,10%,IF(H80&lt;=94300,12%,IF(H80&lt;=201050,22%,IF(H80&lt;=383900,24%,IF(H80&lt;=487450,32%,IF(H80&lt;=731200,35%,37%))))))
    ),
""))))</f>
        <v/>
      </c>
      <c r="I23" s="62" t="str">
        <f>IF(I80&lt;0,
"0%",
IF(ISNUMBER(SEARCH("2022",I1)),
CHOOSE(MATCH(I2,{"Single","MFS","MFJ","HOH","QW"},0),
IF(I80&lt;=10275,10%,IF(I80&lt;=41775,12%,IF(I80&lt;=89075,22%,IF(I80&lt;=170050,24%,IF(I80&lt;=215950,32%,IF(I80&lt;=539900,35%,37%)))))),
IF(I80&lt;=10275,10%,IF(I80&lt;=41775,12%,IF(I80&lt;=89075,22%,IF(I80&lt;=170050,24%,IF(I80&lt;=215950,32%,IF(I80&lt;=323925,35%,37%)))))),
IF(I80&lt;=20550,10%,IF(I80&lt;=83550,12%,IF(I80&lt;=178150,22%,IF(I80&lt;=340100,24%,IF(I80&lt;=431900,32%,IF(I80&lt;=647850,35%,37%)))))),
IF(I80&lt;=14650,10%,IF(I80&lt;=55900,12%,IF(I80&lt;=89050,22%,IF(I80&lt;=170050,24%,IF(I80&lt;=215950,32%,IF(I80&lt;=539900,35%,37%)))))),
IF(I80&lt;=20550,10%,IF(I80&lt;=83550,12%,IF(I80&lt;=178150,22%,IF(I80&lt;=340100,24%,IF(I80&lt;=431900,32%,IF(I80&lt;=647850,35%,37%))))))),
IF(ISNUMBER(SEARCH("2023",I1)),
CHOOSE(MATCH(I2,{"Single","MFS","MFJ","HOH","QW"},0),
IF(I80&lt;=11000,10%,IF(I80&lt;=44725,12%,IF(I80&lt;=95375,22%,IF(I80&lt;=182100,24%,IF(I80&lt;=231250,32%,IF(I80&lt;=578125,35%,37%)))))),
IF(I80&lt;=11000,10%,IF(I80&lt;=44725,12%,IF(I80&lt;=95375,22%,IF(I80&lt;=182100,24%,IF(I80&lt;=231250,32%,IF(I80&lt;=346875,35%,37%)))))),
IF(I80&lt;=22000,10%,IF(I80&lt;=89450,12%,IF(I80&lt;=190750,22%,IF(I80&lt;=364200,24%,IF(I80&lt;=462500,32%,IF(I80&lt;=693750,35%,37%)))))),
IF(I80&lt;=15700,10%,IF(I80&lt;=59850,12%,IF(I80&lt;=95350,22%,IF(I80&lt;=182100,24%,IF(I80&lt;=231250,32%,IF(I80&lt;=578100,35%,37%)))))),
IF(I80&lt;=22000,10%,IF(I80&lt;=89450,12%,IF(I80&lt;=190750,22%,IF(I80&lt;=364200,24%,IF(I80&lt;=462500,32%,IF(I80&lt;=693750,35%,37%))))))),
IF(ISNUMBER(SEARCH("2024",I1)),
    CHOOSE(MATCH(I2,{"Single","MFS","MFJ","HOH","QW"},0),
        IF(I80&lt;=11600,10%,IF(I80&lt;=47150,12%,IF(I80&lt;=100525,22%,IF(I80&lt;=191950,24%,IF(I80&lt;=243725,32%,IF(I80&lt;=609350,35%,37%)))))),
        IF(I80&lt;=11600,10%,IF(I80&lt;=47150,12%,IF(I80&lt;=100525,22%,IF(I80&lt;=191950,24%,IF(I80&lt;=243725,32%,IF(I80&lt;=365600,35%,37%)))))),
        IF(I80&lt;=23200,10%,IF(I80&lt;=94300,12%,IF(I80&lt;=201050,22%,IF(I80&lt;=383900,24%,IF(I80&lt;=487450,32%,IF(I80&lt;=731200,35%,37%)))))),
        IF(I80&lt;=16550,10%,IF(I80&lt;=63100,12%,IF(I80&lt;=100500,22%,IF(I80&lt;=191950,24%,IF(I80&lt;=243700,32%,IF(I80&lt;=609350,35%,37%)))))),
        IF(I80&lt;=23200,10%,IF(I80&lt;=94300,12%,IF(I80&lt;=201050,22%,IF(I80&lt;=383900,24%,IF(I80&lt;=487450,32%,IF(I80&lt;=731200,35%,37%))))))
    ),
""))))</f>
        <v/>
      </c>
      <c r="J23" s="62" t="e">
        <f>IF(J80&lt;0,
"0%",
IF(ISNUMBER(SEARCH("2022",J1)),
CHOOSE(MATCH(J2,{"Single","MFS","MFJ","HOH","QW"},0),
IF(J80&lt;=10275,10%,IF(J80&lt;=41775,12%,IF(J80&lt;=89075,22%,IF(J80&lt;=170050,24%,IF(J80&lt;=215950,32%,IF(J80&lt;=539900,35%,37%)))))),
IF(J80&lt;=10275,10%,IF(J80&lt;=41775,12%,IF(J80&lt;=89075,22%,IF(J80&lt;=170050,24%,IF(J80&lt;=215950,32%,IF(J80&lt;=323925,35%,37%)))))),
IF(J80&lt;=20550,10%,IF(J80&lt;=83550,12%,IF(J80&lt;=178150,22%,IF(J80&lt;=340100,24%,IF(J80&lt;=431900,32%,IF(J80&lt;=647850,35%,37%)))))),
IF(J80&lt;=14650,10%,IF(J80&lt;=55900,12%,IF(J80&lt;=89050,22%,IF(J80&lt;=170050,24%,IF(J80&lt;=215950,32%,IF(J80&lt;=539900,35%,37%)))))),
IF(J80&lt;=20550,10%,IF(J80&lt;=83550,12%,IF(J80&lt;=178150,22%,IF(J80&lt;=340100,24%,IF(J80&lt;=431900,32%,IF(J80&lt;=647850,35%,37%))))))),
IF(ISNUMBER(SEARCH("2023",J1)),
CHOOSE(MATCH(J2,{"Single","MFS","MFJ","HOH","QW"},0),
IF(J80&lt;=11000,10%,IF(J80&lt;=44725,12%,IF(J80&lt;=95375,22%,IF(J80&lt;=182100,24%,IF(J80&lt;=231250,32%,IF(J80&lt;=578125,35%,37%)))))),
IF(J80&lt;=11000,10%,IF(J80&lt;=44725,12%,IF(J80&lt;=95375,22%,IF(J80&lt;=182100,24%,IF(J80&lt;=231250,32%,IF(J80&lt;=346875,35%,37%)))))),
IF(J80&lt;=22000,10%,IF(J80&lt;=89450,12%,IF(J80&lt;=190750,22%,IF(J80&lt;=364200,24%,IF(J80&lt;=462500,32%,IF(J80&lt;=693750,35%,37%)))))),
IF(J80&lt;=15700,10%,IF(J80&lt;=59850,12%,IF(J80&lt;=95350,22%,IF(J80&lt;=182100,24%,IF(J80&lt;=231250,32%,IF(J80&lt;=578100,35%,37%)))))),
IF(J80&lt;=22000,10%,IF(J80&lt;=89450,12%,IF(J80&lt;=190750,22%,IF(J80&lt;=364200,24%,IF(J80&lt;=462500,32%,IF(J80&lt;=693750,35%,37%))))))),
IF(ISNUMBER(SEARCH("2024",J1)),
    CHOOSE(MATCH(J2,{"Single","MFS","MFJ","HOH","QW"},0),
        IF(J80&lt;=11600,10%,IF(J80&lt;=47150,12%,IF(J80&lt;=100525,22%,IF(J80&lt;=191950,24%,IF(J80&lt;=243725,32%,IF(J80&lt;=609350,35%,37%)))))),
        IF(J80&lt;=11600,10%,IF(J80&lt;=47150,12%,IF(J80&lt;=100525,22%,IF(J80&lt;=191950,24%,IF(J80&lt;=243725,32%,IF(J80&lt;=365600,35%,37%)))))),
        IF(J80&lt;=23200,10%,IF(J80&lt;=94300,12%,IF(J80&lt;=201050,22%,IF(J80&lt;=383900,24%,IF(J80&lt;=487450,32%,IF(J80&lt;=731200,35%,37%)))))),
        IF(J80&lt;=16550,10%,IF(J80&lt;=63100,12%,IF(J80&lt;=100500,22%,IF(J80&lt;=191950,24%,IF(J80&lt;=243700,32%,IF(J80&lt;=609350,35%,37%)))))),
        IF(J80&lt;=23200,10%,IF(J80&lt;=94300,12%,IF(J80&lt;=201050,22%,IF(J80&lt;=383900,24%,IF(J80&lt;=487450,32%,IF(J80&lt;=731200,35%,37%))))))
    ),
""))))</f>
        <v>#VALUE!</v>
      </c>
      <c r="CE23" s="288" t="s">
        <v>508</v>
      </c>
      <c r="CF23" s="288" t="s">
        <v>509</v>
      </c>
      <c r="CG23" s="288" t="s">
        <v>510</v>
      </c>
      <c r="CH23" s="288" t="s">
        <v>511</v>
      </c>
      <c r="CI23" s="288" t="s">
        <v>512</v>
      </c>
      <c r="CJ23" s="288" t="s">
        <v>513</v>
      </c>
      <c r="CK23" s="288" t="s">
        <v>514</v>
      </c>
      <c r="CL23" s="288" t="s">
        <v>515</v>
      </c>
      <c r="CM23" s="288" t="s">
        <v>516</v>
      </c>
      <c r="CN23" s="288" t="s">
        <v>517</v>
      </c>
      <c r="CP23" s="288" t="s">
        <v>508</v>
      </c>
      <c r="CQ23" s="288" t="s">
        <v>509</v>
      </c>
      <c r="CR23" s="288" t="s">
        <v>510</v>
      </c>
      <c r="CS23" s="288" t="s">
        <v>511</v>
      </c>
      <c r="CT23" s="288" t="s">
        <v>512</v>
      </c>
      <c r="CU23" s="288" t="s">
        <v>513</v>
      </c>
      <c r="CV23" s="288" t="s">
        <v>514</v>
      </c>
      <c r="CW23" s="288" t="s">
        <v>515</v>
      </c>
      <c r="CX23" s="288" t="s">
        <v>516</v>
      </c>
      <c r="CY23" s="288" t="s">
        <v>517</v>
      </c>
      <c r="DA23" s="288" t="s">
        <v>508</v>
      </c>
      <c r="DB23" s="288" t="s">
        <v>509</v>
      </c>
      <c r="DC23" s="288" t="s">
        <v>510</v>
      </c>
      <c r="DD23" s="288" t="s">
        <v>511</v>
      </c>
      <c r="DE23" s="288" t="s">
        <v>512</v>
      </c>
      <c r="DF23" s="288" t="s">
        <v>513</v>
      </c>
      <c r="DG23" s="288" t="s">
        <v>514</v>
      </c>
      <c r="DH23" s="288" t="s">
        <v>515</v>
      </c>
      <c r="DI23" s="288" t="s">
        <v>516</v>
      </c>
      <c r="DJ23" s="288" t="s">
        <v>517</v>
      </c>
      <c r="DL23" s="288" t="s">
        <v>508</v>
      </c>
      <c r="DM23" s="288" t="s">
        <v>509</v>
      </c>
      <c r="DN23" s="288" t="s">
        <v>510</v>
      </c>
      <c r="DO23" s="288" t="s">
        <v>511</v>
      </c>
      <c r="DP23" s="288" t="s">
        <v>512</v>
      </c>
      <c r="DQ23" s="288" t="s">
        <v>513</v>
      </c>
      <c r="DR23" s="288" t="s">
        <v>514</v>
      </c>
      <c r="DS23" s="288" t="s">
        <v>515</v>
      </c>
      <c r="DT23" s="288" t="s">
        <v>516</v>
      </c>
      <c r="DU23" s="288" t="s">
        <v>517</v>
      </c>
      <c r="DW23" s="288" t="s">
        <v>508</v>
      </c>
      <c r="DX23" s="288" t="s">
        <v>509</v>
      </c>
      <c r="DY23" s="288" t="s">
        <v>510</v>
      </c>
      <c r="DZ23" s="288" t="s">
        <v>511</v>
      </c>
      <c r="EA23" s="288" t="s">
        <v>512</v>
      </c>
      <c r="EB23" s="288" t="s">
        <v>513</v>
      </c>
      <c r="EC23" s="288" t="s">
        <v>514</v>
      </c>
      <c r="ED23" s="288" t="s">
        <v>515</v>
      </c>
      <c r="EE23" s="288" t="s">
        <v>516</v>
      </c>
      <c r="EF23" s="288" t="s">
        <v>517</v>
      </c>
      <c r="EH23" s="288" t="s">
        <v>508</v>
      </c>
      <c r="EI23" s="288" t="s">
        <v>509</v>
      </c>
      <c r="EJ23" s="288" t="s">
        <v>510</v>
      </c>
      <c r="EK23" s="288" t="s">
        <v>511</v>
      </c>
      <c r="EL23" s="288" t="s">
        <v>512</v>
      </c>
      <c r="EM23" s="288" t="s">
        <v>513</v>
      </c>
      <c r="EN23" s="288" t="s">
        <v>514</v>
      </c>
      <c r="EO23" s="288" t="s">
        <v>515</v>
      </c>
      <c r="EP23" s="288" t="s">
        <v>516</v>
      </c>
      <c r="EQ23" s="288" t="s">
        <v>517</v>
      </c>
      <c r="ES23" s="288" t="s">
        <v>508</v>
      </c>
      <c r="ET23" s="288" t="s">
        <v>509</v>
      </c>
      <c r="EU23" s="288" t="s">
        <v>510</v>
      </c>
      <c r="EV23" s="288" t="s">
        <v>511</v>
      </c>
      <c r="EW23" s="288" t="s">
        <v>512</v>
      </c>
      <c r="EX23" s="288" t="s">
        <v>513</v>
      </c>
      <c r="EY23" s="288" t="s">
        <v>514</v>
      </c>
      <c r="EZ23" s="288" t="s">
        <v>515</v>
      </c>
      <c r="FA23" s="288" t="s">
        <v>516</v>
      </c>
      <c r="FB23" s="288" t="s">
        <v>517</v>
      </c>
      <c r="FD23" s="288" t="s">
        <v>508</v>
      </c>
      <c r="FE23" s="288" t="s">
        <v>509</v>
      </c>
      <c r="FF23" s="288" t="s">
        <v>510</v>
      </c>
      <c r="FG23" s="288" t="s">
        <v>511</v>
      </c>
      <c r="FH23" s="288" t="s">
        <v>512</v>
      </c>
      <c r="FI23" s="288" t="s">
        <v>513</v>
      </c>
      <c r="FJ23" s="288" t="s">
        <v>514</v>
      </c>
      <c r="FK23" s="288" t="s">
        <v>515</v>
      </c>
      <c r="FL23" s="288" t="s">
        <v>516</v>
      </c>
      <c r="FM23" s="288" t="s">
        <v>517</v>
      </c>
      <c r="FO23" s="288" t="s">
        <v>508</v>
      </c>
      <c r="FP23" s="288" t="s">
        <v>509</v>
      </c>
      <c r="FQ23" s="288" t="s">
        <v>510</v>
      </c>
      <c r="FR23" s="288" t="s">
        <v>511</v>
      </c>
      <c r="FS23" s="288" t="s">
        <v>512</v>
      </c>
      <c r="FT23" s="288" t="s">
        <v>513</v>
      </c>
      <c r="FU23" s="288" t="s">
        <v>514</v>
      </c>
      <c r="FV23" s="288" t="s">
        <v>515</v>
      </c>
      <c r="FW23" s="288" t="s">
        <v>516</v>
      </c>
      <c r="FX23" s="288" t="s">
        <v>517</v>
      </c>
      <c r="FZ23" s="288" t="s">
        <v>508</v>
      </c>
      <c r="GA23" s="288" t="s">
        <v>509</v>
      </c>
      <c r="GB23" s="288" t="s">
        <v>510</v>
      </c>
      <c r="GC23" s="288" t="s">
        <v>511</v>
      </c>
      <c r="GD23" s="288" t="s">
        <v>512</v>
      </c>
      <c r="GE23" s="288" t="s">
        <v>513</v>
      </c>
      <c r="GF23" s="288" t="s">
        <v>514</v>
      </c>
      <c r="GG23" s="288" t="s">
        <v>515</v>
      </c>
      <c r="GH23" s="288" t="s">
        <v>516</v>
      </c>
      <c r="GI23" s="288" t="s">
        <v>517</v>
      </c>
      <c r="GK23" s="288" t="s">
        <v>508</v>
      </c>
      <c r="GL23" s="288" t="s">
        <v>509</v>
      </c>
      <c r="GM23" s="288" t="s">
        <v>510</v>
      </c>
      <c r="GN23" s="288" t="s">
        <v>511</v>
      </c>
      <c r="GO23" s="288" t="s">
        <v>512</v>
      </c>
      <c r="GP23" s="288" t="s">
        <v>513</v>
      </c>
      <c r="GQ23" s="288" t="s">
        <v>514</v>
      </c>
      <c r="GR23" s="288" t="s">
        <v>515</v>
      </c>
      <c r="GS23" s="288" t="s">
        <v>516</v>
      </c>
      <c r="GT23" s="288" t="s">
        <v>517</v>
      </c>
      <c r="GV23" s="288" t="s">
        <v>508</v>
      </c>
      <c r="GW23" s="288" t="s">
        <v>509</v>
      </c>
      <c r="GX23" s="288" t="s">
        <v>510</v>
      </c>
      <c r="GY23" s="288" t="s">
        <v>511</v>
      </c>
      <c r="GZ23" s="288" t="s">
        <v>512</v>
      </c>
      <c r="HA23" s="288" t="s">
        <v>513</v>
      </c>
      <c r="HB23" s="288" t="s">
        <v>514</v>
      </c>
      <c r="HC23" s="288" t="s">
        <v>515</v>
      </c>
      <c r="HD23" s="288" t="s">
        <v>516</v>
      </c>
      <c r="HE23" s="288" t="s">
        <v>517</v>
      </c>
      <c r="HG23" s="288" t="s">
        <v>508</v>
      </c>
      <c r="HH23" s="288" t="s">
        <v>509</v>
      </c>
      <c r="HI23" s="288" t="s">
        <v>510</v>
      </c>
      <c r="HJ23" s="288" t="s">
        <v>511</v>
      </c>
      <c r="HK23" s="288" t="s">
        <v>512</v>
      </c>
      <c r="HL23" s="288" t="s">
        <v>513</v>
      </c>
      <c r="HM23" s="288" t="s">
        <v>514</v>
      </c>
      <c r="HN23" s="288" t="s">
        <v>515</v>
      </c>
      <c r="HO23" s="288" t="s">
        <v>516</v>
      </c>
      <c r="HP23" s="288" t="s">
        <v>517</v>
      </c>
      <c r="HR23" s="288" t="s">
        <v>508</v>
      </c>
      <c r="HS23" s="288" t="s">
        <v>509</v>
      </c>
      <c r="HT23" s="288" t="s">
        <v>510</v>
      </c>
      <c r="HU23" s="288" t="s">
        <v>511</v>
      </c>
      <c r="HV23" s="288" t="s">
        <v>512</v>
      </c>
      <c r="HW23" s="288" t="s">
        <v>513</v>
      </c>
      <c r="HX23" s="288" t="s">
        <v>514</v>
      </c>
      <c r="HY23" s="288" t="s">
        <v>515</v>
      </c>
      <c r="HZ23" s="288" t="s">
        <v>516</v>
      </c>
      <c r="IA23" s="288" t="s">
        <v>517</v>
      </c>
      <c r="IC23" s="288" t="s">
        <v>508</v>
      </c>
      <c r="ID23" s="288" t="s">
        <v>509</v>
      </c>
      <c r="IE23" s="288" t="s">
        <v>510</v>
      </c>
      <c r="IF23" s="288" t="s">
        <v>511</v>
      </c>
      <c r="IG23" s="288" t="s">
        <v>512</v>
      </c>
      <c r="IH23" s="288" t="s">
        <v>513</v>
      </c>
      <c r="II23" s="288" t="s">
        <v>514</v>
      </c>
      <c r="IJ23" s="288" t="s">
        <v>515</v>
      </c>
      <c r="IK23" s="288" t="s">
        <v>516</v>
      </c>
      <c r="IL23" s="288" t="s">
        <v>517</v>
      </c>
      <c r="IN23" s="288" t="s">
        <v>508</v>
      </c>
      <c r="IO23" s="288" t="s">
        <v>509</v>
      </c>
      <c r="IP23" s="288" t="s">
        <v>510</v>
      </c>
      <c r="IQ23" s="288" t="s">
        <v>511</v>
      </c>
      <c r="IR23" s="288" t="s">
        <v>512</v>
      </c>
      <c r="IS23" s="288" t="s">
        <v>513</v>
      </c>
      <c r="IT23" s="288" t="s">
        <v>514</v>
      </c>
      <c r="IU23" s="288" t="s">
        <v>515</v>
      </c>
      <c r="IV23" s="288" t="s">
        <v>516</v>
      </c>
      <c r="IW23" s="288" t="s">
        <v>517</v>
      </c>
      <c r="IY23" s="288" t="s">
        <v>508</v>
      </c>
      <c r="IZ23" s="288" t="s">
        <v>509</v>
      </c>
      <c r="JA23" s="288" t="s">
        <v>510</v>
      </c>
      <c r="JB23" s="288" t="s">
        <v>511</v>
      </c>
      <c r="JC23" s="288" t="s">
        <v>512</v>
      </c>
      <c r="JD23" s="288" t="s">
        <v>513</v>
      </c>
      <c r="JE23" s="288" t="s">
        <v>514</v>
      </c>
      <c r="JF23" s="288" t="s">
        <v>515</v>
      </c>
      <c r="JG23" s="288" t="s">
        <v>516</v>
      </c>
      <c r="JH23" s="288" t="s">
        <v>517</v>
      </c>
      <c r="JJ23" s="288" t="s">
        <v>508</v>
      </c>
      <c r="JK23" s="288" t="s">
        <v>509</v>
      </c>
      <c r="JL23" s="288" t="s">
        <v>510</v>
      </c>
      <c r="JM23" s="288" t="s">
        <v>511</v>
      </c>
      <c r="JN23" s="288" t="s">
        <v>512</v>
      </c>
      <c r="JO23" s="288" t="s">
        <v>513</v>
      </c>
      <c r="JP23" s="288" t="s">
        <v>514</v>
      </c>
      <c r="JQ23" s="288" t="s">
        <v>515</v>
      </c>
      <c r="JR23" s="288" t="s">
        <v>516</v>
      </c>
      <c r="JS23" s="288" t="s">
        <v>517</v>
      </c>
      <c r="JU23" s="288" t="s">
        <v>508</v>
      </c>
      <c r="JV23" s="288" t="s">
        <v>509</v>
      </c>
      <c r="JW23" s="288" t="s">
        <v>510</v>
      </c>
      <c r="JX23" s="288" t="s">
        <v>511</v>
      </c>
      <c r="JY23" s="288" t="s">
        <v>512</v>
      </c>
      <c r="JZ23" s="288" t="s">
        <v>513</v>
      </c>
      <c r="KA23" s="288" t="s">
        <v>514</v>
      </c>
      <c r="KB23" s="288" t="s">
        <v>515</v>
      </c>
      <c r="KC23" s="288" t="s">
        <v>516</v>
      </c>
      <c r="KD23" s="288" t="s">
        <v>517</v>
      </c>
      <c r="KF23" s="288" t="s">
        <v>508</v>
      </c>
      <c r="KG23" s="288" t="s">
        <v>509</v>
      </c>
      <c r="KH23" s="288" t="s">
        <v>510</v>
      </c>
      <c r="KI23" s="288" t="s">
        <v>511</v>
      </c>
      <c r="KJ23" s="288" t="s">
        <v>512</v>
      </c>
      <c r="KK23" s="288" t="s">
        <v>513</v>
      </c>
      <c r="KL23" s="288" t="s">
        <v>514</v>
      </c>
      <c r="KM23" s="288" t="s">
        <v>515</v>
      </c>
      <c r="KN23" s="288" t="s">
        <v>516</v>
      </c>
      <c r="KO23" s="288" t="s">
        <v>517</v>
      </c>
      <c r="KQ23" s="6" t="s">
        <v>287</v>
      </c>
      <c r="KR23" s="119">
        <f>KR20+KR21-KR22</f>
        <v>0</v>
      </c>
      <c r="KS23" s="119">
        <f t="shared" ref="KS23:KY23" si="578">KS20+KS21-KS22</f>
        <v>0</v>
      </c>
      <c r="KT23" s="119">
        <f t="shared" si="578"/>
        <v>0</v>
      </c>
      <c r="KU23" s="119">
        <f t="shared" si="578"/>
        <v>0</v>
      </c>
      <c r="KV23" s="119">
        <f t="shared" si="578"/>
        <v>0</v>
      </c>
      <c r="KW23" s="119">
        <f t="shared" si="578"/>
        <v>0</v>
      </c>
      <c r="KX23" s="119">
        <f t="shared" si="578"/>
        <v>0</v>
      </c>
      <c r="KY23" s="119">
        <f t="shared" si="578"/>
        <v>0</v>
      </c>
      <c r="KZ23" s="119">
        <f t="shared" ref="KZ23" si="579">KZ20+KZ21-KZ22</f>
        <v>0</v>
      </c>
      <c r="NP23" t="s">
        <v>202</v>
      </c>
      <c r="NQ23" s="60"/>
      <c r="NR23" s="60"/>
      <c r="NS23" s="60"/>
      <c r="NT23" s="60"/>
      <c r="NU23" s="60"/>
      <c r="NV23" s="60"/>
      <c r="NW23" s="60"/>
      <c r="NX23" s="60"/>
      <c r="NY23" s="60"/>
      <c r="NZ23" s="60"/>
      <c r="VT23" s="59">
        <v>0</v>
      </c>
    </row>
    <row r="24" spans="1:596" x14ac:dyDescent="0.25">
      <c r="A24" s="21"/>
      <c r="B24" s="322"/>
      <c r="C24" s="322"/>
      <c r="D24" s="322"/>
      <c r="E24" s="322"/>
      <c r="F24" s="322"/>
      <c r="G24" s="322"/>
      <c r="H24" s="322"/>
      <c r="I24" s="322"/>
      <c r="J24" s="322"/>
      <c r="Z24" s="182"/>
      <c r="CF24" s="125" t="s">
        <v>578</v>
      </c>
      <c r="KQ24" s="6" t="s">
        <v>288</v>
      </c>
      <c r="KR24" s="6">
        <f>KR19+KR23</f>
        <v>0</v>
      </c>
      <c r="KS24" s="6">
        <f t="shared" ref="KS24:KY24" si="580">KS19+KS23</f>
        <v>0</v>
      </c>
      <c r="KT24" s="6">
        <f t="shared" si="580"/>
        <v>0</v>
      </c>
      <c r="KU24" s="6">
        <f t="shared" si="580"/>
        <v>0</v>
      </c>
      <c r="KV24" s="6">
        <f t="shared" si="580"/>
        <v>0</v>
      </c>
      <c r="KW24" s="6">
        <f t="shared" si="580"/>
        <v>0</v>
      </c>
      <c r="KX24" s="6">
        <f t="shared" si="580"/>
        <v>0</v>
      </c>
      <c r="KY24" s="6">
        <f t="shared" si="580"/>
        <v>0</v>
      </c>
      <c r="KZ24" s="6">
        <f t="shared" ref="KZ24" si="581">KZ19+KZ23</f>
        <v>0</v>
      </c>
      <c r="NP24" t="s">
        <v>70</v>
      </c>
      <c r="NQ24" s="60">
        <f>NQ21-NQ22-NQ23</f>
        <v>0</v>
      </c>
      <c r="NR24" s="60">
        <f t="shared" ref="NR24:NX24" si="582">NR21-NR22-NR23</f>
        <v>0</v>
      </c>
      <c r="NS24" s="60">
        <f t="shared" si="582"/>
        <v>0</v>
      </c>
      <c r="NT24" s="60">
        <f t="shared" si="582"/>
        <v>0</v>
      </c>
      <c r="NU24" s="60">
        <f t="shared" si="582"/>
        <v>0</v>
      </c>
      <c r="NV24" s="60">
        <f t="shared" si="582"/>
        <v>0</v>
      </c>
      <c r="NW24" s="60">
        <f t="shared" si="582"/>
        <v>0</v>
      </c>
      <c r="NX24" s="60">
        <f t="shared" si="582"/>
        <v>0</v>
      </c>
      <c r="NY24" s="60">
        <f t="shared" ref="NY24" si="583">NY21-NY22-NY23</f>
        <v>0</v>
      </c>
      <c r="NZ24" s="60"/>
      <c r="VT24" s="59">
        <v>0</v>
      </c>
    </row>
    <row r="25" spans="1:596" ht="15.75" thickBot="1" x14ac:dyDescent="0.3">
      <c r="A25" s="323" t="s">
        <v>6</v>
      </c>
      <c r="B25" s="154"/>
      <c r="C25" s="154"/>
      <c r="D25" s="154"/>
      <c r="E25" s="154"/>
      <c r="F25" s="154"/>
      <c r="G25" s="154"/>
      <c r="H25" s="154"/>
      <c r="I25" s="154"/>
      <c r="J25" s="154"/>
      <c r="IZ25" s="5"/>
      <c r="KQ25" s="6" t="s">
        <v>289</v>
      </c>
      <c r="KR25" s="120" t="e">
        <f>ROUND(KR19/KR24, 2)</f>
        <v>#DIV/0!</v>
      </c>
      <c r="KS25" s="120" t="e">
        <f t="shared" ref="KS25:KY25" si="584">ROUND(KS19/KS24, 2)</f>
        <v>#DIV/0!</v>
      </c>
      <c r="KT25" s="120" t="e">
        <f t="shared" si="584"/>
        <v>#DIV/0!</v>
      </c>
      <c r="KU25" s="120" t="e">
        <f t="shared" si="584"/>
        <v>#DIV/0!</v>
      </c>
      <c r="KV25" s="120" t="e">
        <f t="shared" si="584"/>
        <v>#DIV/0!</v>
      </c>
      <c r="KW25" s="120" t="e">
        <f t="shared" si="584"/>
        <v>#DIV/0!</v>
      </c>
      <c r="KX25" s="120" t="e">
        <f t="shared" si="584"/>
        <v>#DIV/0!</v>
      </c>
      <c r="KY25" s="120" t="e">
        <f t="shared" si="584"/>
        <v>#DIV/0!</v>
      </c>
      <c r="KZ25" s="120" t="e">
        <f t="shared" ref="KZ25" si="585">ROUND(KZ19/KZ24, 2)</f>
        <v>#DIV/0!</v>
      </c>
      <c r="NQ25" s="60"/>
      <c r="NR25" s="60"/>
      <c r="NS25" s="60"/>
      <c r="NT25" s="60"/>
      <c r="NU25" s="60"/>
      <c r="NV25" s="60"/>
      <c r="NW25" s="60"/>
      <c r="NX25" s="60"/>
      <c r="NY25" s="60"/>
      <c r="NZ25" s="60"/>
      <c r="VT25" s="59">
        <v>0</v>
      </c>
    </row>
    <row r="26" spans="1:596" x14ac:dyDescent="0.25">
      <c r="A26" s="324" t="s">
        <v>95</v>
      </c>
      <c r="B26" s="163"/>
      <c r="C26" s="163"/>
      <c r="D26" s="163"/>
      <c r="E26" s="163"/>
      <c r="F26" s="163"/>
      <c r="G26" s="163"/>
      <c r="H26" s="163"/>
      <c r="I26" s="163"/>
      <c r="J26" s="163">
        <f>B26</f>
        <v>0</v>
      </c>
      <c r="KQ26" s="6" t="s">
        <v>290</v>
      </c>
      <c r="KR26" s="121" t="e">
        <f>ROUND(KR23/KR24, 2)</f>
        <v>#DIV/0!</v>
      </c>
      <c r="KS26" s="121" t="e">
        <f t="shared" ref="KS26:KY26" si="586">ROUND(KS23/KS24, 2)</f>
        <v>#DIV/0!</v>
      </c>
      <c r="KT26" s="121" t="e">
        <f t="shared" si="586"/>
        <v>#DIV/0!</v>
      </c>
      <c r="KU26" s="121" t="e">
        <f t="shared" si="586"/>
        <v>#DIV/0!</v>
      </c>
      <c r="KV26" s="121" t="e">
        <f t="shared" si="586"/>
        <v>#DIV/0!</v>
      </c>
      <c r="KW26" s="121" t="e">
        <f t="shared" si="586"/>
        <v>#DIV/0!</v>
      </c>
      <c r="KX26" s="121" t="e">
        <f t="shared" si="586"/>
        <v>#DIV/0!</v>
      </c>
      <c r="KY26" s="121" t="e">
        <f t="shared" si="586"/>
        <v>#DIV/0!</v>
      </c>
      <c r="KZ26" s="121" t="e">
        <f t="shared" ref="KZ26" si="587">ROUND(KZ23/KZ24, 2)</f>
        <v>#DIV/0!</v>
      </c>
      <c r="NP26" t="s">
        <v>279</v>
      </c>
      <c r="NQ26" s="60"/>
      <c r="NR26" s="60"/>
      <c r="NS26" s="60"/>
      <c r="NT26" s="60"/>
      <c r="NU26" s="60"/>
      <c r="NV26" s="60"/>
      <c r="NW26" s="60"/>
      <c r="NX26" s="60"/>
      <c r="NY26" s="60"/>
      <c r="NZ26" s="60"/>
      <c r="VT26" s="59">
        <v>0</v>
      </c>
    </row>
    <row r="27" spans="1:596" ht="15.75" thickBot="1" x14ac:dyDescent="0.3">
      <c r="A27" s="324" t="s">
        <v>95</v>
      </c>
      <c r="B27" s="163"/>
      <c r="C27" s="163"/>
      <c r="D27" s="163"/>
      <c r="E27" s="163"/>
      <c r="F27" s="163"/>
      <c r="G27" s="163"/>
      <c r="H27" s="163"/>
      <c r="I27" s="163"/>
      <c r="J27" s="163">
        <f>B27</f>
        <v>0</v>
      </c>
      <c r="KQ27" s="60" t="s">
        <v>291</v>
      </c>
      <c r="KR27" s="122" t="str" cm="1">
        <f t="array" ref="KR27">_xlfn.IFS(KR24 &lt;= 25000, "35%", KR24 &lt;= 50000, "25%", KR24 &lt;= 100000, "15%", KR24 &lt;= 125000, "5%", KR24 &gt; 125000, "0%")</f>
        <v>35%</v>
      </c>
      <c r="KS27" s="122" t="str" cm="1">
        <f t="array" ref="KS27">_xlfn.IFS(KS24 &lt;= 25000, "35%", KS24 &lt;= 50000, "25%", KS24 &lt;= 100000, "15%", KS24 &lt;= 125000, "5%", KS24 &gt; 125000, "0%")</f>
        <v>35%</v>
      </c>
      <c r="KT27" s="122" t="str" cm="1">
        <f t="array" ref="KT27">_xlfn.IFS(KT24 &lt;= 25000, "35%", KT24 &lt;= 50000, "25%", KT24 &lt;= 100000, "15%", KT24 &lt;= 125000, "5%", KT24 &gt; 125000, "0%")</f>
        <v>35%</v>
      </c>
      <c r="KU27" s="122" t="str" cm="1">
        <f t="array" ref="KU27">_xlfn.IFS(KU24 &lt;= 25000, "35%", KU24 &lt;= 50000, "25%", KU24 &lt;= 100000, "15%", KU24 &lt;= 125000, "5%", KU24 &gt; 125000, "0%")</f>
        <v>35%</v>
      </c>
      <c r="KV27" s="122" t="str" cm="1">
        <f t="array" ref="KV27">_xlfn.IFS(KV24 &lt;= 25000, "35%", KV24 &lt;= 50000, "25%", KV24 &lt;= 100000, "15%", KV24 &lt;= 125000, "5%", KV24 &gt; 125000, "0%")</f>
        <v>35%</v>
      </c>
      <c r="KW27" s="122" t="str" cm="1">
        <f t="array" ref="KW27">_xlfn.IFS(KW24 &lt;= 25000, "35%", KW24 &lt;= 50000, "25%", KW24 &lt;= 100000, "15%", KW24 &lt;= 125000, "5%", KW24 &gt; 125000, "0%")</f>
        <v>35%</v>
      </c>
      <c r="KX27" s="122" t="str" cm="1">
        <f t="array" ref="KX27">_xlfn.IFS(KX24 &lt;= 25000, "35%", KX24 &lt;= 50000, "25%", KX24 &lt;= 100000, "15%", KX24 &lt;= 125000, "5%", KX24 &gt; 125000, "0%")</f>
        <v>35%</v>
      </c>
      <c r="KY27" s="122" t="str" cm="1">
        <f t="array" ref="KY27">_xlfn.IFS(KY24 &lt;= 25000, "35%", KY24 &lt;= 50000, "25%", KY24 &lt;= 100000, "15%", KY24 &lt;= 125000, "5%", KY24 &gt; 125000, "0%")</f>
        <v>35%</v>
      </c>
      <c r="KZ27" s="122" t="str" cm="1">
        <f t="array" ref="KZ27">_xlfn.IFS(KZ24 &lt;= 25000, "35%", KZ24 &lt;= 50000, "25%", KZ24 &lt;= 100000, "15%", KZ24 &lt;= 125000, "5%", KZ24 &gt; 125000, "0%")</f>
        <v>35%</v>
      </c>
      <c r="NP27" t="s">
        <v>203</v>
      </c>
      <c r="NQ27" s="60" t="str">
        <f>IF(OR(B2="MFJ", B2="QW"),
    IF(NQ13&lt;=21600, NQ13*0.0378,
        IF(AND(NQ13&gt;21600, NQ13&lt;=45000), 665 + 0.03762*(NQ13-21600),
            IF(AND(NQ13&gt;45000, NQ13&lt;=90000), 1545 + 0.08319*(NQ13-45000),
                IF(NQ13&gt;90000, 3264 + 0.03876*(NQ13-90000), 0)
            )
        )
    ),
    IF(OR(B2="Single", B2="MFS"),
        IF(NQ13&lt;=12000, NQ13*0.0378,
            IF(AND(NQ13&gt;12000, NQ13&lt;=25000), 369 + 0.03762*(NQ13-12000),
                IF(AND(NQ13&gt;25000, NQ13&lt;=50000), 858 + 0.08319*(NQ13-25000),
                    IF(NQ13&gt;50000, 1813 + 0.03876*(NQ13-50000), 0)
                )
            )
        ),
        IF(B2="HOH",
            IF(NQ13&lt;=14400, NQ13*0.0378,
                IF(AND(NQ13&gt;14400, NQ13&lt;=30000), 443 + 0.03762*(NQ13-14400),
                    IF(AND(NQ13&gt;30000, NQ13&lt;=60000), 1038 + 0.08319*(NQ13-30000),
                        IF(NQ13&gt;60000, 2176 + 0.03876*(NQ13-60000), 0)
                    )
                )
            ),
            "Invalid Filing Status"
        )
    )
)</f>
        <v>Invalid Filing Status</v>
      </c>
      <c r="NR27" s="60" t="str">
        <f t="shared" ref="NR27:NX27" si="588">IF(OR(C2="MFJ", C2="QW"),
    IF(NR13&lt;=21600, NR13*0.0378,
        IF(AND(NR13&gt;21600, NR13&lt;=45000), 665 + 0.03762*(NR13-21600),
            IF(AND(NR13&gt;45000, NR13&lt;=90000), 1545 + 0.08319*(NR13-45000),
                IF(NR13&gt;90000, 3264 + 0.03876*(NR13-90000), 0)
            )
        )
    ),
    IF(OR(C2="Single", C2="MFS"),
        IF(NR13&lt;=12000, NR13*0.0378,
            IF(AND(NR13&gt;12000, NR13&lt;=25000), 369 + 0.03762*(NR13-12000),
                IF(AND(NR13&gt;25000, NR13&lt;=50000), 858 + 0.08319*(NR13-25000),
                    IF(NR13&gt;50000, 1813 + 0.03876*(NR13-50000), 0)
                )
            )
        ),
        IF(C2="HOH",
            IF(NR13&lt;=14400, NR13*0.0378,
                IF(AND(NR13&gt;14400, NR13&lt;=30000), 443 + 0.03762*(NR13-14400),
                    IF(AND(NR13&gt;30000, NR13&lt;=60000), 1038 + 0.08319*(NR13-30000),
                        IF(NR13&gt;60000, 2176 + 0.03876*(NR13-60000), 0)
                    )
                )
            ),
            "Invalid Filing Status"
        )
    )
)</f>
        <v>Invalid Filing Status</v>
      </c>
      <c r="NS27" s="60" t="str">
        <f t="shared" si="588"/>
        <v>Invalid Filing Status</v>
      </c>
      <c r="NT27" s="60" t="str">
        <f t="shared" si="588"/>
        <v>Invalid Filing Status</v>
      </c>
      <c r="NU27" s="60" t="str">
        <f t="shared" si="588"/>
        <v>Invalid Filing Status</v>
      </c>
      <c r="NV27" s="60" t="str">
        <f t="shared" si="588"/>
        <v>Invalid Filing Status</v>
      </c>
      <c r="NW27" s="60" t="str">
        <f t="shared" si="588"/>
        <v>Invalid Filing Status</v>
      </c>
      <c r="NX27" s="60" t="str">
        <f t="shared" si="588"/>
        <v>Invalid Filing Status</v>
      </c>
      <c r="NY27" s="60" t="str">
        <f>IF(OR(J2="MFJ", J2="QW"),
    IF(NY13&lt;=21600, NY13*0.0378,
        IF(AND(NY13&gt;21600, NY13&lt;=45000), 665 + 0.03762*(NY13-21600),
            IF(AND(NY13&gt;45000, NY13&lt;=90000), 1545 + 0.08319*(NY13-45000),
                IF(NY13&gt;90000, 3264 + 0.03876*(NY13-90000), 0)
            )
        )
    ),
    IF(OR(J2="Single", J2="MFS"),
        IF(NY13&lt;=12000, NY13*0.0378,
            IF(AND(NY13&gt;12000, NY13&lt;=25000), 369 + 0.03762*(NY13-12000),
                IF(AND(NY13&gt;25000, NY13&lt;=50000), 858 + 0.08319*(NY13-25000),
                    IF(NY13&gt;50000, 1813 + 0.03876*(NY13-50000), 0)
                )
            )
        ),
        IF(J2="HOH",
            IF(NY13&lt;=14400, NY13*0.0378,
                IF(AND(NY13&gt;14400, NY13&lt;=30000), 443 + 0.03762*(NY13-14400),
                    IF(AND(NY13&gt;30000, NY13&lt;=60000), 1038 + 0.08319*(NY13-30000),
                        IF(NY13&gt;60000, 2176 + 0.03876*(NY13-60000), 0)
                    )
                )
            ),
            "Invalid Filing Status"
        )
    )
)</f>
        <v>Invalid Filing Status</v>
      </c>
      <c r="NZ27" s="60"/>
      <c r="VT27" s="59">
        <v>0</v>
      </c>
    </row>
    <row r="28" spans="1:596" ht="15.75" thickBot="1" x14ac:dyDescent="0.3">
      <c r="A28" s="324" t="s">
        <v>271</v>
      </c>
      <c r="B28" s="163"/>
      <c r="C28" s="163"/>
      <c r="D28" s="163"/>
      <c r="E28" s="163"/>
      <c r="F28" s="163"/>
      <c r="G28" s="163"/>
      <c r="H28" s="163"/>
      <c r="I28" s="163"/>
      <c r="J28" s="163">
        <f>B28</f>
        <v>0</v>
      </c>
      <c r="O28" s="175" t="s">
        <v>66</v>
      </c>
      <c r="P28" s="176" t="str">
        <f>C23</f>
        <v/>
      </c>
      <c r="KQ28" s="60" t="s">
        <v>78</v>
      </c>
      <c r="KR28" s="34">
        <f>KR27*B306</f>
        <v>0</v>
      </c>
      <c r="KS28" s="34">
        <f t="shared" ref="KS28:KZ28" si="589">KS27*C79</f>
        <v>0</v>
      </c>
      <c r="KT28" s="34">
        <f t="shared" si="589"/>
        <v>0</v>
      </c>
      <c r="KU28" s="34">
        <f t="shared" si="589"/>
        <v>0</v>
      </c>
      <c r="KV28" s="34">
        <f t="shared" si="589"/>
        <v>0</v>
      </c>
      <c r="KW28" s="34">
        <f t="shared" si="589"/>
        <v>0</v>
      </c>
      <c r="KX28" s="34">
        <f t="shared" si="589"/>
        <v>0</v>
      </c>
      <c r="KY28" s="34">
        <f t="shared" si="589"/>
        <v>0</v>
      </c>
      <c r="KZ28" s="34">
        <f t="shared" si="589"/>
        <v>0</v>
      </c>
      <c r="NP28" t="s">
        <v>44</v>
      </c>
      <c r="NQ28" s="60"/>
      <c r="NR28" s="60"/>
      <c r="NS28" s="60"/>
      <c r="NT28" s="60"/>
      <c r="NU28" s="60"/>
      <c r="NV28" s="60"/>
      <c r="NW28" s="60"/>
      <c r="NX28" s="60"/>
      <c r="NY28" s="60"/>
      <c r="NZ28" s="60"/>
      <c r="VT28" s="59">
        <v>0</v>
      </c>
    </row>
    <row r="29" spans="1:596" ht="15.75" thickBot="1" x14ac:dyDescent="0.3">
      <c r="A29" s="324" t="s">
        <v>271</v>
      </c>
      <c r="B29" s="163"/>
      <c r="C29" s="163"/>
      <c r="D29" s="163"/>
      <c r="E29" s="163"/>
      <c r="F29" s="163"/>
      <c r="G29" s="163"/>
      <c r="H29" s="163"/>
      <c r="I29" s="163"/>
      <c r="J29" s="163">
        <f>B29</f>
        <v>0</v>
      </c>
      <c r="Z29" s="148" t="str">
        <f>IF(AND(X32="No Catch-Up", Y32="Business contribution"),
    IF(W32=2024, MIN(69000, MAX(0, _xlfn.IFS(Z32&gt;=(IF(Z32&lt;23000, Z32, 23000))+Z32*0.25, Z32*0.25, TRUE, (Z32-23000))) + IF(Z32&lt;23000, Z32, 23000)),
    IF(W32=2023, MIN(66000, MAX(0, _xlfn.IFS(Z32&gt;=(IF(Z32&lt;22500, Z32, 22500))+Z32*0.25, Z32*0.25, TRUE, (Z32-22500))) + IF(Z32&lt;22500, Z32, 22500)),
    IF(W32=2022, MIN(63000, MAX(0, _xlfn.IFS(Z32&gt;=(IF(Z32&lt;20500, Z32, 20500))+Z32*0.25, Z32*0.25, TRUE, (Z32-20500))) + IF(Z32&lt;20500, Z32, 20500)),
    "Year not configured"))),
IF(AND(X32="Yes Catch-Up", Y32="Business contribution"),
    IF(W32=2024, MIN(76500, MAX(0, _xlfn.IFS(Z32&gt;=(IF(Z32&lt;30500, Z32, 30500))+Z32*0.25, Z32*0.25, TRUE, (Z32-30500))) + IF(Z32&lt;30500, Z32, 30500)),
    IF(W32=2023, MIN(73500, MAX(0, _xlfn.IFS(Z32&gt;=(IF(Z32&lt;30000, Z32, 30000))+Z32*0.25, Z32*0.25, TRUE, (Z32-30000))) + IF(Z32&lt;30000, Z32, 30000)),
    IF(W32=2022, MIN(69500, MAX(0, _xlfn.IFS(Z32&gt;=(IF(Z32&lt;27000, Z32, 27000))+Z32*0.25, Z32*0.25, TRUE, (Z32-27000))) + IF(Z32&lt;27000, Z32, 27000)),
    "Year not configured"))),
IF(AND(X32="No Catch-Up", Y32="No business contribution"),
    IF(W32=2024, MIN(23000, MAX(0, _xlfn.IFS(Z32&gt;=(IF(Z32&lt;23000, Z32, 23000))+Z32*0.25, Z32*0.25, TRUE, (Z32-23000))) + IF(Z32&lt;23000, Z32, 23000)),
    IF(W32=2023, MIN(22500, MAX(0, _xlfn.IFS(Z32&gt;=(IF(Z32&lt;22500, Z32, 22500))+Z32*0.25, Z32*0.25, TRUE, (Z32-22500))) + IF(Z32&lt;22500, Z32, 22500)),
    IF(W32=2022, MIN(20500, MAX(0, _xlfn.IFS(Z32&gt;=(IF(Z32&lt;20500, Z32, 20500))+Z32*0.25, Z32*0.25, TRUE, (Z32-20500))) + IF(Z32&lt;20500, Z32, 20500)),
    "Year not configured"))),
IF(AND(X32="Yes Catch-Up", Y32="No business contribution"),
    IF(W32=2024, MIN(30500, MAX(0, _xlfn.IFS(Z32&gt;=(IF(Z32&lt;30500, Z32, 30500))+Z32*0.25, Z32*0.25, TRUE, (Z32-30500))) + IF(Z32&lt;30500, Z32, 30500)),
    IF(W32=2023, MIN(30000, MAX(0, _xlfn.IFS(Z32&gt;=(IF(Z32&lt;30000, Z32, 30000))+Z32*0.25, Z32*0.25, TRUE, (Z32-30000))) + IF(Z32&lt;30000, Z32, 30000)),
    IF(W32=2022, MIN(27000, MAX(0, _xlfn.IFS(Z32&gt;=(IF(Z32&lt;27000, Z32, 27000))+Z32*0.25, Z32*0.25, TRUE, (Z32-27000))) + IF(Z32&lt;27000, Z32, 27000)),
    "Year not configured"))),
IF(AND(X32="No Catch-Up", Y32="W/ Defined Benefit"),
    IF(W32=2024, MIN(69000, MAX(0, _xlfn.IFS(Z32&gt;=(IF(Z32&lt;23000, Z32, 23000))+Z32*0.06, Z32*0.06, TRUE, (Z32-23000))) + IF(Z32&lt;23000, Z32, 23000)),
    IF(W32=2023, MIN(66000, MAX(0, _xlfn.IFS(Z32&gt;=(IF(Z32&lt;22500, Z32, 22500))+Z32*0.06, Z32*0.06, TRUE, (Z32-22500))) + IF(Z32&lt;22500, Z32, 22500)),
    IF(W32=2022, MIN(63000, MAX(0, _xlfn.IFS(Z32&gt;=(IF(Z32&lt;20500, Z32, 20500))+Z32*0.06, Z32*0.06, TRUE, (Z32-20500))) + IF(Z32&lt;20500, Z32, 20500)),
    "Year not configured"))),
IF(AND(X32="Yes Catch-Up", Y32="W/ Defined Benefit"),
    IF(W32=2024, MIN(76500, MAX(0, _xlfn.IFS(Z32&gt;=(IF(Z32&lt;30500, Z32, 30500))+Z32*0.06, Z32*0.06, TRUE, (Z32-30500))) + IF(Z32&lt;30500, Z32, 30500)),
    IF(W32=2023, MIN(73500, MAX(0, _xlfn.IFS(Z32&gt;=(IF(Z32&lt;30000, Z32, 30000))+Z32*0.06, Z32*0.06, TRUE, (Z32-30000))) + IF(Z32&lt;30000, Z32, 30000)),
    IF(W32=2022, MIN(69500, MAX(0, _xlfn.IFS(Z32&gt;=(IF(Z32&lt;27000, Z32, 27000))+Z32*0.06, Z32*0.06, TRUE, (Z32-27000))) + IF(Z32&lt;27000, Z32, 27000)),
    "Year not configured"))),
"Configuration not defined"))))))</f>
        <v>Year not configured</v>
      </c>
      <c r="AD29" s="148" t="str">
        <f>IF(AND(AB32="No Catch-Up", AC32="Business contribution"),
    IF(W32=2024, MIN(69000, MAX(0, _xlfn.IFS(AD32&gt;=(IF(AD32&lt;23000, AD32, 23000))+AD32*0.25, AD32*0.25, TRUE, (AD32-23000))) + IF(AD32&lt;23000, AD32, 23000)),
    IF(W32=2023, MIN(66000, MAX(0, _xlfn.IFS(AD32&gt;=(IF(AD32&lt;22500, AD32, 22500))+AD32*0.25, AD32*0.25, TRUE, (AD32-22500))) + IF(AD32&lt;22500, AD32, 22500)),
    IF(W32=2022, MIN(63000, MAX(0, _xlfn.IFS(AD32&gt;=(IF(AD32&lt;20500, AD32, 20500))+AD32*0.25, AD32*0.25, TRUE, (AD32-20500))) + IF(AD32&lt;20500, AD32, 20500)),
    "Year not configured"))),
IF(AND(AB32="Yes Catch-Up", AC32="Business contribution"),
    IF(W32=2024, MIN(76500, MAX(0, _xlfn.IFS(AD32&gt;=(IF(AD32&lt;30500, AD32, 30500))+AD32*0.25, AD32*0.25, TRUE, (AD32-30500))) + IF(AD32&lt;30500, AD32, 30500)),
    IF(W32=2023, MIN(73500, MAX(0, _xlfn.IFS(AD32&gt;=(IF(AD32&lt;30000, AD32, 30000))+AD32*0.25, AD32*0.25, TRUE, (AD32-30000))) + IF(AD32&lt;30000, AD32, 30000)),
    IF(W32=2022, MIN(69500, MAX(0, _xlfn.IFS(AD32&gt;=(IF(AD32&lt;27000, AD32, 27000))+AD32*0.25, AD32*0.25, TRUE, (AD32-27000))) + IF(AD32&lt;27000, AD32, 27000)),
    "Year not configured"))),
IF(AND(AB32="No Catch-Up", AC32="No business contribution"),
    IF(W32=2024, MIN(23000, MAX(0, _xlfn.IFS(AD32&gt;=(IF(AD32&lt;23000, AD32, 23000))+AD32*0.25, AD32*0.25, TRUE, (AD32-23000))) + IF(AD32&lt;23000, AD32, 23000)),
    IF(W32=2023, MIN(22500, MAX(0, _xlfn.IFS(AD32&gt;=(IF(AD32&lt;22500, AD32, 22500))+AD32*0.25, AD32*0.25, TRUE, (AD32-22500))) + IF(AD32&lt;22500, AD32, 22500)),
    IF(W32=2022, MIN(20500, MAX(0, _xlfn.IFS(AD32&gt;=(IF(AD32&lt;20500, AD32, 20500))+AD32*0.25, AD32*0.25, TRUE, (AD32-20500))) + IF(AD32&lt;20500, AD32, 20500)),
    "Year not configured"))),
IF(AND(AB32="Yes Catch-Up", AC32="No business contribution"),
    IF(W32=2024, MIN(30500, MAX(0, _xlfn.IFS(AD32&gt;=(IF(AD32&lt;30500, AD32, 30500))+AD32*0.25, AD32*0.25, TRUE, (AD32-30500))) + IF(AD32&lt;30500, AD32, 30500)),
    IF(W32=2023, MIN(30000, MAX(0, _xlfn.IFS(AD32&gt;=(IF(AD32&lt;30000, AD32, 30000))+AD32*0.25, AD32*0.25, TRUE, (AD32-30000))) + IF(AD32&lt;30000, AD32, 30000)),
    IF(W32=2022, MIN(27000, MAX(0, _xlfn.IFS(AD32&gt;=(IF(AD32&lt;27000, AD32, 27000))+AD32*0.25, AD32*0.25, TRUE, (AD32-27000))) + IF(AD32&lt;27000, AD32, 27000)),
    "Year not configured"))),
IF(AND(AB32="No Catch-Up", AC32="W/ Defined Benefit"),
    IF(W32=2024, MIN(69000, MAX(0, _xlfn.IFS(AD32&gt;=(IF(AD32&lt;23000, AD32, 23000))+AD32*0.06, AD32*0.06, TRUE, (AD32-23000))) + IF(AD32&lt;23000, AD32, 23000)),
    IF(W32=2023, MIN(66000, MAX(0, _xlfn.IFS(AD32&gt;=(IF(AD32&lt;22500, AD32, 22500))+AD32*0.06, AD32*0.06, TRUE, (AD32-22500))) + IF(AD32&lt;22500, AD32, 22500)),
    IF(W32=2022, MIN(63000, MAX(0, _xlfn.IFS(AD32&gt;=(IF(AD32&lt;20500, AD32, 20500))+AD32*0.06, AD32*0.06, TRUE, (AD32-20500))) + IF(AD32&lt;20500, AD32, 20500)),
    "Year not configured"))),
IF(AND(AB32="Yes Catch-Up", AC32="W/ Defined Benefit"),
    IF(W32=2024, MIN(76500, MAX(0, _xlfn.IFS(AD32&gt;=(IF(AD32&lt;30500, AD32, 30500))+AD32*0.06, AD32*0.06, TRUE, (AD32-30500))) + IF(AD32&lt;30500, AD32, 30500)),
    IF(W32=2023, MIN(73500, MAX(0, _xlfn.IFS(AD32&gt;=(IF(AD32&lt;30000, AD32, 30000))+AD32*0.06, AD32*0.06, TRUE, (AD32-30000))) + IF(AD32&lt;30000, AD32, 30000)),
    IF(W32=2022, MIN(69500, MAX(0, _xlfn.IFS(AD32&gt;=(IF(AD32&lt;27000, AD32, 27000))+AD32*0.06, AD32*0.06, TRUE, (AD32-27000))) + IF(AD32&lt;27000, AD32, 27000)),
    "Year not configured"))),
"Configuration not defined"))))))</f>
        <v>Year not configured</v>
      </c>
      <c r="JU29" s="253"/>
      <c r="KQ29" s="60" t="s">
        <v>292</v>
      </c>
      <c r="KR29" s="60">
        <f t="shared" ref="KR29:KZ29" si="590">B77</f>
        <v>0</v>
      </c>
      <c r="KS29" s="60" t="str">
        <f t="shared" si="590"/>
        <v>Filing Status</v>
      </c>
      <c r="KT29" s="60" t="str">
        <f t="shared" si="590"/>
        <v>Filing Status</v>
      </c>
      <c r="KU29" s="60" t="str">
        <f t="shared" si="590"/>
        <v>Filing Status</v>
      </c>
      <c r="KV29" s="60" t="str">
        <f t="shared" si="590"/>
        <v>Filing Status</v>
      </c>
      <c r="KW29" s="60" t="str">
        <f t="shared" si="590"/>
        <v>Filing Status</v>
      </c>
      <c r="KX29" s="60" t="str">
        <f t="shared" si="590"/>
        <v>Filing Status</v>
      </c>
      <c r="KY29" s="60" t="str">
        <f t="shared" si="590"/>
        <v>Filing Status</v>
      </c>
      <c r="KZ29" s="60" t="e">
        <f t="shared" si="590"/>
        <v>#VALUE!</v>
      </c>
      <c r="NP29" t="s">
        <v>202</v>
      </c>
      <c r="NQ29" s="60"/>
      <c r="NR29" s="60"/>
      <c r="NS29" s="60"/>
      <c r="NT29" s="60"/>
      <c r="NU29" s="60"/>
      <c r="NV29" s="60"/>
      <c r="NW29" s="60"/>
      <c r="NX29" s="60"/>
      <c r="NY29" s="60"/>
      <c r="VT29" s="59">
        <v>0</v>
      </c>
    </row>
    <row r="30" spans="1:596" ht="15.75" thickBot="1" x14ac:dyDescent="0.3">
      <c r="A30" s="324" t="s">
        <v>13</v>
      </c>
      <c r="B30" s="158"/>
      <c r="C30" s="158"/>
      <c r="D30" s="158"/>
      <c r="E30" s="158"/>
      <c r="F30" s="158"/>
      <c r="G30" s="158"/>
      <c r="H30" s="158"/>
      <c r="I30" s="158"/>
      <c r="J30" s="158">
        <f>B30</f>
        <v>0</v>
      </c>
      <c r="V30" s="291"/>
      <c r="W30" s="292"/>
      <c r="X30" s="292"/>
      <c r="Y30" s="292"/>
      <c r="Z30" s="292"/>
      <c r="AA30" s="292"/>
      <c r="AB30" s="292"/>
      <c r="AC30" s="292"/>
      <c r="AD30" s="292"/>
      <c r="AE30" s="292"/>
      <c r="AF30" s="292"/>
      <c r="AG30" s="292"/>
      <c r="AH30" s="292"/>
      <c r="AI30" s="292"/>
      <c r="AJ30" s="292"/>
      <c r="AK30" s="292"/>
      <c r="AL30" s="292"/>
      <c r="AM30" s="292"/>
      <c r="CF30" s="60"/>
      <c r="JU30" s="253"/>
      <c r="KQ30" s="60" t="s">
        <v>293</v>
      </c>
      <c r="KR30" s="60">
        <f>KR24-KR28-KR29</f>
        <v>0</v>
      </c>
      <c r="KS30" s="60" t="e">
        <f t="shared" ref="KS30:KY30" si="591">KS24-KS28-KS29</f>
        <v>#VALUE!</v>
      </c>
      <c r="KT30" s="60" t="e">
        <f t="shared" si="591"/>
        <v>#VALUE!</v>
      </c>
      <c r="KU30" s="60" t="e">
        <f t="shared" si="591"/>
        <v>#VALUE!</v>
      </c>
      <c r="KV30" s="60" t="e">
        <f t="shared" si="591"/>
        <v>#VALUE!</v>
      </c>
      <c r="KW30" s="60" t="e">
        <f t="shared" si="591"/>
        <v>#VALUE!</v>
      </c>
      <c r="KX30" s="60" t="e">
        <f t="shared" si="591"/>
        <v>#VALUE!</v>
      </c>
      <c r="KY30" s="60" t="e">
        <f t="shared" si="591"/>
        <v>#VALUE!</v>
      </c>
      <c r="KZ30" s="60" t="e">
        <f t="shared" ref="KZ30" si="592">KZ24-KZ28-KZ29</f>
        <v>#VALUE!</v>
      </c>
      <c r="NP30" t="s">
        <v>70</v>
      </c>
      <c r="NQ30" s="60" t="e">
        <f>NQ27-NQ28-NQ29</f>
        <v>#VALUE!</v>
      </c>
      <c r="NR30" s="60" t="e">
        <f t="shared" ref="NR30:NX30" si="593">NR27-NR28-NR29</f>
        <v>#VALUE!</v>
      </c>
      <c r="NS30" s="60" t="e">
        <f t="shared" si="593"/>
        <v>#VALUE!</v>
      </c>
      <c r="NT30" s="60" t="e">
        <f t="shared" si="593"/>
        <v>#VALUE!</v>
      </c>
      <c r="NU30" s="60" t="e">
        <f t="shared" si="593"/>
        <v>#VALUE!</v>
      </c>
      <c r="NV30" s="60" t="e">
        <f t="shared" si="593"/>
        <v>#VALUE!</v>
      </c>
      <c r="NW30" s="60" t="e">
        <f t="shared" si="593"/>
        <v>#VALUE!</v>
      </c>
      <c r="NX30" s="60" t="e">
        <f t="shared" si="593"/>
        <v>#VALUE!</v>
      </c>
      <c r="NY30" s="60" t="e">
        <f t="shared" ref="NY30" si="594">NY27-NY28-NY29</f>
        <v>#VALUE!</v>
      </c>
      <c r="VT30" s="59">
        <v>0</v>
      </c>
    </row>
    <row r="31" spans="1:596" ht="15.75" thickBot="1" x14ac:dyDescent="0.3">
      <c r="A31" s="324" t="s">
        <v>14</v>
      </c>
      <c r="B31" s="158"/>
      <c r="C31" s="158"/>
      <c r="D31" s="158"/>
      <c r="E31" s="158"/>
      <c r="F31" s="158"/>
      <c r="G31" s="158"/>
      <c r="H31" s="158"/>
      <c r="I31" s="158"/>
      <c r="J31" s="158">
        <f t="shared" ref="J31:J38" si="595">B31</f>
        <v>0</v>
      </c>
      <c r="V31" s="91" t="s">
        <v>250</v>
      </c>
      <c r="W31" s="289" t="s">
        <v>321</v>
      </c>
      <c r="X31" s="290"/>
      <c r="Y31" s="290"/>
      <c r="Z31" s="290"/>
      <c r="AA31" s="290"/>
      <c r="AB31" s="290"/>
      <c r="AC31" s="290"/>
      <c r="AD31" s="290"/>
      <c r="AE31" s="180" t="s">
        <v>325</v>
      </c>
      <c r="AF31" s="178" t="s">
        <v>264</v>
      </c>
      <c r="AG31" s="179"/>
      <c r="AH31" s="179"/>
      <c r="AI31" s="179"/>
      <c r="AJ31" s="179"/>
      <c r="AK31" s="179"/>
      <c r="AL31" s="179"/>
      <c r="AM31" s="181"/>
      <c r="JX31" s="253"/>
      <c r="KQ31" s="6" t="s">
        <v>294</v>
      </c>
      <c r="KR31" s="115" t="e">
        <f t="shared" ref="KR31:KY31" si="596">KR30*KR25</f>
        <v>#DIV/0!</v>
      </c>
      <c r="KS31" s="115" t="e">
        <f t="shared" si="596"/>
        <v>#VALUE!</v>
      </c>
      <c r="KT31" s="115" t="e">
        <f t="shared" si="596"/>
        <v>#VALUE!</v>
      </c>
      <c r="KU31" s="115" t="e">
        <f t="shared" si="596"/>
        <v>#VALUE!</v>
      </c>
      <c r="KV31" s="115" t="e">
        <f t="shared" si="596"/>
        <v>#VALUE!</v>
      </c>
      <c r="KW31" s="115" t="e">
        <f t="shared" si="596"/>
        <v>#VALUE!</v>
      </c>
      <c r="KX31" s="115" t="e">
        <f t="shared" si="596"/>
        <v>#VALUE!</v>
      </c>
      <c r="KY31" s="115" t="e">
        <f t="shared" si="596"/>
        <v>#VALUE!</v>
      </c>
      <c r="KZ31" s="115" t="e">
        <f t="shared" ref="KZ31" si="597">KZ30*KZ25</f>
        <v>#VALUE!</v>
      </c>
      <c r="VW31" s="59">
        <v>0</v>
      </c>
    </row>
    <row r="32" spans="1:596" ht="15.75" thickBot="1" x14ac:dyDescent="0.3">
      <c r="A32" s="324" t="s">
        <v>15</v>
      </c>
      <c r="B32" s="158"/>
      <c r="C32" s="158"/>
      <c r="D32" s="158"/>
      <c r="E32" s="158"/>
      <c r="F32" s="158"/>
      <c r="G32" s="158"/>
      <c r="H32" s="158"/>
      <c r="I32" s="158"/>
      <c r="J32" s="158">
        <f t="shared" si="595"/>
        <v>0</v>
      </c>
      <c r="N32" s="316"/>
      <c r="O32" s="8" t="s">
        <v>28</v>
      </c>
      <c r="P32" s="8" t="s">
        <v>29</v>
      </c>
      <c r="Q32" s="9" t="s">
        <v>28</v>
      </c>
      <c r="R32" s="49" t="s">
        <v>27</v>
      </c>
      <c r="V32" s="134" t="s">
        <v>35</v>
      </c>
      <c r="W32" s="143" t="str">
        <f>J1</f>
        <v>[Fill if Necessary]</v>
      </c>
      <c r="X32" s="135" t="s">
        <v>323</v>
      </c>
      <c r="Y32" s="135" t="s">
        <v>588</v>
      </c>
      <c r="Z32" s="148">
        <f>J28</f>
        <v>0</v>
      </c>
      <c r="AA32" s="135">
        <v>1</v>
      </c>
      <c r="AB32" s="135" t="str">
        <f>P68</f>
        <v>No Catch-Up</v>
      </c>
      <c r="AC32" s="135" t="str">
        <f>Q68</f>
        <v>Business Contribution</v>
      </c>
      <c r="AD32" s="148">
        <f>J29</f>
        <v>0</v>
      </c>
      <c r="AE32" s="136" t="str">
        <f>IF(AA32=2, Z29+AD29, Z29)</f>
        <v>Year not configured</v>
      </c>
      <c r="AF32" s="137" t="s">
        <v>470</v>
      </c>
      <c r="AG32" s="138"/>
      <c r="AH32" s="138"/>
      <c r="AI32" s="138"/>
      <c r="AJ32" s="138"/>
      <c r="AK32" s="138"/>
      <c r="AL32" s="138"/>
      <c r="AM32" s="139"/>
      <c r="KQ32" s="6" t="s">
        <v>295</v>
      </c>
      <c r="KR32" s="115" t="b">
        <f>IF(OR(B$1=2023,B$1=2024),
    IF(KR31&lt;=1207, 0,
       IF(KR31&lt;=2414, (KR31-1207)*0.02 + 0,
       IF(KR31&lt;=3621, (KR31-2414)*0.025 + 24.12,
       IF(KR31&lt;=4828, (KR31-3621)*0.03 + 54.27,
       IF(KR31&lt;=6035, (KR31-4828)*0.035 + 90.45,
       IF(KR31&lt;=7242, (KR31-6035)*0.04 + 132.66,
       IF(KR31&lt;=8449, (KR31-7242)*0.045 + 180.9,
                     (KR31-8449)*0.0495 + 235.17))))))),
    IF(B$1=2022,
       IF(KR31&gt;8968, (KR31-8968)*0.053 + 291,
       IF(KR31&gt;7847, (KR31-7847)*0.05 + 235,
       IF(KR31&gt;6726, (KR31-6726)*0.045 + 185,
       IF(KR31&gt;5605, (KR31-5605)*0.04 + 140,
       IF(KR31&gt;4484, (KR31-4484)*0.035 + 101,
       IF(KR31&gt;3363, (KR31-3363)*0.03 + 67,
       IF(KR31&gt;2242, (KR31-2242)*0.025 + 39,
       IF(KR31&gt;1121, (KR31-1121)*0.02 + 17,
       IF(KR31&gt;111, KR31*0.015,
       0)))))))))))</f>
        <v>0</v>
      </c>
      <c r="KS32" s="115" t="b">
        <f t="shared" ref="KS32:KZ32" si="598">IF(OR(C$1=2023,C$1=2024),
    IF(KS31&lt;=1207, 0,
       IF(KS31&lt;=2414, (KS31-1207)*0.02 + 0,
       IF(KS31&lt;=3621, (KS31-2414)*0.025 + 24.12,
       IF(KS31&lt;=4828, (KS31-3621)*0.03 + 54.27,
       IF(KS31&lt;=6035, (KS31-4828)*0.035 + 90.45,
       IF(KS31&lt;=7242, (KS31-6035)*0.04 + 132.66,
       IF(KS31&lt;=8449, (KS31-7242)*0.045 + 180.9,
                     (KS31-8449)*0.0495 + 235.17))))))),
    IF(C$1=2022,
       IF(KS31&gt;8968, (KS31-8968)*0.053 + 291,
       IF(KS31&gt;7847, (KS31-7847)*0.05 + 235,
       IF(KS31&gt;6726, (KS31-6726)*0.045 + 185,
       IF(KS31&gt;5605, (KS31-5605)*0.04 + 140,
       IF(KS31&gt;4484, (KS31-4484)*0.035 + 101,
       IF(KS31&gt;3363, (KS31-3363)*0.03 + 67,
       IF(KS31&gt;2242, (KS31-2242)*0.025 + 39,
       IF(KS31&gt;1121, (KS31-1121)*0.02 + 17,
       IF(KS31&gt;111, KS31*0.015,
       0)))))))))))</f>
        <v>0</v>
      </c>
      <c r="KT32" s="115" t="b">
        <f t="shared" si="598"/>
        <v>0</v>
      </c>
      <c r="KU32" s="115" t="b">
        <f t="shared" si="598"/>
        <v>0</v>
      </c>
      <c r="KV32" s="115" t="b">
        <f t="shared" si="598"/>
        <v>0</v>
      </c>
      <c r="KW32" s="115" t="b">
        <f t="shared" si="598"/>
        <v>0</v>
      </c>
      <c r="KX32" s="115" t="b">
        <f t="shared" si="598"/>
        <v>0</v>
      </c>
      <c r="KY32" s="115" t="b">
        <f t="shared" si="598"/>
        <v>0</v>
      </c>
      <c r="KZ32" s="115" t="b">
        <f t="shared" si="598"/>
        <v>0</v>
      </c>
      <c r="VX32" s="59">
        <v>0</v>
      </c>
    </row>
    <row r="33" spans="1:596" ht="15.75" thickBot="1" x14ac:dyDescent="0.3">
      <c r="A33" s="324" t="s">
        <v>16</v>
      </c>
      <c r="B33" s="158"/>
      <c r="C33" s="158"/>
      <c r="D33" s="158"/>
      <c r="E33" s="158"/>
      <c r="F33" s="158"/>
      <c r="G33" s="158"/>
      <c r="H33" s="158"/>
      <c r="I33" s="158"/>
      <c r="J33" s="158">
        <f t="shared" si="595"/>
        <v>0</v>
      </c>
      <c r="N33" s="128"/>
      <c r="R33" s="21"/>
      <c r="T33" cm="1">
        <f t="array" aca="1" ref="T33" ca="1">SUMPRODUCT(--(ISNUMBER(FIND("R33", _xlfn.FORMULATEXT($B$26:$I$143)))))</f>
        <v>0</v>
      </c>
      <c r="V33" s="129" t="s">
        <v>251</v>
      </c>
      <c r="W33" s="144">
        <v>3500</v>
      </c>
      <c r="X33" s="140" t="s">
        <v>1</v>
      </c>
      <c r="Y33" s="140" t="s">
        <v>1</v>
      </c>
      <c r="Z33" s="140" t="s">
        <v>1</v>
      </c>
      <c r="AA33" s="140" t="s">
        <v>1</v>
      </c>
      <c r="AB33" s="140" t="s">
        <v>1</v>
      </c>
      <c r="AC33" s="140" t="s">
        <v>1</v>
      </c>
      <c r="AD33" s="140" t="s">
        <v>1</v>
      </c>
      <c r="AE33" s="130">
        <f>W33</f>
        <v>3500</v>
      </c>
      <c r="AF33" s="131" t="s">
        <v>505</v>
      </c>
      <c r="AG33" s="132"/>
      <c r="AH33" s="132"/>
      <c r="AI33" s="132"/>
      <c r="AJ33" s="132"/>
      <c r="AK33" s="132"/>
      <c r="AL33" s="132"/>
      <c r="AM33" s="133"/>
      <c r="KQ33" s="6" t="s">
        <v>296</v>
      </c>
      <c r="KR33" s="118" t="e">
        <f t="shared" ref="KR33:KY33" si="599">KR30*KR26</f>
        <v>#DIV/0!</v>
      </c>
      <c r="KS33" s="118" t="e">
        <f t="shared" si="599"/>
        <v>#VALUE!</v>
      </c>
      <c r="KT33" s="118" t="e">
        <f t="shared" si="599"/>
        <v>#VALUE!</v>
      </c>
      <c r="KU33" s="118" t="e">
        <f t="shared" si="599"/>
        <v>#VALUE!</v>
      </c>
      <c r="KV33" s="118" t="e">
        <f t="shared" si="599"/>
        <v>#VALUE!</v>
      </c>
      <c r="KW33" s="118" t="e">
        <f t="shared" si="599"/>
        <v>#VALUE!</v>
      </c>
      <c r="KX33" s="118" t="e">
        <f t="shared" si="599"/>
        <v>#VALUE!</v>
      </c>
      <c r="KY33" s="118" t="e">
        <f t="shared" si="599"/>
        <v>#VALUE!</v>
      </c>
      <c r="KZ33" s="118" t="e">
        <f t="shared" ref="KZ33" si="600">KZ30*KZ26</f>
        <v>#VALUE!</v>
      </c>
      <c r="NP33" s="288" t="s">
        <v>508</v>
      </c>
      <c r="NQ33" s="288" t="s">
        <v>509</v>
      </c>
      <c r="NR33" s="288" t="s">
        <v>510</v>
      </c>
      <c r="NS33" s="288" t="s">
        <v>511</v>
      </c>
      <c r="NT33" s="288" t="s">
        <v>512</v>
      </c>
      <c r="NU33" s="288" t="s">
        <v>513</v>
      </c>
      <c r="NV33" s="288" t="s">
        <v>514</v>
      </c>
      <c r="NW33" s="288" t="s">
        <v>515</v>
      </c>
      <c r="NX33" s="288" t="s">
        <v>516</v>
      </c>
      <c r="NY33" s="288" t="s">
        <v>517</v>
      </c>
      <c r="VX33" s="59">
        <v>0</v>
      </c>
    </row>
    <row r="34" spans="1:596" ht="15.75" thickBot="1" x14ac:dyDescent="0.3">
      <c r="A34" s="324" t="s">
        <v>385</v>
      </c>
      <c r="B34" s="158"/>
      <c r="C34" s="158"/>
      <c r="D34" s="158"/>
      <c r="E34" s="158"/>
      <c r="F34" s="158"/>
      <c r="G34" s="158"/>
      <c r="H34" s="158"/>
      <c r="I34" s="158"/>
      <c r="J34" s="158">
        <f t="shared" si="595"/>
        <v>0</v>
      </c>
      <c r="N34" s="128"/>
      <c r="R34" s="21"/>
      <c r="T34" cm="1">
        <f t="array" aca="1" ref="T34" ca="1">SUMPRODUCT(--(ISNUMBER(FIND("R34", _xlfn.FORMULATEXT($B$26:$I$143)))))</f>
        <v>0</v>
      </c>
      <c r="V34" s="134" t="s">
        <v>256</v>
      </c>
      <c r="W34" s="148">
        <v>5800</v>
      </c>
      <c r="X34" s="135" t="s">
        <v>1</v>
      </c>
      <c r="Y34" s="135" t="s">
        <v>1</v>
      </c>
      <c r="Z34" s="135" t="s">
        <v>1</v>
      </c>
      <c r="AA34" s="135" t="s">
        <v>1</v>
      </c>
      <c r="AB34" s="135" t="s">
        <v>1</v>
      </c>
      <c r="AC34" s="135" t="s">
        <v>1</v>
      </c>
      <c r="AD34" s="135" t="s">
        <v>1</v>
      </c>
      <c r="AE34" s="136">
        <f>W34</f>
        <v>5800</v>
      </c>
      <c r="AF34" s="137" t="s">
        <v>506</v>
      </c>
      <c r="AG34" s="138"/>
      <c r="AH34" s="138"/>
      <c r="AI34" s="138"/>
      <c r="AJ34" s="138"/>
      <c r="AK34" s="138"/>
      <c r="AL34" s="138"/>
      <c r="AM34" s="139"/>
      <c r="KQ34" s="6" t="s">
        <v>297</v>
      </c>
      <c r="KR34" s="118" t="b">
        <f>IF(OR(B$1=2023,B$1=2024),
    IF(KR33&lt;=1207, 0,
       IF(KR33&lt;=2414, (KR33-1207)*0.02 + 0,
       IF(KR33&lt;=3621, (KR33-2414)*0.025 + 24.12,
       IF(KR33&lt;=4828, (KR33-3621)*0.03 + 54.27,
       IF(KR33&lt;=6035, (KR33-4828)*0.035 + 90.45,
       IF(KR33&lt;=7242, (KR33-6035)*0.04 + 132.66,
       IF(KR33&lt;=8449, (KR33-7242)*0.045 + 180.9,
                     (KR33-8449)*0.0495 + 235.17))))))),
    IF(B$1=2022,
       IF(KR33&gt;8968, (KR33-8968)*0.053 + 291,
       IF(KR33&gt;7847, (KR33-7847)*0.05 + 235,
       IF(KR33&gt;6726, (KR33-6726)*0.045 + 185,
       IF(KR33&gt;5605, (KR33-5605)*0.04 + 140,
       IF(KR33&gt;4484, (KR33-4484)*0.035 + 101,
       IF(KR33&gt;3363, (KR33-3363)*0.03 + 67,
       IF(KR33&gt;2242, (KR33-2242)*0.025 + 39,
       IF(KR33&gt;1121, (KR33-1121)*0.02 + 17,
       IF(KR33&gt;111, KR33*0.015,
       0)))))))))))</f>
        <v>0</v>
      </c>
      <c r="KS34" s="118" t="b">
        <f t="shared" ref="KS34" si="601">IF(OR(C$1=2023,C$1=2024),
    IF(KS33&lt;=1207, 0,
       IF(KS33&lt;=2414, (KS33-1207)*0.02 + 0,
       IF(KS33&lt;=3621, (KS33-2414)*0.025 + 24.12,
       IF(KS33&lt;=4828, (KS33-3621)*0.03 + 54.27,
       IF(KS33&lt;=6035, (KS33-4828)*0.035 + 90.45,
       IF(KS33&lt;=7242, (KS33-6035)*0.04 + 132.66,
       IF(KS33&lt;=8449, (KS33-7242)*0.045 + 180.9,
                     (KS33-8449)*0.0495 + 235.17))))))),
    IF(C$1=2022,
       IF(KS33&gt;8968, (KS33-8968)*0.053 + 291,
       IF(KS33&gt;7847, (KS33-7847)*0.05 + 235,
       IF(KS33&gt;6726, (KS33-6726)*0.045 + 185,
       IF(KS33&gt;5605, (KS33-5605)*0.04 + 140,
       IF(KS33&gt;4484, (KS33-4484)*0.035 + 101,
       IF(KS33&gt;3363, (KS33-3363)*0.03 + 67,
       IF(KS33&gt;2242, (KS33-2242)*0.025 + 39,
       IF(KS33&gt;1121, (KS33-1121)*0.02 + 17,
       IF(KS33&gt;111, KS33*0.015,
       0)))))))))))</f>
        <v>0</v>
      </c>
      <c r="KT34" s="118" t="b">
        <f t="shared" ref="KT34" si="602">IF(OR(D$1=2023,D$1=2024),
    IF(KT33&lt;=1207, 0,
       IF(KT33&lt;=2414, (KT33-1207)*0.02 + 0,
       IF(KT33&lt;=3621, (KT33-2414)*0.025 + 24.12,
       IF(KT33&lt;=4828, (KT33-3621)*0.03 + 54.27,
       IF(KT33&lt;=6035, (KT33-4828)*0.035 + 90.45,
       IF(KT33&lt;=7242, (KT33-6035)*0.04 + 132.66,
       IF(KT33&lt;=8449, (KT33-7242)*0.045 + 180.9,
                     (KT33-8449)*0.0495 + 235.17))))))),
    IF(D$1=2022,
       IF(KT33&gt;8968, (KT33-8968)*0.053 + 291,
       IF(KT33&gt;7847, (KT33-7847)*0.05 + 235,
       IF(KT33&gt;6726, (KT33-6726)*0.045 + 185,
       IF(KT33&gt;5605, (KT33-5605)*0.04 + 140,
       IF(KT33&gt;4484, (KT33-4484)*0.035 + 101,
       IF(KT33&gt;3363, (KT33-3363)*0.03 + 67,
       IF(KT33&gt;2242, (KT33-2242)*0.025 + 39,
       IF(KT33&gt;1121, (KT33-1121)*0.02 + 17,
       IF(KT33&gt;111, KT33*0.015,
       0)))))))))))</f>
        <v>0</v>
      </c>
      <c r="KU34" s="118" t="b">
        <f t="shared" ref="KU34" si="603">IF(OR(E$1=2023,E$1=2024),
    IF(KU33&lt;=1207, 0,
       IF(KU33&lt;=2414, (KU33-1207)*0.02 + 0,
       IF(KU33&lt;=3621, (KU33-2414)*0.025 + 24.12,
       IF(KU33&lt;=4828, (KU33-3621)*0.03 + 54.27,
       IF(KU33&lt;=6035, (KU33-4828)*0.035 + 90.45,
       IF(KU33&lt;=7242, (KU33-6035)*0.04 + 132.66,
       IF(KU33&lt;=8449, (KU33-7242)*0.045 + 180.9,
                     (KU33-8449)*0.0495 + 235.17))))))),
    IF(E$1=2022,
       IF(KU33&gt;8968, (KU33-8968)*0.053 + 291,
       IF(KU33&gt;7847, (KU33-7847)*0.05 + 235,
       IF(KU33&gt;6726, (KU33-6726)*0.045 + 185,
       IF(KU33&gt;5605, (KU33-5605)*0.04 + 140,
       IF(KU33&gt;4484, (KU33-4484)*0.035 + 101,
       IF(KU33&gt;3363, (KU33-3363)*0.03 + 67,
       IF(KU33&gt;2242, (KU33-2242)*0.025 + 39,
       IF(KU33&gt;1121, (KU33-1121)*0.02 + 17,
       IF(KU33&gt;111, KU33*0.015,
       0)))))))))))</f>
        <v>0</v>
      </c>
      <c r="KV34" s="118" t="b">
        <f t="shared" ref="KV34" si="604">IF(OR(F$1=2023,F$1=2024),
    IF(KV33&lt;=1207, 0,
       IF(KV33&lt;=2414, (KV33-1207)*0.02 + 0,
       IF(KV33&lt;=3621, (KV33-2414)*0.025 + 24.12,
       IF(KV33&lt;=4828, (KV33-3621)*0.03 + 54.27,
       IF(KV33&lt;=6035, (KV33-4828)*0.035 + 90.45,
       IF(KV33&lt;=7242, (KV33-6035)*0.04 + 132.66,
       IF(KV33&lt;=8449, (KV33-7242)*0.045 + 180.9,
                     (KV33-8449)*0.0495 + 235.17))))))),
    IF(F$1=2022,
       IF(KV33&gt;8968, (KV33-8968)*0.053 + 291,
       IF(KV33&gt;7847, (KV33-7847)*0.05 + 235,
       IF(KV33&gt;6726, (KV33-6726)*0.045 + 185,
       IF(KV33&gt;5605, (KV33-5605)*0.04 + 140,
       IF(KV33&gt;4484, (KV33-4484)*0.035 + 101,
       IF(KV33&gt;3363, (KV33-3363)*0.03 + 67,
       IF(KV33&gt;2242, (KV33-2242)*0.025 + 39,
       IF(KV33&gt;1121, (KV33-1121)*0.02 + 17,
       IF(KV33&gt;111, KV33*0.015,
       0)))))))))))</f>
        <v>0</v>
      </c>
      <c r="KW34" s="118" t="b">
        <f t="shared" ref="KW34" si="605">IF(OR(G$1=2023,G$1=2024),
    IF(KW33&lt;=1207, 0,
       IF(KW33&lt;=2414, (KW33-1207)*0.02 + 0,
       IF(KW33&lt;=3621, (KW33-2414)*0.025 + 24.12,
       IF(KW33&lt;=4828, (KW33-3621)*0.03 + 54.27,
       IF(KW33&lt;=6035, (KW33-4828)*0.035 + 90.45,
       IF(KW33&lt;=7242, (KW33-6035)*0.04 + 132.66,
       IF(KW33&lt;=8449, (KW33-7242)*0.045 + 180.9,
                     (KW33-8449)*0.0495 + 235.17))))))),
    IF(G$1=2022,
       IF(KW33&gt;8968, (KW33-8968)*0.053 + 291,
       IF(KW33&gt;7847, (KW33-7847)*0.05 + 235,
       IF(KW33&gt;6726, (KW33-6726)*0.045 + 185,
       IF(KW33&gt;5605, (KW33-5605)*0.04 + 140,
       IF(KW33&gt;4484, (KW33-4484)*0.035 + 101,
       IF(KW33&gt;3363, (KW33-3363)*0.03 + 67,
       IF(KW33&gt;2242, (KW33-2242)*0.025 + 39,
       IF(KW33&gt;1121, (KW33-1121)*0.02 + 17,
       IF(KW33&gt;111, KW33*0.015,
       0)))))))))))</f>
        <v>0</v>
      </c>
      <c r="KX34" s="118" t="b">
        <f t="shared" ref="KX34" si="606">IF(OR(H$1=2023,H$1=2024),
    IF(KX33&lt;=1207, 0,
       IF(KX33&lt;=2414, (KX33-1207)*0.02 + 0,
       IF(KX33&lt;=3621, (KX33-2414)*0.025 + 24.12,
       IF(KX33&lt;=4828, (KX33-3621)*0.03 + 54.27,
       IF(KX33&lt;=6035, (KX33-4828)*0.035 + 90.45,
       IF(KX33&lt;=7242, (KX33-6035)*0.04 + 132.66,
       IF(KX33&lt;=8449, (KX33-7242)*0.045 + 180.9,
                     (KX33-8449)*0.0495 + 235.17))))))),
    IF(H$1=2022,
       IF(KX33&gt;8968, (KX33-8968)*0.053 + 291,
       IF(KX33&gt;7847, (KX33-7847)*0.05 + 235,
       IF(KX33&gt;6726, (KX33-6726)*0.045 + 185,
       IF(KX33&gt;5605, (KX33-5605)*0.04 + 140,
       IF(KX33&gt;4484, (KX33-4484)*0.035 + 101,
       IF(KX33&gt;3363, (KX33-3363)*0.03 + 67,
       IF(KX33&gt;2242, (KX33-2242)*0.025 + 39,
       IF(KX33&gt;1121, (KX33-1121)*0.02 + 17,
       IF(KX33&gt;111, KX33*0.015,
       0)))))))))))</f>
        <v>0</v>
      </c>
      <c r="KY34" s="118" t="b">
        <f t="shared" ref="KY34" si="607">IF(OR(I$1=2023,I$1=2024),
    IF(KY33&lt;=1207, 0,
       IF(KY33&lt;=2414, (KY33-1207)*0.02 + 0,
       IF(KY33&lt;=3621, (KY33-2414)*0.025 + 24.12,
       IF(KY33&lt;=4828, (KY33-3621)*0.03 + 54.27,
       IF(KY33&lt;=6035, (KY33-4828)*0.035 + 90.45,
       IF(KY33&lt;=7242, (KY33-6035)*0.04 + 132.66,
       IF(KY33&lt;=8449, (KY33-7242)*0.045 + 180.9,
                     (KY33-8449)*0.0495 + 235.17))))))),
    IF(I$1=2022,
       IF(KY33&gt;8968, (KY33-8968)*0.053 + 291,
       IF(KY33&gt;7847, (KY33-7847)*0.05 + 235,
       IF(KY33&gt;6726, (KY33-6726)*0.045 + 185,
       IF(KY33&gt;5605, (KY33-5605)*0.04 + 140,
       IF(KY33&gt;4484, (KY33-4484)*0.035 + 101,
       IF(KY33&gt;3363, (KY33-3363)*0.03 + 67,
       IF(KY33&gt;2242, (KY33-2242)*0.025 + 39,
       IF(KY33&gt;1121, (KY33-1121)*0.02 + 17,
       IF(KY33&gt;111, KY33*0.015,
       0)))))))))))</f>
        <v>0</v>
      </c>
      <c r="KZ34" s="118" t="b">
        <f t="shared" ref="KZ34" si="608">IF(OR(J$1=2023,J$1=2024),
    IF(KZ33&lt;=1207, 0,
       IF(KZ33&lt;=2414, (KZ33-1207)*0.02 + 0,
       IF(KZ33&lt;=3621, (KZ33-2414)*0.025 + 24.12,
       IF(KZ33&lt;=4828, (KZ33-3621)*0.03 + 54.27,
       IF(KZ33&lt;=6035, (KZ33-4828)*0.035 + 90.45,
       IF(KZ33&lt;=7242, (KZ33-6035)*0.04 + 132.66,
       IF(KZ33&lt;=8449, (KZ33-7242)*0.045 + 180.9,
                     (KZ33-8449)*0.0495 + 235.17))))))),
    IF(J$1=2022,
       IF(KZ33&gt;8968, (KZ33-8968)*0.053 + 291,
       IF(KZ33&gt;7847, (KZ33-7847)*0.05 + 235,
       IF(KZ33&gt;6726, (KZ33-6726)*0.045 + 185,
       IF(KZ33&gt;5605, (KZ33-5605)*0.04 + 140,
       IF(KZ33&gt;4484, (KZ33-4484)*0.035 + 101,
       IF(KZ33&gt;3363, (KZ33-3363)*0.03 + 67,
       IF(KZ33&gt;2242, (KZ33-2242)*0.025 + 39,
       IF(KZ33&gt;1121, (KZ33-1121)*0.02 + 17,
       IF(KZ33&gt;111, KZ33*0.015,
       0)))))))))))</f>
        <v>0</v>
      </c>
      <c r="VX34" s="59">
        <v>0</v>
      </c>
    </row>
    <row r="35" spans="1:596" ht="15.75" thickBot="1" x14ac:dyDescent="0.3">
      <c r="A35" s="324" t="s">
        <v>17</v>
      </c>
      <c r="B35" s="158"/>
      <c r="C35" s="158"/>
      <c r="D35" s="158"/>
      <c r="E35" s="158"/>
      <c r="F35" s="158"/>
      <c r="G35" s="158"/>
      <c r="H35" s="158"/>
      <c r="I35" s="158"/>
      <c r="J35" s="158">
        <f t="shared" si="595"/>
        <v>0</v>
      </c>
      <c r="N35" s="128" t="str">
        <f>V47</f>
        <v>Charitable Foundation</v>
      </c>
      <c r="O35" s="60" t="e">
        <f t="shared" ref="O35:O44" si="609">R35*$P$28</f>
        <v>#N/A</v>
      </c>
      <c r="P35" s="60" t="e">
        <f t="shared" ref="P35:P44" si="610">O35*5</f>
        <v>#N/A</v>
      </c>
      <c r="Q35" s="60"/>
      <c r="R35" s="274" t="e">
        <f t="shared" ref="R35:R44" si="611">INDEX($AE$32:$AE$44, MATCH(N35, $V$32:$V$44, 0))</f>
        <v>#N/A</v>
      </c>
      <c r="T35" cm="1">
        <f t="array" aca="1" ref="T35" ca="1">SUMPRODUCT(--(ISNUMBER(FIND("R35", _xlfn.FORMULATEXT($B$26:$I$143)))))</f>
        <v>0</v>
      </c>
      <c r="V35" s="129" t="s">
        <v>23</v>
      </c>
      <c r="W35" s="144">
        <v>10000</v>
      </c>
      <c r="X35" s="140" t="s">
        <v>1</v>
      </c>
      <c r="Y35" s="140" t="s">
        <v>1</v>
      </c>
      <c r="Z35" s="140" t="s">
        <v>1</v>
      </c>
      <c r="AA35" s="140" t="s">
        <v>1</v>
      </c>
      <c r="AB35" s="140" t="s">
        <v>1</v>
      </c>
      <c r="AC35" s="140" t="s">
        <v>1</v>
      </c>
      <c r="AD35" s="140" t="s">
        <v>1</v>
      </c>
      <c r="AE35" s="130">
        <f>W35</f>
        <v>10000</v>
      </c>
      <c r="AF35" s="131" t="s">
        <v>507</v>
      </c>
      <c r="AG35" s="132"/>
      <c r="AH35" s="132"/>
      <c r="AI35" s="132"/>
      <c r="AJ35" s="132"/>
      <c r="AK35" s="132"/>
      <c r="AL35" s="132"/>
      <c r="AM35" s="133"/>
      <c r="KQ35" t="s">
        <v>298</v>
      </c>
      <c r="KR35" s="120" t="e">
        <f t="shared" ref="KR35:KY35" si="612">ROUND(KR46/KR19,2)</f>
        <v>#DIV/0!</v>
      </c>
      <c r="KS35" s="120" t="e">
        <f t="shared" si="612"/>
        <v>#DIV/0!</v>
      </c>
      <c r="KT35" s="120" t="e">
        <f t="shared" si="612"/>
        <v>#DIV/0!</v>
      </c>
      <c r="KU35" s="120" t="e">
        <f t="shared" si="612"/>
        <v>#DIV/0!</v>
      </c>
      <c r="KV35" s="120" t="e">
        <f t="shared" si="612"/>
        <v>#DIV/0!</v>
      </c>
      <c r="KW35" s="120" t="e">
        <f t="shared" si="612"/>
        <v>#DIV/0!</v>
      </c>
      <c r="KX35" s="120" t="e">
        <f t="shared" si="612"/>
        <v>#DIV/0!</v>
      </c>
      <c r="KY35" s="120" t="e">
        <f t="shared" si="612"/>
        <v>#DIV/0!</v>
      </c>
      <c r="KZ35" s="120" t="e">
        <f t="shared" ref="KZ35" si="613">ROUND(KZ46/KZ19,2)</f>
        <v>#DIV/0!</v>
      </c>
      <c r="VX35" s="59">
        <v>0</v>
      </c>
    </row>
    <row r="36" spans="1:596" ht="15.75" thickBot="1" x14ac:dyDescent="0.3">
      <c r="A36" s="324" t="s">
        <v>69</v>
      </c>
      <c r="B36" s="158"/>
      <c r="C36" s="158"/>
      <c r="D36" s="158"/>
      <c r="E36" s="158"/>
      <c r="F36" s="158"/>
      <c r="G36" s="158"/>
      <c r="H36" s="158"/>
      <c r="I36" s="158"/>
      <c r="J36" s="158">
        <f t="shared" si="595"/>
        <v>0</v>
      </c>
      <c r="N36" s="128" t="str">
        <f>V38</f>
        <v>Hiring Children &amp; Family</v>
      </c>
      <c r="O36" s="60" t="e">
        <f t="shared" si="609"/>
        <v>#VALUE!</v>
      </c>
      <c r="P36" s="60" t="e">
        <f t="shared" si="610"/>
        <v>#VALUE!</v>
      </c>
      <c r="Q36" s="60"/>
      <c r="R36" s="274" t="str">
        <f t="shared" si="611"/>
        <v>Invalid Year</v>
      </c>
      <c r="T36" cm="1">
        <f t="array" aca="1" ref="T36" ca="1">SUMPRODUCT(--(ISNUMBER(FIND("R36", _xlfn.FORMULATEXT($B$26:$I$143)))))</f>
        <v>0</v>
      </c>
      <c r="V36" s="134" t="s">
        <v>253</v>
      </c>
      <c r="W36" s="148">
        <v>1000</v>
      </c>
      <c r="X36" s="135" t="s">
        <v>1</v>
      </c>
      <c r="Y36" s="135" t="s">
        <v>1</v>
      </c>
      <c r="Z36" s="135" t="s">
        <v>1</v>
      </c>
      <c r="AA36" s="135" t="s">
        <v>1</v>
      </c>
      <c r="AB36" s="135" t="s">
        <v>1</v>
      </c>
      <c r="AC36" s="135" t="s">
        <v>1</v>
      </c>
      <c r="AD36" s="135" t="s">
        <v>1</v>
      </c>
      <c r="AE36" s="136">
        <f>W36</f>
        <v>1000</v>
      </c>
      <c r="AF36" s="137" t="s">
        <v>265</v>
      </c>
      <c r="AG36" s="138"/>
      <c r="AH36" s="138"/>
      <c r="AI36" s="138"/>
      <c r="AJ36" s="138"/>
      <c r="AK36" s="138"/>
      <c r="AL36" s="138"/>
      <c r="AM36" s="139"/>
      <c r="KQ36" s="6" t="s">
        <v>299</v>
      </c>
      <c r="KR36" s="117" t="e">
        <f>KR32*KR35</f>
        <v>#DIV/0!</v>
      </c>
      <c r="KS36" s="117" t="e">
        <f t="shared" ref="KS36:KY36" si="614">KS32*KS35</f>
        <v>#DIV/0!</v>
      </c>
      <c r="KT36" s="117" t="e">
        <f t="shared" si="614"/>
        <v>#DIV/0!</v>
      </c>
      <c r="KU36" s="117" t="e">
        <f t="shared" si="614"/>
        <v>#DIV/0!</v>
      </c>
      <c r="KV36" s="117" t="e">
        <f t="shared" si="614"/>
        <v>#DIV/0!</v>
      </c>
      <c r="KW36" s="117" t="e">
        <f t="shared" si="614"/>
        <v>#DIV/0!</v>
      </c>
      <c r="KX36" s="117" t="e">
        <f t="shared" si="614"/>
        <v>#DIV/0!</v>
      </c>
      <c r="KY36" s="117" t="e">
        <f t="shared" si="614"/>
        <v>#DIV/0!</v>
      </c>
      <c r="KZ36" s="117" t="e">
        <f t="shared" ref="KZ36" si="615">KZ32*KZ35</f>
        <v>#DIV/0!</v>
      </c>
      <c r="VX36" s="59">
        <v>0</v>
      </c>
    </row>
    <row r="37" spans="1:596" ht="15.75" thickBot="1" x14ac:dyDescent="0.3">
      <c r="A37" s="324" t="s">
        <v>94</v>
      </c>
      <c r="B37" s="158"/>
      <c r="C37" s="158"/>
      <c r="D37" s="158"/>
      <c r="E37" s="158"/>
      <c r="F37" s="158"/>
      <c r="G37" s="158"/>
      <c r="H37" s="158"/>
      <c r="I37" s="158"/>
      <c r="J37" s="158">
        <f t="shared" si="595"/>
        <v>0</v>
      </c>
      <c r="N37" s="128" t="str">
        <f>V43</f>
        <v>Professional Fees</v>
      </c>
      <c r="O37" s="60" t="e">
        <f t="shared" si="609"/>
        <v>#VALUE!</v>
      </c>
      <c r="P37" s="60" t="e">
        <f t="shared" si="610"/>
        <v>#VALUE!</v>
      </c>
      <c r="Q37" s="60"/>
      <c r="R37" s="274">
        <f t="shared" si="611"/>
        <v>3000</v>
      </c>
      <c r="T37" cm="1">
        <f t="array" aca="1" ref="T37" ca="1">SUMPRODUCT(--(ISNUMBER(FIND("R37", _xlfn.FORMULATEXT($B$26:$I$143)))))</f>
        <v>0</v>
      </c>
      <c r="V37" s="129" t="s">
        <v>263</v>
      </c>
      <c r="W37" s="144">
        <v>5000</v>
      </c>
      <c r="X37" s="140" t="s">
        <v>1</v>
      </c>
      <c r="Y37" s="140" t="s">
        <v>1</v>
      </c>
      <c r="Z37" s="140" t="s">
        <v>1</v>
      </c>
      <c r="AA37" s="140" t="s">
        <v>1</v>
      </c>
      <c r="AB37" s="140" t="s">
        <v>1</v>
      </c>
      <c r="AC37" s="140" t="s">
        <v>1</v>
      </c>
      <c r="AD37" s="140" t="s">
        <v>1</v>
      </c>
      <c r="AE37" s="130">
        <f>W37</f>
        <v>5000</v>
      </c>
      <c r="AF37" s="131" t="s">
        <v>274</v>
      </c>
      <c r="AG37" s="132"/>
      <c r="AH37" s="132"/>
      <c r="AI37" s="132"/>
      <c r="AJ37" s="132"/>
      <c r="AK37" s="132"/>
      <c r="AL37" s="132"/>
      <c r="AM37" s="133"/>
      <c r="KQ37" t="s">
        <v>300</v>
      </c>
      <c r="KR37" s="121" t="e">
        <f t="shared" ref="KR37:KY37" si="616">ROUND(KR52/KR23,2)</f>
        <v>#DIV/0!</v>
      </c>
      <c r="KS37" s="121" t="e">
        <f t="shared" si="616"/>
        <v>#DIV/0!</v>
      </c>
      <c r="KT37" s="121" t="e">
        <f t="shared" si="616"/>
        <v>#DIV/0!</v>
      </c>
      <c r="KU37" s="121" t="e">
        <f t="shared" si="616"/>
        <v>#DIV/0!</v>
      </c>
      <c r="KV37" s="121" t="e">
        <f t="shared" si="616"/>
        <v>#DIV/0!</v>
      </c>
      <c r="KW37" s="121" t="e">
        <f t="shared" si="616"/>
        <v>#DIV/0!</v>
      </c>
      <c r="KX37" s="121" t="e">
        <f t="shared" si="616"/>
        <v>#DIV/0!</v>
      </c>
      <c r="KY37" s="121" t="e">
        <f t="shared" si="616"/>
        <v>#DIV/0!</v>
      </c>
      <c r="KZ37" s="121" t="e">
        <f t="shared" ref="KZ37" si="617">ROUND(KZ52/KZ23,2)</f>
        <v>#DIV/0!</v>
      </c>
      <c r="VX37" s="59">
        <v>0</v>
      </c>
    </row>
    <row r="38" spans="1:596" ht="15.75" thickBot="1" x14ac:dyDescent="0.3">
      <c r="A38" s="324" t="s">
        <v>228</v>
      </c>
      <c r="B38" s="158"/>
      <c r="C38" s="158"/>
      <c r="D38" s="158"/>
      <c r="E38" s="158"/>
      <c r="F38" s="158"/>
      <c r="G38" s="158"/>
      <c r="H38" s="158"/>
      <c r="I38" s="158"/>
      <c r="J38" s="158">
        <f t="shared" si="595"/>
        <v>0</v>
      </c>
      <c r="N38" s="128" t="str">
        <f>V33</f>
        <v>Accountable Plan</v>
      </c>
      <c r="O38" s="60" t="e">
        <f t="shared" si="609"/>
        <v>#VALUE!</v>
      </c>
      <c r="P38" s="60" t="e">
        <f t="shared" si="610"/>
        <v>#VALUE!</v>
      </c>
      <c r="Q38" s="60"/>
      <c r="R38" s="274">
        <f t="shared" si="611"/>
        <v>3500</v>
      </c>
      <c r="T38" cm="1">
        <f t="array" aca="1" ref="T38" ca="1">SUMPRODUCT(--(ISNUMBER(FIND("R38", _xlfn.FORMULATEXT($B$26:$I$143)))))</f>
        <v>0</v>
      </c>
      <c r="V38" s="134" t="s">
        <v>30</v>
      </c>
      <c r="W38" s="143" t="str">
        <f>W32</f>
        <v>[Fill if Necessary]</v>
      </c>
      <c r="X38" s="135">
        <f>Q76</f>
        <v>1</v>
      </c>
      <c r="Y38" s="135" t="s">
        <v>1</v>
      </c>
      <c r="Z38" s="135" t="s">
        <v>1</v>
      </c>
      <c r="AA38" s="135" t="s">
        <v>1</v>
      </c>
      <c r="AB38" s="135" t="s">
        <v>1</v>
      </c>
      <c r="AC38" s="135" t="s">
        <v>1</v>
      </c>
      <c r="AD38" s="135" t="s">
        <v>1</v>
      </c>
      <c r="AE38" s="136" t="str">
        <f>IF(W38 = 2022, 12950 * X38,
  IF(W38 = 2023, 13850 * X38,
    IF(W38 = 2024, 14600 * X38, "Invalid Year")))</f>
        <v>Invalid Year</v>
      </c>
      <c r="AF38" s="137" t="s">
        <v>266</v>
      </c>
      <c r="AG38" s="138"/>
      <c r="AH38" s="138"/>
      <c r="AI38" s="138"/>
      <c r="AJ38" s="138"/>
      <c r="AK38" s="138"/>
      <c r="AL38" s="138"/>
      <c r="AM38" s="139"/>
      <c r="KQ38" s="6" t="s">
        <v>301</v>
      </c>
      <c r="KR38" s="119" t="e">
        <f>KR34*KR37</f>
        <v>#DIV/0!</v>
      </c>
      <c r="KS38" s="119" t="e">
        <f t="shared" ref="KS38:KY38" si="618">KS34*KS37</f>
        <v>#DIV/0!</v>
      </c>
      <c r="KT38" s="119" t="e">
        <f t="shared" si="618"/>
        <v>#DIV/0!</v>
      </c>
      <c r="KU38" s="119" t="e">
        <f t="shared" si="618"/>
        <v>#DIV/0!</v>
      </c>
      <c r="KV38" s="119" t="e">
        <f t="shared" si="618"/>
        <v>#DIV/0!</v>
      </c>
      <c r="KW38" s="119" t="e">
        <f t="shared" si="618"/>
        <v>#DIV/0!</v>
      </c>
      <c r="KX38" s="119" t="e">
        <f t="shared" si="618"/>
        <v>#DIV/0!</v>
      </c>
      <c r="KY38" s="119" t="e">
        <f t="shared" si="618"/>
        <v>#DIV/0!</v>
      </c>
      <c r="KZ38" s="119" t="e">
        <f t="shared" ref="KZ38" si="619">KZ34*KZ37</f>
        <v>#DIV/0!</v>
      </c>
      <c r="VX38" s="59">
        <v>0</v>
      </c>
    </row>
    <row r="39" spans="1:596" ht="15.75" thickBot="1" x14ac:dyDescent="0.3">
      <c r="A39" s="325" t="s">
        <v>542</v>
      </c>
      <c r="B39" s="155"/>
      <c r="C39" s="155"/>
      <c r="D39" s="155"/>
      <c r="E39" s="155"/>
      <c r="F39" s="155"/>
      <c r="G39" s="155"/>
      <c r="H39" s="155"/>
      <c r="I39" s="155"/>
      <c r="J39" s="155" cm="1">
        <f t="array" ref="J39">B39 + IF(ISNUMBER(SEARCH("Yes", N59)), B43, 0) + IF(ISNUMBER(SEARCH("Yes", N61)), B45, 0) + IF(A39=O94, SUMPRODUCT((A40:A50=O94) * ABS(J40:J50 * P94)) + SUMPRODUCT((A40:A50=O93) * ABS(J40:J50 * P94)) + SUMPRODUCT((A40:A50=P93) * ABS(J40:J50 * P94)) + SUMPRODUCT((A40:A50=Q93) * ABS(J40:J50 * P94)) + SUMPRODUCT((A40:A50=R93) * ABS(J40:J50 * P94)) + SUMPRODUCT((A40:A50=S93) * ABS(J40:J50 * P94)), 0)</f>
        <v>0</v>
      </c>
      <c r="K39" s="6"/>
      <c r="N39" s="128" t="str">
        <f>V39</f>
        <v>Home Office</v>
      </c>
      <c r="O39" s="60" t="e">
        <f t="shared" si="609"/>
        <v>#VALUE!</v>
      </c>
      <c r="P39" s="60" t="e">
        <f t="shared" si="610"/>
        <v>#VALUE!</v>
      </c>
      <c r="Q39" s="60"/>
      <c r="R39" s="274">
        <f t="shared" si="611"/>
        <v>6000</v>
      </c>
      <c r="T39" cm="1">
        <f t="array" aca="1" ref="T39" ca="1">SUMPRODUCT(--(ISNUMBER(FIND("R39", _xlfn.FORMULATEXT($B$26:$I$143)))))</f>
        <v>0</v>
      </c>
      <c r="V39" s="129" t="s">
        <v>254</v>
      </c>
      <c r="W39" s="144">
        <v>6000</v>
      </c>
      <c r="X39" s="140" t="s">
        <v>1</v>
      </c>
      <c r="Y39" s="140" t="s">
        <v>1</v>
      </c>
      <c r="Z39" s="140" t="s">
        <v>1</v>
      </c>
      <c r="AA39" s="140" t="s">
        <v>1</v>
      </c>
      <c r="AB39" s="140" t="s">
        <v>1</v>
      </c>
      <c r="AC39" s="140" t="s">
        <v>1</v>
      </c>
      <c r="AD39" s="140" t="s">
        <v>1</v>
      </c>
      <c r="AE39" s="130">
        <f>W39</f>
        <v>6000</v>
      </c>
      <c r="AF39" s="131" t="s">
        <v>276</v>
      </c>
      <c r="AG39" s="132"/>
      <c r="AH39" s="132"/>
      <c r="AI39" s="132"/>
      <c r="AJ39" s="132"/>
      <c r="AK39" s="132"/>
      <c r="AL39" s="132"/>
      <c r="AM39" s="133"/>
      <c r="JY39" s="253"/>
      <c r="KQ39" t="s">
        <v>302</v>
      </c>
      <c r="KR39" s="6" t="e">
        <f>KR36+KR38</f>
        <v>#DIV/0!</v>
      </c>
      <c r="KS39" s="6" t="e">
        <f t="shared" ref="KS39:KY39" si="620">KS36+KS38</f>
        <v>#DIV/0!</v>
      </c>
      <c r="KT39" s="6" t="e">
        <f t="shared" si="620"/>
        <v>#DIV/0!</v>
      </c>
      <c r="KU39" s="6" t="e">
        <f t="shared" si="620"/>
        <v>#DIV/0!</v>
      </c>
      <c r="KV39" s="6" t="e">
        <f t="shared" si="620"/>
        <v>#DIV/0!</v>
      </c>
      <c r="KW39" s="6" t="e">
        <f t="shared" si="620"/>
        <v>#DIV/0!</v>
      </c>
      <c r="KX39" s="6" t="e">
        <f t="shared" si="620"/>
        <v>#DIV/0!</v>
      </c>
      <c r="KY39" s="6" t="e">
        <f t="shared" si="620"/>
        <v>#DIV/0!</v>
      </c>
      <c r="KZ39" s="6" t="e">
        <f t="shared" ref="KZ39" si="621">KZ36+KZ38</f>
        <v>#DIV/0!</v>
      </c>
      <c r="VX39" s="59">
        <v>0</v>
      </c>
    </row>
    <row r="40" spans="1:596" ht="15.75" thickBot="1" x14ac:dyDescent="0.3">
      <c r="A40" s="325" t="str">
        <f>SUBSTITUTE(A39, "Income", "Expenses")</f>
        <v xml:space="preserve">Business 1 Expenses - </v>
      </c>
      <c r="B40" s="155"/>
      <c r="C40" s="155"/>
      <c r="D40" s="155"/>
      <c r="E40" s="155"/>
      <c r="F40" s="155"/>
      <c r="G40" s="155"/>
      <c r="H40" s="155"/>
      <c r="I40" s="155"/>
      <c r="J40" s="155">
        <f>IF(ISNUMBER(SEARCH("Yes", N59)), B44, 0) +
IF(ISNUMBER(SEARCH("Yes", N61)), B46, 0) -
SUMIFS(S67:S89, N67:N89, A40) + B40 -
IF(OR(A40=SUBSTITUTE(O93, "Income", "Expenses"), A40=SUBSTITUTE(P93, "Income", "Expenses"), A40=SUBSTITUTE(Q93, "Income", "Expenses"), A40=SUBSTITUTE(R93, "Income", "Expenses"), A40=SUBSTITUTE(S93, "Income", "Expenses")), J39 * P94, 0) +
IF(ISNUMBER(SEARCH(A40, N67)),
    IF(S67 &gt; IF(
        ISNUMBER(SEARCH("Yes Catch-Up", P67)),
        IF(J1=2024, 30500, IF(J1=2023, 30000, IF(J1=2022, 27000, 0))),
        IF(
            ISNUMBER(SEARCH("No Catch-Up", P67)),
            IF(J1=2024, 23000, IF(J1=2023, 22500, IF(J1=2022, 20500, 0))),
            0
        )
    ), -1 * (S67 - IF(
        ISNUMBER(SEARCH("Yes Catch-Up", P67)),
        IF(J1=2024, 30500, IF(J1=2023, 30000, IF(J1=2022, 27000, 0))),
        IF(
            ISNUMBER(SEARCH("No Catch-Up", P67)),
            IF(J1=2024, 23000, IF(J1=2023, 22500, IF(J1=2022, 20500, 0))),
            0
        )
    )), 0),
    0
) +
IF(ISNUMBER(SEARCH(A40, N68)),
    IF(S68 &gt; IF(
        ISNUMBER(SEARCH("Yes Catch-Up", P68)),
        IF(J1=2024, 30500, IF(J1=2023, 30000, IF(J1=2022, 27000, 0))),
        IF(
            ISNUMBER(SEARCH("No Catch-Up", P68)),
            IF(J1=2024, 23000, IF(J1=2023, 22500, IF(J1=2022, 20500, 0))),
            0
        )
    ), -1 * (S68 - IF(
        ISNUMBER(SEARCH("Yes Catch-Up", P68)),
        IF(J1=2024, 30500, IF(J1=2023, 30000, IF(J1=2022, 27000, 0))),
        IF(
            ISNUMBER(SEARCH("No Catch-Up", P68)),
            IF(J1=2024, 23000, IF(J1=2023, 22500, IF(J1=2022, 20500, 0))),
            0
        )
    )), 0),
    0
)</f>
        <v>0</v>
      </c>
      <c r="K40" s="6"/>
      <c r="L40" s="6"/>
      <c r="N40" s="128" t="str">
        <f>V34</f>
        <v>Admin HO</v>
      </c>
      <c r="O40" s="60" t="e">
        <f t="shared" si="609"/>
        <v>#VALUE!</v>
      </c>
      <c r="P40" s="60" t="e">
        <f t="shared" si="610"/>
        <v>#VALUE!</v>
      </c>
      <c r="Q40" s="60"/>
      <c r="R40" s="274">
        <f t="shared" si="611"/>
        <v>5800</v>
      </c>
      <c r="T40" cm="1">
        <f t="array" aca="1" ref="T40" ca="1">SUMPRODUCT(--(ISNUMBER(FIND("R40", _xlfn.FORMULATEXT($B$26:$I$143)))))</f>
        <v>0</v>
      </c>
      <c r="V40" s="134" t="s">
        <v>237</v>
      </c>
      <c r="W40" s="143" t="str">
        <f>W32</f>
        <v>[Fill if Necessary]</v>
      </c>
      <c r="X40" s="135" t="str">
        <f>P78</f>
        <v>Single</v>
      </c>
      <c r="Y40" s="135" t="str">
        <f>Q78</f>
        <v>No 55 Year Old Contribution</v>
      </c>
      <c r="Z40" s="135" t="s">
        <v>1</v>
      </c>
      <c r="AA40" s="135" t="s">
        <v>1</v>
      </c>
      <c r="AB40" s="135" t="s">
        <v>1</v>
      </c>
      <c r="AC40" s="135" t="s">
        <v>1</v>
      </c>
      <c r="AD40" s="135" t="s">
        <v>1</v>
      </c>
      <c r="AE40" s="136" t="str">
        <f>IF(W40 = 2022,
    IF(TRIM(UPPER(X40)) = "SINGLE",
        IF(TRIM(UPPER(Y40)) = "55 YEAR OLD CONTRIBUTION", 3650 + 1000,
            IF(TRIM(UPPER(Y40)) = "NO 55 YEAR OLD CONTRIBUTION", 3650, "Invalid Contribution Status")),
        IF(TRIM(UPPER(X40)) = "FAMILY",
            IF(TRIM(UPPER(Y40)) = "55 YEAR OLD CONTRIBUTION", 7300 + 1000,
                IF(TRIM(UPPER(Y40)) = "NO 55 YEAR OLD CONTRIBUTION", 7300, "Invalid Contribution Status")),
            "Invalid Filing Status")),
    IF(W40 = 2023,
        IF(TRIM(UPPER(X40)) = "SINGLE",
            IF(TRIM(UPPER(Y40)) = "55 YEAR OLD CONTRIBUTION", 3850 + 1000,
                IF(TRIM(UPPER(Y40)) = "NO 55 YEAR OLD CONTRIBUTION", 3850, "Invalid Contribution Status")),
            IF(TRIM(UPPER(X40)) = "FAMILY",
                IF(TRIM(UPPER(Y40)) = "55 YEAR OLD CONTRIBUTION", 7750 + 1000,
                    IF(TRIM(UPPER(Y40)) = "NO 55 YEAR OLD CONTRIBUTION", 7750, "Invalid Contribution Status")),
                "Invalid Filing Status")),
        IF(W40 = 2024,
            IF(TRIM(UPPER(X40)) = "SINGLE",
                IF(TRIM(UPPER(Y40)) = "55 YEAR OLD CONTRIBUTION", 4150 + 1000,
                    IF(TRIM(UPPER(Y40)) = "NO 55 YEAR OLD CONTRIBUTION", 4150, "Invalid Contribution Status")),
                IF(TRIM(UPPER(X40)) = "FAMILY",
                    IF(TRIM(UPPER(Y40)) = "55 YEAR OLD CONTRIBUTION", 8300 + 1000,
                        IF(TRIM(UPPER(Y40)) = "NO 55 YEAR OLD CONTRIBUTION", 8300, "Invalid Contribution Status")),
                    "Invalid Filing Status")),
            "Invalid Year")))</f>
        <v>Invalid Year</v>
      </c>
      <c r="AF40" s="137" t="s">
        <v>275</v>
      </c>
      <c r="AG40" s="138"/>
      <c r="AH40" s="138"/>
      <c r="AI40" s="138"/>
      <c r="AJ40" s="138"/>
      <c r="AK40" s="138"/>
      <c r="AL40" s="138"/>
      <c r="AM40" s="139"/>
      <c r="JY40" s="253"/>
      <c r="VX40" s="59">
        <v>0</v>
      </c>
    </row>
    <row r="41" spans="1:596" ht="15.75" thickBot="1" x14ac:dyDescent="0.3">
      <c r="A41" s="325" t="s">
        <v>99</v>
      </c>
      <c r="B41" s="155"/>
      <c r="C41" s="155"/>
      <c r="D41" s="155"/>
      <c r="E41" s="155"/>
      <c r="F41" s="155"/>
      <c r="G41" s="155"/>
      <c r="H41" s="155"/>
      <c r="I41" s="155"/>
      <c r="J41" s="155" cm="1">
        <f t="array" ref="J41">B41 + IF(ISNUMBER(SEARCH("Yes", N60)), B43, 0) + IF(ISNUMBER(SEARCH("Yes", N62)), B45, 0) + IF(A41=O94, SUMPRODUCT(--(A42:A50=O94), ABS(J42:J50 * P94)) + SUMPRODUCT(--(A42:A50=O93), ABS(J42:J50 * P94)) + SUMPRODUCT(--(A42:A50=P93), ABS(J42:J50 * P94)) + SUMPRODUCT(--(A42:A50=Q93), ABS(J42:J50 * P94)) + SUMPRODUCT(--(A42:A50=R93), ABS(J42:J50 * P94)) + SUMPRODUCT(--(A42:A50=S93), ABS(J42:J50 * P94)) + SUMPRODUCT(--(A40=O94), ABS(J40 * P94)) + SUMPRODUCT(--(A40=O93), ABS(J40 * P94)) + SUMPRODUCT(--(A40=P93), ABS(J40 * P94)) + SUMPRODUCT(--(A40=Q93), ABS(J40 * P94)) + SUMPRODUCT(--(A40=R93), ABS(J40 * P94)) + SUMPRODUCT(--(A40=S93), ABS(J40 * P94)) + SUMPRODUCT(--(A39=O94), ABS(J39 * P94)) + SUMPRODUCT(--(A39=O93), ABS(J39 * P94)) + SUMPRODUCT(--(A39=P93), ABS(J39 * P94)) + SUMPRODUCT(--(A39=Q93), ABS(J39 * P94)) + SUMPRODUCT(--(A39=R93), ABS(J39 * P94)) + SUMPRODUCT(--(A39=S93), ABS(J39 * P94)), 0)</f>
        <v>0</v>
      </c>
      <c r="K41" s="6"/>
      <c r="N41" s="128" t="str">
        <f>V35</f>
        <v>Augusta</v>
      </c>
      <c r="O41" s="60" t="e">
        <f t="shared" si="609"/>
        <v>#VALUE!</v>
      </c>
      <c r="P41" s="60" t="e">
        <f t="shared" si="610"/>
        <v>#VALUE!</v>
      </c>
      <c r="Q41" s="60"/>
      <c r="R41" s="274">
        <f t="shared" si="611"/>
        <v>10000</v>
      </c>
      <c r="T41" cm="1">
        <f t="array" aca="1" ref="T41" ca="1">SUMPRODUCT(--(ISNUMBER(FIND("R41", _xlfn.FORMULATEXT($B$26:$I$143)))))</f>
        <v>0</v>
      </c>
      <c r="V41" s="129" t="s">
        <v>260</v>
      </c>
      <c r="W41" s="296" t="str">
        <f>W32</f>
        <v>[Fill if Necessary]</v>
      </c>
      <c r="X41" s="140" t="str">
        <f>P79</f>
        <v>Younger than 50</v>
      </c>
      <c r="Y41" s="140" t="s">
        <v>1</v>
      </c>
      <c r="Z41" s="140" t="s">
        <v>1</v>
      </c>
      <c r="AA41" s="140" t="s">
        <v>1</v>
      </c>
      <c r="AB41" s="140" t="s">
        <v>1</v>
      </c>
      <c r="AC41" s="140" t="s">
        <v>1</v>
      </c>
      <c r="AD41" s="140" t="s">
        <v>1</v>
      </c>
      <c r="AE41" s="130" t="str">
        <f>IF(W41 = 2022,
    IF(X41 = "Younger than 50", 6000,
    IF(X41 = "Older than 50", 7000, "Invalid Age Category")),
  IF(W41 = 2023,
    IF(X41 = "Younger than 50", 6500,
    IF(X41 = "Older than 50", 7500, "Invalid Age Category")),
  IF(W41 = 2024,
    IF(X41 = "Younger than 50", 7000,
    IF(X41 = "Older than 50", 8000, "Invalid Age Category")),
  "Invalid Year")))</f>
        <v>Invalid Year</v>
      </c>
      <c r="AF41" s="131" t="s">
        <v>324</v>
      </c>
      <c r="AG41" s="132"/>
      <c r="AH41" s="132"/>
      <c r="AI41" s="132"/>
      <c r="AJ41" s="132"/>
      <c r="AK41" s="132"/>
      <c r="AL41" s="132"/>
      <c r="AM41" s="133"/>
      <c r="JY41" s="253"/>
      <c r="VX41" s="59">
        <v>0</v>
      </c>
    </row>
    <row r="42" spans="1:596" ht="15.75" thickBot="1" x14ac:dyDescent="0.3">
      <c r="A42" s="325" t="str">
        <f>SUBSTITUTE(A41, "Income", "Expenses")</f>
        <v xml:space="preserve">Business 2 Expenses - </v>
      </c>
      <c r="B42" s="155"/>
      <c r="C42" s="155"/>
      <c r="D42" s="155"/>
      <c r="E42" s="155"/>
      <c r="F42" s="155"/>
      <c r="G42" s="155"/>
      <c r="H42" s="155"/>
      <c r="I42" s="155"/>
      <c r="J42" s="155">
        <f>IF(ISNUMBER(SEARCH("Yes", N60)), B44, 0) +
IF(ISNUMBER(SEARCH("Yes", N62)), B46, 0) -
SUMIFS(S67:S89, N67:N89, A42) + B42 -
IF(OR(A42=SUBSTITUTE(O93, "Income", "Expenses"), A42=SUBSTITUTE(P93, "Income", "Expenses"), A42=SUBSTITUTE(Q93, "Income", "Expenses"), A42=SUBSTITUTE(R93, "Income", "Expenses"), A42=SUBSTITUTE(S93, "Income", "Expenses")), J41 * P94, 0) +
IF(ISNUMBER(SEARCH(A42, N67)),
    IF(S67 &gt; IF(
        ISNUMBER(SEARCH("Yes Catch-Up", P67)),
        IF(J1=2024, 30500, IF(J1=2023, 30000, IF(J1=2022, 27000, 0))),
        IF(
            ISNUMBER(SEARCH("No Catch-Up", P67)),
            IF(J1=2024, 23000, IF(J1=2023, 22500, IF(J1=2022, 20500, 0))),
            0
        )
    ), -1 * (S67 - IF(
        ISNUMBER(SEARCH("Yes Catch-Up", P67)),
        IF(J1=2024, 30500, IF(J1=2023, 30000, IF(J1=2022, 27000, 0))),
        IF(
            ISNUMBER(SEARCH("No Catch-Up", P67)),
            IF(J1=2024, 23000, IF(J1=2023, 22500, IF(J1=2022, 20500, 0))),
            0
        )
    )), 0),
    0
) +
IF(ISNUMBER(SEARCH(A42, N68)),
    IF(S68 &gt; IF(
        ISNUMBER(SEARCH("Yes Catch-Up", P68)),
        IF(J1=2024, 30500, IF(J1=2023, 30000, IF(J1=2022, 27000, 0))),
        IF(
            ISNUMBER(SEARCH("No Catch-Up", P68)),
            IF(J1=2024, 23000, IF(J1=2023, 22500, IF(J1=2022, 20500, 0))),
            0
        )
    ), -1 * (S68 - IF(
        ISNUMBER(SEARCH("Yes Catch-Up", P68)),
        IF(J1=2024, 30500, IF(J1=2023, 30000, IF(J1=2022, 27000, 0))),
        IF(
            ISNUMBER(SEARCH("No Catch-Up", P68)),
            IF(J1=2024, 23000, IF(J1=2023, 22500, IF(J1=2022, 20500, 0))),
            0
        )
    )), 0),
    0
)</f>
        <v>0</v>
      </c>
      <c r="K42" s="6"/>
      <c r="N42" s="128" t="str">
        <f>V36</f>
        <v>Disability</v>
      </c>
      <c r="O42" s="60" t="e">
        <f t="shared" si="609"/>
        <v>#VALUE!</v>
      </c>
      <c r="P42" s="60" t="e">
        <f t="shared" si="610"/>
        <v>#VALUE!</v>
      </c>
      <c r="Q42" s="60"/>
      <c r="R42" s="274">
        <f t="shared" si="611"/>
        <v>1000</v>
      </c>
      <c r="T42" cm="1">
        <f t="array" aca="1" ref="T42" ca="1">SUMPRODUCT(--(ISNUMBER(FIND("R42", _xlfn.FORMULATEXT($B$26:$I$143)))))</f>
        <v>0</v>
      </c>
      <c r="V42" s="134" t="s">
        <v>40</v>
      </c>
      <c r="W42" s="149">
        <v>0.77</v>
      </c>
      <c r="X42" s="148">
        <f>Q80</f>
        <v>100000</v>
      </c>
      <c r="Y42" s="135" t="s">
        <v>1</v>
      </c>
      <c r="Z42" s="135" t="s">
        <v>1</v>
      </c>
      <c r="AA42" s="135" t="s">
        <v>1</v>
      </c>
      <c r="AB42" s="135" t="s">
        <v>1</v>
      </c>
      <c r="AC42" s="135" t="s">
        <v>1</v>
      </c>
      <c r="AD42" s="135" t="s">
        <v>1</v>
      </c>
      <c r="AE42" s="136">
        <f>W42*X42</f>
        <v>77000</v>
      </c>
      <c r="AF42" s="137" t="s">
        <v>267</v>
      </c>
      <c r="AG42" s="138"/>
      <c r="AH42" s="138"/>
      <c r="AI42" s="138"/>
      <c r="AJ42" s="138"/>
      <c r="AK42" s="138"/>
      <c r="AL42" s="138"/>
      <c r="AM42" s="139"/>
      <c r="KQ42" t="s">
        <v>303</v>
      </c>
      <c r="KR42" s="88"/>
      <c r="KS42" s="88"/>
      <c r="KT42" s="88"/>
      <c r="KU42" s="88"/>
      <c r="KV42" s="88"/>
      <c r="KW42" s="88"/>
      <c r="KX42" s="88"/>
      <c r="KY42" s="88"/>
      <c r="KZ42" s="88"/>
      <c r="VX42" s="59">
        <v>0</v>
      </c>
    </row>
    <row r="43" spans="1:596" ht="15.75" thickBot="1" x14ac:dyDescent="0.3">
      <c r="A43" s="325" t="s">
        <v>531</v>
      </c>
      <c r="B43" s="155"/>
      <c r="C43" s="155"/>
      <c r="D43" s="155"/>
      <c r="E43" s="155"/>
      <c r="F43" s="155"/>
      <c r="G43" s="155"/>
      <c r="H43" s="155"/>
      <c r="I43" s="155"/>
      <c r="J43" s="155">
        <f>IF(OR(ISNUMBER(SEARCH("Yes", N59)), ISNUMBER(SEARCH("Yes", N60))), 0, B43)</f>
        <v>0</v>
      </c>
      <c r="K43" s="6"/>
      <c r="N43" s="128" t="str">
        <f>V40</f>
        <v>HSA</v>
      </c>
      <c r="O43" s="60" t="e">
        <f t="shared" si="609"/>
        <v>#VALUE!</v>
      </c>
      <c r="P43" s="60" t="e">
        <f t="shared" si="610"/>
        <v>#VALUE!</v>
      </c>
      <c r="Q43" s="60"/>
      <c r="R43" s="274" t="str">
        <f t="shared" si="611"/>
        <v>Invalid Year</v>
      </c>
      <c r="T43" cm="1">
        <f t="array" aca="1" ref="T43" ca="1">SUMPRODUCT(--(ISNUMBER(FIND("R43", _xlfn.FORMULATEXT($B$26:$I$143)))))</f>
        <v>0</v>
      </c>
      <c r="V43" s="129" t="s">
        <v>56</v>
      </c>
      <c r="W43" s="144" t="str">
        <f>P81</f>
        <v>1 Company</v>
      </c>
      <c r="X43" s="140" t="str">
        <f>Q81</f>
        <v>1 Personal Return</v>
      </c>
      <c r="Y43" s="140" t="s">
        <v>1</v>
      </c>
      <c r="Z43" s="140" t="s">
        <v>1</v>
      </c>
      <c r="AA43" s="140" t="s">
        <v>1</v>
      </c>
      <c r="AB43" s="140" t="s">
        <v>1</v>
      </c>
      <c r="AC43" s="140" t="s">
        <v>1</v>
      </c>
      <c r="AD43" s="140" t="s">
        <v>1</v>
      </c>
      <c r="AE43" s="130">
        <f>(VALUE(LEFT(W43, FIND(" ", W43) - 1)) * 2000) + (VALUE(LEFT(X43, FIND(" ", X43) - 1)) * 1000)</f>
        <v>3000</v>
      </c>
      <c r="AF43" s="131" t="s">
        <v>268</v>
      </c>
      <c r="AG43" s="132"/>
      <c r="AH43" s="132"/>
      <c r="AI43" s="132"/>
      <c r="AJ43" s="132"/>
      <c r="AK43" s="132"/>
      <c r="AL43" s="132"/>
      <c r="AM43" s="133"/>
      <c r="KQ43" t="s">
        <v>100</v>
      </c>
      <c r="KR43" s="115">
        <v>0</v>
      </c>
      <c r="KS43" s="115">
        <v>0</v>
      </c>
      <c r="KT43" s="115">
        <v>0</v>
      </c>
      <c r="KU43" s="115">
        <v>0</v>
      </c>
      <c r="KV43" s="115">
        <v>0</v>
      </c>
      <c r="KW43" s="115">
        <v>0</v>
      </c>
      <c r="KX43" s="115">
        <v>0</v>
      </c>
      <c r="KY43" s="115">
        <v>0</v>
      </c>
      <c r="KZ43" s="115">
        <v>0</v>
      </c>
      <c r="VX43" s="59">
        <v>0</v>
      </c>
    </row>
    <row r="44" spans="1:596" ht="15.75" thickBot="1" x14ac:dyDescent="0.3">
      <c r="A44" s="325" t="str">
        <f>SUBSTITUTE(A43, "Income", "Expenses")</f>
        <v xml:space="preserve">Schedule C-1 Expenses - </v>
      </c>
      <c r="B44" s="155"/>
      <c r="C44" s="155"/>
      <c r="D44" s="155"/>
      <c r="E44" s="155"/>
      <c r="F44" s="155"/>
      <c r="G44" s="155"/>
      <c r="H44" s="155"/>
      <c r="I44" s="155"/>
      <c r="J44" s="155">
        <f>IF(OR(ISNUMBER(SEARCH("Yes", N59)), ISNUMBER(SEARCH("Yes", N60))), 0,
   -SUMIFS(S67:S89, N67:N89, A44) + B44
) -
IF(OR(A44=SUBSTITUTE(O93, "Income", "Expenses"), A44=SUBSTITUTE(P93, "Income", "Expenses"), A44=SUBSTITUTE(Q93, "Income", "Expenses"), A44=SUBSTITUTE(R93, "Income", "Expenses"), A44=SUBSTITUTE(S93, "Income", "Expenses")), J43 * P94, 0)</f>
        <v>0</v>
      </c>
      <c r="K44" s="6"/>
      <c r="M44" s="60"/>
      <c r="N44" s="128" t="str">
        <f>V32</f>
        <v>401(K)</v>
      </c>
      <c r="O44" s="60" t="e">
        <f t="shared" si="609"/>
        <v>#VALUE!</v>
      </c>
      <c r="P44" s="60" t="e">
        <f t="shared" si="610"/>
        <v>#VALUE!</v>
      </c>
      <c r="Q44" s="60"/>
      <c r="R44" s="274" t="str">
        <f t="shared" si="611"/>
        <v>Year not configured</v>
      </c>
      <c r="T44" cm="1">
        <f t="array" aca="1" ref="T44" ca="1">SUMPRODUCT(--(ISNUMBER(FIND("R44", _xlfn.FORMULATEXT($B$26:$I$143)))))</f>
        <v>0</v>
      </c>
      <c r="V44" s="134" t="s">
        <v>33</v>
      </c>
      <c r="W44" s="148">
        <v>10000</v>
      </c>
      <c r="X44" s="135" t="s">
        <v>1</v>
      </c>
      <c r="Y44" s="135" t="s">
        <v>1</v>
      </c>
      <c r="Z44" s="135" t="s">
        <v>1</v>
      </c>
      <c r="AA44" s="135" t="s">
        <v>1</v>
      </c>
      <c r="AB44" s="135" t="s">
        <v>1</v>
      </c>
      <c r="AC44" s="135" t="s">
        <v>1</v>
      </c>
      <c r="AD44" s="135" t="s">
        <v>1</v>
      </c>
      <c r="AE44" s="136">
        <f>W44</f>
        <v>10000</v>
      </c>
      <c r="AF44" s="137" t="s">
        <v>317</v>
      </c>
      <c r="AG44" s="138"/>
      <c r="AH44" s="138"/>
      <c r="AI44" s="138"/>
      <c r="AJ44" s="138"/>
      <c r="AK44" s="138"/>
      <c r="AL44" s="138"/>
      <c r="AM44" s="139"/>
      <c r="KQ44" t="s">
        <v>304</v>
      </c>
      <c r="KR44" s="115">
        <v>0</v>
      </c>
      <c r="KS44" s="115">
        <v>0</v>
      </c>
      <c r="KT44" s="115">
        <v>0</v>
      </c>
      <c r="KU44" s="115">
        <v>0</v>
      </c>
      <c r="KV44" s="115">
        <v>0</v>
      </c>
      <c r="KW44" s="115">
        <v>0</v>
      </c>
      <c r="KX44" s="115">
        <v>0</v>
      </c>
      <c r="KY44" s="115">
        <v>0</v>
      </c>
      <c r="KZ44" s="115">
        <v>0</v>
      </c>
      <c r="VX44" s="59">
        <v>0</v>
      </c>
    </row>
    <row r="45" spans="1:596" ht="15.75" thickBot="1" x14ac:dyDescent="0.3">
      <c r="A45" s="325" t="s">
        <v>532</v>
      </c>
      <c r="B45" s="155"/>
      <c r="C45" s="155"/>
      <c r="D45" s="155"/>
      <c r="E45" s="155"/>
      <c r="F45" s="155"/>
      <c r="G45" s="155"/>
      <c r="H45" s="155"/>
      <c r="I45" s="155"/>
      <c r="J45" s="155">
        <f>IF(OR(ISNUMBER(SEARCH("Yes", N61)), ISNUMBER(SEARCH("Yes", N62))), 0, B45)</f>
        <v>0</v>
      </c>
      <c r="K45" s="6"/>
      <c r="M45" s="284" t="e">
        <f>N45/P28</f>
        <v>#N/A</v>
      </c>
      <c r="N45" s="285" t="e">
        <f>O45-G148</f>
        <v>#N/A</v>
      </c>
      <c r="O45" s="275" t="e">
        <f>SUM(O35:O44)-((C80-F80)*P28-(C81-F81))-(SUM(F103:F104)-SUM(C103:C104))+(C107-F107)+(C117-F117)+(C127-F127)+(C137-F137)+(C90-F90)+(C82-F82)+(C83-F83)</f>
        <v>#N/A</v>
      </c>
      <c r="P45" s="275" t="e">
        <f t="shared" ref="P45" si="622">O45*5</f>
        <v>#N/A</v>
      </c>
      <c r="Q45" s="276">
        <f>SUM(Q36:Q44)</f>
        <v>0</v>
      </c>
      <c r="R45" s="277" t="e">
        <f>SUM(R35:R44)</f>
        <v>#N/A</v>
      </c>
      <c r="S45" t="e">
        <f>+((F104-C104)*P28)</f>
        <v>#VALUE!</v>
      </c>
      <c r="T45" cm="1">
        <f t="array" aca="1" ref="T45" ca="1">SUMPRODUCT(--(ISNUMBER(FIND("R45", _xlfn.FORMULATEXT($B$26:$I$143)))))</f>
        <v>0</v>
      </c>
      <c r="V45" s="129" t="s">
        <v>42</v>
      </c>
      <c r="W45" s="141" t="s">
        <v>1</v>
      </c>
      <c r="X45" s="141" t="s">
        <v>1</v>
      </c>
      <c r="Y45" s="141" t="s">
        <v>1</v>
      </c>
      <c r="Z45" s="142"/>
      <c r="AA45" s="142"/>
      <c r="AB45" s="142"/>
      <c r="AC45" s="142"/>
      <c r="AD45" s="142"/>
      <c r="AE45" s="142"/>
      <c r="AF45" s="131" t="s">
        <v>332</v>
      </c>
      <c r="AG45" s="132"/>
      <c r="AH45" s="132"/>
      <c r="AI45" s="132"/>
      <c r="AJ45" s="132"/>
      <c r="AK45" s="132"/>
      <c r="AL45" s="132"/>
      <c r="AM45" s="133"/>
      <c r="JY45" s="253"/>
      <c r="KQ45" t="s">
        <v>305</v>
      </c>
      <c r="KR45" s="115">
        <v>0</v>
      </c>
      <c r="KS45" s="115">
        <v>0</v>
      </c>
      <c r="KT45" s="115">
        <v>0</v>
      </c>
      <c r="KU45" s="115">
        <v>0</v>
      </c>
      <c r="KV45" s="115">
        <v>0</v>
      </c>
      <c r="KW45" s="115">
        <v>0</v>
      </c>
      <c r="KX45" s="115">
        <v>0</v>
      </c>
      <c r="KY45" s="115">
        <v>0</v>
      </c>
      <c r="KZ45" s="115">
        <v>0</v>
      </c>
      <c r="VX45" s="59">
        <v>0</v>
      </c>
    </row>
    <row r="46" spans="1:596" ht="15.75" thickBot="1" x14ac:dyDescent="0.3">
      <c r="A46" s="325" t="str">
        <f>SUBSTITUTE(A45, "Income", "Expenses")</f>
        <v xml:space="preserve">Schedule C-2 Expenses - </v>
      </c>
      <c r="B46" s="155"/>
      <c r="C46" s="155"/>
      <c r="D46" s="155"/>
      <c r="E46" s="155"/>
      <c r="F46" s="155"/>
      <c r="G46" s="155"/>
      <c r="H46" s="155"/>
      <c r="I46" s="155"/>
      <c r="J46" s="155">
        <f>IF(OR(ISNUMBER(SEARCH("Yes", N61)), ISNUMBER(SEARCH("Yes", N62))), 0,
   -SUMIFS(S67:S89, N67:N89, A46) + B46
) -
IF(OR(A46=SUBSTITUTE(O93, "Income", "Expenses"), A46=SUBSTITUTE(P93, "Income", "Expenses"), A46=SUBSTITUTE(Q93, "Income", "Expenses"), A46=SUBSTITUTE(R93, "Income", "Expenses"), A46=SUBSTITUTE(S93, "Income", "Expenses")), J45 * P94, 0)</f>
        <v>0</v>
      </c>
      <c r="M46" s="60"/>
      <c r="N46" s="286" t="s">
        <v>38</v>
      </c>
      <c r="O46" s="60"/>
      <c r="P46" s="60"/>
      <c r="Q46" s="278"/>
      <c r="R46" s="274"/>
      <c r="T46" cm="1">
        <f t="array" aca="1" ref="T46" ca="1">SUMPRODUCT(--(ISNUMBER(FIND("R46", _xlfn.FORMULATEXT($B$26:$I$143)))))</f>
        <v>0</v>
      </c>
      <c r="V46" s="134" t="s">
        <v>21</v>
      </c>
      <c r="W46" s="141" t="s">
        <v>1</v>
      </c>
      <c r="X46" s="141" t="s">
        <v>1</v>
      </c>
      <c r="Y46" s="141" t="s">
        <v>1</v>
      </c>
      <c r="Z46" s="142"/>
      <c r="AA46" s="142"/>
      <c r="AB46" s="142"/>
      <c r="AC46" s="142"/>
      <c r="AD46" s="142"/>
      <c r="AE46" s="142"/>
      <c r="AF46" s="137" t="s">
        <v>270</v>
      </c>
      <c r="AG46" s="138"/>
      <c r="AH46" s="138"/>
      <c r="AI46" s="138"/>
      <c r="AJ46" s="138"/>
      <c r="AK46" s="138"/>
      <c r="AL46" s="138"/>
      <c r="AM46" s="139"/>
      <c r="JY46" s="253"/>
      <c r="KQ46" t="s">
        <v>306</v>
      </c>
      <c r="KR46" s="115">
        <f>SUM(KR43:KR45)</f>
        <v>0</v>
      </c>
      <c r="KS46" s="115">
        <f t="shared" ref="KS46:KY46" si="623">SUM(KS43:KS45)</f>
        <v>0</v>
      </c>
      <c r="KT46" s="115">
        <f t="shared" si="623"/>
        <v>0</v>
      </c>
      <c r="KU46" s="115">
        <f t="shared" si="623"/>
        <v>0</v>
      </c>
      <c r="KV46" s="115">
        <f t="shared" si="623"/>
        <v>0</v>
      </c>
      <c r="KW46" s="115">
        <f t="shared" si="623"/>
        <v>0</v>
      </c>
      <c r="KX46" s="115">
        <f t="shared" si="623"/>
        <v>0</v>
      </c>
      <c r="KY46" s="115">
        <f t="shared" si="623"/>
        <v>0</v>
      </c>
      <c r="KZ46" s="115">
        <f t="shared" ref="KZ46" si="624">SUM(KZ43:KZ45)</f>
        <v>0</v>
      </c>
      <c r="VX46" s="59">
        <v>0</v>
      </c>
    </row>
    <row r="47" spans="1:596" ht="15.75" thickBot="1" x14ac:dyDescent="0.3">
      <c r="A47" s="325" t="s">
        <v>533</v>
      </c>
      <c r="B47" s="156"/>
      <c r="C47" s="156"/>
      <c r="D47" s="156"/>
      <c r="E47" s="156"/>
      <c r="F47" s="156"/>
      <c r="G47" s="156"/>
      <c r="H47" s="156"/>
      <c r="I47" s="156"/>
      <c r="J47" s="156">
        <f>B47</f>
        <v>0</v>
      </c>
      <c r="M47" s="60"/>
      <c r="N47" s="128" t="str">
        <f>V45</f>
        <v>ARP</v>
      </c>
      <c r="O47" s="279" t="e">
        <f>R47*$P$28</f>
        <v>#N/A</v>
      </c>
      <c r="P47" s="279" t="e">
        <f>O47*5</f>
        <v>#N/A</v>
      </c>
      <c r="Q47" s="278"/>
      <c r="R47" s="274" t="e">
        <f>INDEX($AE$32:$AE$44, MATCH(N47, $V$32:$V$44, 0))</f>
        <v>#N/A</v>
      </c>
      <c r="T47" cm="1">
        <f t="array" aca="1" ref="T47" ca="1">SUMPRODUCT(--(ISNUMBER(FIND("R47", _xlfn.FORMULATEXT($B$26:$I$143)))))</f>
        <v>0</v>
      </c>
      <c r="V47" s="129" t="s">
        <v>255</v>
      </c>
      <c r="W47" s="141" t="s">
        <v>1</v>
      </c>
      <c r="X47" s="141" t="s">
        <v>1</v>
      </c>
      <c r="Y47" s="141" t="s">
        <v>1</v>
      </c>
      <c r="Z47" s="142"/>
      <c r="AA47" s="142"/>
      <c r="AB47" s="142"/>
      <c r="AC47" s="142"/>
      <c r="AD47" s="142"/>
      <c r="AE47" s="142"/>
      <c r="AF47" s="131" t="s">
        <v>272</v>
      </c>
      <c r="AG47" s="132"/>
      <c r="AH47" s="132"/>
      <c r="AI47" s="132"/>
      <c r="AJ47" s="132"/>
      <c r="AK47" s="132"/>
      <c r="AL47" s="132"/>
      <c r="AM47" s="133"/>
      <c r="AN47" s="114"/>
      <c r="AO47" s="114"/>
      <c r="AP47" s="114"/>
      <c r="JY47" s="253"/>
      <c r="KQ47" s="60"/>
      <c r="VX47" s="59">
        <v>0</v>
      </c>
    </row>
    <row r="48" spans="1:596" ht="15.75" thickBot="1" x14ac:dyDescent="0.3">
      <c r="A48" s="325" t="str">
        <f>SUBSTITUTE(A47, "Income", "Expenses")</f>
        <v>Schedule E-1 Expenses -</v>
      </c>
      <c r="B48" s="156"/>
      <c r="C48" s="156"/>
      <c r="D48" s="156"/>
      <c r="E48" s="156"/>
      <c r="F48" s="156"/>
      <c r="G48" s="156"/>
      <c r="H48" s="156"/>
      <c r="I48" s="156"/>
      <c r="J48" s="156">
        <f>-SUMIFS(S67:S89, N67:N89, A48) + B48 -
IF(OR(A48=SUBSTITUTE(O93, "Income", "Expenses"), A48=SUBSTITUTE(P93, "Income", "Expenses"), A48=SUBSTITUTE(Q93, "Income", "Expenses"), A48=SUBSTITUTE(R93, "Income", "Expenses"), A48=SUBSTITUTE(S93, "Income", "Expenses")), J47 * P94, 0)</f>
        <v>0</v>
      </c>
      <c r="M48" s="60"/>
      <c r="N48" s="128" t="str">
        <f>V42</f>
        <v>Oil &amp; Gas</v>
      </c>
      <c r="O48" s="279" t="e">
        <f>R48*$P$28</f>
        <v>#VALUE!</v>
      </c>
      <c r="P48" s="279" t="e">
        <f>O48*5</f>
        <v>#VALUE!</v>
      </c>
      <c r="Q48" s="278"/>
      <c r="R48" s="274">
        <f>INDEX($AE$32:$AE$44, MATCH(N48, $V$32:$V$44, 0))</f>
        <v>77000</v>
      </c>
      <c r="T48" cm="1">
        <f t="array" aca="1" ref="T48" ca="1">SUMPRODUCT(--(ISNUMBER(FIND("R48", _xlfn.FORMULATEXT($B$26:$I$143)))))</f>
        <v>0</v>
      </c>
      <c r="V48" s="134" t="s">
        <v>261</v>
      </c>
      <c r="W48" s="141" t="s">
        <v>1</v>
      </c>
      <c r="X48" s="141" t="s">
        <v>1</v>
      </c>
      <c r="Y48" s="141" t="s">
        <v>1</v>
      </c>
      <c r="Z48" s="142"/>
      <c r="AA48" s="142"/>
      <c r="AB48" s="142"/>
      <c r="AC48" s="142"/>
      <c r="AD48" s="142"/>
      <c r="AE48" s="142"/>
      <c r="AF48" s="137" t="s">
        <v>269</v>
      </c>
      <c r="AG48" s="138"/>
      <c r="AH48" s="138"/>
      <c r="AI48" s="138"/>
      <c r="AJ48" s="138"/>
      <c r="AK48" s="138"/>
      <c r="AL48" s="138"/>
      <c r="AM48" s="139"/>
      <c r="KQ48" t="s">
        <v>307</v>
      </c>
      <c r="KR48" s="88"/>
      <c r="KS48" s="88"/>
      <c r="KT48" s="88"/>
      <c r="KU48" s="88"/>
      <c r="KV48" s="88"/>
      <c r="KW48" s="88"/>
      <c r="KX48" s="88"/>
      <c r="KY48" s="88"/>
      <c r="KZ48" s="88"/>
      <c r="VX48" s="59">
        <v>0</v>
      </c>
    </row>
    <row r="49" spans="1:596" ht="15.75" thickBot="1" x14ac:dyDescent="0.3">
      <c r="A49" s="324" t="s">
        <v>546</v>
      </c>
      <c r="B49" s="156"/>
      <c r="C49" s="156"/>
      <c r="D49" s="156"/>
      <c r="E49" s="156"/>
      <c r="F49" s="156"/>
      <c r="G49" s="156"/>
      <c r="H49" s="156"/>
      <c r="I49" s="156"/>
      <c r="J49" s="156">
        <f>B49</f>
        <v>0</v>
      </c>
      <c r="M49" s="284" t="e">
        <f>N49/P28</f>
        <v>#N/A</v>
      </c>
      <c r="N49" s="287" t="e">
        <f>O50-I148</f>
        <v>#N/A</v>
      </c>
      <c r="O49" s="280" t="e">
        <f>SUM(O47:O48)-((F80-G80)*P28-(F81-G81))-(SUM(G103:G104)-SUM(F103:F104))+(F107-G107)+(F117-G117)+(F127-G127)+(F137-G137)+(F90-G90)+(F82-G82)-(F72-G72)*P28+(F83-G83)</f>
        <v>#N/A</v>
      </c>
      <c r="P49" s="280" t="e">
        <f>O49*5</f>
        <v>#N/A</v>
      </c>
      <c r="Q49" s="281"/>
      <c r="R49" s="282"/>
      <c r="T49" cm="1">
        <f t="array" aca="1" ref="T49" ca="1">SUMPRODUCT(--(ISNUMBER(FIND("R49", _xlfn.FORMULATEXT($B$26:$I$143)))))</f>
        <v>0</v>
      </c>
      <c r="V49" s="129" t="s">
        <v>252</v>
      </c>
      <c r="W49" s="141" t="s">
        <v>1</v>
      </c>
      <c r="X49" s="141" t="s">
        <v>1</v>
      </c>
      <c r="Y49" s="141" t="s">
        <v>1</v>
      </c>
      <c r="Z49" s="142"/>
      <c r="AA49" s="142"/>
      <c r="AB49" s="142"/>
      <c r="AC49" s="142"/>
      <c r="AD49" s="142"/>
      <c r="AE49" s="142"/>
      <c r="AF49" s="131" t="s">
        <v>273</v>
      </c>
      <c r="AG49" s="132"/>
      <c r="AH49" s="132"/>
      <c r="AI49" s="132"/>
      <c r="AJ49" s="132"/>
      <c r="AK49" s="132"/>
      <c r="AL49" s="132"/>
      <c r="AM49" s="133"/>
      <c r="KQ49" t="s">
        <v>100</v>
      </c>
      <c r="KR49" s="119">
        <v>0</v>
      </c>
      <c r="KS49" s="119">
        <v>0</v>
      </c>
      <c r="KT49" s="119">
        <v>0</v>
      </c>
      <c r="KU49" s="119">
        <v>0</v>
      </c>
      <c r="KV49" s="119">
        <v>0</v>
      </c>
      <c r="KW49" s="119">
        <v>0</v>
      </c>
      <c r="KX49" s="119">
        <v>0</v>
      </c>
      <c r="KY49" s="119">
        <v>0</v>
      </c>
      <c r="KZ49" s="119">
        <v>0</v>
      </c>
      <c r="VX49" s="59">
        <v>0</v>
      </c>
    </row>
    <row r="50" spans="1:596" ht="15.75" thickBot="1" x14ac:dyDescent="0.3">
      <c r="A50" s="324" t="str">
        <f>SUBSTITUTE(A49, "Income", "Expenses")</f>
        <v xml:space="preserve">Schedule E-2 Expenses - </v>
      </c>
      <c r="B50" s="156"/>
      <c r="C50" s="156"/>
      <c r="D50" s="156"/>
      <c r="E50" s="156"/>
      <c r="F50" s="156"/>
      <c r="G50" s="156"/>
      <c r="H50" s="156"/>
      <c r="I50" s="156"/>
      <c r="J50" s="156">
        <f>-SUMIFS(S67:S89, N67:N89, A50) + B50 -
IF(OR(A50=SUBSTITUTE(O93, "Income", "Expenses"), A50=SUBSTITUTE(P93, "Income", "Expenses"), A50=SUBSTITUTE(Q93, "Income", "Expenses"), A50=SUBSTITUTE(R93, "Income", "Expenses"), A50=SUBSTITUTE(S93, "Income", "Expenses")), J49 * P94, 0)</f>
        <v>0</v>
      </c>
      <c r="N50" s="18"/>
      <c r="O50" s="283" t="e">
        <f>O45+O49</f>
        <v>#N/A</v>
      </c>
      <c r="P50" s="283" t="e">
        <f>O50*5</f>
        <v>#N/A</v>
      </c>
      <c r="Q50" s="276">
        <f>SUM(Q46:Q49)</f>
        <v>0</v>
      </c>
      <c r="R50" s="115" t="e">
        <f>SUM(R47:R49)</f>
        <v>#N/A</v>
      </c>
      <c r="T50" cm="1">
        <f t="array" aca="1" ref="T50" ca="1">SUMPRODUCT(--(ISNUMBER(FIND("R50", _xlfn.FORMULATEXT($B$26:$I$143)))))</f>
        <v>0</v>
      </c>
      <c r="V50" s="134" t="s">
        <v>589</v>
      </c>
      <c r="W50" s="141"/>
      <c r="X50" s="141"/>
      <c r="Y50" s="141"/>
      <c r="Z50" s="142"/>
      <c r="AA50" s="142"/>
      <c r="AB50" s="142"/>
      <c r="AC50" s="142"/>
      <c r="AD50" s="142"/>
      <c r="AE50" s="142"/>
      <c r="AF50" s="137" t="s">
        <v>590</v>
      </c>
      <c r="AG50" s="138"/>
      <c r="AH50" s="138"/>
      <c r="AI50" s="138"/>
      <c r="AJ50" s="138"/>
      <c r="AK50" s="138"/>
      <c r="AL50" s="138"/>
      <c r="AM50" s="139"/>
      <c r="KQ50" t="s">
        <v>304</v>
      </c>
      <c r="KR50" s="119">
        <v>0</v>
      </c>
      <c r="KS50" s="119">
        <v>0</v>
      </c>
      <c r="KT50" s="119">
        <v>0</v>
      </c>
      <c r="KU50" s="119">
        <v>0</v>
      </c>
      <c r="KV50" s="119">
        <v>0</v>
      </c>
      <c r="KW50" s="119">
        <v>0</v>
      </c>
      <c r="KX50" s="119">
        <v>0</v>
      </c>
      <c r="KY50" s="119">
        <v>0</v>
      </c>
      <c r="KZ50" s="119">
        <v>0</v>
      </c>
      <c r="VX50" s="59">
        <v>0</v>
      </c>
    </row>
    <row r="51" spans="1:596" ht="15.75" thickBot="1" x14ac:dyDescent="0.3">
      <c r="A51" s="324" t="s">
        <v>18</v>
      </c>
      <c r="B51" s="158"/>
      <c r="C51" s="158"/>
      <c r="D51" s="158"/>
      <c r="E51" s="158"/>
      <c r="F51" s="158"/>
      <c r="G51" s="158"/>
      <c r="H51" s="158"/>
      <c r="I51" s="158"/>
      <c r="J51" s="158">
        <f>B51</f>
        <v>0</v>
      </c>
      <c r="T51" cm="1">
        <f t="array" aca="1" ref="T51" ca="1">SUMPRODUCT(--(ISNUMBER(FIND("R51", _xlfn.FORMULATEXT($B$26:$I$143)))))</f>
        <v>0</v>
      </c>
      <c r="V51" s="129" t="s">
        <v>262</v>
      </c>
      <c r="W51" s="141" t="s">
        <v>1</v>
      </c>
      <c r="X51" s="141" t="s">
        <v>1</v>
      </c>
      <c r="Y51" s="141" t="s">
        <v>1</v>
      </c>
      <c r="Z51" s="142"/>
      <c r="AA51" s="142"/>
      <c r="AB51" s="142"/>
      <c r="AC51" s="142"/>
      <c r="AD51" s="142"/>
      <c r="AE51" s="142"/>
      <c r="AF51" s="131" t="s">
        <v>318</v>
      </c>
      <c r="AG51" s="132"/>
      <c r="AH51" s="132"/>
      <c r="AI51" s="132"/>
      <c r="AJ51" s="132"/>
      <c r="AK51" s="132"/>
      <c r="AL51" s="132"/>
      <c r="AM51" s="133"/>
      <c r="JY51" s="253"/>
      <c r="KQ51" t="s">
        <v>305</v>
      </c>
      <c r="KR51" s="119">
        <v>0</v>
      </c>
      <c r="KS51" s="119">
        <v>0</v>
      </c>
      <c r="KT51" s="119">
        <v>0</v>
      </c>
      <c r="KU51" s="119">
        <v>0</v>
      </c>
      <c r="KV51" s="119">
        <v>0</v>
      </c>
      <c r="KW51" s="119">
        <v>0</v>
      </c>
      <c r="KX51" s="119">
        <v>0</v>
      </c>
      <c r="KY51" s="119">
        <v>0</v>
      </c>
      <c r="KZ51" s="119">
        <v>0</v>
      </c>
      <c r="VX51" s="59">
        <v>0</v>
      </c>
    </row>
    <row r="52" spans="1:596" ht="15.75" thickBot="1" x14ac:dyDescent="0.3">
      <c r="A52" s="324" t="s">
        <v>244</v>
      </c>
      <c r="B52" s="158"/>
      <c r="C52" s="158"/>
      <c r="D52" s="158"/>
      <c r="E52" s="158"/>
      <c r="F52" s="158"/>
      <c r="G52" s="158"/>
      <c r="H52" s="158"/>
      <c r="I52" s="158"/>
      <c r="J52" s="158">
        <f>B52</f>
        <v>0</v>
      </c>
      <c r="T52" cm="1">
        <f t="array" aca="1" ref="T52" ca="1">SUMPRODUCT(--(ISNUMBER(FIND("R52", _xlfn.FORMULATEXT($B$26:$I$143)))))</f>
        <v>0</v>
      </c>
      <c r="V52" s="134" t="s">
        <v>257</v>
      </c>
      <c r="W52" s="141" t="s">
        <v>1</v>
      </c>
      <c r="X52" s="141" t="s">
        <v>1</v>
      </c>
      <c r="Y52" s="141" t="s">
        <v>1</v>
      </c>
      <c r="Z52" s="142"/>
      <c r="AA52" s="142"/>
      <c r="AB52" s="142"/>
      <c r="AC52" s="142"/>
      <c r="AD52" s="142"/>
      <c r="AE52" s="142"/>
      <c r="AF52" s="137" t="s">
        <v>319</v>
      </c>
      <c r="AG52" s="138"/>
      <c r="AH52" s="138"/>
      <c r="AI52" s="138"/>
      <c r="AJ52" s="138"/>
      <c r="AK52" s="138"/>
      <c r="AL52" s="138"/>
      <c r="AM52" s="139"/>
      <c r="JY52" s="253"/>
      <c r="KQ52" t="s">
        <v>308</v>
      </c>
      <c r="KR52" s="118">
        <f>SUM(KR49:KR51)</f>
        <v>0</v>
      </c>
      <c r="KS52" s="118">
        <f t="shared" ref="KS52:KY52" si="625">SUM(KS49:KS51)</f>
        <v>0</v>
      </c>
      <c r="KT52" s="118">
        <f t="shared" si="625"/>
        <v>0</v>
      </c>
      <c r="KU52" s="118">
        <f t="shared" si="625"/>
        <v>0</v>
      </c>
      <c r="KV52" s="118">
        <f t="shared" si="625"/>
        <v>0</v>
      </c>
      <c r="KW52" s="118">
        <f t="shared" si="625"/>
        <v>0</v>
      </c>
      <c r="KX52" s="118">
        <f t="shared" si="625"/>
        <v>0</v>
      </c>
      <c r="KY52" s="118">
        <f t="shared" si="625"/>
        <v>0</v>
      </c>
      <c r="KZ52" s="118">
        <f t="shared" ref="KZ52" si="626">SUM(KZ49:KZ51)</f>
        <v>0</v>
      </c>
      <c r="VX52" s="59"/>
    </row>
    <row r="53" spans="1:596" ht="15.75" thickBot="1" x14ac:dyDescent="0.3">
      <c r="A53" s="324" t="s">
        <v>245</v>
      </c>
      <c r="B53" s="158"/>
      <c r="C53" s="158"/>
      <c r="D53" s="158"/>
      <c r="E53" s="158"/>
      <c r="F53" s="158"/>
      <c r="G53" s="158"/>
      <c r="H53" s="158"/>
      <c r="I53" s="158"/>
      <c r="J53" s="158">
        <f t="shared" ref="J53:J55" si="627">B53</f>
        <v>0</v>
      </c>
      <c r="T53" cm="1">
        <f t="array" aca="1" ref="T53" ca="1">SUMPRODUCT(--(ISNUMBER(FIND("R53", _xlfn.FORMULATEXT($B$26:$I$143)))))</f>
        <v>0</v>
      </c>
      <c r="V53" s="129" t="s">
        <v>586</v>
      </c>
      <c r="W53" s="141" t="s">
        <v>1</v>
      </c>
      <c r="X53" s="141" t="s">
        <v>1</v>
      </c>
      <c r="Y53" s="141" t="s">
        <v>1</v>
      </c>
      <c r="Z53" s="142"/>
      <c r="AA53" s="142"/>
      <c r="AB53" s="142"/>
      <c r="AC53" s="142"/>
      <c r="AD53" s="142"/>
      <c r="AE53" s="142"/>
      <c r="AF53" s="131" t="s">
        <v>587</v>
      </c>
      <c r="AG53" s="132"/>
      <c r="AH53" s="132"/>
      <c r="AI53" s="132"/>
      <c r="AJ53" s="132"/>
      <c r="AK53" s="132"/>
      <c r="AL53" s="132"/>
      <c r="AM53" s="133"/>
      <c r="BD53" s="335" t="s">
        <v>553</v>
      </c>
      <c r="BE53" s="335"/>
      <c r="BF53" s="335"/>
      <c r="BG53" s="335"/>
      <c r="BH53" s="335"/>
      <c r="BI53" s="336"/>
      <c r="BJ53" s="148">
        <f>B31</f>
        <v>0</v>
      </c>
      <c r="BK53" s="148">
        <f t="shared" ref="BK53:BQ53" si="628">C31</f>
        <v>0</v>
      </c>
      <c r="BL53" s="148">
        <f t="shared" si="628"/>
        <v>0</v>
      </c>
      <c r="BM53" s="148">
        <f t="shared" si="628"/>
        <v>0</v>
      </c>
      <c r="BN53" s="148">
        <f t="shared" si="628"/>
        <v>0</v>
      </c>
      <c r="BO53" s="148">
        <f t="shared" si="628"/>
        <v>0</v>
      </c>
      <c r="BP53" s="148">
        <f t="shared" si="628"/>
        <v>0</v>
      </c>
      <c r="BQ53" s="148">
        <f t="shared" si="628"/>
        <v>0</v>
      </c>
      <c r="BR53" s="148">
        <f>J31</f>
        <v>0</v>
      </c>
      <c r="JY53" s="253"/>
      <c r="VX53" s="59"/>
    </row>
    <row r="54" spans="1:596" ht="15.75" thickBot="1" x14ac:dyDescent="0.3">
      <c r="A54" s="324" t="s">
        <v>246</v>
      </c>
      <c r="B54" s="158"/>
      <c r="C54" s="158"/>
      <c r="D54" s="158"/>
      <c r="E54" s="158"/>
      <c r="F54" s="158"/>
      <c r="G54" s="158"/>
      <c r="H54" s="158"/>
      <c r="I54" s="158"/>
      <c r="J54" s="158">
        <f t="shared" si="627"/>
        <v>0</v>
      </c>
      <c r="T54" cm="1">
        <f t="array" aca="1" ref="T54" ca="1">SUMPRODUCT(--(ISNUMBER(FIND("R54", _xlfn.FORMULATEXT($B$26:$I$143)))))</f>
        <v>0</v>
      </c>
      <c r="V54" s="134" t="s">
        <v>259</v>
      </c>
      <c r="W54" s="141" t="s">
        <v>1</v>
      </c>
      <c r="X54" s="141" t="s">
        <v>1</v>
      </c>
      <c r="Y54" s="141" t="s">
        <v>1</v>
      </c>
      <c r="Z54" s="142"/>
      <c r="AA54" s="142"/>
      <c r="AB54" s="142"/>
      <c r="AC54" s="142"/>
      <c r="AD54" s="142"/>
      <c r="AE54" s="142"/>
      <c r="AF54" s="317" t="s">
        <v>591</v>
      </c>
      <c r="AG54" s="321">
        <f>MAX((H81-25000)*0.75, 0)</f>
        <v>0</v>
      </c>
      <c r="AH54" s="318" t="s">
        <v>592</v>
      </c>
      <c r="AI54" s="138"/>
      <c r="AJ54" s="138"/>
      <c r="AK54" s="138"/>
      <c r="AL54" s="138"/>
      <c r="AM54" s="139"/>
      <c r="BD54" s="335" t="s">
        <v>555</v>
      </c>
      <c r="BE54" s="335"/>
      <c r="BF54" s="335"/>
      <c r="BG54" s="335"/>
      <c r="BH54" s="335"/>
      <c r="BI54" s="336"/>
      <c r="BJ54" s="148">
        <f>B33</f>
        <v>0</v>
      </c>
      <c r="BK54" s="148">
        <f t="shared" ref="BK54:BR54" si="629">C33</f>
        <v>0</v>
      </c>
      <c r="BL54" s="148">
        <f t="shared" si="629"/>
        <v>0</v>
      </c>
      <c r="BM54" s="148">
        <f t="shared" si="629"/>
        <v>0</v>
      </c>
      <c r="BN54" s="148">
        <f t="shared" si="629"/>
        <v>0</v>
      </c>
      <c r="BO54" s="148">
        <f t="shared" si="629"/>
        <v>0</v>
      </c>
      <c r="BP54" s="148">
        <f t="shared" si="629"/>
        <v>0</v>
      </c>
      <c r="BQ54" s="148">
        <f t="shared" si="629"/>
        <v>0</v>
      </c>
      <c r="BR54" s="148">
        <f t="shared" si="629"/>
        <v>0</v>
      </c>
      <c r="VT54" s="59"/>
    </row>
    <row r="55" spans="1:596" ht="15.75" thickBot="1" x14ac:dyDescent="0.3">
      <c r="A55" s="324" t="s">
        <v>19</v>
      </c>
      <c r="B55" s="155"/>
      <c r="C55" s="155"/>
      <c r="D55" s="155"/>
      <c r="E55" s="155"/>
      <c r="F55" s="155"/>
      <c r="G55" s="155"/>
      <c r="H55" s="155"/>
      <c r="I55" s="155"/>
      <c r="J55" s="155">
        <f t="shared" si="627"/>
        <v>0</v>
      </c>
      <c r="N55" s="7"/>
      <c r="O55" s="65"/>
      <c r="P55" s="65"/>
      <c r="Q55" s="65"/>
      <c r="R55" s="65"/>
      <c r="S55" s="66"/>
      <c r="T55" cm="1">
        <f t="array" aca="1" ref="T55" ca="1">SUMPRODUCT(--(ISNUMBER(FIND("R55", _xlfn.FORMULATEXT($B$26:$I$143)))))</f>
        <v>0</v>
      </c>
      <c r="V55" s="129" t="s">
        <v>258</v>
      </c>
      <c r="W55" s="141" t="s">
        <v>1</v>
      </c>
      <c r="X55" s="141" t="s">
        <v>1</v>
      </c>
      <c r="Y55" s="141" t="s">
        <v>1</v>
      </c>
      <c r="Z55" s="142"/>
      <c r="AA55" s="142"/>
      <c r="AB55" s="142"/>
      <c r="AC55" s="142"/>
      <c r="AD55" s="142"/>
      <c r="AE55" s="142"/>
      <c r="AF55" s="131" t="s">
        <v>320</v>
      </c>
      <c r="AG55" s="132"/>
      <c r="AH55" s="132"/>
      <c r="AI55" s="132"/>
      <c r="AJ55" s="132"/>
      <c r="AK55" s="132"/>
      <c r="AL55" s="132"/>
      <c r="AM55" s="133"/>
      <c r="BD55" s="335" t="s">
        <v>556</v>
      </c>
      <c r="BE55" s="335"/>
      <c r="BF55" s="335"/>
      <c r="BG55" s="335"/>
      <c r="BH55" s="335"/>
      <c r="BI55" s="336"/>
      <c r="BJ55" s="148">
        <f>B36</f>
        <v>0</v>
      </c>
      <c r="BK55" s="148">
        <f t="shared" ref="BK55:BR55" si="630">C36</f>
        <v>0</v>
      </c>
      <c r="BL55" s="148">
        <f t="shared" si="630"/>
        <v>0</v>
      </c>
      <c r="BM55" s="148">
        <f t="shared" si="630"/>
        <v>0</v>
      </c>
      <c r="BN55" s="148">
        <f t="shared" si="630"/>
        <v>0</v>
      </c>
      <c r="BO55" s="148">
        <f t="shared" si="630"/>
        <v>0</v>
      </c>
      <c r="BP55" s="148">
        <f t="shared" si="630"/>
        <v>0</v>
      </c>
      <c r="BQ55" s="148">
        <f t="shared" si="630"/>
        <v>0</v>
      </c>
      <c r="BR55" s="148">
        <f t="shared" si="630"/>
        <v>0</v>
      </c>
      <c r="KQ55" s="60" t="s">
        <v>65</v>
      </c>
      <c r="VT55" s="59">
        <v>0</v>
      </c>
    </row>
    <row r="56" spans="1:596" ht="15.75" thickBot="1" x14ac:dyDescent="0.3">
      <c r="A56" s="326" t="s">
        <v>96</v>
      </c>
      <c r="B56" s="159">
        <f>SUM(B26:B54)-B34-B30</f>
        <v>0</v>
      </c>
      <c r="C56" s="159">
        <f t="shared" ref="C56:H56" si="631">SUM(C26:C54)-C34-C30</f>
        <v>0</v>
      </c>
      <c r="D56" s="159">
        <f t="shared" si="631"/>
        <v>0</v>
      </c>
      <c r="E56" s="159">
        <f t="shared" si="631"/>
        <v>0</v>
      </c>
      <c r="F56" s="159">
        <f t="shared" si="631"/>
        <v>0</v>
      </c>
      <c r="G56" s="159">
        <f t="shared" si="631"/>
        <v>0</v>
      </c>
      <c r="H56" s="159">
        <f t="shared" si="631"/>
        <v>0</v>
      </c>
      <c r="I56" s="159">
        <f>SUM(I26:I54)-I34-I30</f>
        <v>0</v>
      </c>
      <c r="J56" s="159">
        <f>SUM(J26:J54)-J34-J30</f>
        <v>0</v>
      </c>
      <c r="N56" s="10"/>
      <c r="P56" s="293" t="s">
        <v>66</v>
      </c>
      <c r="Q56" s="294" t="str">
        <f>B23</f>
        <v/>
      </c>
      <c r="S56" s="21"/>
      <c r="T56" cm="1">
        <f t="array" aca="1" ref="T56" ca="1">SUMPRODUCT(--(ISNUMBER(FIND("R56", _xlfn.FORMULATEXT($B$26:$I$143)))))</f>
        <v>0</v>
      </c>
      <c r="BD56" s="335" t="s">
        <v>557</v>
      </c>
      <c r="BE56" s="335"/>
      <c r="BF56" s="335"/>
      <c r="BG56" s="335"/>
      <c r="BH56" s="335"/>
      <c r="BI56" s="336"/>
      <c r="BJ56" s="148">
        <f>SUM(B39:B50)</f>
        <v>0</v>
      </c>
      <c r="BK56" s="148">
        <f t="shared" ref="BK56:BR56" si="632">SUM(C39:C50)</f>
        <v>0</v>
      </c>
      <c r="BL56" s="148">
        <f t="shared" si="632"/>
        <v>0</v>
      </c>
      <c r="BM56" s="148">
        <f t="shared" si="632"/>
        <v>0</v>
      </c>
      <c r="BN56" s="148">
        <f t="shared" si="632"/>
        <v>0</v>
      </c>
      <c r="BO56" s="148">
        <f t="shared" si="632"/>
        <v>0</v>
      </c>
      <c r="BP56" s="148">
        <f t="shared" si="632"/>
        <v>0</v>
      </c>
      <c r="BQ56" s="148">
        <f t="shared" si="632"/>
        <v>0</v>
      </c>
      <c r="BR56" s="148">
        <f t="shared" si="632"/>
        <v>0</v>
      </c>
      <c r="KQ56" s="60" t="s">
        <v>309</v>
      </c>
      <c r="KR56" s="6">
        <f t="shared" ref="KR56:KZ56" si="633">B77</f>
        <v>0</v>
      </c>
      <c r="KS56" s="6" t="str">
        <f t="shared" si="633"/>
        <v>Filing Status</v>
      </c>
      <c r="KT56" s="6" t="str">
        <f t="shared" si="633"/>
        <v>Filing Status</v>
      </c>
      <c r="KU56" s="6" t="str">
        <f t="shared" si="633"/>
        <v>Filing Status</v>
      </c>
      <c r="KV56" s="6" t="str">
        <f t="shared" si="633"/>
        <v>Filing Status</v>
      </c>
      <c r="KW56" s="6" t="str">
        <f t="shared" si="633"/>
        <v>Filing Status</v>
      </c>
      <c r="KX56" s="6" t="str">
        <f t="shared" si="633"/>
        <v>Filing Status</v>
      </c>
      <c r="KY56" s="6" t="str">
        <f t="shared" si="633"/>
        <v>Filing Status</v>
      </c>
      <c r="KZ56" s="6" t="e">
        <f t="shared" si="633"/>
        <v>#VALUE!</v>
      </c>
      <c r="VT56" s="59">
        <v>0</v>
      </c>
    </row>
    <row r="57" spans="1:596" ht="15.75" thickBot="1" x14ac:dyDescent="0.3">
      <c r="A57" s="21"/>
      <c r="B57" s="155"/>
      <c r="C57" s="155"/>
      <c r="D57" s="155"/>
      <c r="E57" s="155"/>
      <c r="F57" s="155"/>
      <c r="G57" s="155"/>
      <c r="H57" s="155"/>
      <c r="I57" s="155"/>
      <c r="J57" s="155"/>
      <c r="N57" s="157" t="s">
        <v>540</v>
      </c>
      <c r="O57" s="157" t="s">
        <v>414</v>
      </c>
      <c r="P57" s="157" t="s">
        <v>541</v>
      </c>
      <c r="Q57" s="157" t="s">
        <v>541</v>
      </c>
      <c r="S57" s="21"/>
      <c r="T57" cm="1">
        <f t="array" aca="1" ref="T57" ca="1">SUMPRODUCT(--(ISNUMBER(FIND("R57", _xlfn.FORMULATEXT($B$26:$I$143)))))</f>
        <v>0</v>
      </c>
      <c r="BD57" s="335" t="s">
        <v>577</v>
      </c>
      <c r="BE57" s="335"/>
      <c r="BF57" s="335"/>
      <c r="BG57" s="335"/>
      <c r="BH57" s="335"/>
      <c r="BI57" s="336"/>
      <c r="BJ57" s="309">
        <f>-BJ56</f>
        <v>0</v>
      </c>
      <c r="BK57" s="309">
        <f t="shared" ref="BK57:BR57" si="634">-BK56</f>
        <v>0</v>
      </c>
      <c r="BL57" s="309">
        <f t="shared" si="634"/>
        <v>0</v>
      </c>
      <c r="BM57" s="309">
        <f t="shared" si="634"/>
        <v>0</v>
      </c>
      <c r="BN57" s="309">
        <f t="shared" si="634"/>
        <v>0</v>
      </c>
      <c r="BO57" s="309">
        <f t="shared" si="634"/>
        <v>0</v>
      </c>
      <c r="BP57" s="309">
        <f t="shared" si="634"/>
        <v>0</v>
      </c>
      <c r="BQ57" s="309">
        <f t="shared" si="634"/>
        <v>0</v>
      </c>
      <c r="BR57" s="309">
        <f t="shared" si="634"/>
        <v>0</v>
      </c>
      <c r="KQ57" s="60" t="s">
        <v>310</v>
      </c>
      <c r="KR57" s="116"/>
      <c r="KS57" s="116"/>
      <c r="KT57" s="116"/>
      <c r="KU57" s="116"/>
      <c r="KV57" s="116"/>
      <c r="KW57" s="116"/>
      <c r="KX57" s="116"/>
      <c r="KY57" s="116"/>
      <c r="KZ57" s="116"/>
      <c r="VT57" s="59">
        <v>0</v>
      </c>
    </row>
    <row r="58" spans="1:596" ht="15.75" thickBot="1" x14ac:dyDescent="0.3">
      <c r="A58" s="323" t="s">
        <v>20</v>
      </c>
      <c r="B58" s="155"/>
      <c r="C58" s="155"/>
      <c r="D58" s="155"/>
      <c r="E58" s="155"/>
      <c r="F58" s="155"/>
      <c r="G58" s="155"/>
      <c r="H58" s="155"/>
      <c r="I58" s="155"/>
      <c r="J58" s="155">
        <f>B58</f>
        <v>0</v>
      </c>
      <c r="N58" s="300" t="s">
        <v>544</v>
      </c>
      <c r="S58" s="21"/>
      <c r="T58" cm="1">
        <f t="array" aca="1" ref="T58" ca="1">SUMPRODUCT(--(ISNUMBER(FIND("R58", _xlfn.FORMULATEXT($B$26:$I$143)))))</f>
        <v>0</v>
      </c>
      <c r="BD58" s="335" t="s">
        <v>576</v>
      </c>
      <c r="BE58" s="335"/>
      <c r="BF58" s="335"/>
      <c r="BG58" s="335"/>
      <c r="BH58" s="335"/>
      <c r="BI58" s="336"/>
      <c r="BJ58" s="148">
        <f>SUM(BJ56:BJ57)</f>
        <v>0</v>
      </c>
      <c r="BK58" s="148">
        <f t="shared" ref="BK58:BR58" si="635">SUM(BK56:BK57)</f>
        <v>0</v>
      </c>
      <c r="BL58" s="148">
        <f t="shared" si="635"/>
        <v>0</v>
      </c>
      <c r="BM58" s="148">
        <f t="shared" si="635"/>
        <v>0</v>
      </c>
      <c r="BN58" s="148">
        <f t="shared" si="635"/>
        <v>0</v>
      </c>
      <c r="BO58" s="148">
        <f t="shared" si="635"/>
        <v>0</v>
      </c>
      <c r="BP58" s="148">
        <f t="shared" si="635"/>
        <v>0</v>
      </c>
      <c r="BQ58" s="148">
        <f t="shared" si="635"/>
        <v>0</v>
      </c>
      <c r="BR58" s="148">
        <f t="shared" si="635"/>
        <v>0</v>
      </c>
      <c r="KQ58" s="60" t="s">
        <v>311</v>
      </c>
      <c r="KR58" s="56"/>
      <c r="KS58" s="56"/>
      <c r="KT58" s="56"/>
      <c r="KU58" s="56"/>
      <c r="KV58" s="56"/>
      <c r="KW58" s="56"/>
      <c r="KX58" s="56"/>
      <c r="KY58" s="56"/>
      <c r="KZ58" s="56"/>
      <c r="VT58" s="59">
        <v>0</v>
      </c>
    </row>
    <row r="59" spans="1:596" ht="15.75" thickBot="1" x14ac:dyDescent="0.3">
      <c r="A59" s="324" t="s">
        <v>71</v>
      </c>
      <c r="B59" s="333" t="str">
        <f>IFERROR(ROUND(B84/2, 0), "-")</f>
        <v>-</v>
      </c>
      <c r="C59" s="333" t="str">
        <f t="shared" ref="C59:I59" si="636">IFERROR(ROUND(C84/2, 0), "-")</f>
        <v>-</v>
      </c>
      <c r="D59" s="333" t="str">
        <f t="shared" si="636"/>
        <v>-</v>
      </c>
      <c r="E59" s="333" t="str">
        <f t="shared" si="636"/>
        <v>-</v>
      </c>
      <c r="F59" s="333" t="str">
        <f t="shared" si="636"/>
        <v>-</v>
      </c>
      <c r="G59" s="333" t="str">
        <f t="shared" si="636"/>
        <v>-</v>
      </c>
      <c r="H59" s="333" t="str">
        <f t="shared" si="636"/>
        <v>-</v>
      </c>
      <c r="I59" s="333" t="str">
        <f t="shared" si="636"/>
        <v>-</v>
      </c>
      <c r="J59" s="333" t="str">
        <f>IFERROR(J84/2, "-")</f>
        <v>-</v>
      </c>
      <c r="N59" s="143" t="s">
        <v>68</v>
      </c>
      <c r="O59" s="143" t="s">
        <v>534</v>
      </c>
      <c r="P59" s="135"/>
      <c r="Q59" s="135"/>
      <c r="S59" s="21"/>
      <c r="T59" cm="1">
        <f t="array" aca="1" ref="T59" ca="1">SUMPRODUCT(--(ISNUMBER(FIND("R59", _xlfn.FORMULATEXT($B$26:$I$143)))))</f>
        <v>0</v>
      </c>
      <c r="BD59" s="335" t="s">
        <v>558</v>
      </c>
      <c r="BE59" s="335"/>
      <c r="BF59" s="335"/>
      <c r="BG59" s="335"/>
      <c r="BH59" s="335"/>
      <c r="BI59" s="336"/>
      <c r="BJ59" s="144"/>
      <c r="BK59" s="144"/>
      <c r="BL59" s="144"/>
      <c r="BM59" s="144"/>
      <c r="BN59" s="144"/>
      <c r="BO59" s="144"/>
      <c r="BP59" s="144"/>
      <c r="BQ59" s="144"/>
      <c r="BR59" s="144"/>
      <c r="KQ59" s="60" t="s">
        <v>312</v>
      </c>
      <c r="KR59" s="116"/>
      <c r="KS59" s="116"/>
      <c r="KT59" s="116"/>
      <c r="KU59" s="116"/>
      <c r="KV59" s="116"/>
      <c r="KW59" s="116"/>
      <c r="KX59" s="116"/>
      <c r="KY59" s="116"/>
      <c r="KZ59" s="116"/>
      <c r="VT59" s="59">
        <v>0</v>
      </c>
    </row>
    <row r="60" spans="1:596" ht="15.75" thickBot="1" x14ac:dyDescent="0.3">
      <c r="A60" s="324" t="s">
        <v>72</v>
      </c>
      <c r="B60" s="155"/>
      <c r="C60" s="155"/>
      <c r="D60" s="155"/>
      <c r="E60" s="155"/>
      <c r="F60" s="155"/>
      <c r="G60" s="155"/>
      <c r="H60" s="155"/>
      <c r="I60" s="155"/>
      <c r="J60" s="155">
        <f>IF(ISNUMBER(SEARCH("Retirement Deduction", N67)),
    MIN(
        IF(
            ISNUMBER(SEARCH("Yes Catch-Up", P67)),
            IF(J1=2024, 30500, IF(J1=2023, 30000, IF(J1=2022, 27000, 0))),
            IF(
                ISNUMBER(SEARCH("No Catch-Up", P67)),
                IF(J1=2024, 23000, IF(J1=2023, 22500, IF(J1=2022, 20500, 0))),
                0
            )
        ),
        S67
    ),
    0
) +
IF(ISNUMBER(SEARCH("Retirement Deduction", N68)),
    MIN(
        IF(
            ISNUMBER(SEARCH("Yes Catch-Up", P68)),
            IF(J1=2024, 30500, IF(J1=2023, 30000, IF(J1=2022, 27000, 0))),
            IF(
                ISNUMBER(SEARCH("No Catch-Up", P68)),
                IF(J1=2024, 23000, IF(J1=2023, 22500, IF(J1=2022, 20500, 0))),
                0
            )
        ),
        S68
    ),
    0
)</f>
        <v>0</v>
      </c>
      <c r="N60" s="144" t="s">
        <v>68</v>
      </c>
      <c r="O60" s="144" t="s">
        <v>535</v>
      </c>
      <c r="P60" s="144"/>
      <c r="Q60" s="144"/>
      <c r="S60" s="21"/>
      <c r="T60" cm="1">
        <f t="array" aca="1" ref="T60" ca="1">SUMPRODUCT(--(ISNUMBER(FIND("R60", _xlfn.FORMULATEXT($B$26:$I$143)))))</f>
        <v>0</v>
      </c>
      <c r="BD60" s="335" t="s">
        <v>559</v>
      </c>
      <c r="BE60" s="335"/>
      <c r="BF60" s="335"/>
      <c r="BG60" s="335"/>
      <c r="BH60" s="335"/>
      <c r="BI60" s="336"/>
      <c r="BJ60" s="144"/>
      <c r="BK60" s="144"/>
      <c r="BL60" s="144"/>
      <c r="BM60" s="144"/>
      <c r="BN60" s="144"/>
      <c r="BO60" s="144"/>
      <c r="BP60" s="144"/>
      <c r="BQ60" s="144"/>
      <c r="BR60" s="144"/>
      <c r="JU60" s="253"/>
      <c r="KQ60" s="60" t="s">
        <v>313</v>
      </c>
      <c r="KR60" s="56"/>
      <c r="KS60" s="56"/>
      <c r="KT60" s="56"/>
      <c r="KU60" s="56"/>
      <c r="KV60" s="56"/>
      <c r="KW60" s="56"/>
      <c r="KX60" s="56"/>
      <c r="KY60" s="56"/>
      <c r="KZ60" s="56"/>
      <c r="VT60" s="59">
        <v>0</v>
      </c>
    </row>
    <row r="61" spans="1:596" ht="15.75" thickBot="1" x14ac:dyDescent="0.3">
      <c r="A61" s="324" t="s">
        <v>22</v>
      </c>
      <c r="B61" s="155"/>
      <c r="C61" s="155"/>
      <c r="D61" s="155"/>
      <c r="E61" s="155"/>
      <c r="F61" s="155"/>
      <c r="G61" s="155"/>
      <c r="H61" s="155"/>
      <c r="I61" s="155"/>
      <c r="J61" s="155">
        <f>SUMIFS(S67:S89, N67:N89, A61)+B61</f>
        <v>0</v>
      </c>
      <c r="N61" s="143" t="s">
        <v>68</v>
      </c>
      <c r="O61" s="143" t="s">
        <v>536</v>
      </c>
      <c r="P61" s="135"/>
      <c r="Q61" s="135"/>
      <c r="S61" s="21"/>
      <c r="T61" cm="1">
        <f t="array" aca="1" ref="T61" ca="1">SUMPRODUCT(--(ISNUMBER(FIND("R61", _xlfn.FORMULATEXT($B$26:$I$143)))))</f>
        <v>0</v>
      </c>
      <c r="BD61" s="335" t="s">
        <v>560</v>
      </c>
      <c r="BE61" s="335"/>
      <c r="BF61" s="335"/>
      <c r="BG61" s="335"/>
      <c r="BH61" s="335"/>
      <c r="BI61" s="336"/>
      <c r="BJ61" s="144"/>
      <c r="BK61" s="144"/>
      <c r="BL61" s="144"/>
      <c r="BM61" s="144"/>
      <c r="BN61" s="144"/>
      <c r="BO61" s="144"/>
      <c r="BP61" s="144"/>
      <c r="BQ61" s="144"/>
      <c r="BR61" s="144"/>
      <c r="JU61" s="253"/>
      <c r="KQ61" s="60" t="s">
        <v>314</v>
      </c>
      <c r="VT61" s="59">
        <v>0</v>
      </c>
    </row>
    <row r="62" spans="1:596" ht="15.75" thickBot="1" x14ac:dyDescent="0.3">
      <c r="A62" s="324" t="s">
        <v>530</v>
      </c>
      <c r="B62" s="155"/>
      <c r="C62" s="155"/>
      <c r="D62" s="155"/>
      <c r="E62" s="155"/>
      <c r="F62" s="155"/>
      <c r="G62" s="155"/>
      <c r="H62" s="155"/>
      <c r="I62" s="155"/>
      <c r="J62" s="155">
        <f>SUMIFS(S67:S89, N67:N89, A62)+B62</f>
        <v>0</v>
      </c>
      <c r="N62" s="144" t="s">
        <v>68</v>
      </c>
      <c r="O62" s="144" t="s">
        <v>537</v>
      </c>
      <c r="P62" s="144"/>
      <c r="Q62" s="144"/>
      <c r="S62" s="21"/>
      <c r="T62" cm="1">
        <f t="array" aca="1" ref="T62" ca="1">SUMPRODUCT(--(ISNUMBER(FIND("R62", _xlfn.FORMULATEXT($B$26:$I$143)))))</f>
        <v>0</v>
      </c>
      <c r="AJ62" t="s">
        <v>231</v>
      </c>
      <c r="BD62" s="335" t="s">
        <v>561</v>
      </c>
      <c r="BE62" s="335"/>
      <c r="BF62" s="335"/>
      <c r="BG62" s="335"/>
      <c r="BH62" s="335"/>
      <c r="BI62" s="336"/>
      <c r="BJ62" s="148">
        <f>SUM(BJ59:BJ61)</f>
        <v>0</v>
      </c>
      <c r="BK62" s="148">
        <f t="shared" ref="BK62:BR62" si="637">SUM(BK59:BK61)</f>
        <v>0</v>
      </c>
      <c r="BL62" s="148">
        <f t="shared" si="637"/>
        <v>0</v>
      </c>
      <c r="BM62" s="148">
        <f t="shared" si="637"/>
        <v>0</v>
      </c>
      <c r="BN62" s="148">
        <f t="shared" si="637"/>
        <v>0</v>
      </c>
      <c r="BO62" s="148">
        <f t="shared" si="637"/>
        <v>0</v>
      </c>
      <c r="BP62" s="148">
        <f t="shared" si="637"/>
        <v>0</v>
      </c>
      <c r="BQ62" s="148">
        <f t="shared" si="637"/>
        <v>0</v>
      </c>
      <c r="BR62" s="148">
        <f t="shared" si="637"/>
        <v>0</v>
      </c>
      <c r="JU62" s="253"/>
      <c r="KQ62" s="60" t="s">
        <v>315</v>
      </c>
      <c r="VT62" s="59">
        <v>0</v>
      </c>
    </row>
    <row r="63" spans="1:596" ht="15.75" thickBot="1" x14ac:dyDescent="0.3">
      <c r="A63" s="324" t="s">
        <v>24</v>
      </c>
      <c r="B63" s="155"/>
      <c r="C63" s="155"/>
      <c r="D63" s="155"/>
      <c r="E63" s="155"/>
      <c r="F63" s="155"/>
      <c r="G63" s="155"/>
      <c r="H63" s="155"/>
      <c r="I63" s="155"/>
      <c r="J63" s="155">
        <f>B63</f>
        <v>0</v>
      </c>
      <c r="S63" s="21"/>
      <c r="T63" cm="1">
        <f t="array" aca="1" ref="T63" ca="1">SUMPRODUCT(--(ISNUMBER(FIND("R63", _xlfn.FORMULATEXT($B$26:$I$143)))))</f>
        <v>0</v>
      </c>
      <c r="AH63" s="177" t="s">
        <v>66</v>
      </c>
      <c r="AI63" s="232" t="str">
        <f>B23</f>
        <v/>
      </c>
      <c r="BD63" s="335" t="s">
        <v>562</v>
      </c>
      <c r="BE63" s="335"/>
      <c r="BF63" s="335"/>
      <c r="BG63" s="335"/>
      <c r="BH63" s="335"/>
      <c r="BI63" s="336"/>
      <c r="BJ63" s="144"/>
      <c r="BK63" s="144"/>
      <c r="BL63" s="144"/>
      <c r="BM63" s="144"/>
      <c r="BN63" s="144"/>
      <c r="BO63" s="144"/>
      <c r="BP63" s="144"/>
      <c r="BQ63" s="144"/>
      <c r="BR63" s="144"/>
      <c r="KQ63" s="60" t="s">
        <v>316</v>
      </c>
      <c r="KR63" s="123">
        <f>SUM(KR56:KR62)</f>
        <v>0</v>
      </c>
      <c r="KS63" s="123">
        <f t="shared" ref="KS63:KY63" si="638">SUM(KS56:KS62)</f>
        <v>0</v>
      </c>
      <c r="KT63" s="123">
        <f t="shared" si="638"/>
        <v>0</v>
      </c>
      <c r="KU63" s="123">
        <f t="shared" si="638"/>
        <v>0</v>
      </c>
      <c r="KV63" s="123">
        <f t="shared" si="638"/>
        <v>0</v>
      </c>
      <c r="KW63" s="123">
        <f t="shared" si="638"/>
        <v>0</v>
      </c>
      <c r="KX63" s="123">
        <f t="shared" si="638"/>
        <v>0</v>
      </c>
      <c r="KY63" s="123">
        <f t="shared" si="638"/>
        <v>0</v>
      </c>
      <c r="KZ63" s="123" t="e">
        <f t="shared" ref="KZ63" si="639">SUM(KZ56:KZ62)</f>
        <v>#VALUE!</v>
      </c>
      <c r="VT63" s="59">
        <v>0</v>
      </c>
    </row>
    <row r="64" spans="1:596" ht="15.75" thickBot="1" x14ac:dyDescent="0.3">
      <c r="A64" s="324" t="s">
        <v>25</v>
      </c>
      <c r="B64" s="155"/>
      <c r="C64" s="155"/>
      <c r="D64" s="155"/>
      <c r="E64" s="155"/>
      <c r="F64" s="155"/>
      <c r="G64" s="155"/>
      <c r="H64" s="155"/>
      <c r="I64" s="155"/>
      <c r="J64" s="155">
        <f>SUMIFS(S67:S89, N67:N89, A64)+B64</f>
        <v>0</v>
      </c>
      <c r="S64" s="21"/>
      <c r="T64" cm="1">
        <f t="array" aca="1" ref="T64" ca="1">SUMPRODUCT(--(ISNUMBER(FIND("R64", _xlfn.FORMULATEXT($B$26:$I$143)))))</f>
        <v>0</v>
      </c>
      <c r="BD64" s="335" t="s">
        <v>563</v>
      </c>
      <c r="BE64" s="335"/>
      <c r="BF64" s="335"/>
      <c r="BG64" s="335"/>
      <c r="BH64" s="335"/>
      <c r="BI64" s="336"/>
      <c r="BJ64" s="144"/>
      <c r="BK64" s="144"/>
      <c r="BL64" s="144"/>
      <c r="BM64" s="144"/>
      <c r="BN64" s="144"/>
      <c r="BO64" s="144"/>
      <c r="BP64" s="144"/>
      <c r="BQ64" s="144"/>
      <c r="BR64" s="144"/>
      <c r="VT64" s="59">
        <v>0</v>
      </c>
    </row>
    <row r="65" spans="1:312" ht="15.75" thickBot="1" x14ac:dyDescent="0.3">
      <c r="A65" s="326" t="s">
        <v>26</v>
      </c>
      <c r="B65" s="159">
        <f>-SUM(B59:B64)+B56</f>
        <v>0</v>
      </c>
      <c r="C65" s="159">
        <f t="shared" ref="C65:H65" si="640">-SUM(C59:C64)+C56</f>
        <v>0</v>
      </c>
      <c r="D65" s="159">
        <f t="shared" si="640"/>
        <v>0</v>
      </c>
      <c r="E65" s="159">
        <f t="shared" si="640"/>
        <v>0</v>
      </c>
      <c r="F65" s="159">
        <f t="shared" si="640"/>
        <v>0</v>
      </c>
      <c r="G65" s="159">
        <f t="shared" si="640"/>
        <v>0</v>
      </c>
      <c r="H65" s="159">
        <f t="shared" si="640"/>
        <v>0</v>
      </c>
      <c r="I65" s="159">
        <f>-SUM(I59:I64)+I56</f>
        <v>0</v>
      </c>
      <c r="J65" s="159">
        <f>-SUM(J59:J64)+J56</f>
        <v>0</v>
      </c>
      <c r="K65" s="212"/>
      <c r="L65" s="213">
        <f>IF(K65&lt;=100000, 25000, IF(K65&gt;=150000, 0, 25000 - (K65 - 100000) * 0.5))</f>
        <v>25000</v>
      </c>
      <c r="S65" s="21"/>
      <c r="T65" cm="1">
        <f t="array" aca="1" ref="T65" ca="1">SUMPRODUCT(--(ISNUMBER(FIND("R65", _xlfn.FORMULATEXT($B$26:$I$143)))))</f>
        <v>0</v>
      </c>
      <c r="V65" s="30" t="s">
        <v>57</v>
      </c>
      <c r="W65" s="31" t="s">
        <v>58</v>
      </c>
      <c r="X65" s="31" t="s">
        <v>59</v>
      </c>
      <c r="Y65" s="31" t="s">
        <v>60</v>
      </c>
      <c r="Z65" s="31" t="s">
        <v>70</v>
      </c>
      <c r="AA65" s="48">
        <f>I56</f>
        <v>0</v>
      </c>
      <c r="AB65" s="245" t="e">
        <f>O45+Q45+IFERROR(INDEX(R33:R44, MATCH("Augusta", N33:N44, 0)), 0)</f>
        <v>#N/A</v>
      </c>
      <c r="BD65" s="335" t="s">
        <v>564</v>
      </c>
      <c r="BE65" s="335"/>
      <c r="BF65" s="335"/>
      <c r="BG65" s="335"/>
      <c r="BH65" s="335"/>
      <c r="BI65" s="336"/>
      <c r="BJ65" s="148">
        <f>BJ53+BJ54+BJ55+BJ58+BJ62+BJ63+BJ64</f>
        <v>0</v>
      </c>
      <c r="BK65" s="148">
        <f t="shared" ref="BK65:BR65" si="641">BK53+BK54+BK55+BK58+BK62+BK63+BK64</f>
        <v>0</v>
      </c>
      <c r="BL65" s="148">
        <f t="shared" si="641"/>
        <v>0</v>
      </c>
      <c r="BM65" s="148">
        <f t="shared" si="641"/>
        <v>0</v>
      </c>
      <c r="BN65" s="148">
        <f t="shared" si="641"/>
        <v>0</v>
      </c>
      <c r="BO65" s="148">
        <f t="shared" si="641"/>
        <v>0</v>
      </c>
      <c r="BP65" s="148">
        <f t="shared" si="641"/>
        <v>0</v>
      </c>
      <c r="BQ65" s="148">
        <f t="shared" si="641"/>
        <v>0</v>
      </c>
      <c r="BR65" s="148">
        <f t="shared" si="641"/>
        <v>0</v>
      </c>
    </row>
    <row r="66" spans="1:312" ht="15.75" thickBot="1" x14ac:dyDescent="0.3">
      <c r="A66" s="21"/>
      <c r="B66" s="155"/>
      <c r="C66" s="155"/>
      <c r="D66" s="155"/>
      <c r="E66" s="155"/>
      <c r="F66" s="155"/>
      <c r="G66" s="155"/>
      <c r="H66" s="155"/>
      <c r="I66" s="155"/>
      <c r="J66" s="155"/>
      <c r="N66" s="300" t="s">
        <v>27</v>
      </c>
      <c r="S66" s="21"/>
      <c r="T66" cm="1">
        <f t="array" aca="1" ref="T66" ca="1">SUMPRODUCT(--(ISNUMBER(FIND("R66", _xlfn.FORMULATEXT($B$26:$I$143)))))</f>
        <v>0</v>
      </c>
      <c r="V66" s="32">
        <v>1</v>
      </c>
      <c r="W66" s="33">
        <v>7.6399999999999996E-2</v>
      </c>
      <c r="X66" s="34" t="e">
        <f>AB65</f>
        <v>#N/A</v>
      </c>
      <c r="Y66" s="34" t="e">
        <f>(X66*W66)*(1-#REF!)</f>
        <v>#N/A</v>
      </c>
      <c r="Z66" s="34" t="e">
        <f t="shared" ref="Z66:Z85" si="642">X66+Y66</f>
        <v>#N/A</v>
      </c>
      <c r="AB66" s="35" t="e">
        <f t="shared" ref="AB66:AB84" si="643">AB65</f>
        <v>#N/A</v>
      </c>
      <c r="BD66" s="335" t="s">
        <v>565</v>
      </c>
      <c r="BE66" s="335"/>
      <c r="BF66" s="335"/>
      <c r="BG66" s="335"/>
      <c r="BH66" s="335"/>
      <c r="BI66" s="336"/>
      <c r="BJ66" s="144"/>
      <c r="BK66" s="144"/>
      <c r="BL66" s="144"/>
      <c r="BM66" s="144"/>
      <c r="BN66" s="144"/>
      <c r="BO66" s="144"/>
      <c r="BP66" s="144"/>
      <c r="BQ66" s="144"/>
      <c r="BR66" s="144"/>
    </row>
    <row r="67" spans="1:312" ht="15.75" thickBot="1" x14ac:dyDescent="0.3">
      <c r="A67" s="327" t="s">
        <v>27</v>
      </c>
      <c r="B67" s="155"/>
      <c r="C67" s="155"/>
      <c r="D67" s="155"/>
      <c r="E67" s="155"/>
      <c r="F67" s="155"/>
      <c r="G67" s="155"/>
      <c r="H67" s="155"/>
      <c r="I67" s="155"/>
      <c r="J67" s="155"/>
      <c r="N67" s="143" t="s">
        <v>529</v>
      </c>
      <c r="O67" s="143" t="s">
        <v>521</v>
      </c>
      <c r="P67" s="135" t="s">
        <v>323</v>
      </c>
      <c r="Q67" s="135" t="s">
        <v>547</v>
      </c>
      <c r="R67" s="304" t="str">
        <f>IFERROR(S67*$Q$56, "-")</f>
        <v>-</v>
      </c>
      <c r="S67" s="301">
        <f>IF(N67="None", 0, Z29)</f>
        <v>0</v>
      </c>
      <c r="T67" cm="1">
        <f t="array" aca="1" ref="T67" ca="1">SUMPRODUCT(--(ISNUMBER(FIND("R67", _xlfn.FORMULATEXT($B$26:$I$143)))))</f>
        <v>0</v>
      </c>
      <c r="V67" s="32">
        <v>2</v>
      </c>
      <c r="W67" s="33">
        <f t="shared" ref="W67:W85" si="644">W66</f>
        <v>7.6399999999999996E-2</v>
      </c>
      <c r="X67" s="34" t="e">
        <f t="shared" ref="X67:X85" si="645">Z66+AB66</f>
        <v>#N/A</v>
      </c>
      <c r="Y67" s="34" t="e">
        <f>(X67*W67)*(1-#REF!)</f>
        <v>#N/A</v>
      </c>
      <c r="Z67" s="34" t="e">
        <f t="shared" si="642"/>
        <v>#N/A</v>
      </c>
      <c r="AB67" s="35" t="e">
        <f t="shared" si="643"/>
        <v>#N/A</v>
      </c>
      <c r="AG67" s="7"/>
      <c r="AH67" s="8" t="s">
        <v>28</v>
      </c>
      <c r="AI67" s="8" t="s">
        <v>29</v>
      </c>
      <c r="AJ67" s="9" t="s">
        <v>28</v>
      </c>
      <c r="AK67" s="49" t="s">
        <v>27</v>
      </c>
      <c r="BD67" s="335" t="s">
        <v>566</v>
      </c>
      <c r="BE67" s="335"/>
      <c r="BF67" s="335"/>
      <c r="BG67" s="335"/>
      <c r="BH67" s="335"/>
      <c r="BI67" s="336"/>
      <c r="BJ67" s="144"/>
      <c r="BK67" s="144"/>
      <c r="BL67" s="144"/>
      <c r="BM67" s="144"/>
      <c r="BN67" s="144"/>
      <c r="BO67" s="144"/>
      <c r="BP67" s="144"/>
      <c r="BQ67" s="144"/>
      <c r="BR67" s="144"/>
      <c r="JU67" s="253"/>
    </row>
    <row r="68" spans="1:312" ht="15.75" thickBot="1" x14ac:dyDescent="0.3">
      <c r="A68" s="324" t="s">
        <v>73</v>
      </c>
      <c r="B68" s="155"/>
      <c r="C68" s="155"/>
      <c r="D68" s="155"/>
      <c r="E68" s="155"/>
      <c r="F68" s="155"/>
      <c r="G68" s="155"/>
      <c r="H68" s="155"/>
      <c r="I68" s="155"/>
      <c r="J68" s="155">
        <f>B68</f>
        <v>0</v>
      </c>
      <c r="L68" s="124"/>
      <c r="N68" s="144" t="s">
        <v>529</v>
      </c>
      <c r="O68" s="144" t="s">
        <v>522</v>
      </c>
      <c r="P68" s="144" t="s">
        <v>323</v>
      </c>
      <c r="Q68" s="144" t="s">
        <v>547</v>
      </c>
      <c r="R68" s="302" t="str">
        <f t="shared" ref="R68:R89" si="646">IFERROR(S68*$Q$56, "-")</f>
        <v>-</v>
      </c>
      <c r="S68" s="303">
        <f>IF(N68="None", 0, AD29)</f>
        <v>0</v>
      </c>
      <c r="T68" cm="1">
        <f t="array" aca="1" ref="T68" ca="1">SUMPRODUCT(--(ISNUMBER(FIND("R68", _xlfn.FORMULATEXT($B$26:$I$143)))))</f>
        <v>0</v>
      </c>
      <c r="V68" s="32">
        <v>3</v>
      </c>
      <c r="W68" s="33">
        <f t="shared" si="644"/>
        <v>7.6399999999999996E-2</v>
      </c>
      <c r="X68" s="34" t="e">
        <f t="shared" si="645"/>
        <v>#N/A</v>
      </c>
      <c r="Y68" s="34" t="e">
        <f>(X68*W68)*(1-#REF!)</f>
        <v>#N/A</v>
      </c>
      <c r="Z68" s="34" t="e">
        <f t="shared" si="642"/>
        <v>#N/A</v>
      </c>
      <c r="AB68" s="35" t="e">
        <f t="shared" si="643"/>
        <v>#N/A</v>
      </c>
      <c r="AG68" s="10"/>
      <c r="AK68" s="21"/>
      <c r="BD68" s="335" t="s">
        <v>567</v>
      </c>
      <c r="BE68" s="335"/>
      <c r="BF68" s="335"/>
      <c r="BG68" s="335"/>
      <c r="BH68" s="335"/>
      <c r="BI68" s="336"/>
      <c r="BJ68" s="144"/>
      <c r="BK68" s="144"/>
      <c r="BL68" s="144"/>
      <c r="BM68" s="144"/>
      <c r="BN68" s="144"/>
      <c r="BO68" s="144"/>
      <c r="BP68" s="144"/>
      <c r="BQ68" s="144"/>
      <c r="BR68" s="144"/>
      <c r="JU68" s="253"/>
      <c r="KQ68" s="288" t="s">
        <v>508</v>
      </c>
      <c r="KR68" s="288" t="s">
        <v>509</v>
      </c>
      <c r="KS68" s="288" t="s">
        <v>510</v>
      </c>
      <c r="KT68" s="288" t="s">
        <v>511</v>
      </c>
      <c r="KU68" s="288" t="s">
        <v>512</v>
      </c>
      <c r="KV68" s="288" t="s">
        <v>513</v>
      </c>
      <c r="KW68" s="288" t="s">
        <v>514</v>
      </c>
      <c r="KX68" s="288" t="s">
        <v>515</v>
      </c>
      <c r="KY68" s="288" t="s">
        <v>516</v>
      </c>
      <c r="KZ68" s="288" t="s">
        <v>517</v>
      </c>
    </row>
    <row r="69" spans="1:312" ht="15.75" thickBot="1" x14ac:dyDescent="0.3">
      <c r="A69" s="324" t="s">
        <v>31</v>
      </c>
      <c r="B69" s="163"/>
      <c r="C69" s="163"/>
      <c r="D69" s="163"/>
      <c r="E69" s="163"/>
      <c r="F69" s="163"/>
      <c r="G69" s="163"/>
      <c r="H69" s="163"/>
      <c r="I69" s="163"/>
      <c r="J69" s="163">
        <f t="shared" ref="J69:J70" si="647">B69</f>
        <v>0</v>
      </c>
      <c r="N69" s="143" t="s">
        <v>529</v>
      </c>
      <c r="O69" s="143" t="s">
        <v>539</v>
      </c>
      <c r="P69" s="135"/>
      <c r="Q69" s="135"/>
      <c r="R69" s="302" t="str">
        <f t="shared" si="646"/>
        <v>-</v>
      </c>
      <c r="S69" s="303">
        <f>J28-B28</f>
        <v>0</v>
      </c>
      <c r="T69" cm="1">
        <f t="array" aca="1" ref="T69" ca="1">SUMPRODUCT(--(ISNUMBER(FIND("R69", _xlfn.FORMULATEXT($B$26:$I$143)))))</f>
        <v>0</v>
      </c>
      <c r="V69" s="32">
        <v>4</v>
      </c>
      <c r="W69" s="33">
        <f t="shared" si="644"/>
        <v>7.6399999999999996E-2</v>
      </c>
      <c r="X69" s="34" t="e">
        <f t="shared" si="645"/>
        <v>#N/A</v>
      </c>
      <c r="Y69" s="34" t="e">
        <f>(X69*W69)*(1-#REF!)</f>
        <v>#N/A</v>
      </c>
      <c r="Z69" s="34" t="e">
        <f t="shared" si="642"/>
        <v>#N/A</v>
      </c>
      <c r="AB69" s="35" t="e">
        <f t="shared" si="643"/>
        <v>#N/A</v>
      </c>
      <c r="AG69" s="10"/>
      <c r="AK69" s="21"/>
      <c r="BD69" s="335" t="s">
        <v>561</v>
      </c>
      <c r="BE69" s="335"/>
      <c r="BF69" s="335"/>
      <c r="BG69" s="335"/>
      <c r="BH69" s="335"/>
      <c r="BI69" s="336"/>
      <c r="BJ69" s="148">
        <f>SUM(BJ66:BJ68)</f>
        <v>0</v>
      </c>
      <c r="BK69" s="148">
        <f t="shared" ref="BK69:BR69" si="648">SUM(BK66:BK68)</f>
        <v>0</v>
      </c>
      <c r="BL69" s="148">
        <f t="shared" si="648"/>
        <v>0</v>
      </c>
      <c r="BM69" s="148">
        <f t="shared" si="648"/>
        <v>0</v>
      </c>
      <c r="BN69" s="148">
        <f t="shared" si="648"/>
        <v>0</v>
      </c>
      <c r="BO69" s="148">
        <f t="shared" si="648"/>
        <v>0</v>
      </c>
      <c r="BP69" s="148">
        <f t="shared" si="648"/>
        <v>0</v>
      </c>
      <c r="BQ69" s="148">
        <f t="shared" si="648"/>
        <v>0</v>
      </c>
      <c r="BR69" s="148">
        <f t="shared" si="648"/>
        <v>0</v>
      </c>
      <c r="JU69" s="253"/>
    </row>
    <row r="70" spans="1:312" ht="15.75" thickBot="1" x14ac:dyDescent="0.3">
      <c r="A70" s="324" t="s">
        <v>101</v>
      </c>
      <c r="B70" s="155"/>
      <c r="C70" s="155"/>
      <c r="D70" s="155"/>
      <c r="E70" s="155"/>
      <c r="F70" s="155"/>
      <c r="G70" s="155"/>
      <c r="H70" s="155"/>
      <c r="I70" s="155"/>
      <c r="J70" s="155">
        <f t="shared" si="647"/>
        <v>0</v>
      </c>
      <c r="N70" s="144" t="s">
        <v>529</v>
      </c>
      <c r="O70" s="144" t="s">
        <v>538</v>
      </c>
      <c r="P70" s="144"/>
      <c r="Q70" s="144"/>
      <c r="R70" s="302" t="str">
        <f t="shared" si="646"/>
        <v>-</v>
      </c>
      <c r="S70" s="303">
        <f>J29-B29</f>
        <v>0</v>
      </c>
      <c r="T70" cm="1">
        <f t="array" aca="1" ref="T70" ca="1">SUMPRODUCT(--(ISNUMBER(FIND("R70", _xlfn.FORMULATEXT($B$26:$I$143)))))</f>
        <v>0</v>
      </c>
      <c r="V70" s="32">
        <v>5</v>
      </c>
      <c r="W70" s="33">
        <f t="shared" si="644"/>
        <v>7.6399999999999996E-2</v>
      </c>
      <c r="X70" s="34" t="e">
        <f t="shared" si="645"/>
        <v>#N/A</v>
      </c>
      <c r="Y70" s="34" t="e">
        <f>(X70*W70)*(1-#REF!)</f>
        <v>#N/A</v>
      </c>
      <c r="Z70" s="34" t="e">
        <f t="shared" si="642"/>
        <v>#N/A</v>
      </c>
      <c r="AB70" s="35" t="e">
        <f t="shared" si="643"/>
        <v>#N/A</v>
      </c>
      <c r="AG70" s="128"/>
      <c r="AH70" s="11"/>
      <c r="AI70" s="11"/>
      <c r="AJ70" s="12"/>
      <c r="AK70" s="13"/>
      <c r="BD70" s="335" t="s">
        <v>568</v>
      </c>
      <c r="BE70" s="335"/>
      <c r="BF70" s="335"/>
      <c r="BG70" s="335"/>
      <c r="BH70" s="335"/>
      <c r="BI70" s="336"/>
      <c r="BJ70" s="144"/>
      <c r="BK70" s="144"/>
      <c r="BL70" s="144"/>
      <c r="BM70" s="144"/>
      <c r="BN70" s="144"/>
      <c r="BO70" s="144"/>
      <c r="BP70" s="144"/>
      <c r="BQ70" s="144"/>
      <c r="BR70" s="144"/>
    </row>
    <row r="71" spans="1:312" ht="15.75" thickBot="1" x14ac:dyDescent="0.3">
      <c r="A71" s="324" t="s">
        <v>32</v>
      </c>
      <c r="B71" s="155"/>
      <c r="C71" s="155"/>
      <c r="D71" s="155"/>
      <c r="E71" s="155"/>
      <c r="F71" s="155"/>
      <c r="G71" s="155"/>
      <c r="H71" s="155"/>
      <c r="I71" s="155"/>
      <c r="J71" s="155">
        <f>SUMIFS(S67:S89, N67:N89, A71)+B71</f>
        <v>0</v>
      </c>
      <c r="N71" s="143" t="s">
        <v>529</v>
      </c>
      <c r="O71" s="143" t="s">
        <v>251</v>
      </c>
      <c r="P71" s="135"/>
      <c r="Q71" s="135"/>
      <c r="R71" s="302" t="str">
        <f t="shared" si="646"/>
        <v>-</v>
      </c>
      <c r="S71" s="303">
        <f t="shared" ref="S71:S79" si="649">IF(N71="None", 0, AE33)</f>
        <v>0</v>
      </c>
      <c r="T71" cm="1">
        <f t="array" aca="1" ref="T71" ca="1">SUMPRODUCT(--(ISNUMBER(FIND("R71", _xlfn.FORMULATEXT($B$26:$I$143)))))</f>
        <v>0</v>
      </c>
      <c r="V71" s="32">
        <v>6</v>
      </c>
      <c r="W71" s="33">
        <f t="shared" si="644"/>
        <v>7.6399999999999996E-2</v>
      </c>
      <c r="X71" s="34" t="e">
        <f t="shared" si="645"/>
        <v>#N/A</v>
      </c>
      <c r="Y71" s="34" t="e">
        <f>(X71*W71)*(1-#REF!)</f>
        <v>#N/A</v>
      </c>
      <c r="Z71" s="34" t="e">
        <f t="shared" si="642"/>
        <v>#N/A</v>
      </c>
      <c r="AB71" s="35" t="e">
        <f t="shared" si="643"/>
        <v>#N/A</v>
      </c>
      <c r="AG71" s="128"/>
      <c r="AH71" s="11" t="e">
        <f t="shared" ref="AH71:AH78" si="650">AK71*$AI$63</f>
        <v>#N/A</v>
      </c>
      <c r="AI71" s="11" t="e">
        <f t="shared" ref="AI71:AI79" si="651">AH71*5</f>
        <v>#N/A</v>
      </c>
      <c r="AJ71" s="12"/>
      <c r="AK71" s="13" t="e">
        <f t="shared" ref="AK71:AK78" si="652">INDEX($AE$32:$AE$44, MATCH(AG71, $V$32:$V$44, 0))</f>
        <v>#N/A</v>
      </c>
      <c r="BD71" s="335" t="s">
        <v>569</v>
      </c>
      <c r="BE71" s="335"/>
      <c r="BF71" s="335"/>
      <c r="BG71" s="335"/>
      <c r="BH71" s="335"/>
      <c r="BI71" s="336"/>
      <c r="BJ71" s="148">
        <f>BJ69+BJ70</f>
        <v>0</v>
      </c>
      <c r="BK71" s="148">
        <f t="shared" ref="BK71:BR71" si="653">BK69+BK70</f>
        <v>0</v>
      </c>
      <c r="BL71" s="148">
        <f t="shared" si="653"/>
        <v>0</v>
      </c>
      <c r="BM71" s="148">
        <f t="shared" si="653"/>
        <v>0</v>
      </c>
      <c r="BN71" s="148">
        <f t="shared" si="653"/>
        <v>0</v>
      </c>
      <c r="BO71" s="148">
        <f t="shared" si="653"/>
        <v>0</v>
      </c>
      <c r="BP71" s="148">
        <f t="shared" si="653"/>
        <v>0</v>
      </c>
      <c r="BQ71" s="148">
        <f t="shared" si="653"/>
        <v>0</v>
      </c>
      <c r="BR71" s="148">
        <f t="shared" si="653"/>
        <v>0</v>
      </c>
    </row>
    <row r="72" spans="1:312" ht="15.75" thickBot="1" x14ac:dyDescent="0.3">
      <c r="A72" s="324" t="s">
        <v>74</v>
      </c>
      <c r="B72" s="155"/>
      <c r="C72" s="155"/>
      <c r="D72" s="155"/>
      <c r="E72" s="155"/>
      <c r="F72" s="155"/>
      <c r="G72" s="155"/>
      <c r="H72" s="155"/>
      <c r="I72" s="155"/>
      <c r="J72" s="155">
        <f>IF(COUNTIF(N67:N89, "Contributions") &gt; 0, SUMIFS(S67:S89, N67:N89, A72), B72)</f>
        <v>0</v>
      </c>
      <c r="N72" s="144" t="s">
        <v>529</v>
      </c>
      <c r="O72" s="144" t="s">
        <v>256</v>
      </c>
      <c r="P72" s="144"/>
      <c r="Q72" s="144"/>
      <c r="R72" s="302" t="str">
        <f t="shared" si="646"/>
        <v>-</v>
      </c>
      <c r="S72" s="303">
        <f t="shared" si="649"/>
        <v>0</v>
      </c>
      <c r="T72" cm="1">
        <f t="array" aca="1" ref="T72" ca="1">SUMPRODUCT(--(ISNUMBER(FIND("R72", _xlfn.FORMULATEXT($B$26:$I$143)))))</f>
        <v>0</v>
      </c>
      <c r="V72" s="32">
        <v>7</v>
      </c>
      <c r="W72" s="33">
        <f t="shared" si="644"/>
        <v>7.6399999999999996E-2</v>
      </c>
      <c r="X72" s="34" t="e">
        <f t="shared" si="645"/>
        <v>#N/A</v>
      </c>
      <c r="Y72" s="34" t="e">
        <f>(X72*W72)*(1-#REF!)</f>
        <v>#N/A</v>
      </c>
      <c r="Z72" s="34" t="e">
        <f t="shared" si="642"/>
        <v>#N/A</v>
      </c>
      <c r="AB72" s="35" t="e">
        <f t="shared" si="643"/>
        <v>#N/A</v>
      </c>
      <c r="AG72" s="128"/>
      <c r="AH72" s="11" t="e">
        <f t="shared" si="650"/>
        <v>#N/A</v>
      </c>
      <c r="AI72" s="11" t="e">
        <f t="shared" si="651"/>
        <v>#N/A</v>
      </c>
      <c r="AJ72" s="12"/>
      <c r="AK72" s="13" t="e">
        <f t="shared" si="652"/>
        <v>#N/A</v>
      </c>
      <c r="BD72" s="335" t="s">
        <v>570</v>
      </c>
      <c r="BE72" s="335"/>
      <c r="BF72" s="335"/>
      <c r="BG72" s="335"/>
      <c r="BH72" s="335"/>
      <c r="BI72" s="336"/>
      <c r="BJ72" s="148">
        <f>MAX(BJ65-BJ71, 0)</f>
        <v>0</v>
      </c>
      <c r="BK72" s="148">
        <f t="shared" ref="BK72:BR72" si="654">MAX(BK65-BK71, 0)</f>
        <v>0</v>
      </c>
      <c r="BL72" s="148">
        <f t="shared" si="654"/>
        <v>0</v>
      </c>
      <c r="BM72" s="148">
        <f t="shared" si="654"/>
        <v>0</v>
      </c>
      <c r="BN72" s="148">
        <f t="shared" si="654"/>
        <v>0</v>
      </c>
      <c r="BO72" s="148">
        <f t="shared" si="654"/>
        <v>0</v>
      </c>
      <c r="BP72" s="148">
        <f t="shared" si="654"/>
        <v>0</v>
      </c>
      <c r="BQ72" s="148">
        <f t="shared" si="654"/>
        <v>0</v>
      </c>
      <c r="BR72" s="148">
        <f t="shared" si="654"/>
        <v>0</v>
      </c>
    </row>
    <row r="73" spans="1:312" ht="15.75" thickBot="1" x14ac:dyDescent="0.3">
      <c r="A73" s="324" t="s">
        <v>34</v>
      </c>
      <c r="B73" s="155"/>
      <c r="C73" s="155"/>
      <c r="D73" s="155"/>
      <c r="E73" s="155"/>
      <c r="F73" s="155"/>
      <c r="G73" s="155"/>
      <c r="H73" s="155"/>
      <c r="I73" s="155"/>
      <c r="J73" s="155">
        <f t="shared" ref="J73:J76" si="655">B73</f>
        <v>0</v>
      </c>
      <c r="N73" s="143" t="s">
        <v>529</v>
      </c>
      <c r="O73" s="143" t="s">
        <v>23</v>
      </c>
      <c r="P73" s="135"/>
      <c r="Q73" s="135"/>
      <c r="R73" s="302" t="str">
        <f t="shared" si="646"/>
        <v>-</v>
      </c>
      <c r="S73" s="303">
        <f t="shared" si="649"/>
        <v>0</v>
      </c>
      <c r="T73" cm="1">
        <f t="array" aca="1" ref="T73" ca="1">SUMPRODUCT(--(ISNUMBER(FIND("R73", _xlfn.FORMULATEXT($B$26:$I$143)))))</f>
        <v>0</v>
      </c>
      <c r="V73" s="32">
        <v>8</v>
      </c>
      <c r="W73" s="33">
        <f t="shared" si="644"/>
        <v>7.6399999999999996E-2</v>
      </c>
      <c r="X73" s="34" t="e">
        <f t="shared" si="645"/>
        <v>#N/A</v>
      </c>
      <c r="Y73" s="34" t="e">
        <f>(X73*W73)*(1-#REF!)</f>
        <v>#N/A</v>
      </c>
      <c r="Z73" s="34" t="e">
        <f t="shared" si="642"/>
        <v>#N/A</v>
      </c>
      <c r="AB73" s="35" t="e">
        <f t="shared" si="643"/>
        <v>#N/A</v>
      </c>
      <c r="AG73" s="128"/>
      <c r="AH73" s="11" t="e">
        <f t="shared" si="650"/>
        <v>#N/A</v>
      </c>
      <c r="AI73" s="11" t="e">
        <f t="shared" si="651"/>
        <v>#N/A</v>
      </c>
      <c r="AJ73" s="14"/>
      <c r="AK73" s="13" t="e">
        <f t="shared" si="652"/>
        <v>#N/A</v>
      </c>
      <c r="BD73" s="335" t="s">
        <v>571</v>
      </c>
      <c r="BE73" s="335"/>
      <c r="BF73" s="335"/>
      <c r="BG73" s="335"/>
      <c r="BH73" s="335"/>
      <c r="BI73" s="336"/>
      <c r="BJ73" s="148">
        <f>B65</f>
        <v>0</v>
      </c>
      <c r="BK73" s="148">
        <f t="shared" ref="BK73:BR73" si="656">C65</f>
        <v>0</v>
      </c>
      <c r="BL73" s="148">
        <f t="shared" si="656"/>
        <v>0</v>
      </c>
      <c r="BM73" s="148">
        <f t="shared" si="656"/>
        <v>0</v>
      </c>
      <c r="BN73" s="148">
        <f t="shared" si="656"/>
        <v>0</v>
      </c>
      <c r="BO73" s="148">
        <f t="shared" si="656"/>
        <v>0</v>
      </c>
      <c r="BP73" s="148">
        <f t="shared" si="656"/>
        <v>0</v>
      </c>
      <c r="BQ73" s="148">
        <f t="shared" si="656"/>
        <v>0</v>
      </c>
      <c r="BR73" s="148">
        <f t="shared" si="656"/>
        <v>0</v>
      </c>
      <c r="JU73" s="253"/>
    </row>
    <row r="74" spans="1:312" ht="15.75" thickBot="1" x14ac:dyDescent="0.3">
      <c r="A74" s="324" t="s">
        <v>75</v>
      </c>
      <c r="B74" s="155"/>
      <c r="C74" s="155"/>
      <c r="D74" s="155"/>
      <c r="E74" s="155"/>
      <c r="F74" s="155"/>
      <c r="G74" s="155"/>
      <c r="H74" s="155"/>
      <c r="I74" s="155"/>
      <c r="J74" s="155">
        <f t="shared" si="655"/>
        <v>0</v>
      </c>
      <c r="N74" s="144" t="s">
        <v>529</v>
      </c>
      <c r="O74" s="144" t="s">
        <v>253</v>
      </c>
      <c r="P74" s="144"/>
      <c r="Q74" s="144"/>
      <c r="R74" s="302" t="str">
        <f t="shared" si="646"/>
        <v>-</v>
      </c>
      <c r="S74" s="303">
        <f t="shared" si="649"/>
        <v>0</v>
      </c>
      <c r="T74" cm="1">
        <f t="array" aca="1" ref="T74" ca="1">SUMPRODUCT(--(ISNUMBER(FIND("R74", _xlfn.FORMULATEXT($B$26:$I$143)))))</f>
        <v>0</v>
      </c>
      <c r="V74" s="32">
        <v>9</v>
      </c>
      <c r="W74" s="33">
        <f t="shared" si="644"/>
        <v>7.6399999999999996E-2</v>
      </c>
      <c r="X74" s="34" t="e">
        <f t="shared" si="645"/>
        <v>#N/A</v>
      </c>
      <c r="Y74" s="34" t="e">
        <f>(X74*W74)*(1-#REF!)</f>
        <v>#N/A</v>
      </c>
      <c r="Z74" s="34" t="e">
        <f t="shared" si="642"/>
        <v>#N/A</v>
      </c>
      <c r="AB74" s="35" t="e">
        <f t="shared" si="643"/>
        <v>#N/A</v>
      </c>
      <c r="AG74" s="128"/>
      <c r="AH74" s="11" t="e">
        <f t="shared" si="650"/>
        <v>#N/A</v>
      </c>
      <c r="AI74" s="11" t="e">
        <f t="shared" si="651"/>
        <v>#N/A</v>
      </c>
      <c r="AJ74" s="15"/>
      <c r="AK74" s="13" t="e">
        <f t="shared" si="652"/>
        <v>#N/A</v>
      </c>
      <c r="BD74" s="335" t="s">
        <v>572</v>
      </c>
      <c r="BE74" s="335"/>
      <c r="BF74" s="335"/>
      <c r="BG74" s="335"/>
      <c r="BH74" s="335"/>
      <c r="BI74" s="336"/>
      <c r="BJ74" s="148">
        <f>IF(OR(B2="Single", B2="HOH"), 200000, IF(B2="MFJ", 250000, IF(B2="MFS", 125000, IF(B2="QW", 250000, 0))))</f>
        <v>0</v>
      </c>
      <c r="BK74" s="148">
        <f t="shared" ref="BK74:BR74" si="657">IF(OR(C2="Single", C2="HOH"), 200000, IF(C2="MFJ", 250000, IF(C2="MFS", 125000, IF(C2="QW", 250000, 0))))</f>
        <v>0</v>
      </c>
      <c r="BL74" s="148">
        <f t="shared" si="657"/>
        <v>0</v>
      </c>
      <c r="BM74" s="148">
        <f t="shared" si="657"/>
        <v>0</v>
      </c>
      <c r="BN74" s="148">
        <f t="shared" si="657"/>
        <v>0</v>
      </c>
      <c r="BO74" s="148">
        <f t="shared" si="657"/>
        <v>0</v>
      </c>
      <c r="BP74" s="148">
        <f t="shared" si="657"/>
        <v>0</v>
      </c>
      <c r="BQ74" s="148">
        <f t="shared" si="657"/>
        <v>0</v>
      </c>
      <c r="BR74" s="148">
        <f t="shared" si="657"/>
        <v>0</v>
      </c>
      <c r="JU74" s="253"/>
    </row>
    <row r="75" spans="1:312" ht="15.75" thickBot="1" x14ac:dyDescent="0.3">
      <c r="A75" s="324" t="s">
        <v>238</v>
      </c>
      <c r="B75" s="155"/>
      <c r="C75" s="155"/>
      <c r="D75" s="155"/>
      <c r="E75" s="155"/>
      <c r="F75" s="155"/>
      <c r="G75" s="155"/>
      <c r="H75" s="155"/>
      <c r="I75" s="155"/>
      <c r="J75" s="155">
        <f t="shared" si="655"/>
        <v>0</v>
      </c>
      <c r="N75" s="143" t="s">
        <v>529</v>
      </c>
      <c r="O75" s="143" t="s">
        <v>263</v>
      </c>
      <c r="P75" s="135"/>
      <c r="Q75" s="135"/>
      <c r="R75" s="302" t="str">
        <f t="shared" si="646"/>
        <v>-</v>
      </c>
      <c r="S75" s="303">
        <f t="shared" si="649"/>
        <v>0</v>
      </c>
      <c r="T75" cm="1">
        <f t="array" aca="1" ref="T75" ca="1">SUMPRODUCT(--(ISNUMBER(FIND("R75", _xlfn.FORMULATEXT($B$26:$I$143)))))</f>
        <v>0</v>
      </c>
      <c r="V75" s="32">
        <v>10</v>
      </c>
      <c r="W75" s="33">
        <f t="shared" si="644"/>
        <v>7.6399999999999996E-2</v>
      </c>
      <c r="X75" s="34" t="e">
        <f t="shared" si="645"/>
        <v>#N/A</v>
      </c>
      <c r="Y75" s="34" t="e">
        <f>(X75*W75)*(1-#REF!)</f>
        <v>#N/A</v>
      </c>
      <c r="Z75" s="34" t="e">
        <f t="shared" si="642"/>
        <v>#N/A</v>
      </c>
      <c r="AB75" s="35" t="e">
        <f t="shared" si="643"/>
        <v>#N/A</v>
      </c>
      <c r="AG75" s="128"/>
      <c r="AH75" s="11" t="e">
        <f t="shared" si="650"/>
        <v>#N/A</v>
      </c>
      <c r="AI75" s="11" t="e">
        <f t="shared" si="651"/>
        <v>#N/A</v>
      </c>
      <c r="AJ75" s="16"/>
      <c r="AK75" s="13" t="e">
        <f t="shared" si="652"/>
        <v>#N/A</v>
      </c>
      <c r="BD75" s="335" t="s">
        <v>573</v>
      </c>
      <c r="BE75" s="335"/>
      <c r="BF75" s="335"/>
      <c r="BG75" s="335"/>
      <c r="BH75" s="335"/>
      <c r="BI75" s="336"/>
      <c r="BJ75" s="148">
        <f>MAX(BJ73-BJ74, 0)</f>
        <v>0</v>
      </c>
      <c r="BK75" s="148">
        <f t="shared" ref="BK75:BR75" si="658">MAX(BK73-BK74, 0)</f>
        <v>0</v>
      </c>
      <c r="BL75" s="148">
        <f t="shared" si="658"/>
        <v>0</v>
      </c>
      <c r="BM75" s="148">
        <f t="shared" si="658"/>
        <v>0</v>
      </c>
      <c r="BN75" s="148">
        <f t="shared" si="658"/>
        <v>0</v>
      </c>
      <c r="BO75" s="148">
        <f t="shared" si="658"/>
        <v>0</v>
      </c>
      <c r="BP75" s="148">
        <f t="shared" si="658"/>
        <v>0</v>
      </c>
      <c r="BQ75" s="148">
        <f t="shared" si="658"/>
        <v>0</v>
      </c>
      <c r="BR75" s="148">
        <f t="shared" si="658"/>
        <v>0</v>
      </c>
      <c r="JU75" s="253"/>
    </row>
    <row r="76" spans="1:312" ht="15.75" thickBot="1" x14ac:dyDescent="0.3">
      <c r="A76" s="324" t="s">
        <v>239</v>
      </c>
      <c r="B76" s="155"/>
      <c r="C76" s="155"/>
      <c r="D76" s="155"/>
      <c r="E76" s="155"/>
      <c r="F76" s="155"/>
      <c r="G76" s="155"/>
      <c r="H76" s="155"/>
      <c r="I76" s="155"/>
      <c r="J76" s="155">
        <f t="shared" si="655"/>
        <v>0</v>
      </c>
      <c r="N76" s="144" t="s">
        <v>529</v>
      </c>
      <c r="O76" s="144" t="s">
        <v>30</v>
      </c>
      <c r="P76" s="144" t="s">
        <v>523</v>
      </c>
      <c r="Q76" s="140">
        <v>1</v>
      </c>
      <c r="R76" s="302" t="str">
        <f t="shared" si="646"/>
        <v>-</v>
      </c>
      <c r="S76" s="303">
        <f t="shared" si="649"/>
        <v>0</v>
      </c>
      <c r="V76" s="32">
        <v>11</v>
      </c>
      <c r="W76" s="33">
        <f t="shared" si="644"/>
        <v>7.6399999999999996E-2</v>
      </c>
      <c r="X76" s="34" t="e">
        <f t="shared" si="645"/>
        <v>#N/A</v>
      </c>
      <c r="Y76" s="34" t="e">
        <f>(X76*W76)*(1-#REF!)</f>
        <v>#N/A</v>
      </c>
      <c r="Z76" s="34" t="e">
        <f t="shared" si="642"/>
        <v>#N/A</v>
      </c>
      <c r="AB76" s="35" t="e">
        <f t="shared" si="643"/>
        <v>#N/A</v>
      </c>
      <c r="AG76" s="128"/>
      <c r="AH76" s="11" t="e">
        <f t="shared" si="650"/>
        <v>#N/A</v>
      </c>
      <c r="AI76" s="11" t="e">
        <f t="shared" si="651"/>
        <v>#N/A</v>
      </c>
      <c r="AJ76" s="16"/>
      <c r="AK76" s="13" t="e">
        <f t="shared" si="652"/>
        <v>#N/A</v>
      </c>
      <c r="BD76" s="335" t="s">
        <v>574</v>
      </c>
      <c r="BE76" s="335"/>
      <c r="BF76" s="335"/>
      <c r="BG76" s="335"/>
      <c r="BH76" s="335"/>
      <c r="BI76" s="336"/>
      <c r="BJ76" s="148">
        <f>MIN(BJ75, BJ72)</f>
        <v>0</v>
      </c>
      <c r="BK76" s="148">
        <f t="shared" ref="BK76:BR76" si="659">MIN(BK75, BK72)</f>
        <v>0</v>
      </c>
      <c r="BL76" s="148">
        <f t="shared" si="659"/>
        <v>0</v>
      </c>
      <c r="BM76" s="148">
        <f t="shared" si="659"/>
        <v>0</v>
      </c>
      <c r="BN76" s="148">
        <f t="shared" si="659"/>
        <v>0</v>
      </c>
      <c r="BO76" s="148">
        <f t="shared" si="659"/>
        <v>0</v>
      </c>
      <c r="BP76" s="148">
        <f t="shared" si="659"/>
        <v>0</v>
      </c>
      <c r="BQ76" s="148">
        <f t="shared" si="659"/>
        <v>0</v>
      </c>
      <c r="BR76" s="148">
        <f t="shared" si="659"/>
        <v>0</v>
      </c>
    </row>
    <row r="77" spans="1:312" ht="15.75" thickBot="1" x14ac:dyDescent="0.3">
      <c r="A77" s="53" t="s">
        <v>36</v>
      </c>
      <c r="B77" s="159">
        <v>0</v>
      </c>
      <c r="C77" s="159" t="str">
        <f t="shared" ref="C77:H77" si="660">IF(COUNTA(C68:C76)=0, "Filing Status",
    MAX(
        SUM(C68:C76),
        IF(C1=2022,
            IF(C2="Single", 12950 + SUM($B$11:$B$12)*1750,
                IF(C2="HOH", 19400 + SUM($B$11:$B$12)*1750,
                    IF(C2="MFJ", 25900 + SUM($B$11:$B$12)*1400,
                        IF(C2="MFS", 12950 + SUM($B$11:$B$12)*1750,
                            IF(C2="QW", 25900 + SUM($B$11:$B$12)*1750, "Invalid Filing Status")
                        )
                    )
                )
            ),
            IF(C1=2023,
                IF(C2="Single", 13850 + SUM($B$11:$B$12)*1850,
                    IF(C2="HOH", 20800 + SUM($B$11:$B$12)*1850,
                        IF(C2="MFJ", 27700 + SUM($B$11:$B$12)*1500,
                            IF(C2="MFS", 13850 + SUM($B$11:$B$12)*1850,
                                IF(C2="QW", 27700 + SUM($B$11:$B$12)*1850, "Invalid Filing Status")
                            )
                        )
                    )
                ),
                IF(C1=2024,
                    IF(C2="Single", 14600 + SUM($B$11:$B$12)*1950,
                        IF(C2="HOH", 21900 + SUM($B$11:$B$12)*1950,
                            IF(C2="MFJ", 29200 + SUM($B$11:$B$12)*1550,
                                IF(C2="MFS", 14600 + SUM($B$11:$B$12)*1950,
                                    IF(C2="QW", 29200 + SUM($B$11:$B$12)*1950, "Invalid Filing Status")
                                )
                            )
                        )
                    ),
                    "Invalid Year"
                )
            )
        )
    )
)</f>
        <v>Filing Status</v>
      </c>
      <c r="D77" s="159" t="str">
        <f t="shared" si="660"/>
        <v>Filing Status</v>
      </c>
      <c r="E77" s="159" t="str">
        <f t="shared" si="660"/>
        <v>Filing Status</v>
      </c>
      <c r="F77" s="159" t="str">
        <f t="shared" si="660"/>
        <v>Filing Status</v>
      </c>
      <c r="G77" s="159" t="str">
        <f t="shared" si="660"/>
        <v>Filing Status</v>
      </c>
      <c r="H77" s="159" t="str">
        <f t="shared" si="660"/>
        <v>Filing Status</v>
      </c>
      <c r="I77" s="159" t="str">
        <f>IF(COUNTA(I68:I76)=0, "Filing Status",
    MAX(
        SUM(I68:I76),
        IF(I1=2022,
            IF(I2="Single", 12950 + SUM($B$11:$B$12)*1750,
                IF(I2="HOH", 19400 + SUM($B$11:$B$12)*1750,
                    IF(I2="MFJ", 25900 + SUM($B$11:$B$12)*1400,
                        IF(I2="MFS", 12950 + SUM($B$11:$B$12)*1750,
                            IF(I2="QW", 25900 + SUM($B$11:$B$12)*1750, "Invalid Filing Status")
                        )
                    )
                )
            ),
            IF(I1=2023,
                IF(I2="Single", 13850 + SUM($B$11:$B$12)*1850,
                    IF(I2="HOH", 20800 + SUM($B$11:$B$12)*1850,
                        IF(I2="MFJ", 27700 + SUM($B$11:$B$12)*1500,
                            IF(I2="MFS", 13850 + SUM($B$11:$B$12)*1850,
                                IF(I2="QW", 27700 + SUM($B$11:$B$12)*1850, "Invalid Filing Status")
                            )
                        )
                    )
                ),
                IF(I1=2024,
                    IF(I2="Single", 14600 + SUM($B$11:$B$12)*1950,
                        IF(I2="HOH", 21900 + SUM($B$11:$B$12)*1950,
                            IF(I2="MFJ", 29200 + SUM($B$11:$B$12)*1550,
                                IF(I2="MFS", 14600 + SUM($B$11:$B$12)*1950,
                                    IF(I2="QW", 29200 + SUM($B$11:$B$12)*1950, "Invalid Filing Status")
                                )
                            )
                        )
                    ),
                    "Invalid Year"
                )
            )
        )
    )
)</f>
        <v>Filing Status</v>
      </c>
      <c r="J77" s="159" t="e">
        <f>IF(COUNTA(J68:J76)=0, "Filing Status",
    MAX(
        SUM(J68:J76),
        IF(J1=2022,
            IF(J2="Single", 12950 + SUM($B$11:$B$12)*1750,
                IF(J2="HOH", 19400 + SUM($B$11:$B$12)*1750,
                    IF(J2="MFJ", 25900 + SUM($B$11:$B$12)*1400,
                        IF(J2="MFS", 12950 + SUM($B$11:$B$12)*1750,
                            IF(J2="QW", 25900 + SUM($B$11:$B$12)*1750, "Invalid Filing Status")
                        )
                    )
                )
            ),
            IF(J1=2023,
                IF(J2="Single", 13850 + SUM($B$11:$B$12)*1850,
                    IF(J2="HOH", 20800 + SUM($B$11:$B$12)*1850,
                        IF(J2="MFJ", 27700 + SUM($B$11:$B$12)*1500,
                            IF(J2="MFS", 13850 + SUM($B$11:$B$12)*1850,
                                IF(J2="QW", 27700 + SUM($B$11:$B$12)*1850, "Invalid Filing Status")
                            )
                        )
                    )
                ),
                IF(J1=2024,
                    IF(J2="Single", 14600 + SUM($B$11:$B$12)*1950,
                        IF(J2="HOH", 21900 + SUM($B$11:$B$12)*1950,
                            IF(J2="MFJ", 29200 + SUM($B$11:$B$12)*1550,
                                IF(J2="MFS", 14600 + SUM($B$11:$B$12)*1950,
                                    IF(J2="QW", 29200 + SUM($B$11:$B$12)*1950, "Invalid Filing Status")
                                )
                            )
                        )
                    ),
                    "Invalid Year"
                )
            )
        )
    )
)</f>
        <v>#VALUE!</v>
      </c>
      <c r="L77" s="6"/>
      <c r="N77" s="143" t="s">
        <v>529</v>
      </c>
      <c r="O77" s="143" t="s">
        <v>254</v>
      </c>
      <c r="P77" s="135"/>
      <c r="Q77" s="135"/>
      <c r="R77" s="302" t="str">
        <f t="shared" si="646"/>
        <v>-</v>
      </c>
      <c r="S77" s="303">
        <f t="shared" si="649"/>
        <v>0</v>
      </c>
      <c r="T77" s="6"/>
      <c r="V77" s="32">
        <v>12</v>
      </c>
      <c r="W77" s="33">
        <f t="shared" si="644"/>
        <v>7.6399999999999996E-2</v>
      </c>
      <c r="X77" s="34" t="e">
        <f t="shared" si="645"/>
        <v>#N/A</v>
      </c>
      <c r="Y77" s="34" t="e">
        <f>(X77*W77)*(1-#REF!)</f>
        <v>#N/A</v>
      </c>
      <c r="Z77" s="34" t="e">
        <f t="shared" si="642"/>
        <v>#N/A</v>
      </c>
      <c r="AB77" s="35" t="e">
        <f t="shared" si="643"/>
        <v>#N/A</v>
      </c>
      <c r="AG77" s="128"/>
      <c r="AH77" s="11" t="e">
        <f t="shared" si="650"/>
        <v>#N/A</v>
      </c>
      <c r="AI77" s="11" t="e">
        <f t="shared" si="651"/>
        <v>#N/A</v>
      </c>
      <c r="AJ77" s="16"/>
      <c r="AK77" s="13" t="e">
        <f t="shared" si="652"/>
        <v>#N/A</v>
      </c>
      <c r="BD77" s="335" t="s">
        <v>575</v>
      </c>
      <c r="BE77" s="335"/>
      <c r="BF77" s="335"/>
      <c r="BG77" s="335"/>
      <c r="BH77" s="335"/>
      <c r="BI77" s="336"/>
      <c r="BJ77" s="148">
        <f>BJ76*0.038</f>
        <v>0</v>
      </c>
      <c r="BK77" s="148">
        <f t="shared" ref="BK77:BR77" si="661">BK76*0.038</f>
        <v>0</v>
      </c>
      <c r="BL77" s="148">
        <f t="shared" si="661"/>
        <v>0</v>
      </c>
      <c r="BM77" s="148">
        <f t="shared" si="661"/>
        <v>0</v>
      </c>
      <c r="BN77" s="148">
        <f t="shared" si="661"/>
        <v>0</v>
      </c>
      <c r="BO77" s="148">
        <f t="shared" si="661"/>
        <v>0</v>
      </c>
      <c r="BP77" s="148">
        <f t="shared" si="661"/>
        <v>0</v>
      </c>
      <c r="BQ77" s="148">
        <f t="shared" si="661"/>
        <v>0</v>
      </c>
      <c r="BR77" s="148">
        <f t="shared" si="661"/>
        <v>0</v>
      </c>
    </row>
    <row r="78" spans="1:312" ht="15.75" thickBot="1" x14ac:dyDescent="0.3">
      <c r="A78" s="21"/>
      <c r="B78" s="155"/>
      <c r="C78" s="155"/>
      <c r="D78" s="155"/>
      <c r="E78" s="155"/>
      <c r="F78" s="155"/>
      <c r="G78" s="155"/>
      <c r="H78" s="155"/>
      <c r="I78" s="155"/>
      <c r="J78" s="155"/>
      <c r="N78" s="144" t="s">
        <v>529</v>
      </c>
      <c r="O78" s="144" t="s">
        <v>237</v>
      </c>
      <c r="P78" s="144" t="s">
        <v>0</v>
      </c>
      <c r="Q78" s="144" t="s">
        <v>331</v>
      </c>
      <c r="R78" s="302" t="str">
        <f t="shared" si="646"/>
        <v>-</v>
      </c>
      <c r="S78" s="303">
        <f t="shared" si="649"/>
        <v>0</v>
      </c>
      <c r="V78" s="32">
        <v>13</v>
      </c>
      <c r="W78" s="33">
        <f t="shared" si="644"/>
        <v>7.6399999999999996E-2</v>
      </c>
      <c r="X78" s="34" t="e">
        <f t="shared" si="645"/>
        <v>#N/A</v>
      </c>
      <c r="Y78" s="34" t="e">
        <f>(X78*W78)*(1-#REF!)</f>
        <v>#N/A</v>
      </c>
      <c r="Z78" s="34" t="e">
        <f t="shared" si="642"/>
        <v>#N/A</v>
      </c>
      <c r="AB78" s="35" t="e">
        <f t="shared" si="643"/>
        <v>#N/A</v>
      </c>
      <c r="AG78" s="128"/>
      <c r="AH78" s="11" t="e">
        <f t="shared" si="650"/>
        <v>#N/A</v>
      </c>
      <c r="AI78" s="11" t="e">
        <f t="shared" si="651"/>
        <v>#N/A</v>
      </c>
      <c r="AJ78" s="12"/>
      <c r="AK78" s="13" t="e">
        <f t="shared" si="652"/>
        <v>#N/A</v>
      </c>
    </row>
    <row r="79" spans="1:312" ht="15.75" thickBot="1" x14ac:dyDescent="0.3">
      <c r="A79" s="327" t="s">
        <v>39</v>
      </c>
      <c r="B79" s="155"/>
      <c r="C79" s="155"/>
      <c r="D79" s="155"/>
      <c r="E79" s="155"/>
      <c r="F79" s="155"/>
      <c r="G79" s="155"/>
      <c r="H79" s="155"/>
      <c r="I79" s="155"/>
      <c r="J79" s="155"/>
      <c r="N79" s="143" t="s">
        <v>529</v>
      </c>
      <c r="O79" s="143" t="s">
        <v>260</v>
      </c>
      <c r="P79" s="135" t="s">
        <v>326</v>
      </c>
      <c r="Q79" s="135" t="s">
        <v>1</v>
      </c>
      <c r="R79" s="302" t="str">
        <f t="shared" si="646"/>
        <v>-</v>
      </c>
      <c r="S79" s="303">
        <f t="shared" si="649"/>
        <v>0</v>
      </c>
      <c r="V79" s="32">
        <v>14</v>
      </c>
      <c r="W79" s="33">
        <f t="shared" si="644"/>
        <v>7.6399999999999996E-2</v>
      </c>
      <c r="X79" s="34" t="e">
        <f t="shared" si="645"/>
        <v>#N/A</v>
      </c>
      <c r="Y79" s="34" t="e">
        <f>(X79*W79)*(1-#REF!)</f>
        <v>#N/A</v>
      </c>
      <c r="Z79" s="34" t="e">
        <f t="shared" si="642"/>
        <v>#N/A</v>
      </c>
      <c r="AB79" s="35" t="e">
        <f t="shared" si="643"/>
        <v>#N/A</v>
      </c>
      <c r="AF79" s="153" t="e">
        <f>AG79/AI63</f>
        <v>#N/A</v>
      </c>
      <c r="AG79" s="210" t="e">
        <f>AH79-C148</f>
        <v>#N/A</v>
      </c>
      <c r="AH79" s="272" t="e">
        <f>SUM(AH71:AH78)-((B80-C80)*AI63-(B81-C81))-(SUM(C103:C104)-SUM(B103:B104))+(B107-C107)+(B117-C117)+(B127-C127)+(B137-C137)+(B90-C90)+(B82-C82)</f>
        <v>#N/A</v>
      </c>
      <c r="AI79" s="172" t="e">
        <f t="shared" si="651"/>
        <v>#N/A</v>
      </c>
      <c r="AJ79" s="173">
        <f>SUM(AJ70:AJ76)</f>
        <v>0</v>
      </c>
      <c r="AK79" s="174" t="e">
        <f>SUM(AK70:AK78)</f>
        <v>#N/A</v>
      </c>
      <c r="BJ79" s="288" t="s">
        <v>509</v>
      </c>
      <c r="BK79" s="288" t="s">
        <v>510</v>
      </c>
      <c r="BL79" s="288" t="s">
        <v>511</v>
      </c>
      <c r="BM79" s="288" t="s">
        <v>512</v>
      </c>
      <c r="BN79" s="288" t="s">
        <v>513</v>
      </c>
      <c r="BO79" s="288" t="s">
        <v>514</v>
      </c>
      <c r="BP79" s="288" t="s">
        <v>515</v>
      </c>
      <c r="BQ79" s="288" t="s">
        <v>516</v>
      </c>
      <c r="BR79" s="288" t="s">
        <v>517</v>
      </c>
    </row>
    <row r="80" spans="1:312" ht="15.75" thickBot="1" x14ac:dyDescent="0.3">
      <c r="A80" s="328" t="s">
        <v>37</v>
      </c>
      <c r="B80" s="155">
        <f>IF(B77="Filing Status", 0, B65-B77-B55)</f>
        <v>0</v>
      </c>
      <c r="C80" s="155">
        <f t="shared" ref="C80:H80" si="662">IF(C77="Filing Status", 0, C65-C77-C55)</f>
        <v>0</v>
      </c>
      <c r="D80" s="155">
        <f t="shared" si="662"/>
        <v>0</v>
      </c>
      <c r="E80" s="155">
        <f t="shared" si="662"/>
        <v>0</v>
      </c>
      <c r="F80" s="155">
        <f t="shared" si="662"/>
        <v>0</v>
      </c>
      <c r="G80" s="155">
        <f t="shared" si="662"/>
        <v>0</v>
      </c>
      <c r="H80" s="155">
        <f t="shared" si="662"/>
        <v>0</v>
      </c>
      <c r="I80" s="155">
        <f>IF(I77="Filing Status", 0, I65-I77-I55)</f>
        <v>0</v>
      </c>
      <c r="J80" s="155" t="e">
        <f>IF(J77="Filing Status", 0, J65-J77-J55)</f>
        <v>#VALUE!</v>
      </c>
      <c r="N80" s="144" t="s">
        <v>529</v>
      </c>
      <c r="O80" s="144" t="s">
        <v>40</v>
      </c>
      <c r="P80" s="297">
        <v>0.77</v>
      </c>
      <c r="Q80" s="144">
        <v>100000</v>
      </c>
      <c r="R80" s="302" t="str">
        <f t="shared" si="646"/>
        <v>-</v>
      </c>
      <c r="S80" s="303">
        <f>IF(N80="None", 0, AE42)</f>
        <v>0</v>
      </c>
      <c r="V80" s="32">
        <v>15</v>
      </c>
      <c r="W80" s="33">
        <f t="shared" si="644"/>
        <v>7.6399999999999996E-2</v>
      </c>
      <c r="X80" s="34" t="e">
        <f t="shared" si="645"/>
        <v>#N/A</v>
      </c>
      <c r="Y80" s="34" t="e">
        <f>(X80*W80)*(1-#REF!)</f>
        <v>#N/A</v>
      </c>
      <c r="Z80" s="34" t="e">
        <f t="shared" si="642"/>
        <v>#N/A</v>
      </c>
      <c r="AB80" s="35" t="e">
        <f t="shared" si="643"/>
        <v>#N/A</v>
      </c>
      <c r="JU80" s="253"/>
    </row>
    <row r="81" spans="1:281" ht="15.75" thickBot="1" x14ac:dyDescent="0.3">
      <c r="A81" s="324" t="s">
        <v>41</v>
      </c>
      <c r="B81" s="155">
        <f>MAX(0, MIN(B329, B330))</f>
        <v>0</v>
      </c>
      <c r="C81" s="155">
        <f t="shared" ref="C81:H81" si="663">MAX(0, MIN(C329, C330))</f>
        <v>0</v>
      </c>
      <c r="D81" s="155">
        <f t="shared" si="663"/>
        <v>0</v>
      </c>
      <c r="E81" s="155">
        <f t="shared" si="663"/>
        <v>0</v>
      </c>
      <c r="F81" s="155">
        <f t="shared" si="663"/>
        <v>0</v>
      </c>
      <c r="G81" s="155">
        <f t="shared" si="663"/>
        <v>0</v>
      </c>
      <c r="H81" s="155">
        <f t="shared" si="663"/>
        <v>0</v>
      </c>
      <c r="I81" s="155">
        <f>MAX(0, MIN(I329, I330))</f>
        <v>0</v>
      </c>
      <c r="J81" s="155" t="e">
        <f>MAX(0, MIN(J329, J330))</f>
        <v>#VALUE!</v>
      </c>
      <c r="K81" s="6"/>
      <c r="L81" s="6"/>
      <c r="N81" s="143" t="s">
        <v>529</v>
      </c>
      <c r="O81" s="143" t="s">
        <v>56</v>
      </c>
      <c r="P81" s="135" t="s">
        <v>528</v>
      </c>
      <c r="Q81" s="135" t="s">
        <v>330</v>
      </c>
      <c r="R81" s="302" t="str">
        <f t="shared" si="646"/>
        <v>-</v>
      </c>
      <c r="S81" s="303">
        <f>IF(N81="None", 0, AE43)</f>
        <v>0</v>
      </c>
      <c r="V81" s="32">
        <v>16</v>
      </c>
      <c r="W81" s="33">
        <f t="shared" si="644"/>
        <v>7.6399999999999996E-2</v>
      </c>
      <c r="X81" s="34" t="e">
        <f t="shared" si="645"/>
        <v>#N/A</v>
      </c>
      <c r="Y81" s="34" t="e">
        <f>(X81*W81)*(1-#REF!)</f>
        <v>#N/A</v>
      </c>
      <c r="Z81" s="34" t="e">
        <f t="shared" si="642"/>
        <v>#N/A</v>
      </c>
      <c r="AB81" s="35" t="e">
        <f t="shared" si="643"/>
        <v>#N/A</v>
      </c>
      <c r="JU81" s="253"/>
    </row>
    <row r="82" spans="1:281" ht="15.75" thickBot="1" x14ac:dyDescent="0.3">
      <c r="A82" s="324" t="s">
        <v>43</v>
      </c>
      <c r="B82" s="155">
        <f>P258</f>
        <v>0</v>
      </c>
      <c r="C82" s="155">
        <f>Q258</f>
        <v>0</v>
      </c>
      <c r="D82" s="155">
        <f>R258</f>
        <v>0</v>
      </c>
      <c r="E82" s="155">
        <f t="shared" ref="E82:G82" si="664">S258</f>
        <v>0</v>
      </c>
      <c r="F82" s="155">
        <f t="shared" si="664"/>
        <v>0</v>
      </c>
      <c r="G82" s="155">
        <f t="shared" si="664"/>
        <v>0</v>
      </c>
      <c r="H82" s="155">
        <f>V258</f>
        <v>0</v>
      </c>
      <c r="I82" s="155">
        <f>W258</f>
        <v>0</v>
      </c>
      <c r="J82" s="155">
        <f>X258</f>
        <v>0</v>
      </c>
      <c r="N82" s="144" t="s">
        <v>529</v>
      </c>
      <c r="O82" s="144" t="s">
        <v>33</v>
      </c>
      <c r="P82" s="144"/>
      <c r="Q82" s="144"/>
      <c r="R82" s="302" t="str">
        <f t="shared" si="646"/>
        <v>-</v>
      </c>
      <c r="S82" s="303">
        <f>IF(N82="None", 0, AE44)</f>
        <v>0</v>
      </c>
      <c r="V82" s="32">
        <v>17</v>
      </c>
      <c r="W82" s="33">
        <f t="shared" si="644"/>
        <v>7.6399999999999996E-2</v>
      </c>
      <c r="X82" s="34" t="e">
        <f t="shared" si="645"/>
        <v>#N/A</v>
      </c>
      <c r="Y82" s="34" t="e">
        <f>(X82*W82)*(1-#REF!)</f>
        <v>#N/A</v>
      </c>
      <c r="Z82" s="34" t="e">
        <f t="shared" si="642"/>
        <v>#N/A</v>
      </c>
      <c r="AB82" s="35" t="e">
        <f t="shared" si="643"/>
        <v>#N/A</v>
      </c>
      <c r="JU82" s="253"/>
    </row>
    <row r="83" spans="1:281" ht="15.75" thickBot="1" x14ac:dyDescent="0.3">
      <c r="A83" s="324" t="s">
        <v>484</v>
      </c>
      <c r="B83" s="155">
        <f>BJ77</f>
        <v>0</v>
      </c>
      <c r="C83" s="155">
        <f t="shared" ref="C83:I83" si="665">BK77</f>
        <v>0</v>
      </c>
      <c r="D83" s="155">
        <f t="shared" si="665"/>
        <v>0</v>
      </c>
      <c r="E83" s="155">
        <f t="shared" si="665"/>
        <v>0</v>
      </c>
      <c r="F83" s="155">
        <f t="shared" si="665"/>
        <v>0</v>
      </c>
      <c r="G83" s="155">
        <f t="shared" si="665"/>
        <v>0</v>
      </c>
      <c r="H83" s="155">
        <f t="shared" si="665"/>
        <v>0</v>
      </c>
      <c r="I83" s="155">
        <f t="shared" si="665"/>
        <v>0</v>
      </c>
      <c r="J83" s="155">
        <f t="shared" ref="J83" si="666">B83</f>
        <v>0</v>
      </c>
      <c r="N83" s="143" t="s">
        <v>529</v>
      </c>
      <c r="O83" s="143" t="s">
        <v>42</v>
      </c>
      <c r="P83" s="135"/>
      <c r="Q83" s="135"/>
      <c r="R83" s="302" t="str">
        <f t="shared" si="646"/>
        <v>-</v>
      </c>
      <c r="S83" s="303">
        <v>0</v>
      </c>
      <c r="V83" s="32">
        <v>18</v>
      </c>
      <c r="W83" s="33">
        <f t="shared" si="644"/>
        <v>7.6399999999999996E-2</v>
      </c>
      <c r="X83" s="34" t="e">
        <f t="shared" si="645"/>
        <v>#N/A</v>
      </c>
      <c r="Y83" s="34" t="e">
        <f>(X83*W83)*(1-#REF!)</f>
        <v>#N/A</v>
      </c>
      <c r="Z83" s="34" t="e">
        <f t="shared" si="642"/>
        <v>#N/A</v>
      </c>
      <c r="AB83" s="35" t="e">
        <f t="shared" si="643"/>
        <v>#N/A</v>
      </c>
    </row>
    <row r="84" spans="1:281" ht="15.75" thickBot="1" x14ac:dyDescent="0.3">
      <c r="A84" s="324" t="s">
        <v>483</v>
      </c>
      <c r="B84" s="165" t="str">
        <f>P253</f>
        <v>-</v>
      </c>
      <c r="C84" s="165" t="str">
        <f>Q253</f>
        <v>-</v>
      </c>
      <c r="D84" s="165" t="str">
        <f>R253</f>
        <v>-</v>
      </c>
      <c r="E84" s="165" t="str">
        <f t="shared" ref="E84:G84" si="667">S253</f>
        <v>-</v>
      </c>
      <c r="F84" s="165" t="str">
        <f t="shared" si="667"/>
        <v>-</v>
      </c>
      <c r="G84" s="165" t="str">
        <f t="shared" si="667"/>
        <v>-</v>
      </c>
      <c r="H84" s="165" t="str">
        <f>V253</f>
        <v>-</v>
      </c>
      <c r="I84" s="165" t="str">
        <f>W253</f>
        <v>-</v>
      </c>
      <c r="J84" s="165" t="str">
        <f>X253</f>
        <v>-</v>
      </c>
      <c r="M84" s="6"/>
      <c r="N84" s="144" t="s">
        <v>529</v>
      </c>
      <c r="O84" s="144" t="s">
        <v>255</v>
      </c>
      <c r="P84" s="144"/>
      <c r="Q84" s="298">
        <v>0.2</v>
      </c>
      <c r="R84" s="302" t="str">
        <f t="shared" si="646"/>
        <v>-</v>
      </c>
      <c r="S84" s="303">
        <f>IF(N84="None", 0, Q84*J65)</f>
        <v>0</v>
      </c>
      <c r="V84" s="32">
        <v>19</v>
      </c>
      <c r="W84" s="33">
        <f t="shared" si="644"/>
        <v>7.6399999999999996E-2</v>
      </c>
      <c r="X84" s="34" t="e">
        <f t="shared" si="645"/>
        <v>#N/A</v>
      </c>
      <c r="Y84" s="34" t="e">
        <f>(X84*W84)*(1-#REF!)</f>
        <v>#N/A</v>
      </c>
      <c r="Z84" s="34" t="e">
        <f t="shared" si="642"/>
        <v>#N/A</v>
      </c>
      <c r="AB84" s="35" t="e">
        <f t="shared" si="643"/>
        <v>#N/A</v>
      </c>
    </row>
    <row r="85" spans="1:281" ht="15.75" thickBot="1" x14ac:dyDescent="0.3">
      <c r="A85" s="324" t="s">
        <v>485</v>
      </c>
      <c r="B85" s="155"/>
      <c r="C85" s="155"/>
      <c r="D85" s="155"/>
      <c r="E85" s="155"/>
      <c r="F85" s="155"/>
      <c r="G85" s="155"/>
      <c r="H85" s="155"/>
      <c r="I85" s="155"/>
      <c r="J85" s="155">
        <f t="shared" ref="J85:J89" si="668">B85</f>
        <v>0</v>
      </c>
      <c r="N85" s="143" t="s">
        <v>529</v>
      </c>
      <c r="O85" s="143" t="s">
        <v>524</v>
      </c>
      <c r="P85" s="135"/>
      <c r="Q85" s="135"/>
      <c r="R85" s="302" t="str">
        <f t="shared" si="646"/>
        <v>-</v>
      </c>
      <c r="S85" s="303">
        <v>0</v>
      </c>
      <c r="V85" s="32">
        <v>20</v>
      </c>
      <c r="W85" s="33">
        <f t="shared" si="644"/>
        <v>7.6399999999999996E-2</v>
      </c>
      <c r="X85" s="34" t="e">
        <f t="shared" si="645"/>
        <v>#N/A</v>
      </c>
      <c r="Y85" s="34" t="e">
        <f>(X85*W85)*(1-#REF!)</f>
        <v>#N/A</v>
      </c>
      <c r="Z85" s="34" t="e">
        <f t="shared" si="642"/>
        <v>#N/A</v>
      </c>
      <c r="AB85" s="35" t="e">
        <f>AB84</f>
        <v>#N/A</v>
      </c>
    </row>
    <row r="86" spans="1:281" ht="15.75" thickBot="1" x14ac:dyDescent="0.3">
      <c r="A86" s="324" t="s">
        <v>240</v>
      </c>
      <c r="B86" s="155"/>
      <c r="C86" s="155"/>
      <c r="D86" s="155"/>
      <c r="E86" s="155"/>
      <c r="F86" s="155"/>
      <c r="G86" s="155"/>
      <c r="H86" s="155"/>
      <c r="I86" s="155"/>
      <c r="J86" s="155">
        <f t="shared" si="668"/>
        <v>0</v>
      </c>
      <c r="N86" s="144" t="s">
        <v>529</v>
      </c>
      <c r="O86" s="144" t="s">
        <v>525</v>
      </c>
      <c r="P86" s="144"/>
      <c r="Q86" s="144"/>
      <c r="R86" s="302" t="str">
        <f t="shared" si="646"/>
        <v>-</v>
      </c>
      <c r="S86" s="303">
        <v>0</v>
      </c>
      <c r="U86" s="37"/>
      <c r="V86" s="37"/>
      <c r="W86" s="37"/>
      <c r="X86" s="37"/>
      <c r="Y86" s="37"/>
    </row>
    <row r="87" spans="1:281" ht="15.75" thickBot="1" x14ac:dyDescent="0.3">
      <c r="A87" s="324" t="s">
        <v>242</v>
      </c>
      <c r="B87" s="155"/>
      <c r="C87" s="155"/>
      <c r="D87" s="155"/>
      <c r="E87" s="155"/>
      <c r="F87" s="155"/>
      <c r="G87" s="155"/>
      <c r="H87" s="155"/>
      <c r="I87" s="155"/>
      <c r="J87" s="155">
        <f t="shared" si="668"/>
        <v>0</v>
      </c>
      <c r="N87" s="143" t="s">
        <v>529</v>
      </c>
      <c r="O87" s="143" t="s">
        <v>257</v>
      </c>
      <c r="P87" s="135"/>
      <c r="Q87" s="135"/>
      <c r="R87" s="302" t="str">
        <f t="shared" si="646"/>
        <v>-</v>
      </c>
      <c r="S87" s="303">
        <v>0</v>
      </c>
      <c r="JU87" s="253"/>
    </row>
    <row r="88" spans="1:281" ht="15.75" thickBot="1" x14ac:dyDescent="0.3">
      <c r="A88" s="324" t="s">
        <v>243</v>
      </c>
      <c r="B88" s="155"/>
      <c r="C88" s="155"/>
      <c r="D88" s="155"/>
      <c r="E88" s="155"/>
      <c r="F88" s="155"/>
      <c r="G88" s="155"/>
      <c r="H88" s="155"/>
      <c r="I88" s="155"/>
      <c r="J88" s="155">
        <f t="shared" si="668"/>
        <v>0</v>
      </c>
      <c r="N88" s="144" t="s">
        <v>529</v>
      </c>
      <c r="O88" s="144" t="s">
        <v>526</v>
      </c>
      <c r="P88" s="144"/>
      <c r="Q88" s="144"/>
      <c r="R88" s="302" t="str">
        <f>IFERROR(S88*$Q$56, "-")</f>
        <v>-</v>
      </c>
      <c r="S88" s="303">
        <f>SUM(X196:X199)-SUM(P196:P199)</f>
        <v>0</v>
      </c>
      <c r="JU88" s="253"/>
    </row>
    <row r="89" spans="1:281" ht="15.75" thickBot="1" x14ac:dyDescent="0.3">
      <c r="A89" s="324" t="s">
        <v>241</v>
      </c>
      <c r="B89" s="155"/>
      <c r="C89" s="155"/>
      <c r="D89" s="155"/>
      <c r="E89" s="155"/>
      <c r="F89" s="155"/>
      <c r="G89" s="155"/>
      <c r="H89" s="155"/>
      <c r="I89" s="155"/>
      <c r="J89" s="155">
        <f t="shared" si="668"/>
        <v>0</v>
      </c>
      <c r="N89" s="143" t="s">
        <v>529</v>
      </c>
      <c r="O89" s="143" t="s">
        <v>527</v>
      </c>
      <c r="P89" s="135"/>
      <c r="Q89" s="135"/>
      <c r="R89" s="302" t="str">
        <f t="shared" si="646"/>
        <v>-</v>
      </c>
      <c r="S89" s="303">
        <f>SUM(X209:X212)-SUM(P209:P212)</f>
        <v>0</v>
      </c>
      <c r="JU89" s="253"/>
    </row>
    <row r="90" spans="1:281" ht="15.75" thickBot="1" x14ac:dyDescent="0.3">
      <c r="A90" s="324" t="s">
        <v>50</v>
      </c>
      <c r="B90" s="161">
        <f t="shared" ref="B90:H90" si="669">B349</f>
        <v>0</v>
      </c>
      <c r="C90" s="161">
        <f t="shared" si="669"/>
        <v>0</v>
      </c>
      <c r="D90" s="161">
        <f t="shared" si="669"/>
        <v>0</v>
      </c>
      <c r="E90" s="161">
        <f t="shared" si="669"/>
        <v>0</v>
      </c>
      <c r="F90" s="161">
        <f t="shared" si="669"/>
        <v>0</v>
      </c>
      <c r="G90" s="161">
        <f t="shared" si="669"/>
        <v>0</v>
      </c>
      <c r="H90" s="161">
        <f t="shared" si="669"/>
        <v>0</v>
      </c>
      <c r="I90" s="161">
        <f>I349</f>
        <v>0</v>
      </c>
      <c r="J90" s="161">
        <f>J349</f>
        <v>0</v>
      </c>
      <c r="N90" s="299"/>
      <c r="O90" s="295"/>
      <c r="P90" s="295"/>
      <c r="Q90" s="295"/>
      <c r="R90" s="305" t="e">
        <f>SUM(R67:R89)-R69-R70</f>
        <v>#VALUE!</v>
      </c>
      <c r="S90" s="306">
        <f>SUM(S67:S89)-S69-S70</f>
        <v>0</v>
      </c>
    </row>
    <row r="91" spans="1:281" ht="15.75" thickBot="1" x14ac:dyDescent="0.3">
      <c r="A91" s="324" t="s">
        <v>482</v>
      </c>
      <c r="B91" s="161"/>
      <c r="C91" s="161"/>
      <c r="D91" s="161"/>
      <c r="E91" s="161"/>
      <c r="F91" s="161"/>
      <c r="G91" s="161"/>
      <c r="H91" s="161"/>
      <c r="I91" s="161"/>
      <c r="J91" s="161">
        <f t="shared" ref="J91" si="670">B91</f>
        <v>0</v>
      </c>
      <c r="L91" s="6"/>
    </row>
    <row r="92" spans="1:281" ht="15.75" thickBot="1" x14ac:dyDescent="0.3">
      <c r="A92" s="329" t="s">
        <v>80</v>
      </c>
      <c r="B92" s="162">
        <f>SUM(B81:B91)</f>
        <v>0</v>
      </c>
      <c r="C92" s="162">
        <f t="shared" ref="C92:H92" si="671">SUM(C81:C91)</f>
        <v>0</v>
      </c>
      <c r="D92" s="162">
        <f t="shared" si="671"/>
        <v>0</v>
      </c>
      <c r="E92" s="162">
        <f t="shared" si="671"/>
        <v>0</v>
      </c>
      <c r="F92" s="162">
        <f t="shared" si="671"/>
        <v>0</v>
      </c>
      <c r="G92" s="162">
        <f t="shared" si="671"/>
        <v>0</v>
      </c>
      <c r="H92" s="162">
        <f t="shared" si="671"/>
        <v>0</v>
      </c>
      <c r="I92" s="162">
        <f>SUM(I81:I91)</f>
        <v>0</v>
      </c>
      <c r="J92" s="162" t="e">
        <f>SUM(J81:J91)</f>
        <v>#VALUE!</v>
      </c>
      <c r="N92" s="300" t="s">
        <v>545</v>
      </c>
    </row>
    <row r="93" spans="1:281" ht="15.75" thickBot="1" x14ac:dyDescent="0.3">
      <c r="A93" s="21"/>
      <c r="B93" s="155"/>
      <c r="C93" s="155"/>
      <c r="D93" s="155"/>
      <c r="E93" s="155"/>
      <c r="F93" s="155"/>
      <c r="G93" s="155"/>
      <c r="H93" s="155"/>
      <c r="I93" s="155"/>
      <c r="J93" s="155"/>
      <c r="N93" s="144" t="s">
        <v>543</v>
      </c>
      <c r="O93" s="144" t="s">
        <v>82</v>
      </c>
      <c r="P93" s="144" t="s">
        <v>82</v>
      </c>
      <c r="Q93" s="144" t="s">
        <v>82</v>
      </c>
      <c r="R93" s="144" t="s">
        <v>82</v>
      </c>
      <c r="S93" s="144" t="s">
        <v>82</v>
      </c>
      <c r="JU93" s="253"/>
    </row>
    <row r="94" spans="1:281" ht="15.75" thickBot="1" x14ac:dyDescent="0.3">
      <c r="A94" s="327" t="s">
        <v>45</v>
      </c>
      <c r="B94" s="155"/>
      <c r="C94" s="155"/>
      <c r="D94" s="155"/>
      <c r="E94" s="155"/>
      <c r="F94" s="155"/>
      <c r="G94" s="155"/>
      <c r="H94" s="155"/>
      <c r="I94" s="155"/>
      <c r="J94" s="155"/>
      <c r="N94" s="143" t="s">
        <v>55</v>
      </c>
      <c r="O94" s="143" t="s">
        <v>82</v>
      </c>
      <c r="P94" s="149">
        <v>0.1</v>
      </c>
      <c r="JU94" s="253"/>
    </row>
    <row r="95" spans="1:281" x14ac:dyDescent="0.25">
      <c r="A95" s="324" t="s">
        <v>46</v>
      </c>
      <c r="B95" s="155"/>
      <c r="C95" s="155"/>
      <c r="D95" s="155"/>
      <c r="E95" s="155"/>
      <c r="F95" s="155"/>
      <c r="G95" s="155"/>
      <c r="H95" s="155"/>
      <c r="I95" s="155"/>
      <c r="J95" s="155">
        <f>IF(OR(J26&lt;&gt;B26, J27&lt;&gt;B27, J28&lt;&gt;B28, J29&lt;&gt;B29), X248, B95)</f>
        <v>0</v>
      </c>
      <c r="JU95" s="253"/>
    </row>
    <row r="96" spans="1:281" x14ac:dyDescent="0.25">
      <c r="A96" s="324" t="s">
        <v>47</v>
      </c>
      <c r="B96" s="155"/>
      <c r="C96" s="155"/>
      <c r="D96" s="155"/>
      <c r="E96" s="155"/>
      <c r="F96" s="155"/>
      <c r="G96" s="155"/>
      <c r="H96" s="155"/>
      <c r="I96" s="155"/>
      <c r="J96" s="155">
        <f>B96</f>
        <v>0</v>
      </c>
    </row>
    <row r="97" spans="1:31" x14ac:dyDescent="0.25">
      <c r="A97" s="324" t="s">
        <v>48</v>
      </c>
      <c r="B97" s="155"/>
      <c r="C97" s="155"/>
      <c r="D97" s="155"/>
      <c r="E97" s="155"/>
      <c r="F97" s="155"/>
      <c r="G97" s="155"/>
      <c r="H97" s="155"/>
      <c r="I97" s="155"/>
      <c r="J97" s="155">
        <f>B97</f>
        <v>0</v>
      </c>
    </row>
    <row r="98" spans="1:31" x14ac:dyDescent="0.25">
      <c r="A98" s="324" t="s">
        <v>76</v>
      </c>
      <c r="B98" s="155"/>
      <c r="C98" s="155"/>
      <c r="D98" s="155"/>
      <c r="E98" s="155"/>
      <c r="F98" s="155"/>
      <c r="G98" s="155"/>
      <c r="H98" s="155"/>
      <c r="I98" s="155"/>
      <c r="J98" s="155">
        <f>B98</f>
        <v>0</v>
      </c>
    </row>
    <row r="99" spans="1:31" ht="15.75" thickBot="1" x14ac:dyDescent="0.3">
      <c r="A99" s="324" t="s">
        <v>49</v>
      </c>
      <c r="B99" s="155"/>
      <c r="C99" s="155"/>
      <c r="D99" s="155"/>
      <c r="E99" s="155"/>
      <c r="F99" s="155"/>
      <c r="G99" s="155"/>
      <c r="H99" s="155"/>
      <c r="I99" s="155"/>
      <c r="J99" s="155">
        <f>B99</f>
        <v>0</v>
      </c>
    </row>
    <row r="100" spans="1:31" ht="15.75" thickBot="1" x14ac:dyDescent="0.3">
      <c r="A100" s="53" t="s">
        <v>341</v>
      </c>
      <c r="B100" s="159">
        <f t="shared" ref="B100" si="672">IF($A$100="Estimated Balance Due", MAX(0, B92-SUM(B95:B99)),
 IF($A$100="Estimated Refund (Overpayment)", MAX(0, SUM(B95:B99)-B92), 0))</f>
        <v>0</v>
      </c>
      <c r="C100" s="159">
        <f t="shared" ref="C100:H100" si="673">IF($A$100="Estimated Balance Due", MAX(0, C92-SUM(C95:C99)),
 IF($A$100="Estimated Refund (Overpayment)", MAX(0, SUM(C95:C99)-C92), 0))</f>
        <v>0</v>
      </c>
      <c r="D100" s="159">
        <f t="shared" si="673"/>
        <v>0</v>
      </c>
      <c r="E100" s="159">
        <f t="shared" si="673"/>
        <v>0</v>
      </c>
      <c r="F100" s="159">
        <f t="shared" si="673"/>
        <v>0</v>
      </c>
      <c r="G100" s="159">
        <f t="shared" si="673"/>
        <v>0</v>
      </c>
      <c r="H100" s="159">
        <f t="shared" si="673"/>
        <v>0</v>
      </c>
      <c r="I100" s="159">
        <f>IF($A$100="Estimated Balance Due", MAX(0, I92-SUM(I95:I99)),
 IF($A$100="Estimated Refund (Overpayment)", MAX(0, SUM(I95:I99)-I92), 0))</f>
        <v>0</v>
      </c>
      <c r="J100" s="159" t="e">
        <f>IF($A$100="Estimated Balance Due", MAX(0, J92-SUM(J95:J99)),
 IF($A$100="Estimated Refund (Overpayment)", MAX(0, SUM(J95:J99)-J92), 0))</f>
        <v>#VALUE!</v>
      </c>
      <c r="T100" s="320"/>
      <c r="U100" s="320"/>
      <c r="V100" s="319" t="s">
        <v>593</v>
      </c>
      <c r="W100" s="144">
        <v>0</v>
      </c>
      <c r="X100" s="144">
        <v>0</v>
      </c>
      <c r="Y100" s="144">
        <v>0</v>
      </c>
      <c r="Z100" s="144">
        <v>0</v>
      </c>
      <c r="AA100" s="144">
        <v>0</v>
      </c>
      <c r="AB100" s="144">
        <v>0</v>
      </c>
      <c r="AC100" s="144">
        <v>0</v>
      </c>
      <c r="AD100" s="144">
        <v>0</v>
      </c>
      <c r="AE100" s="144">
        <v>0</v>
      </c>
    </row>
    <row r="101" spans="1:31" ht="15.75" thickBot="1" x14ac:dyDescent="0.3">
      <c r="A101" s="53" t="s">
        <v>342</v>
      </c>
      <c r="B101" s="159">
        <f t="shared" ref="B101" si="674">IF($A$100="Estimated Balance Due", MAX(0, SUM(B95:B99)-B92),
  IF($A$100="Estimated Refund (Overpayment)", MAX(0, B92-SUM(B95:B99)), 0))</f>
        <v>0</v>
      </c>
      <c r="C101" s="159">
        <f t="shared" ref="C101:H101" si="675">IF($A$100="Estimated Balance Due", MAX(0, SUM(C95:C99)-C92),
  IF($A$100="Estimated Refund (Overpayment)", MAX(0, C92-SUM(C95:C99)), 0))</f>
        <v>0</v>
      </c>
      <c r="D101" s="159">
        <f t="shared" si="675"/>
        <v>0</v>
      </c>
      <c r="E101" s="159">
        <f t="shared" si="675"/>
        <v>0</v>
      </c>
      <c r="F101" s="159">
        <f t="shared" si="675"/>
        <v>0</v>
      </c>
      <c r="G101" s="159">
        <f t="shared" si="675"/>
        <v>0</v>
      </c>
      <c r="H101" s="159">
        <f t="shared" si="675"/>
        <v>0</v>
      </c>
      <c r="I101" s="159">
        <f>IF($A$100="Estimated Balance Due", MAX(0, SUM(I95:I99)-I92),
  IF($A$100="Estimated Refund (Overpayment)", MAX(0, I92-SUM(I95:I99)), 0))</f>
        <v>0</v>
      </c>
      <c r="J101" s="159" t="e">
        <f>IF($A$100="Estimated Balance Due", MAX(0, SUM(J95:J99)-J92),
  IF($A$100="Estimated Refund (Overpayment)", MAX(0, J92-SUM(J95:J99)), 0))</f>
        <v>#VALUE!</v>
      </c>
      <c r="K101" s="104"/>
      <c r="P101" s="233" t="s">
        <v>412</v>
      </c>
      <c r="T101" s="320"/>
      <c r="U101" s="320"/>
      <c r="V101" s="319" t="s">
        <v>490</v>
      </c>
      <c r="W101" s="144">
        <v>0</v>
      </c>
      <c r="X101" s="144">
        <v>0</v>
      </c>
      <c r="Y101" s="144">
        <v>0</v>
      </c>
      <c r="Z101" s="144">
        <v>0</v>
      </c>
      <c r="AA101" s="144">
        <v>0</v>
      </c>
      <c r="AB101" s="144">
        <v>0</v>
      </c>
      <c r="AC101" s="144">
        <v>0</v>
      </c>
      <c r="AD101" s="144">
        <v>0</v>
      </c>
      <c r="AE101" s="144">
        <v>0</v>
      </c>
    </row>
    <row r="102" spans="1:31" ht="15.75" thickBot="1" x14ac:dyDescent="0.3">
      <c r="A102" s="323"/>
      <c r="B102" s="163"/>
      <c r="C102" s="163"/>
      <c r="D102" s="163"/>
      <c r="E102" s="163"/>
      <c r="F102" s="163"/>
      <c r="G102" s="163"/>
      <c r="H102" s="163"/>
      <c r="I102" s="163"/>
      <c r="J102" s="163"/>
      <c r="K102" s="104"/>
      <c r="P102" s="20" t="e">
        <f>Z85</f>
        <v>#N/A</v>
      </c>
      <c r="T102" s="320"/>
      <c r="U102" s="320"/>
      <c r="V102" s="319" t="s">
        <v>476</v>
      </c>
      <c r="W102" s="148">
        <f>MAX(0, (W100 + W101) * 0.2)</f>
        <v>0</v>
      </c>
      <c r="X102" s="148">
        <f t="shared" ref="X102:AE102" si="676">MAX(0, (X100 + X101) * 0.2)</f>
        <v>0</v>
      </c>
      <c r="Y102" s="148">
        <f t="shared" si="676"/>
        <v>0</v>
      </c>
      <c r="Z102" s="148">
        <f t="shared" si="676"/>
        <v>0</v>
      </c>
      <c r="AA102" s="148">
        <f t="shared" si="676"/>
        <v>0</v>
      </c>
      <c r="AB102" s="148">
        <f t="shared" si="676"/>
        <v>0</v>
      </c>
      <c r="AC102" s="148">
        <f t="shared" si="676"/>
        <v>0</v>
      </c>
      <c r="AD102" s="148">
        <f t="shared" si="676"/>
        <v>0</v>
      </c>
      <c r="AE102" s="148">
        <f t="shared" si="676"/>
        <v>0</v>
      </c>
    </row>
    <row r="103" spans="1:31" ht="15.75" thickBot="1" x14ac:dyDescent="0.3">
      <c r="A103" s="323" t="s">
        <v>226</v>
      </c>
      <c r="B103" s="163">
        <f t="shared" ref="B103:D104" si="677">P260</f>
        <v>0</v>
      </c>
      <c r="C103" s="163">
        <f t="shared" si="677"/>
        <v>0</v>
      </c>
      <c r="D103" s="163">
        <f t="shared" si="677"/>
        <v>0</v>
      </c>
      <c r="E103" s="163">
        <f t="shared" ref="E103:G104" si="678">S260</f>
        <v>0</v>
      </c>
      <c r="F103" s="163">
        <f t="shared" si="678"/>
        <v>0</v>
      </c>
      <c r="G103" s="163">
        <f t="shared" si="678"/>
        <v>0</v>
      </c>
      <c r="H103" s="163">
        <f t="shared" ref="H103:J104" si="679">V260</f>
        <v>0</v>
      </c>
      <c r="I103" s="163">
        <f t="shared" si="679"/>
        <v>0</v>
      </c>
      <c r="J103" s="163">
        <f t="shared" si="679"/>
        <v>0</v>
      </c>
      <c r="K103" s="105"/>
      <c r="T103" s="320"/>
      <c r="U103" s="320"/>
      <c r="V103" s="319" t="s">
        <v>488</v>
      </c>
      <c r="W103" s="144">
        <v>0</v>
      </c>
      <c r="X103" s="144">
        <v>0</v>
      </c>
      <c r="Y103" s="144">
        <v>0</v>
      </c>
      <c r="Z103" s="144">
        <v>0</v>
      </c>
      <c r="AA103" s="144">
        <v>0</v>
      </c>
      <c r="AB103" s="144">
        <v>0</v>
      </c>
      <c r="AC103" s="144">
        <v>0</v>
      </c>
      <c r="AD103" s="144">
        <v>0</v>
      </c>
      <c r="AE103" s="144">
        <v>0</v>
      </c>
    </row>
    <row r="104" spans="1:31" ht="15.75" thickBot="1" x14ac:dyDescent="0.3">
      <c r="A104" s="323" t="s">
        <v>227</v>
      </c>
      <c r="B104" s="163">
        <f t="shared" si="677"/>
        <v>0</v>
      </c>
      <c r="C104" s="163">
        <f t="shared" si="677"/>
        <v>0</v>
      </c>
      <c r="D104" s="163">
        <f t="shared" si="677"/>
        <v>0</v>
      </c>
      <c r="E104" s="163">
        <f t="shared" si="678"/>
        <v>0</v>
      </c>
      <c r="F104" s="163">
        <f t="shared" si="678"/>
        <v>0</v>
      </c>
      <c r="G104" s="163">
        <f t="shared" si="678"/>
        <v>0</v>
      </c>
      <c r="H104" s="163">
        <f t="shared" si="679"/>
        <v>0</v>
      </c>
      <c r="I104" s="163">
        <f t="shared" si="679"/>
        <v>0</v>
      </c>
      <c r="J104" s="163">
        <f t="shared" si="679"/>
        <v>0</v>
      </c>
      <c r="K104" s="104"/>
      <c r="L104" s="6"/>
      <c r="S104" s="150"/>
      <c r="T104" s="320"/>
      <c r="U104" s="320"/>
      <c r="V104" s="319" t="s">
        <v>489</v>
      </c>
      <c r="W104" s="144">
        <v>0</v>
      </c>
      <c r="X104" s="144">
        <v>0</v>
      </c>
      <c r="Y104" s="144">
        <v>0</v>
      </c>
      <c r="Z104" s="144">
        <v>0</v>
      </c>
      <c r="AA104" s="144">
        <v>0</v>
      </c>
      <c r="AB104" s="144">
        <v>0</v>
      </c>
      <c r="AC104" s="144">
        <v>0</v>
      </c>
      <c r="AD104" s="144">
        <v>0</v>
      </c>
      <c r="AE104" s="144">
        <v>0</v>
      </c>
    </row>
    <row r="105" spans="1:31" ht="15.75" thickBot="1" x14ac:dyDescent="0.3">
      <c r="A105" s="330"/>
      <c r="B105" s="22"/>
      <c r="C105" s="22"/>
      <c r="D105" s="22"/>
      <c r="E105" s="22"/>
      <c r="F105" s="22"/>
      <c r="G105" s="22"/>
      <c r="H105" s="22"/>
      <c r="I105" s="22"/>
      <c r="J105" s="22"/>
      <c r="O105" s="234" t="s">
        <v>413</v>
      </c>
      <c r="P105" s="235"/>
      <c r="Q105" s="235"/>
      <c r="R105" s="236"/>
      <c r="T105" s="320"/>
      <c r="U105" s="320"/>
      <c r="V105" s="319" t="s">
        <v>477</v>
      </c>
      <c r="W105" s="148">
        <f>MAX(0, W103 + W104)</f>
        <v>0</v>
      </c>
      <c r="X105" s="148">
        <f t="shared" ref="X105:AE105" si="680">MAX(0, X103 + X104)</f>
        <v>0</v>
      </c>
      <c r="Y105" s="148">
        <f t="shared" si="680"/>
        <v>0</v>
      </c>
      <c r="Z105" s="148">
        <f t="shared" si="680"/>
        <v>0</v>
      </c>
      <c r="AA105" s="148">
        <f t="shared" si="680"/>
        <v>0</v>
      </c>
      <c r="AB105" s="148">
        <f t="shared" si="680"/>
        <v>0</v>
      </c>
      <c r="AC105" s="148">
        <f t="shared" si="680"/>
        <v>0</v>
      </c>
      <c r="AD105" s="148">
        <f t="shared" si="680"/>
        <v>0</v>
      </c>
      <c r="AE105" s="148">
        <f t="shared" si="680"/>
        <v>0</v>
      </c>
    </row>
    <row r="106" spans="1:31" ht="15.75" thickBot="1" x14ac:dyDescent="0.3">
      <c r="A106" s="331" t="s">
        <v>84</v>
      </c>
      <c r="B106" s="164" cm="1">
        <f t="array" ref="B106">IFERROR(
    IF(OR($A107="[Select State]", $A107="Delete if no other States"),
        0,
        IF(OR($A107=B$3, $A107=B$5, $A107=B$7, $A107=B$9),
            INDEX(
                $AN$13:$VN$13,
                1,
                MATCH(
                    LEFT($A107, FIND(" Taxes", $A107) - 1),
                    $AN$1:$VG$1,
                    0
                ) + (COLUMN()-COLUMN($B107))
            ),
            0
        )
    ),
    0
)</f>
        <v>0</v>
      </c>
      <c r="C106" s="164" cm="1">
        <f t="array" ref="C106">IFERROR(
    IF(OR($A107="[Select State]", $A107="Delete if no other States"),
        0,
        IF(OR($A107=C$3, $A107=C$5, $A107=C$7, $A107=C$9),
            INDEX(
                $AN$13:$VN$13,
                1,
                MATCH(
                    LEFT($A107, FIND(" Taxes", $A107) - 1),
                    $AN$1:$VG$1,
                    0
                ) + (COLUMN()-COLUMN($B107))
            ),
            0
        )
    ),
    0
)</f>
        <v>0</v>
      </c>
      <c r="D106" s="164" cm="1">
        <f t="array" ref="D106">IFERROR(
    IF(OR($A107="[Select State]", $A107="Delete if no other States"),
        0,
        IF(OR($A107=D$3, $A107=D$5, $A107=D$7, $A107=D$9),
            INDEX(
                $AN$13:$VN$13,
                1,
                MATCH(
                    LEFT($A107, FIND(" Taxes", $A107) - 1),
                    $AN$1:$VG$1,
                    0
                ) + (COLUMN()-COLUMN($B107))
            ),
            0
        )
    ),
    0
)</f>
        <v>0</v>
      </c>
      <c r="E106" s="164" cm="1">
        <f t="array" ref="E106">IFERROR(
    IF(OR($A107="[Select State]", $A107="Delete if no other States"),
        0,
        IF(OR($A107=E$3, $A107=E$5, $A107=E$7, $A107=E$9),
            INDEX(
                $AN$13:$VN$13,
                1,
                MATCH(
                    LEFT($A107, FIND(" Taxes", $A107) - 1),
                    $AN$1:$VG$1,
                    0
                ) + (COLUMN()-COLUMN($B107))
            ),
            0
        )
    ),
    0
)</f>
        <v>0</v>
      </c>
      <c r="F106" s="164" cm="1">
        <f t="array" ref="F106">IFERROR(
    IF(OR($A107="[Select State]", $A107="Delete if no other States"),
        0,
        IF(OR($A107=F$3, $A107=F$5, $A107=F$7, $A107=F$9),
            INDEX(
                $AN$13:$VN$13,
                1,
                MATCH(
                    LEFT($A107, FIND(" Taxes", $A107) - 1),
                    $AN$1:$VG$1,
                    0
                ) + (COLUMN()-COLUMN($B107))
            ),
            0
        )
    ),
    0
)</f>
        <v>0</v>
      </c>
      <c r="G106" s="164" cm="1">
        <f t="array" ref="G106">IFERROR(
    IF(OR($A107="[Select State]", $A107="Delete if no other States"),
        0,
        IF(OR($A107=G$3, $A107=G$5, $A107=G$7, $A107=G$9),
            INDEX(
                $AN$13:$VN$13,
                1,
                MATCH(
                    LEFT($A107, FIND(" Taxes", $A107) - 1),
                    $AN$1:$VG$1,
                    0
                ) + (COLUMN()-COLUMN($B107))
            ),
            0
        )
    ),
    0
)</f>
        <v>0</v>
      </c>
      <c r="H106" s="164" cm="1">
        <f t="array" ref="H106">IFERROR(
    IF(OR($A107="[Select State]", $A107="Delete if no other States"),
        0,
        IF(OR($A107=H$3, $A107=H$5, $A107=H$7, $A107=H$9),
            INDEX(
                $AN$13:$VN$13,
                1,
                MATCH(
                    LEFT($A107, FIND(" Taxes", $A107) - 1),
                    $AN$1:$VG$1,
                    0
                ) + (COLUMN()-COLUMN($B107))
            ),
            0
        )
    ),
    0
)</f>
        <v>0</v>
      </c>
      <c r="I106" s="164" cm="1">
        <f t="array" ref="I106">IFERROR(
    IF(OR($A107="[Select State]", $A107="Delete if no other States"),
        0,
        IF(OR($A107=I$3, $A107=I$5, $A107=I$7, $A107=I$9),
            INDEX(
                $AN$13:$VN$13,
                1,
                MATCH(
                    LEFT($A107, FIND(" Taxes", $A107) - 1),
                    $AN$1:$VG$1,
                    0
                ) + (COLUMN()-COLUMN($B107))
            ),
            0
        )
    ),
    0
)</f>
        <v>0</v>
      </c>
      <c r="J106" s="164" cm="1">
        <f t="array" ref="J106">IFERROR(
    IF(OR($A107="[Select State]", $A107="Delete if no other States"),
        0,
        IF(OR($A107=J$3, $A107=J$5, $A107=J$7, $A107=J$9),
            INDEX(
                $AN$13:$VN$13,
                1,
                MATCH(
                    LEFT($A107, FIND(" Taxes", $A107) - 1),
                    $AN$1:$VG$1,
                    0
                ) + (COLUMN()-COLUMN($B107))
            ),
            0
        )
    ),
    0
)</f>
        <v>0</v>
      </c>
      <c r="K106" s="104"/>
      <c r="O106" s="237" t="s">
        <v>414</v>
      </c>
      <c r="P106" s="238" t="s">
        <v>415</v>
      </c>
      <c r="Q106" s="157" t="s">
        <v>414</v>
      </c>
      <c r="R106" s="236" t="s">
        <v>38</v>
      </c>
      <c r="T106" s="320"/>
      <c r="U106" s="320"/>
      <c r="V106" s="319" t="s">
        <v>478</v>
      </c>
      <c r="W106" s="148">
        <f>W105*0.2</f>
        <v>0</v>
      </c>
      <c r="X106" s="148">
        <f t="shared" ref="X106:AE106" si="681">X105*0.2</f>
        <v>0</v>
      </c>
      <c r="Y106" s="148">
        <f t="shared" si="681"/>
        <v>0</v>
      </c>
      <c r="Z106" s="148">
        <f t="shared" si="681"/>
        <v>0</v>
      </c>
      <c r="AA106" s="148">
        <f t="shared" si="681"/>
        <v>0</v>
      </c>
      <c r="AB106" s="148">
        <f t="shared" si="681"/>
        <v>0</v>
      </c>
      <c r="AC106" s="148">
        <f t="shared" si="681"/>
        <v>0</v>
      </c>
      <c r="AD106" s="148">
        <f t="shared" si="681"/>
        <v>0</v>
      </c>
      <c r="AE106" s="148">
        <f t="shared" si="681"/>
        <v>0</v>
      </c>
    </row>
    <row r="107" spans="1:31" ht="15.75" thickBot="1" x14ac:dyDescent="0.3">
      <c r="A107" s="99" t="str">
        <f>B3</f>
        <v>[Select State]</v>
      </c>
      <c r="B107" s="165">
        <f t="shared" ref="B107:J107" si="682">IFERROR(
    IF(OR($A107="[Select State]", $A107="Delete if no other States"),
        0,
        IF(OR($A107=B$3, $A107=B$5, $A107=B$7, $A107=B$9),
            MAX(
                0,
                INDEX(
                    $AN$2:$VG$2,
                    1,
                    MATCH(
                        LEFT($A107, FIND(" Taxes", $A107) - 1),
                        $AN$1:$VG$1,
                        0
                    ) + (COLUMN()-COLUMN($B107))
                )
            ),
            0
        )
    ),
    0
)</f>
        <v>0</v>
      </c>
      <c r="C107" s="165">
        <f t="shared" si="682"/>
        <v>0</v>
      </c>
      <c r="D107" s="165">
        <f t="shared" si="682"/>
        <v>0</v>
      </c>
      <c r="E107" s="165">
        <f t="shared" si="682"/>
        <v>0</v>
      </c>
      <c r="F107" s="165">
        <f t="shared" si="682"/>
        <v>0</v>
      </c>
      <c r="G107" s="165">
        <f t="shared" si="682"/>
        <v>0</v>
      </c>
      <c r="H107" s="165">
        <f t="shared" si="682"/>
        <v>0</v>
      </c>
      <c r="I107" s="165">
        <f t="shared" si="682"/>
        <v>0</v>
      </c>
      <c r="J107" s="165">
        <f t="shared" si="682"/>
        <v>0</v>
      </c>
      <c r="N107" s="150"/>
      <c r="O107" s="239" t="s">
        <v>416</v>
      </c>
      <c r="P107" s="246" t="e">
        <f>SUM(O35:O44)</f>
        <v>#N/A</v>
      </c>
      <c r="Q107" s="240" t="s">
        <v>416</v>
      </c>
      <c r="R107" s="248" t="e">
        <f>SUM(O47:O48)</f>
        <v>#N/A</v>
      </c>
      <c r="T107" s="320"/>
      <c r="U107" s="320"/>
      <c r="V107" s="319" t="s">
        <v>480</v>
      </c>
      <c r="W107" s="270">
        <f>W102+W106</f>
        <v>0</v>
      </c>
      <c r="X107" s="270">
        <f t="shared" ref="X107:AE107" si="683">X102+X106</f>
        <v>0</v>
      </c>
      <c r="Y107" s="270">
        <f t="shared" si="683"/>
        <v>0</v>
      </c>
      <c r="Z107" s="270">
        <f t="shared" si="683"/>
        <v>0</v>
      </c>
      <c r="AA107" s="270">
        <f t="shared" si="683"/>
        <v>0</v>
      </c>
      <c r="AB107" s="270">
        <f t="shared" si="683"/>
        <v>0</v>
      </c>
      <c r="AC107" s="270">
        <f t="shared" si="683"/>
        <v>0</v>
      </c>
      <c r="AD107" s="270">
        <f t="shared" si="683"/>
        <v>0</v>
      </c>
      <c r="AE107" s="270">
        <f t="shared" si="683"/>
        <v>0</v>
      </c>
    </row>
    <row r="108" spans="1:31" ht="15.75" thickBot="1" x14ac:dyDescent="0.3">
      <c r="A108" s="55" t="s">
        <v>52</v>
      </c>
      <c r="B108" s="158"/>
      <c r="C108" s="158"/>
      <c r="D108" s="158"/>
      <c r="E108" s="158"/>
      <c r="F108" s="158"/>
      <c r="G108" s="158"/>
      <c r="H108" s="158"/>
      <c r="I108" s="158"/>
      <c r="J108" s="158">
        <f>B108</f>
        <v>0</v>
      </c>
      <c r="O108" s="239" t="s">
        <v>417</v>
      </c>
      <c r="P108" s="246">
        <v>100</v>
      </c>
      <c r="Q108" s="239" t="s">
        <v>418</v>
      </c>
      <c r="R108" s="248"/>
      <c r="T108" s="320"/>
      <c r="U108" s="320"/>
      <c r="V108" s="319" t="s">
        <v>474</v>
      </c>
      <c r="W108" s="144">
        <v>0</v>
      </c>
      <c r="X108" s="144">
        <v>0</v>
      </c>
      <c r="Y108" s="144">
        <v>0</v>
      </c>
      <c r="Z108" s="144">
        <v>0</v>
      </c>
      <c r="AA108" s="144">
        <v>0</v>
      </c>
      <c r="AB108" s="144">
        <v>0</v>
      </c>
      <c r="AC108" s="144">
        <v>0</v>
      </c>
      <c r="AD108" s="144">
        <v>0</v>
      </c>
      <c r="AE108" s="144">
        <v>0</v>
      </c>
    </row>
    <row r="109" spans="1:31" ht="15.75" thickBot="1" x14ac:dyDescent="0.3">
      <c r="A109" s="54" t="s">
        <v>93</v>
      </c>
      <c r="B109" s="166">
        <f>SUM(B107:B108)</f>
        <v>0</v>
      </c>
      <c r="C109" s="166">
        <f t="shared" ref="C109:H109" si="684">SUM(C107:C108)</f>
        <v>0</v>
      </c>
      <c r="D109" s="166">
        <f t="shared" si="684"/>
        <v>0</v>
      </c>
      <c r="E109" s="166">
        <f t="shared" si="684"/>
        <v>0</v>
      </c>
      <c r="F109" s="166">
        <f t="shared" si="684"/>
        <v>0</v>
      </c>
      <c r="G109" s="166">
        <f t="shared" si="684"/>
        <v>0</v>
      </c>
      <c r="H109" s="166">
        <f t="shared" si="684"/>
        <v>0</v>
      </c>
      <c r="I109" s="166">
        <f>SUM(I107:I108)</f>
        <v>0</v>
      </c>
      <c r="J109" s="166">
        <f>SUM(J107:J108)</f>
        <v>0</v>
      </c>
      <c r="O109" s="239" t="s">
        <v>419</v>
      </c>
      <c r="P109" s="246"/>
      <c r="Q109" s="239" t="s">
        <v>419</v>
      </c>
      <c r="R109" s="248"/>
      <c r="T109" s="320"/>
      <c r="U109" s="320"/>
      <c r="V109" s="319" t="s">
        <v>475</v>
      </c>
      <c r="W109" s="144">
        <v>0</v>
      </c>
      <c r="X109" s="144">
        <v>0</v>
      </c>
      <c r="Y109" s="144">
        <v>0</v>
      </c>
      <c r="Z109" s="144">
        <v>0</v>
      </c>
      <c r="AA109" s="144">
        <v>0</v>
      </c>
      <c r="AB109" s="144">
        <v>0</v>
      </c>
      <c r="AC109" s="144">
        <v>0</v>
      </c>
      <c r="AD109" s="144">
        <v>0</v>
      </c>
      <c r="AE109" s="144">
        <v>0</v>
      </c>
    </row>
    <row r="110" spans="1:31" ht="15.75" thickBot="1" x14ac:dyDescent="0.3">
      <c r="A110" s="55" t="s">
        <v>46</v>
      </c>
      <c r="B110" s="158"/>
      <c r="C110" s="158"/>
      <c r="D110" s="158"/>
      <c r="E110" s="158"/>
      <c r="F110" s="158"/>
      <c r="G110" s="158"/>
      <c r="H110" s="158"/>
      <c r="I110" s="158"/>
      <c r="J110" s="158">
        <f>B110</f>
        <v>0</v>
      </c>
      <c r="O110" s="239" t="s">
        <v>420</v>
      </c>
      <c r="P110" s="246"/>
      <c r="Q110" s="239" t="s">
        <v>421</v>
      </c>
      <c r="R110" s="248"/>
      <c r="T110" s="320"/>
      <c r="U110" s="320"/>
      <c r="V110" s="319" t="s">
        <v>339</v>
      </c>
      <c r="W110" s="148">
        <f>MAX(0, W108 - W109)</f>
        <v>0</v>
      </c>
      <c r="X110" s="148">
        <f t="shared" ref="X110:AE110" si="685">MAX(0, X108 - X109)</f>
        <v>0</v>
      </c>
      <c r="Y110" s="148">
        <f t="shared" si="685"/>
        <v>0</v>
      </c>
      <c r="Z110" s="148">
        <f t="shared" si="685"/>
        <v>0</v>
      </c>
      <c r="AA110" s="148">
        <f t="shared" si="685"/>
        <v>0</v>
      </c>
      <c r="AB110" s="148">
        <f t="shared" si="685"/>
        <v>0</v>
      </c>
      <c r="AC110" s="148">
        <f t="shared" si="685"/>
        <v>0</v>
      </c>
      <c r="AD110" s="148">
        <f t="shared" si="685"/>
        <v>0</v>
      </c>
      <c r="AE110" s="148">
        <f t="shared" si="685"/>
        <v>0</v>
      </c>
    </row>
    <row r="111" spans="1:31" ht="15.75" thickBot="1" x14ac:dyDescent="0.3">
      <c r="A111" s="55" t="s">
        <v>53</v>
      </c>
      <c r="B111" s="158"/>
      <c r="C111" s="158"/>
      <c r="D111" s="158"/>
      <c r="E111" s="158"/>
      <c r="F111" s="158"/>
      <c r="G111" s="158"/>
      <c r="H111" s="158"/>
      <c r="I111" s="158"/>
      <c r="J111" s="158">
        <f>B111</f>
        <v>0</v>
      </c>
      <c r="O111" s="239" t="s">
        <v>422</v>
      </c>
      <c r="P111" s="246"/>
      <c r="Q111" s="239" t="s">
        <v>423</v>
      </c>
      <c r="R111" s="248"/>
      <c r="T111" s="320"/>
      <c r="U111" s="320"/>
      <c r="V111" s="319" t="s">
        <v>479</v>
      </c>
      <c r="W111" s="270">
        <f>W110*0.2</f>
        <v>0</v>
      </c>
      <c r="X111" s="270">
        <f t="shared" ref="X111:AE111" si="686">X110*0.2</f>
        <v>0</v>
      </c>
      <c r="Y111" s="270">
        <f t="shared" si="686"/>
        <v>0</v>
      </c>
      <c r="Z111" s="270">
        <f t="shared" si="686"/>
        <v>0</v>
      </c>
      <c r="AA111" s="270">
        <f t="shared" si="686"/>
        <v>0</v>
      </c>
      <c r="AB111" s="270">
        <f t="shared" si="686"/>
        <v>0</v>
      </c>
      <c r="AC111" s="270">
        <f t="shared" si="686"/>
        <v>0</v>
      </c>
      <c r="AD111" s="270">
        <f t="shared" si="686"/>
        <v>0</v>
      </c>
      <c r="AE111" s="270">
        <f t="shared" si="686"/>
        <v>0</v>
      </c>
    </row>
    <row r="112" spans="1:31" ht="15.75" thickBot="1" x14ac:dyDescent="0.3">
      <c r="A112" s="55" t="s">
        <v>32</v>
      </c>
      <c r="B112" s="158"/>
      <c r="C112" s="158"/>
      <c r="D112" s="158"/>
      <c r="E112" s="158"/>
      <c r="F112" s="158"/>
      <c r="G112" s="158"/>
      <c r="H112" s="158"/>
      <c r="I112" s="158"/>
      <c r="J112" s="158">
        <f>B112</f>
        <v>0</v>
      </c>
      <c r="O112" s="239" t="s">
        <v>424</v>
      </c>
      <c r="P112" s="246"/>
      <c r="Q112" s="239"/>
      <c r="R112" s="248"/>
      <c r="T112" s="320"/>
      <c r="U112" s="320"/>
      <c r="V112" s="319" t="s">
        <v>481</v>
      </c>
      <c r="W112" s="271">
        <f>MIN(W107, W111)</f>
        <v>0</v>
      </c>
      <c r="X112" s="271">
        <f t="shared" ref="X112:AE112" si="687">MIN(X107, X111)</f>
        <v>0</v>
      </c>
      <c r="Y112" s="271">
        <f t="shared" si="687"/>
        <v>0</v>
      </c>
      <c r="Z112" s="271">
        <f t="shared" si="687"/>
        <v>0</v>
      </c>
      <c r="AA112" s="271">
        <f t="shared" si="687"/>
        <v>0</v>
      </c>
      <c r="AB112" s="271">
        <f t="shared" si="687"/>
        <v>0</v>
      </c>
      <c r="AC112" s="271">
        <f t="shared" si="687"/>
        <v>0</v>
      </c>
      <c r="AD112" s="271">
        <f t="shared" si="687"/>
        <v>0</v>
      </c>
      <c r="AE112" s="271">
        <f t="shared" si="687"/>
        <v>0</v>
      </c>
    </row>
    <row r="113" spans="1:31" ht="15.75" thickBot="1" x14ac:dyDescent="0.3">
      <c r="A113" s="55" t="s">
        <v>49</v>
      </c>
      <c r="B113" s="158"/>
      <c r="C113" s="158"/>
      <c r="D113" s="158"/>
      <c r="E113" s="158"/>
      <c r="F113" s="158"/>
      <c r="G113" s="158"/>
      <c r="H113" s="158"/>
      <c r="I113" s="158"/>
      <c r="J113" s="158">
        <f>B113</f>
        <v>0</v>
      </c>
      <c r="O113" s="239" t="s">
        <v>425</v>
      </c>
      <c r="P113" s="246"/>
      <c r="Q113" s="239"/>
      <c r="R113" s="248"/>
      <c r="T113" s="320"/>
      <c r="U113" s="320"/>
      <c r="V113" s="319" t="s">
        <v>486</v>
      </c>
      <c r="W113" s="148">
        <f>IF(W100+W101 &gt; 0, 0, W100+W101)</f>
        <v>0</v>
      </c>
      <c r="X113" s="148">
        <f t="shared" ref="X113:AE113" si="688">IF(X100+X101 &gt; 0, 0, X100+X101)</f>
        <v>0</v>
      </c>
      <c r="Y113" s="148">
        <f t="shared" si="688"/>
        <v>0</v>
      </c>
      <c r="Z113" s="148">
        <f t="shared" si="688"/>
        <v>0</v>
      </c>
      <c r="AA113" s="148">
        <f t="shared" si="688"/>
        <v>0</v>
      </c>
      <c r="AB113" s="148">
        <f t="shared" si="688"/>
        <v>0</v>
      </c>
      <c r="AC113" s="148">
        <f t="shared" si="688"/>
        <v>0</v>
      </c>
      <c r="AD113" s="148">
        <f t="shared" si="688"/>
        <v>0</v>
      </c>
      <c r="AE113" s="148">
        <f t="shared" si="688"/>
        <v>0</v>
      </c>
    </row>
    <row r="114" spans="1:31" ht="15.75" thickBot="1" x14ac:dyDescent="0.3">
      <c r="A114" s="53" t="s">
        <v>341</v>
      </c>
      <c r="B114" s="159">
        <f t="shared" ref="B114:H114" si="689">IF($A$114="Estimated Balance Due", MAX(0, B109-SUM(B110:B111,-ABS(B112),-ABS(B113))),
 IF($A$114="Estimated Refund (Overpayment)", MAX(0, SUM(B110:B111,-ABS(B112),-ABS(B113))-B109), 0))</f>
        <v>0</v>
      </c>
      <c r="C114" s="159">
        <f t="shared" si="689"/>
        <v>0</v>
      </c>
      <c r="D114" s="159">
        <f t="shared" si="689"/>
        <v>0</v>
      </c>
      <c r="E114" s="159">
        <f t="shared" si="689"/>
        <v>0</v>
      </c>
      <c r="F114" s="159">
        <f t="shared" si="689"/>
        <v>0</v>
      </c>
      <c r="G114" s="159">
        <f t="shared" si="689"/>
        <v>0</v>
      </c>
      <c r="H114" s="159">
        <f t="shared" si="689"/>
        <v>0</v>
      </c>
      <c r="I114" s="159">
        <f>IF($A$114="Estimated Balance Due", MAX(0, I109-SUM(I110:I111,-ABS(I112),-ABS(I113))),
 IF($A$114="Estimated Refund (Overpayment)", MAX(0, SUM(I110:I111,-ABS(I112),-ABS(I113))-I109), 0))</f>
        <v>0</v>
      </c>
      <c r="J114" s="159">
        <f>IF($A$114="Estimated Balance Due", MAX(0, J109-SUM(J110:J111,-ABS(J112),-ABS(J113))),
 IF($A$114="Estimated Refund (Overpayment)", MAX(0, SUM(J110:J111,-ABS(J112),-ABS(J113))-J109), 0))</f>
        <v>0</v>
      </c>
      <c r="O114" s="239" t="s">
        <v>426</v>
      </c>
      <c r="P114" s="246"/>
      <c r="Q114" s="239"/>
      <c r="R114" s="248"/>
      <c r="T114" s="320"/>
      <c r="U114" s="320"/>
      <c r="V114" s="319" t="s">
        <v>487</v>
      </c>
      <c r="W114" s="148">
        <f>IF(W103+W104 &gt; 0, 0, W103+W104)</f>
        <v>0</v>
      </c>
      <c r="X114" s="148">
        <f t="shared" ref="X114:AE114" si="690">IF(X103+X104 &gt; 0, 0, X103+X104)</f>
        <v>0</v>
      </c>
      <c r="Y114" s="148">
        <f t="shared" si="690"/>
        <v>0</v>
      </c>
      <c r="Z114" s="148">
        <f t="shared" si="690"/>
        <v>0</v>
      </c>
      <c r="AA114" s="148">
        <f t="shared" si="690"/>
        <v>0</v>
      </c>
      <c r="AB114" s="148">
        <f t="shared" si="690"/>
        <v>0</v>
      </c>
      <c r="AC114" s="148">
        <f t="shared" si="690"/>
        <v>0</v>
      </c>
      <c r="AD114" s="148">
        <f t="shared" si="690"/>
        <v>0</v>
      </c>
      <c r="AE114" s="148">
        <f t="shared" si="690"/>
        <v>0</v>
      </c>
    </row>
    <row r="115" spans="1:31" ht="15" customHeight="1" thickBot="1" x14ac:dyDescent="0.3">
      <c r="A115" s="53" t="s">
        <v>342</v>
      </c>
      <c r="B115" s="167">
        <f t="shared" ref="B115:H115" si="691">IF($A$114="Estimated Balance Due", MAX(0, SUM(B110:B111,-ABS(B112),-ABS(B113))-B109),
 IF($A$114="Estimated Refund (Overpayment)", MAX(0, B109-SUM(B110:B111,-ABS(B112),-ABS(B113))), 0))</f>
        <v>0</v>
      </c>
      <c r="C115" s="167">
        <f t="shared" si="691"/>
        <v>0</v>
      </c>
      <c r="D115" s="167">
        <f t="shared" si="691"/>
        <v>0</v>
      </c>
      <c r="E115" s="167">
        <f t="shared" si="691"/>
        <v>0</v>
      </c>
      <c r="F115" s="167">
        <f t="shared" si="691"/>
        <v>0</v>
      </c>
      <c r="G115" s="167">
        <f t="shared" si="691"/>
        <v>0</v>
      </c>
      <c r="H115" s="167">
        <f t="shared" si="691"/>
        <v>0</v>
      </c>
      <c r="I115" s="167">
        <f>IF($A$114="Estimated Balance Due", MAX(0, SUM(I110:I111,-ABS(I112),-ABS(I113))-I109),
 IF($A$114="Estimated Refund (Overpayment)", MAX(0, I109-SUM(I110:I111,-ABS(I112),-ABS(I113))), 0))</f>
        <v>0</v>
      </c>
      <c r="J115" s="167">
        <f>IF($A$114="Estimated Balance Due", MAX(0, SUM(J110:J111,-ABS(J112),-ABS(J113))-J109),
 IF($A$114="Estimated Refund (Overpayment)", MAX(0, J109-SUM(J110:J111,-ABS(J112),-ABS(J113))), 0))</f>
        <v>0</v>
      </c>
      <c r="O115" s="239"/>
      <c r="P115" s="246"/>
      <c r="Q115" s="239"/>
      <c r="R115" s="248"/>
    </row>
    <row r="116" spans="1:31" ht="15" customHeight="1" x14ac:dyDescent="0.25">
      <c r="A116" s="331" t="s">
        <v>84</v>
      </c>
      <c r="B116" s="164" cm="1">
        <f t="array" ref="B116">IFERROR(
    IF(OR($A117="[Select State]", $A117="Delete if no other States"),
        0,
        IF(OR($A117=B$3, $A117=B$5, $A117=B$7, $A117=B$9),
            INDEX(
                $AN$13:$VN$13,
                1,
                MATCH(
                    LEFT($A117, FIND(" Taxes", $A117) - 1),
                    $AN$1:$VG$1,
                    0
                ) + (COLUMN()-COLUMN($B117))
            ),
            0
        )
    ),
    0
)</f>
        <v>0</v>
      </c>
      <c r="C116" s="164" cm="1">
        <f t="array" ref="C116">IFERROR(
    IF(OR($A117="[Select State]", $A117="Delete if no other States"),
        0,
        IF(OR($A117=C$3, $A117=C$5, $A117=C$7, $A117=C$9),
            INDEX(
                $AN$13:$VN$13,
                1,
                MATCH(
                    LEFT($A117, FIND(" Taxes", $A117) - 1),
                    $AN$1:$VG$1,
                    0
                ) + (COLUMN()-COLUMN($B117))
            ),
            0
        )
    ),
    0
)</f>
        <v>0</v>
      </c>
      <c r="D116" s="164" cm="1">
        <f t="array" ref="D116">IFERROR(
    IF(OR($A117="[Select State]", $A117="Delete if no other States"),
        0,
        IF(OR($A117=D$3, $A117=D$5, $A117=D$7, $A117=D$9),
            INDEX(
                $AN$13:$VN$13,
                1,
                MATCH(
                    LEFT($A117, FIND(" Taxes", $A117) - 1),
                    $AN$1:$VG$1,
                    0
                ) + (COLUMN()-COLUMN($B117))
            ),
            0
        )
    ),
    0
)</f>
        <v>0</v>
      </c>
      <c r="E116" s="164" cm="1">
        <f t="array" ref="E116">IFERROR(
    IF(OR($A117="[Select State]", $A117="Delete if no other States"),
        0,
        IF(OR($A117=E$3, $A117=E$5, $A117=E$7, $A117=E$9),
            INDEX(
                $AN$13:$VN$13,
                1,
                MATCH(
                    LEFT($A117, FIND(" Taxes", $A117) - 1),
                    $AN$1:$VG$1,
                    0
                ) + (COLUMN()-COLUMN($B117))
            ),
            0
        )
    ),
    0
)</f>
        <v>0</v>
      </c>
      <c r="F116" s="164" cm="1">
        <f t="array" ref="F116">IFERROR(
    IF(OR($A117="[Select State]", $A117="Delete if no other States"),
        0,
        IF(OR($A117=F$3, $A117=F$5, $A117=F$7, $A117=F$9),
            INDEX(
                $AN$13:$VN$13,
                1,
                MATCH(
                    LEFT($A117, FIND(" Taxes", $A117) - 1),
                    $AN$1:$VG$1,
                    0
                ) + (COLUMN()-COLUMN($B117))
            ),
            0
        )
    ),
    0
)</f>
        <v>0</v>
      </c>
      <c r="G116" s="164" cm="1">
        <f t="array" ref="G116">IFERROR(
    IF(OR($A117="[Select State]", $A117="Delete if no other States"),
        0,
        IF(OR($A117=G$3, $A117=G$5, $A117=G$7, $A117=G$9),
            INDEX(
                $AN$13:$VN$13,
                1,
                MATCH(
                    LEFT($A117, FIND(" Taxes", $A117) - 1),
                    $AN$1:$VG$1,
                    0
                ) + (COLUMN()-COLUMN($B117))
            ),
            0
        )
    ),
    0
)</f>
        <v>0</v>
      </c>
      <c r="H116" s="164" cm="1">
        <f t="array" ref="H116">IFERROR(
    IF(OR($A117="[Select State]", $A117="Delete if no other States"),
        0,
        IF(OR($A117=H$3, $A117=H$5, $A117=H$7, $A117=H$9),
            INDEX(
                $AN$13:$VN$13,
                1,
                MATCH(
                    LEFT($A117, FIND(" Taxes", $A117) - 1),
                    $AN$1:$VG$1,
                    0
                ) + (COLUMN()-COLUMN($B117))
            ),
            0
        )
    ),
    0
)</f>
        <v>0</v>
      </c>
      <c r="I116" s="164" cm="1">
        <f t="array" ref="I116">IFERROR(
    IF(OR($A117="[Select State]", $A117="Delete if no other States"),
        0,
        IF(OR($A117=I$3, $A117=I$5, $A117=I$7, $A117=I$9),
            INDEX(
                $AN$13:$VN$13,
                1,
                MATCH(
                    LEFT($A117, FIND(" Taxes", $A117) - 1),
                    $AN$1:$VG$1,
                    0
                ) + (COLUMN()-COLUMN($B117))
            ),
            0
        )
    ),
    0
)</f>
        <v>0</v>
      </c>
      <c r="J116" s="164" cm="1">
        <f t="array" ref="J116">IFERROR(
    IF(OR($A117="[Select State]", $A117="Delete if no other States"),
        0,
        IF(OR($A117=J$3, $A117=J$5, $A117=J$7, $A117=J$9),
            INDEX(
                $AN$13:$VN$13,
                1,
                MATCH(
                    LEFT($A117, FIND(" Taxes", $A117) - 1),
                    $AN$1:$VG$1,
                    0
                ) + (COLUMN()-COLUMN($B117))
            ),
            0
        )
    ),
    0
)</f>
        <v>0</v>
      </c>
      <c r="K116" s="104"/>
      <c r="O116" s="239"/>
      <c r="P116" s="246"/>
      <c r="Q116" s="239"/>
      <c r="R116" s="248"/>
    </row>
    <row r="117" spans="1:31" ht="15" customHeight="1" x14ac:dyDescent="0.25">
      <c r="A117" s="99" t="str">
        <f>IF(AND(B5&lt;&gt;A107,B5&lt;&gt;"[Select State]"),B5,
IF(AND(B7&lt;&gt;A107,B7&lt;&gt;"[Select State]"),B7,
IF(AND(B9&lt;&gt;A107,B9&lt;&gt;"[Select State]"),B9,
IF(AND(C3&lt;&gt;A107,C3&lt;&gt;"[Select State]"),C3,
IF(AND(C5&lt;&gt;A107,C5&lt;&gt;"[Select State]"),C5,
IF(AND(C7&lt;&gt;A107,C7&lt;&gt;"[Select State]"),C7,
IF(AND(C9&lt;&gt;A107,C9&lt;&gt;"[Select State]"),C9,
IF(AND(D3&lt;&gt;A107,D3&lt;&gt;"[Select State]"),D3,
IF(AND(D5&lt;&gt;A107,D5&lt;&gt;"[Select State]"),D5,
IF(AND(D7&lt;&gt;A107,D7&lt;&gt;"[Select State]"),D7,
IF(AND(D9&lt;&gt;A107,D9&lt;&gt;"[Select State]"),D9,
IF(AND(E3&lt;&gt;A107,E3&lt;&gt;"[Select State]"),E3,
IF(AND(E5&lt;&gt;A107,E5&lt;&gt;"[Select State]"),E5,
IF(AND(E7&lt;&gt;A107,E7&lt;&gt;"[Select State]"),E7,
IF(AND(E9&lt;&gt;A107,E9&lt;&gt;"[Select State]"),E9,
IF(AND(F3&lt;&gt;A107,F3&lt;&gt;"[Select State]"),F3,
IF(AND(F5&lt;&gt;A107,F5&lt;&gt;"[Select State]"),F5,
IF(AND(F7&lt;&gt;A107,F7&lt;&gt;"[Select State]"),F7,
IF(AND(F9&lt;&gt;A107,F9&lt;&gt;"[Select State]"),F9,
IF(AND(G3&lt;&gt;A107,G3&lt;&gt;"[Select State]"),G3,
IF(AND(G5&lt;&gt;A107,G5&lt;&gt;"[Select State]"),G5,
IF(AND(G7&lt;&gt;A107,G7&lt;&gt;"[Select State]"),G7,
IF(AND(G9&lt;&gt;A107,G9&lt;&gt;"[Select State]"),G9,
IF(AND(H3&lt;&gt;A107,H3&lt;&gt;"[Select State]"),H3,
IF(AND(H5&lt;&gt;A107,H5&lt;&gt;"[Select State]"),H5,
IF(AND(H7&lt;&gt;A107,H7&lt;&gt;"[Select State]"),H7,
IF(AND(H9&lt;&gt;A107,H9&lt;&gt;"[Select State]"),H9,
IF(AND(I3&lt;&gt;A107,I3&lt;&gt;"[Select State]"),I3,
IF(AND(I5&lt;&gt;A107,I5&lt;&gt;"[Select State]"),I5,
IF(AND(I7&lt;&gt;A107,I7&lt;&gt;"[Select State]"),I7,
IF(AND(I9&lt;&gt;A107,I9&lt;&gt;"[Select State]"),I9,"Delete if no other states")
)
)
)
)
)
)
)
)
)
)
)
)
)
)))))))))))))))))</f>
        <v>Delete if no other states</v>
      </c>
      <c r="B117" s="165">
        <f t="shared" ref="B117:J117" si="692">IFERROR(
    IF(OR($A117="[Select State]", $A117="Delete if no other States"),
        0,
        IF(OR($A117=B$3, $A117=B$5, $A117=B$7, $A117=B$9),
            MAX(
                0,
                INDEX(
                    $AN$2:$VG$2,
                    1,
                    MATCH(
                        LEFT($A117, FIND(" Taxes", $A117) - 1),
                        $AN$1:$VG$1,
                        0
                    ) + (COLUMN()-COLUMN($B117))
                )
            ),
            0
        )
    ),
    0
)</f>
        <v>0</v>
      </c>
      <c r="C117" s="165">
        <f t="shared" si="692"/>
        <v>0</v>
      </c>
      <c r="D117" s="165">
        <f t="shared" si="692"/>
        <v>0</v>
      </c>
      <c r="E117" s="165">
        <f t="shared" si="692"/>
        <v>0</v>
      </c>
      <c r="F117" s="165">
        <f t="shared" si="692"/>
        <v>0</v>
      </c>
      <c r="G117" s="165">
        <f t="shared" si="692"/>
        <v>0</v>
      </c>
      <c r="H117" s="165">
        <f t="shared" si="692"/>
        <v>0</v>
      </c>
      <c r="I117" s="165">
        <f t="shared" si="692"/>
        <v>0</v>
      </c>
      <c r="J117" s="165">
        <f t="shared" si="692"/>
        <v>0</v>
      </c>
      <c r="O117" s="239"/>
      <c r="P117" s="246"/>
      <c r="Q117" s="239"/>
      <c r="R117" s="248"/>
    </row>
    <row r="118" spans="1:31" ht="15" customHeight="1" x14ac:dyDescent="0.25">
      <c r="A118" s="55" t="s">
        <v>52</v>
      </c>
      <c r="B118" s="158"/>
      <c r="C118" s="158"/>
      <c r="D118" s="158"/>
      <c r="E118" s="158"/>
      <c r="F118" s="158"/>
      <c r="G118" s="158"/>
      <c r="H118" s="158"/>
      <c r="I118" s="158"/>
      <c r="J118" s="158"/>
      <c r="O118" s="239"/>
      <c r="P118" s="246"/>
      <c r="Q118" s="239"/>
      <c r="R118" s="248"/>
    </row>
    <row r="119" spans="1:31" ht="15" customHeight="1" x14ac:dyDescent="0.25">
      <c r="A119" s="54" t="s">
        <v>93</v>
      </c>
      <c r="B119" s="166">
        <f>SUM(B117:B118)</f>
        <v>0</v>
      </c>
      <c r="C119" s="166">
        <f t="shared" ref="C119:H119" si="693">SUM(C117:C118)</f>
        <v>0</v>
      </c>
      <c r="D119" s="166">
        <f t="shared" si="693"/>
        <v>0</v>
      </c>
      <c r="E119" s="166">
        <f t="shared" si="693"/>
        <v>0</v>
      </c>
      <c r="F119" s="166">
        <f t="shared" si="693"/>
        <v>0</v>
      </c>
      <c r="G119" s="166">
        <f t="shared" si="693"/>
        <v>0</v>
      </c>
      <c r="H119" s="166">
        <f t="shared" si="693"/>
        <v>0</v>
      </c>
      <c r="I119" s="166">
        <f>SUM(I117:I118)</f>
        <v>0</v>
      </c>
      <c r="J119" s="166">
        <f>SUM(J117:J118)</f>
        <v>0</v>
      </c>
      <c r="O119" s="10"/>
      <c r="P119" s="246"/>
      <c r="Q119" s="10"/>
      <c r="R119" s="248"/>
    </row>
    <row r="120" spans="1:31" ht="15" customHeight="1" thickBot="1" x14ac:dyDescent="0.3">
      <c r="A120" s="55" t="s">
        <v>46</v>
      </c>
      <c r="B120" s="158"/>
      <c r="C120" s="158"/>
      <c r="D120" s="158"/>
      <c r="E120" s="158"/>
      <c r="F120" s="158"/>
      <c r="G120" s="158"/>
      <c r="H120" s="158"/>
      <c r="I120" s="158"/>
      <c r="J120" s="158"/>
      <c r="O120" s="10"/>
      <c r="P120" s="246"/>
      <c r="Q120" s="17"/>
      <c r="R120" s="248"/>
    </row>
    <row r="121" spans="1:31" ht="15" customHeight="1" thickBot="1" x14ac:dyDescent="0.3">
      <c r="A121" s="55" t="s">
        <v>53</v>
      </c>
      <c r="B121" s="158"/>
      <c r="C121" s="158"/>
      <c r="D121" s="158"/>
      <c r="E121" s="158"/>
      <c r="F121" s="158"/>
      <c r="G121" s="158"/>
      <c r="H121" s="158"/>
      <c r="I121" s="158"/>
      <c r="J121" s="158"/>
      <c r="O121" s="241" t="s">
        <v>427</v>
      </c>
      <c r="P121" s="247" t="e">
        <f>SUM(P107:P120)</f>
        <v>#N/A</v>
      </c>
      <c r="Q121" s="23" t="s">
        <v>427</v>
      </c>
      <c r="R121" s="249" t="e">
        <f>P121+SUM(R107:R120)</f>
        <v>#N/A</v>
      </c>
    </row>
    <row r="122" spans="1:31" ht="15" customHeight="1" thickBot="1" x14ac:dyDescent="0.3">
      <c r="A122" s="55" t="s">
        <v>32</v>
      </c>
      <c r="B122" s="158"/>
      <c r="C122" s="158"/>
      <c r="D122" s="158"/>
      <c r="E122" s="158"/>
      <c r="F122" s="158"/>
      <c r="G122" s="158"/>
      <c r="H122" s="158"/>
      <c r="I122" s="158"/>
      <c r="J122" s="158"/>
    </row>
    <row r="123" spans="1:31" ht="15" customHeight="1" thickBot="1" x14ac:dyDescent="0.3">
      <c r="A123" s="55" t="s">
        <v>49</v>
      </c>
      <c r="B123" s="158"/>
      <c r="C123" s="158"/>
      <c r="D123" s="158"/>
      <c r="E123" s="158"/>
      <c r="F123" s="158"/>
      <c r="G123" s="158"/>
      <c r="H123" s="158"/>
      <c r="I123" s="158"/>
      <c r="J123" s="158"/>
      <c r="O123" s="234" t="s">
        <v>428</v>
      </c>
      <c r="P123" s="235"/>
      <c r="Q123" s="235"/>
      <c r="R123" s="236"/>
    </row>
    <row r="124" spans="1:31" ht="15.75" customHeight="1" thickBot="1" x14ac:dyDescent="0.3">
      <c r="A124" s="53" t="s">
        <v>341</v>
      </c>
      <c r="B124" s="159">
        <f t="shared" ref="B124" si="694">IF($A$124="Estimated Balance Due", MAX(0, B119-SUM(B120:B121,-ABS(B122),-ABS(B123))),
 IF($A$124="Estimated Refund (Overpayment)", MAX(0, SUM(B120:B121,-ABS(B122),-ABS(B123))-B119), 0))</f>
        <v>0</v>
      </c>
      <c r="C124" s="159">
        <f t="shared" ref="C124:H124" si="695">IF($A$124="Estimated Balance Due", MAX(0, C119-SUM(C120:C121,-ABS(C122),-ABS(C123))),
 IF($A$124="Estimated Refund (Overpayment)", MAX(0, SUM(C120:C121,-ABS(C122),-ABS(C123))-C119), 0))</f>
        <v>0</v>
      </c>
      <c r="D124" s="159">
        <f t="shared" si="695"/>
        <v>0</v>
      </c>
      <c r="E124" s="159">
        <f t="shared" si="695"/>
        <v>0</v>
      </c>
      <c r="F124" s="159">
        <f t="shared" si="695"/>
        <v>0</v>
      </c>
      <c r="G124" s="159">
        <f t="shared" si="695"/>
        <v>0</v>
      </c>
      <c r="H124" s="159">
        <f t="shared" si="695"/>
        <v>0</v>
      </c>
      <c r="I124" s="159">
        <f>IF($A$124="Estimated Balance Due", MAX(0, I119-SUM(I120:I121,-ABS(I122),-ABS(I123))),
 IF($A$124="Estimated Refund (Overpayment)", MAX(0, SUM(I120:I121,-ABS(I122),-ABS(I123))-I119), 0))</f>
        <v>0</v>
      </c>
      <c r="J124" s="159">
        <f>IF($A$124="Estimated Balance Due", MAX(0, J119-SUM(J120:J121,-ABS(J122),-ABS(J123))),
 IF($A$124="Estimated Refund (Overpayment)", MAX(0, SUM(J120:J121,-ABS(J122),-ABS(J123))-J119), 0))</f>
        <v>0</v>
      </c>
      <c r="O124" s="237" t="s">
        <v>414</v>
      </c>
      <c r="P124" s="238" t="s">
        <v>415</v>
      </c>
      <c r="Q124" s="157" t="s">
        <v>414</v>
      </c>
      <c r="R124" s="236" t="s">
        <v>38</v>
      </c>
    </row>
    <row r="125" spans="1:31" ht="15" customHeight="1" thickBot="1" x14ac:dyDescent="0.3">
      <c r="A125" s="53" t="s">
        <v>342</v>
      </c>
      <c r="B125" s="167">
        <f t="shared" ref="B125" si="696">IF($A$124="Estimated Balance Due", MAX(0, SUM(B120:B121,-ABS(B122),-ABS(B123))-B119),
 IF($A$124="Estimated Refund (Overpayment)", MAX(0, B119-SUM(B120:B121,-ABS(B122),-ABS(B123))), 0))</f>
        <v>0</v>
      </c>
      <c r="C125" s="167">
        <f t="shared" ref="C125:H125" si="697">IF($A$124="Estimated Balance Due", MAX(0, SUM(C120:C121,-ABS(C122),-ABS(C123))-C119),
 IF($A$124="Estimated Refund (Overpayment)", MAX(0, C119-SUM(C120:C121,-ABS(C122),-ABS(C123))), 0))</f>
        <v>0</v>
      </c>
      <c r="D125" s="167">
        <f t="shared" si="697"/>
        <v>0</v>
      </c>
      <c r="E125" s="167">
        <f t="shared" si="697"/>
        <v>0</v>
      </c>
      <c r="F125" s="167">
        <f t="shared" si="697"/>
        <v>0</v>
      </c>
      <c r="G125" s="167">
        <f t="shared" si="697"/>
        <v>0</v>
      </c>
      <c r="H125" s="167">
        <f t="shared" si="697"/>
        <v>0</v>
      </c>
      <c r="I125" s="167">
        <f>IF($A$124="Estimated Balance Due", MAX(0, SUM(I120:I121,-ABS(I122),-ABS(I123))-I119),
 IF($A$124="Estimated Refund (Overpayment)", MAX(0, I119-SUM(I120:I121,-ABS(I122),-ABS(I123))), 0))</f>
        <v>0</v>
      </c>
      <c r="J125" s="167">
        <f>IF($A$124="Estimated Balance Due", MAX(0, SUM(J120:J121,-ABS(J122),-ABS(J123))-J119),
 IF($A$124="Estimated Refund (Overpayment)", MAX(0, J119-SUM(J120:J121,-ABS(J122),-ABS(J123))), 0))</f>
        <v>0</v>
      </c>
      <c r="O125" s="242" t="s">
        <v>429</v>
      </c>
      <c r="P125" s="246"/>
      <c r="Q125" s="242" t="s">
        <v>429</v>
      </c>
      <c r="R125" s="248"/>
    </row>
    <row r="126" spans="1:31" ht="15" customHeight="1" x14ac:dyDescent="0.25">
      <c r="A126" s="331" t="s">
        <v>84</v>
      </c>
      <c r="B126" s="164" cm="1">
        <f t="array" ref="B126">IFERROR(
    IF(OR($A127="[Select State]", $A127="Delete if no other States"),
        0,
        IF(OR($A127=B$3, $A127=B$5, $A127=B$7, $A127=B$9),
            INDEX(
                $AN$13:$VN$13,
                1,
                MATCH(
                    LEFT($A127, FIND(" Taxes", $A127) - 1),
                    $AN$1:$VG$1,
                    0
                ) + (COLUMN()-COLUMN($B127))
            ),
            0
        )
    ),
    0
)</f>
        <v>0</v>
      </c>
      <c r="C126" s="164" cm="1">
        <f t="array" ref="C126">IFERROR(
    IF(OR($A127="[Select State]", $A127="Delete if no other States"),
        0,
        IF(OR($A127=C$3, $A127=C$5, $A127=C$7, $A127=C$9),
            INDEX(
                $AN$13:$VN$13,
                1,
                MATCH(
                    LEFT($A127, FIND(" Taxes", $A127) - 1),
                    $AN$1:$VG$1,
                    0
                ) + (COLUMN()-COLUMN($B127))
            ),
            0
        )
    ),
    0
)</f>
        <v>0</v>
      </c>
      <c r="D126" s="164" cm="1">
        <f t="array" ref="D126">IFERROR(
    IF(OR($A127="[Select State]", $A127="Delete if no other States"),
        0,
        IF(OR($A127=D$3, $A127=D$5, $A127=D$7, $A127=D$9),
            INDEX(
                $AN$13:$VN$13,
                1,
                MATCH(
                    LEFT($A127, FIND(" Taxes", $A127) - 1),
                    $AN$1:$VG$1,
                    0
                ) + (COLUMN()-COLUMN($B127))
            ),
            0
        )
    ),
    0
)</f>
        <v>0</v>
      </c>
      <c r="E126" s="164" cm="1">
        <f t="array" ref="E126">IFERROR(
    IF(OR($A127="[Select State]", $A127="Delete if no other States"),
        0,
        IF(OR($A127=E$3, $A127=E$5, $A127=E$7, $A127=E$9),
            INDEX(
                $AN$13:$VN$13,
                1,
                MATCH(
                    LEFT($A127, FIND(" Taxes", $A127) - 1),
                    $AN$1:$VG$1,
                    0
                ) + (COLUMN()-COLUMN($B127))
            ),
            0
        )
    ),
    0
)</f>
        <v>0</v>
      </c>
      <c r="F126" s="164" cm="1">
        <f t="array" ref="F126">IFERROR(
    IF(OR($A127="[Select State]", $A127="Delete if no other States"),
        0,
        IF(OR($A127=F$3, $A127=F$5, $A127=F$7, $A127=F$9),
            INDEX(
                $AN$13:$VN$13,
                1,
                MATCH(
                    LEFT($A127, FIND(" Taxes", $A127) - 1),
                    $AN$1:$VG$1,
                    0
                ) + (COLUMN()-COLUMN($B127))
            ),
            0
        )
    ),
    0
)</f>
        <v>0</v>
      </c>
      <c r="G126" s="164" cm="1">
        <f t="array" ref="G126">IFERROR(
    IF(OR($A127="[Select State]", $A127="Delete if no other States"),
        0,
        IF(OR($A127=G$3, $A127=G$5, $A127=G$7, $A127=G$9),
            INDEX(
                $AN$13:$VN$13,
                1,
                MATCH(
                    LEFT($A127, FIND(" Taxes", $A127) - 1),
                    $AN$1:$VG$1,
                    0
                ) + (COLUMN()-COLUMN($B127))
            ),
            0
        )
    ),
    0
)</f>
        <v>0</v>
      </c>
      <c r="H126" s="164" cm="1">
        <f t="array" ref="H126">IFERROR(
    IF(OR($A127="[Select State]", $A127="Delete if no other States"),
        0,
        IF(OR($A127=H$3, $A127=H$5, $A127=H$7, $A127=H$9),
            INDEX(
                $AN$13:$VN$13,
                1,
                MATCH(
                    LEFT($A127, FIND(" Taxes", $A127) - 1),
                    $AN$1:$VG$1,
                    0
                ) + (COLUMN()-COLUMN($B127))
            ),
            0
        )
    ),
    0
)</f>
        <v>0</v>
      </c>
      <c r="I126" s="164" cm="1">
        <f t="array" ref="I126">IFERROR(
    IF(OR($A127="[Select State]", $A127="Delete if no other States"),
        0,
        IF(OR($A127=I$3, $A127=I$5, $A127=I$7, $A127=I$9),
            INDEX(
                $AN$13:$VN$13,
                1,
                MATCH(
                    LEFT($A127, FIND(" Taxes", $A127) - 1),
                    $AN$1:$VG$1,
                    0
                ) + (COLUMN()-COLUMN($B127))
            ),
            0
        )
    ),
    0
)</f>
        <v>0</v>
      </c>
      <c r="J126" s="164" cm="1">
        <f t="array" ref="J126">IFERROR(
    IF(OR($A127="[Select State]", $A127="Delete if no other States"),
        0,
        IF(OR($A127=J$3, $A127=J$5, $A127=J$7, $A127=J$9),
            INDEX(
                $AN$13:$VN$13,
                1,
                MATCH(
                    LEFT($A127, FIND(" Taxes", $A127) - 1),
                    $AN$1:$VG$1,
                    0
                ) + (COLUMN()-COLUMN($B127))
            ),
            0
        )
    ),
    0
)</f>
        <v>0</v>
      </c>
      <c r="K126" s="104"/>
      <c r="O126" s="243" t="s">
        <v>56</v>
      </c>
      <c r="P126" s="246"/>
      <c r="Q126" s="243" t="str">
        <f>O126</f>
        <v>Professional Fees</v>
      </c>
      <c r="R126" s="248"/>
    </row>
    <row r="127" spans="1:31" ht="15" customHeight="1" x14ac:dyDescent="0.25">
      <c r="A127" s="99" t="str">
        <f>IF(AND(B5&lt;&gt;A107, B5&lt;&gt;A117, B5&lt;&gt;"[Select State]"), B5,
 IF(AND(B7&lt;&gt;A107, B7&lt;&gt;A117, B7&lt;&gt;"[Select State]"), B7,
  IF(AND(B9&lt;&gt;A107, B9&lt;&gt;A117, B9&lt;&gt;"[Select State]"), B9,
   IF(AND(C3&lt;&gt;A107, C3&lt;&gt;A117, C3&lt;&gt;"[Select State]"), C3,
    IF(AND(C5&lt;&gt;A107, C5&lt;&gt;A117, C5&lt;&gt;"[Select State]"), C5,
     IF(AND(C7&lt;&gt;A107, C7&lt;&gt;A117, C7&lt;&gt;"[Select State]"), C7,
      IF(AND(C9&lt;&gt;A107, C9&lt;&gt;A117, C9&lt;&gt;"[Select State]"), C9,
       IF(AND(D3&lt;&gt;A107, D3&lt;&gt;A117, D3&lt;&gt;"[Select State]"), D3,
        IF(AND(D5&lt;&gt;A107, D5&lt;&gt;A117, D5&lt;&gt;"[Select State]"), D5,
         IF(AND(D7&lt;&gt;A107, D7&lt;&gt;A117, D7&lt;&gt;"[Select State]"), D7,
          IF(AND(D9&lt;&gt;A107, D9&lt;&gt;A117, D9&lt;&gt;"[Select State]"), D9,
           IF(AND(E3&lt;&gt;A107, E3&lt;&gt;A117, E3&lt;&gt;"[Select State]"), E3,
            IF(AND(E5&lt;&gt;A107, E5&lt;&gt;A117, E5&lt;&gt;"[Select State]"), E5,
             IF(AND(E7&lt;&gt;A107, E7&lt;&gt;A117, E7&lt;&gt;"[Select State]"), E7,
              IF(AND(E9&lt;&gt;A107, E9&lt;&gt;A117, E9&lt;&gt;"[Select State]"), E9,
               IF(AND(F3&lt;&gt;A107, F3&lt;&gt;A117, F3&lt;&gt;"[Select State]"), F3,
                IF(AND(F5&lt;&gt;A107, F5&lt;&gt;A117, F5&lt;&gt;"[Select State]"), F5,
                 IF(AND(F7&lt;&gt;A107, F7&lt;&gt;A117, F7&lt;&gt;"[Select State]"), F7,
                  IF(AND(F9&lt;&gt;A107, F9&lt;&gt;A117, F9&lt;&gt;"[Select State]"), F9,
                   IF(AND(G3&lt;&gt;A107, G3&lt;&gt;A117, G3&lt;&gt;"[Select State]"), G3,
                    IF(AND(G5&lt;&gt;A107, G5&lt;&gt;A117, G5&lt;&gt;"[Select State]"), G5,
                     IF(AND(G7&lt;&gt;A107, G7&lt;&gt;A117, G7&lt;&gt;"[Select State]"), G7,
                      IF(AND(G9&lt;&gt;A107, G9&lt;&gt;A117, G9&lt;&gt;"[Select State]"), G9,
                       IF(AND(H3&lt;&gt;A107, H3&lt;&gt;A117, H3&lt;&gt;"[Select State]"), H3,
                        IF(AND(H5&lt;&gt;A107, H5&lt;&gt;A117, H5&lt;&gt;"[Select State]"), H5,
                         IF(AND(H7&lt;&gt;A107, H7&lt;&gt;A117, H7&lt;&gt;"[Select State]"), H7,
                          IF(AND(H9&lt;&gt;A107, H9&lt;&gt;A117, H9&lt;&gt;"[Select State]"), H9,
                           IF(AND(I3&lt;&gt;A107, I3&lt;&gt;A117, I3&lt;&gt;"[Select State]"), I3,
                            IF(AND(I5&lt;&gt;A107, I5&lt;&gt;A117, I5&lt;&gt;"[Select State]"), I5,
                             IF(AND(I7&lt;&gt;A107, I7&lt;&gt;A117, I7&lt;&gt;"[Select State]"), I7,
                              IF(AND(I9&lt;&gt;A107, I9&lt;&gt;A117, I9&lt;&gt;"[Select State]"), I9, "Delete if no other states")
                             )
                            )
                           )
                          )
                         )
                        )
                       )
                      )
                     )
                    )
                   )
                  )
                 )
                )
               )
              )
             )
            )
           )
          )
         )
        )
       )
      )
     )
    )
   )
  )
 )
)</f>
        <v>Delete if no other states</v>
      </c>
      <c r="B127" s="165">
        <f t="shared" ref="B127:J127" si="698">IFERROR(
    IF(OR($A127="[Select State]", $A127="Delete if no other States"),
        0,
        IF(OR($A127=B$3, $A127=B$5, $A127=B$7, $A127=B$9),
            MAX(
                0,
                INDEX(
                    $AN$2:$VG$2,
                    1,
                    MATCH(
                        LEFT($A127, FIND(" Taxes", $A127) - 1),
                        $AN$1:$VG$1,
                        0
                    ) + (COLUMN()-COLUMN($B127))
                )
            ),
            0
        )
    ),
    0
)</f>
        <v>0</v>
      </c>
      <c r="C127" s="165">
        <f t="shared" si="698"/>
        <v>0</v>
      </c>
      <c r="D127" s="165">
        <f t="shared" si="698"/>
        <v>0</v>
      </c>
      <c r="E127" s="165">
        <f t="shared" si="698"/>
        <v>0</v>
      </c>
      <c r="F127" s="165">
        <f t="shared" si="698"/>
        <v>0</v>
      </c>
      <c r="G127" s="165">
        <f t="shared" si="698"/>
        <v>0</v>
      </c>
      <c r="H127" s="165">
        <f t="shared" si="698"/>
        <v>0</v>
      </c>
      <c r="I127" s="165">
        <f t="shared" si="698"/>
        <v>0</v>
      </c>
      <c r="J127" s="165">
        <f t="shared" si="698"/>
        <v>0</v>
      </c>
      <c r="O127" s="243" t="s">
        <v>430</v>
      </c>
      <c r="P127" s="246"/>
      <c r="Q127" s="243" t="str">
        <f t="shared" ref="Q127:Q130" si="699">O127</f>
        <v>Disability Insurance</v>
      </c>
      <c r="R127" s="248"/>
    </row>
    <row r="128" spans="1:31" ht="15" customHeight="1" x14ac:dyDescent="0.25">
      <c r="A128" s="55" t="s">
        <v>52</v>
      </c>
      <c r="B128" s="158"/>
      <c r="C128" s="158"/>
      <c r="D128" s="158"/>
      <c r="E128" s="158"/>
      <c r="F128" s="158"/>
      <c r="G128" s="158"/>
      <c r="H128" s="158"/>
      <c r="I128" s="158"/>
      <c r="J128" s="158"/>
      <c r="O128" s="243" t="s">
        <v>42</v>
      </c>
      <c r="P128" s="246"/>
      <c r="Q128" s="243" t="str">
        <f t="shared" si="699"/>
        <v>ARP</v>
      </c>
      <c r="R128" s="248"/>
    </row>
    <row r="129" spans="1:18" ht="15" customHeight="1" x14ac:dyDescent="0.25">
      <c r="A129" s="54" t="s">
        <v>93</v>
      </c>
      <c r="B129" s="166">
        <f>SUM(B127:B128)</f>
        <v>0</v>
      </c>
      <c r="C129" s="166">
        <f t="shared" ref="C129:H129" si="700">SUM(C127:C128)</f>
        <v>0</v>
      </c>
      <c r="D129" s="166">
        <f t="shared" si="700"/>
        <v>0</v>
      </c>
      <c r="E129" s="166">
        <f t="shared" si="700"/>
        <v>0</v>
      </c>
      <c r="F129" s="166">
        <f t="shared" si="700"/>
        <v>0</v>
      </c>
      <c r="G129" s="166">
        <f t="shared" si="700"/>
        <v>0</v>
      </c>
      <c r="H129" s="166">
        <f t="shared" si="700"/>
        <v>0</v>
      </c>
      <c r="I129" s="166">
        <f>SUM(I127:I128)</f>
        <v>0</v>
      </c>
      <c r="J129" s="166">
        <f>SUM(J127:J128)</f>
        <v>0</v>
      </c>
      <c r="O129" s="243" t="s">
        <v>431</v>
      </c>
      <c r="P129" s="246"/>
      <c r="Q129" s="243" t="str">
        <f t="shared" si="699"/>
        <v>Foundation</v>
      </c>
      <c r="R129" s="248"/>
    </row>
    <row r="130" spans="1:18" ht="15" customHeight="1" x14ac:dyDescent="0.25">
      <c r="A130" s="55" t="s">
        <v>46</v>
      </c>
      <c r="B130" s="158"/>
      <c r="C130" s="158"/>
      <c r="D130" s="158"/>
      <c r="E130" s="158"/>
      <c r="F130" s="158"/>
      <c r="G130" s="158"/>
      <c r="H130" s="158"/>
      <c r="I130" s="158"/>
      <c r="J130" s="158"/>
      <c r="O130" s="243" t="s">
        <v>432</v>
      </c>
      <c r="P130" s="246"/>
      <c r="Q130" s="243" t="str">
        <f t="shared" si="699"/>
        <v>Payroll Taxes</v>
      </c>
      <c r="R130" s="248"/>
    </row>
    <row r="131" spans="1:18" ht="15" customHeight="1" x14ac:dyDescent="0.25">
      <c r="A131" s="55" t="s">
        <v>53</v>
      </c>
      <c r="B131" s="158"/>
      <c r="C131" s="158"/>
      <c r="D131" s="158"/>
      <c r="E131" s="158"/>
      <c r="F131" s="158"/>
      <c r="G131" s="158"/>
      <c r="H131" s="158"/>
      <c r="I131" s="158"/>
      <c r="J131" s="158"/>
      <c r="O131" s="243"/>
      <c r="P131" s="246"/>
      <c r="Q131" s="243" t="s">
        <v>40</v>
      </c>
      <c r="R131" s="248"/>
    </row>
    <row r="132" spans="1:18" ht="15" customHeight="1" x14ac:dyDescent="0.25">
      <c r="A132" s="55" t="s">
        <v>32</v>
      </c>
      <c r="B132" s="158"/>
      <c r="C132" s="158"/>
      <c r="D132" s="158"/>
      <c r="E132" s="158"/>
      <c r="F132" s="158"/>
      <c r="G132" s="158"/>
      <c r="H132" s="158"/>
      <c r="I132" s="158"/>
      <c r="J132" s="158"/>
      <c r="O132" s="10"/>
      <c r="P132" s="246"/>
      <c r="Q132" s="10"/>
      <c r="R132" s="248"/>
    </row>
    <row r="133" spans="1:18" ht="15" customHeight="1" x14ac:dyDescent="0.25">
      <c r="A133" s="55" t="s">
        <v>49</v>
      </c>
      <c r="B133" s="158"/>
      <c r="C133" s="158"/>
      <c r="D133" s="158"/>
      <c r="E133" s="158"/>
      <c r="F133" s="158"/>
      <c r="G133" s="158"/>
      <c r="H133" s="158"/>
      <c r="I133" s="158"/>
      <c r="J133" s="158"/>
      <c r="O133" s="242" t="s">
        <v>433</v>
      </c>
      <c r="P133" s="166">
        <f>SUM(P126:P132)</f>
        <v>0</v>
      </c>
      <c r="Q133" s="242" t="s">
        <v>433</v>
      </c>
      <c r="R133" s="166">
        <f>SUM(R126:R132)</f>
        <v>0</v>
      </c>
    </row>
    <row r="134" spans="1:18" ht="15.75" customHeight="1" x14ac:dyDescent="0.25">
      <c r="A134" s="53" t="s">
        <v>341</v>
      </c>
      <c r="B134" s="159">
        <f t="shared" ref="B134" si="701">IF($A$134="Estimated Balance Due", MAX(0, B129-SUM(B130:B131,-ABS(B132),-ABS(B133))),
 IF($A$134="Estimated Refund (Overpayment)", MAX(0, SUM(B130:B131,-ABS(B132),-ABS(B133))-B129), 0))</f>
        <v>0</v>
      </c>
      <c r="C134" s="159">
        <f t="shared" ref="C134:H134" si="702">IF($A$134="Estimated Balance Due", MAX(0, C129-SUM(C130:C131,-ABS(C132),-ABS(C133))),
 IF($A$134="Estimated Refund (Overpayment)", MAX(0, SUM(C130:C131,-ABS(C132),-ABS(C133))-C129), 0))</f>
        <v>0</v>
      </c>
      <c r="D134" s="159">
        <f t="shared" si="702"/>
        <v>0</v>
      </c>
      <c r="E134" s="159">
        <f t="shared" si="702"/>
        <v>0</v>
      </c>
      <c r="F134" s="159">
        <f t="shared" si="702"/>
        <v>0</v>
      </c>
      <c r="G134" s="159">
        <f t="shared" si="702"/>
        <v>0</v>
      </c>
      <c r="H134" s="159">
        <f t="shared" si="702"/>
        <v>0</v>
      </c>
      <c r="I134" s="159">
        <f>IF($A$134="Estimated Balance Due", MAX(0, I129-SUM(I130:I131,-ABS(I132),-ABS(I133))),
 IF($A$134="Estimated Refund (Overpayment)", MAX(0, SUM(I130:I131,-ABS(I132),-ABS(I133))-I129), 0))</f>
        <v>0</v>
      </c>
      <c r="J134" s="159">
        <f>IF($A$134="Estimated Balance Due", MAX(0, J129-SUM(J130:J131,-ABS(J132),-ABS(J133))),
 IF($A$134="Estimated Refund (Overpayment)", MAX(0, SUM(J130:J131,-ABS(J132),-ABS(J133))-J129), 0))</f>
        <v>0</v>
      </c>
      <c r="O134" s="243"/>
      <c r="P134" s="246"/>
      <c r="Q134" s="243"/>
      <c r="R134" s="248"/>
    </row>
    <row r="135" spans="1:18" ht="15" customHeight="1" thickBot="1" x14ac:dyDescent="0.3">
      <c r="A135" s="53" t="s">
        <v>342</v>
      </c>
      <c r="B135" s="167">
        <f t="shared" ref="B135" si="703">IF($A$134="Estimated Balance Due", MAX(0, SUM(B130:B131,-ABS(B132),-ABS(B133))-B129),
 IF($A$134="Estimated Refund (Overpayment)", MAX(0, B129-SUM(B130:B131,-ABS(B132),-ABS(B133))), 0))</f>
        <v>0</v>
      </c>
      <c r="C135" s="167">
        <f t="shared" ref="C135:H135" si="704">IF($A$134="Estimated Balance Due", MAX(0, SUM(C130:C131,-ABS(C132),-ABS(C133))-C129),
 IF($A$134="Estimated Refund (Overpayment)", MAX(0, C129-SUM(C130:C131,-ABS(C132),-ABS(C133))), 0))</f>
        <v>0</v>
      </c>
      <c r="D135" s="167">
        <f t="shared" si="704"/>
        <v>0</v>
      </c>
      <c r="E135" s="167">
        <f t="shared" si="704"/>
        <v>0</v>
      </c>
      <c r="F135" s="167">
        <f t="shared" si="704"/>
        <v>0</v>
      </c>
      <c r="G135" s="167">
        <f t="shared" si="704"/>
        <v>0</v>
      </c>
      <c r="H135" s="167">
        <f t="shared" si="704"/>
        <v>0</v>
      </c>
      <c r="I135" s="167">
        <f>IF($A$134="Estimated Balance Due", MAX(0, SUM(I130:I131,-ABS(I132),-ABS(I133))-I129),
 IF($A$134="Estimated Refund (Overpayment)", MAX(0, I129-SUM(I130:I131,-ABS(I132),-ABS(I133))), 0))</f>
        <v>0</v>
      </c>
      <c r="J135" s="167">
        <f>IF($A$134="Estimated Balance Due", MAX(0, SUM(J130:J131,-ABS(J132),-ABS(J133))-J129),
 IF($A$134="Estimated Refund (Overpayment)", MAX(0, J129-SUM(J130:J131,-ABS(J132),-ABS(J133))), 0))</f>
        <v>0</v>
      </c>
      <c r="O135" s="242" t="s">
        <v>434</v>
      </c>
      <c r="P135" s="246"/>
      <c r="Q135" s="242" t="s">
        <v>434</v>
      </c>
      <c r="R135" s="248"/>
    </row>
    <row r="136" spans="1:18" ht="15" customHeight="1" x14ac:dyDescent="0.25">
      <c r="A136" s="331" t="s">
        <v>84</v>
      </c>
      <c r="B136" s="164" cm="1">
        <f t="array" ref="B136">IFERROR(
    IF(OR($A137="[Select State]", $A137="Delete if no other States"),
        0,
        IF(OR($A137=B$3, $A137=B$5, $A137=B$7, $A137=B$9),
            INDEX(
                $AN$13:$VN$13,
                1,
                MATCH(
                    LEFT($A137, FIND(" Taxes", $A137) - 1),
                    $AN$1:$VG$1,
                    0
                ) + (COLUMN()-COLUMN($B137))
            ),
            0
        )
    ),
    0
)</f>
        <v>0</v>
      </c>
      <c r="C136" s="164" cm="1">
        <f t="array" ref="C136">IFERROR(
    IF(OR($A137="[Select State]", $A137="Delete if no other States"),
        0,
        IF(OR($A137=C$3, $A137=C$5, $A137=C$7, $A137=C$9),
            INDEX(
                $AN$13:$VN$13,
                1,
                MATCH(
                    LEFT($A137, FIND(" Taxes", $A137) - 1),
                    $AN$1:$VG$1,
                    0
                ) + (COLUMN()-COLUMN($B137))
            ),
            0
        )
    ),
    0
)</f>
        <v>0</v>
      </c>
      <c r="D136" s="164" cm="1">
        <f t="array" ref="D136">IFERROR(
    IF(OR($A137="[Select State]", $A137="Delete if no other States"),
        0,
        IF(OR($A137=D$3, $A137=D$5, $A137=D$7, $A137=D$9),
            INDEX(
                $AN$13:$VN$13,
                1,
                MATCH(
                    LEFT($A137, FIND(" Taxes", $A137) - 1),
                    $AN$1:$VG$1,
                    0
                ) + (COLUMN()-COLUMN($B137))
            ),
            0
        )
    ),
    0
)</f>
        <v>0</v>
      </c>
      <c r="E136" s="164" cm="1">
        <f t="array" ref="E136">IFERROR(
    IF(OR($A137="[Select State]", $A137="Delete if no other States"),
        0,
        IF(OR($A137=E$3, $A137=E$5, $A137=E$7, $A137=E$9),
            INDEX(
                $AN$13:$VN$13,
                1,
                MATCH(
                    LEFT($A137, FIND(" Taxes", $A137) - 1),
                    $AN$1:$VG$1,
                    0
                ) + (COLUMN()-COLUMN($B137))
            ),
            0
        )
    ),
    0
)</f>
        <v>0</v>
      </c>
      <c r="F136" s="164" cm="1">
        <f t="array" ref="F136">IFERROR(
    IF(OR($A137="[Select State]", $A137="Delete if no other States"),
        0,
        IF(OR($A137=F$3, $A137=F$5, $A137=F$7, $A137=F$9),
            INDEX(
                $AN$13:$VN$13,
                1,
                MATCH(
                    LEFT($A137, FIND(" Taxes", $A137) - 1),
                    $AN$1:$VG$1,
                    0
                ) + (COLUMN()-COLUMN($B137))
            ),
            0
        )
    ),
    0
)</f>
        <v>0</v>
      </c>
      <c r="G136" s="164" cm="1">
        <f t="array" ref="G136">IFERROR(
    IF(OR($A137="[Select State]", $A137="Delete if no other States"),
        0,
        IF(OR($A137=G$3, $A137=G$5, $A137=G$7, $A137=G$9),
            INDEX(
                $AN$13:$VN$13,
                1,
                MATCH(
                    LEFT($A137, FIND(" Taxes", $A137) - 1),
                    $AN$1:$VG$1,
                    0
                ) + (COLUMN()-COLUMN($B137))
            ),
            0
        )
    ),
    0
)</f>
        <v>0</v>
      </c>
      <c r="H136" s="164" cm="1">
        <f t="array" ref="H136">IFERROR(
    IF(OR($A137="[Select State]", $A137="Delete if no other States"),
        0,
        IF(OR($A137=H$3, $A137=H$5, $A137=H$7, $A137=H$9),
            INDEX(
                $AN$13:$VN$13,
                1,
                MATCH(
                    LEFT($A137, FIND(" Taxes", $A137) - 1),
                    $AN$1:$VG$1,
                    0
                ) + (COLUMN()-COLUMN($B137))
            ),
            0
        )
    ),
    0
)</f>
        <v>0</v>
      </c>
      <c r="I136" s="164" cm="1">
        <f t="array" ref="I136">IFERROR(
    IF(OR($A137="[Select State]", $A137="Delete if no other States"),
        0,
        IF(OR($A137=I$3, $A137=I$5, $A137=I$7, $A137=I$9),
            INDEX(
                $AN$13:$VN$13,
                1,
                MATCH(
                    LEFT($A137, FIND(" Taxes", $A137) - 1),
                    $AN$1:$VG$1,
                    0
                ) + (COLUMN()-COLUMN($B137))
            ),
            0
        )
    ),
    0
)</f>
        <v>0</v>
      </c>
      <c r="J136" s="164" cm="1">
        <f t="array" ref="J136">IFERROR(
    IF(OR($A137="[Select State]", $A137="Delete if no other States"),
        0,
        IF(OR($A137=J$3, $A137=J$5, $A137=J$7, $A137=J$9),
            INDEX(
                $AN$13:$VN$13,
                1,
                MATCH(
                    LEFT($A137, FIND(" Taxes", $A137) - 1),
                    $AN$1:$VG$1,
                    0
                ) + (COLUMN()-COLUMN($B137))
            ),
            0
        )
    ),
    0
)</f>
        <v>0</v>
      </c>
      <c r="K136" s="104"/>
      <c r="O136" s="243" t="s">
        <v>435</v>
      </c>
      <c r="P136" s="246"/>
      <c r="Q136" s="243" t="str">
        <f>O136</f>
        <v>Refund</v>
      </c>
      <c r="R136" s="248"/>
    </row>
    <row r="137" spans="1:18" ht="15" customHeight="1" x14ac:dyDescent="0.25">
      <c r="A137" s="99" t="str">
        <f>IF(AND(B5&lt;&gt;A107, B5&lt;&gt;A117, B5&lt;&gt;A127, B5&lt;&gt;"[Select State]"), B5,
 IF(AND(B7&lt;&gt;A107, B7&lt;&gt;A117, B7&lt;&gt;A127, B7&lt;&gt;"[Select State]"), B7,
  IF(AND(B9&lt;&gt;A107, B9&lt;&gt;A117, B9&lt;&gt;A127, B9&lt;&gt;"[Select State]"), B9,
   IF(AND(C3&lt;&gt;A107, C3&lt;&gt;A117, C3&lt;&gt;A127, C3&lt;&gt;"[Select State]"), C3,
    IF(AND(C5&lt;&gt;A107, C5&lt;&gt;A117, C5&lt;&gt;A127, C5&lt;&gt;"[Select State]"), C5,
     IF(AND(C7&lt;&gt;A107, C7&lt;&gt;A117, C7&lt;&gt;A127, C7&lt;&gt;"[Select State]"), C7,
      IF(AND(C9&lt;&gt;A107, C9&lt;&gt;A117, C9&lt;&gt;A127, C9&lt;&gt;"[Select State]"), C9,
       IF(AND(D3&lt;&gt;A107, D3&lt;&gt;A117, D3&lt;&gt;A127, D3&lt;&gt;"[Select State]"), D3,
        IF(AND(D5&lt;&gt;A107, D5&lt;&gt;A117, D5&lt;&gt;A127, D5&lt;&gt;"[Select State]"), D5,
         IF(AND(D7&lt;&gt;A107, D7&lt;&gt;A117, D7&lt;&gt;A127, D7&lt;&gt;"[Select State]"), D7,
          IF(AND(D9&lt;&gt;A107, D9&lt;&gt;A117, D9&lt;&gt;A127, D9&lt;&gt;"[Select State]"), D9,
           IF(AND(E3&lt;&gt;A107, E3&lt;&gt;A117, E3&lt;&gt;A127, E3&lt;&gt;"[Select State]"), E3,
            IF(AND(E5&lt;&gt;A107, E5&lt;&gt;A117, E5&lt;&gt;A127, E5&lt;&gt;"[Select State]"), E5,
             IF(AND(E7&lt;&gt;A107, E7&lt;&gt;A117, E7&lt;&gt;A127, E7&lt;&gt;"[Select State]"), E7,
              IF(AND(E9&lt;&gt;A107, E9&lt;&gt;A117, E9&lt;&gt;A127, E9&lt;&gt;"[Select State]"), E9,
               IF(AND(F3&lt;&gt;A107, F3&lt;&gt;A117, F3&lt;&gt;A127, F3&lt;&gt;"[Select State]"), F3,
                IF(AND(F5&lt;&gt;A107, F5&lt;&gt;A117, F5&lt;&gt;A127, F5&lt;&gt;"[Select State]"), F5,
                 IF(AND(F7&lt;&gt;A107, F7&lt;&gt;A117, F7&lt;&gt;A127, F7&lt;&gt;"[Select State]"), F7,
                  IF(AND(F9&lt;&gt;A107, F9&lt;&gt;A117, F9&lt;&gt;A127, F9&lt;&gt;"[Select State]"), F9,
                   IF(AND(G3&lt;&gt;A107, G3&lt;&gt;A117, G3&lt;&gt;A127, G3&lt;&gt;"[Select State]"), G3,
                    IF(AND(G5&lt;&gt;A107, G5&lt;&gt;A117, G5&lt;&gt;A127, G5&lt;&gt;"[Select State]"), G5,
                     IF(AND(G7&lt;&gt;A107, G7&lt;&gt;A117, G7&lt;&gt;A127, G7&lt;&gt;"[Select State]"), G7,
                      IF(AND(G9&lt;&gt;A107, G9&lt;&gt;A117, G9&lt;&gt;A127, G9&lt;&gt;"[Select State]"), G9,
                       IF(AND(H3&lt;&gt;A107, H3&lt;&gt;A117, H3&lt;&gt;A127, H3&lt;&gt;"[Select State]"), H3,
                        IF(AND(H5&lt;&gt;A107, H5&lt;&gt;A117, H5&lt;&gt;A127, H5&lt;&gt;"[Select State]"), H5,
                         IF(AND(H7&lt;&gt;A107, H7&lt;&gt;A117, H7&lt;&gt;A127, H7&lt;&gt;"[Select State]"), H7,
                          IF(AND(H9&lt;&gt;A107, H9&lt;&gt;A117, H9&lt;&gt;A127, H9&lt;&gt;"[Select State]"), H9,
                           IF(AND(I3&lt;&gt;A107, I3&lt;&gt;A117, I3&lt;&gt;A127, I3&lt;&gt;"[Select State]"), I3,
                            IF(AND(I5&lt;&gt;A107, I5&lt;&gt;A117, I5&lt;&gt;A127, I5&lt;&gt;"[Select State]"), I5,
                             IF(AND(I7&lt;&gt;A107, I7&lt;&gt;A117, I7&lt;&gt;A127, I7&lt;&gt;"[Select State]"), I7,
                              IF(AND(I9&lt;&gt;A107, I9&lt;&gt;A117, I9&lt;&gt;A127, I9&lt;&gt;"[Select State]"), I9, "Delete if no other states")
                             )
                            )
                           )
                          )
                         )
                        )
                       )
                      )
                     )
                    )
                   )
                  )
                 )
                )
               )
              )
             )
            )
           )
          )
         )
        )
       )
      )
     )
    )
   )
  )
 )
)</f>
        <v>Delete if no other states</v>
      </c>
      <c r="B137" s="165">
        <f t="shared" ref="B137:J137" si="705">IFERROR(
    IF(OR($A137="[Select State]", $A137="Delete if no other States"),
        0,
        IF(OR($A137=B$3, $A137=B$5, $A137=B$7, $A137=B$9),
            MAX(
                0,
                INDEX(
                    $AN$2:$VG$2,
                    1,
                    MATCH(
                        LEFT($A137, FIND(" Taxes", $A137) - 1),
                        $AN$1:$VG$1,
                        0
                    ) + (COLUMN()-COLUMN($B137))
                )
            ),
            0
        )
    ),
    0
)</f>
        <v>0</v>
      </c>
      <c r="C137" s="165">
        <f t="shared" si="705"/>
        <v>0</v>
      </c>
      <c r="D137" s="165">
        <f t="shared" si="705"/>
        <v>0</v>
      </c>
      <c r="E137" s="165">
        <f t="shared" si="705"/>
        <v>0</v>
      </c>
      <c r="F137" s="165">
        <f t="shared" si="705"/>
        <v>0</v>
      </c>
      <c r="G137" s="165">
        <f t="shared" si="705"/>
        <v>0</v>
      </c>
      <c r="H137" s="165">
        <f t="shared" si="705"/>
        <v>0</v>
      </c>
      <c r="I137" s="165">
        <f t="shared" si="705"/>
        <v>0</v>
      </c>
      <c r="J137" s="165">
        <f t="shared" si="705"/>
        <v>0</v>
      </c>
      <c r="O137" s="243" t="s">
        <v>237</v>
      </c>
      <c r="P137" s="246"/>
      <c r="Q137" s="243" t="str">
        <f t="shared" ref="Q137:Q138" si="706">O137</f>
        <v>HSA</v>
      </c>
      <c r="R137" s="248"/>
    </row>
    <row r="138" spans="1:18" ht="15" customHeight="1" x14ac:dyDescent="0.25">
      <c r="A138" s="55" t="s">
        <v>52</v>
      </c>
      <c r="B138" s="158"/>
      <c r="C138" s="158"/>
      <c r="D138" s="158"/>
      <c r="E138" s="158"/>
      <c r="F138" s="158"/>
      <c r="G138" s="158"/>
      <c r="H138" s="158"/>
      <c r="I138" s="158"/>
      <c r="J138" s="158"/>
      <c r="O138" s="243" t="s">
        <v>436</v>
      </c>
      <c r="P138" s="246"/>
      <c r="Q138" s="243" t="str">
        <f t="shared" si="706"/>
        <v>412(e)(3)</v>
      </c>
      <c r="R138" s="248"/>
    </row>
    <row r="139" spans="1:18" ht="15" customHeight="1" x14ac:dyDescent="0.25">
      <c r="A139" s="54" t="s">
        <v>93</v>
      </c>
      <c r="B139" s="166">
        <f>SUM(B137:B138)</f>
        <v>0</v>
      </c>
      <c r="C139" s="166">
        <f t="shared" ref="C139:H139" si="707">SUM(C137:C138)</f>
        <v>0</v>
      </c>
      <c r="D139" s="166">
        <f t="shared" si="707"/>
        <v>0</v>
      </c>
      <c r="E139" s="166">
        <f t="shared" si="707"/>
        <v>0</v>
      </c>
      <c r="F139" s="166">
        <f t="shared" si="707"/>
        <v>0</v>
      </c>
      <c r="G139" s="166">
        <f t="shared" si="707"/>
        <v>0</v>
      </c>
      <c r="H139" s="166">
        <f t="shared" si="707"/>
        <v>0</v>
      </c>
      <c r="I139" s="166">
        <f>SUM(I137:I138)</f>
        <v>0</v>
      </c>
      <c r="J139" s="166">
        <f>SUM(J137:J138)</f>
        <v>0</v>
      </c>
      <c r="O139" s="243" t="s">
        <v>431</v>
      </c>
      <c r="P139" s="246"/>
      <c r="Q139" s="243" t="str">
        <f>O139</f>
        <v>Foundation</v>
      </c>
      <c r="R139" s="248"/>
    </row>
    <row r="140" spans="1:18" ht="15" customHeight="1" x14ac:dyDescent="0.25">
      <c r="A140" s="55" t="s">
        <v>46</v>
      </c>
      <c r="B140" s="158"/>
      <c r="C140" s="158"/>
      <c r="D140" s="158"/>
      <c r="E140" s="158"/>
      <c r="F140" s="158"/>
      <c r="G140" s="158"/>
      <c r="H140" s="158"/>
      <c r="I140" s="158"/>
      <c r="J140" s="158"/>
      <c r="O140" s="243"/>
      <c r="P140" s="246"/>
      <c r="Q140" s="243" t="s">
        <v>437</v>
      </c>
      <c r="R140" s="248"/>
    </row>
    <row r="141" spans="1:18" ht="15" customHeight="1" x14ac:dyDescent="0.25">
      <c r="A141" s="55" t="s">
        <v>53</v>
      </c>
      <c r="B141" s="158"/>
      <c r="C141" s="158"/>
      <c r="D141" s="158"/>
      <c r="E141" s="158"/>
      <c r="F141" s="158"/>
      <c r="G141" s="158"/>
      <c r="H141" s="158"/>
      <c r="I141" s="158"/>
      <c r="J141" s="158"/>
      <c r="O141" s="243"/>
      <c r="P141" s="246"/>
      <c r="Q141" s="243"/>
      <c r="R141" s="248"/>
    </row>
    <row r="142" spans="1:18" ht="15" customHeight="1" x14ac:dyDescent="0.25">
      <c r="A142" s="55" t="s">
        <v>32</v>
      </c>
      <c r="B142" s="158"/>
      <c r="C142" s="158"/>
      <c r="D142" s="158"/>
      <c r="E142" s="158"/>
      <c r="F142" s="158"/>
      <c r="G142" s="158"/>
      <c r="H142" s="158"/>
      <c r="I142" s="158"/>
      <c r="J142" s="158"/>
      <c r="O142" s="243"/>
      <c r="P142" s="246"/>
      <c r="Q142" s="243"/>
      <c r="R142" s="248"/>
    </row>
    <row r="143" spans="1:18" ht="15" customHeight="1" x14ac:dyDescent="0.25">
      <c r="A143" s="55" t="s">
        <v>49</v>
      </c>
      <c r="B143" s="158"/>
      <c r="C143" s="158"/>
      <c r="D143" s="158"/>
      <c r="E143" s="158"/>
      <c r="F143" s="158"/>
      <c r="G143" s="158"/>
      <c r="H143" s="158"/>
      <c r="I143" s="158"/>
      <c r="J143" s="158"/>
      <c r="O143" s="242" t="s">
        <v>438</v>
      </c>
      <c r="P143" s="166">
        <f>SUM(P136:P142)</f>
        <v>0</v>
      </c>
      <c r="Q143" s="242" t="s">
        <v>438</v>
      </c>
      <c r="R143" s="166">
        <f>SUM(R136:R142)</f>
        <v>0</v>
      </c>
    </row>
    <row r="144" spans="1:18" ht="15.75" customHeight="1" x14ac:dyDescent="0.25">
      <c r="A144" s="53" t="s">
        <v>341</v>
      </c>
      <c r="B144" s="159">
        <f t="shared" ref="B144" si="708">IF($A$144="Estimated Balance Due", MAX(0, B139-SUM(B140:B141,-ABS(B142),-ABS(B143))),
 IF($A$144="Estimated Refund (Overpayment)", MAX(0, SUM(B140:B141,-ABS(B142),-ABS(B143))-B139), 0))</f>
        <v>0</v>
      </c>
      <c r="C144" s="159">
        <f t="shared" ref="C144:H144" si="709">IF($A$144="Estimated Balance Due", MAX(0, C139-SUM(C140:C141,-ABS(C142),-ABS(C143))),
 IF($A$144="Estimated Refund (Overpayment)", MAX(0, SUM(C140:C141,-ABS(C142),-ABS(C143))-C139), 0))</f>
        <v>0</v>
      </c>
      <c r="D144" s="159">
        <f t="shared" si="709"/>
        <v>0</v>
      </c>
      <c r="E144" s="159">
        <f t="shared" si="709"/>
        <v>0</v>
      </c>
      <c r="F144" s="159">
        <f t="shared" si="709"/>
        <v>0</v>
      </c>
      <c r="G144" s="159">
        <f t="shared" si="709"/>
        <v>0</v>
      </c>
      <c r="H144" s="159">
        <f t="shared" si="709"/>
        <v>0</v>
      </c>
      <c r="I144" s="159">
        <f>IF($A$144="Estimated Balance Due", MAX(0, I139-SUM(I140:I141,-ABS(I142),-ABS(I143))),
 IF($A$144="Estimated Refund (Overpayment)", MAX(0, SUM(I140:I141,-ABS(I142),-ABS(I143))-I139), 0))</f>
        <v>0</v>
      </c>
      <c r="J144" s="159">
        <f>IF($A$144="Estimated Balance Due", MAX(0, J139-SUM(J140:J141,-ABS(J142),-ABS(J143))),
 IF($A$144="Estimated Refund (Overpayment)", MAX(0, SUM(J140:J141,-ABS(J142),-ABS(J143))-J139), 0))</f>
        <v>0</v>
      </c>
      <c r="O144" s="10"/>
      <c r="P144" s="246"/>
      <c r="Q144" s="10"/>
      <c r="R144" s="248"/>
    </row>
    <row r="145" spans="1:31" ht="15.75" thickBot="1" x14ac:dyDescent="0.3">
      <c r="A145" s="53" t="s">
        <v>342</v>
      </c>
      <c r="B145" s="159">
        <f t="shared" ref="B145" si="710">IF($A$144="Estimated Balance Due", MAX(0, SUM(B140:B141,-ABS(B142),-ABS(B143))-B139),
 IF($A$144="Estimated Refund (Overpayment)", MAX(0, B139-SUM(B140:B141,-ABS(B142),-ABS(B143))), 0))</f>
        <v>0</v>
      </c>
      <c r="C145" s="159">
        <f t="shared" ref="C145:H145" si="711">IF($A$144="Estimated Balance Due", MAX(0, SUM(C140:C141,-ABS(C142),-ABS(C143))-C139),
 IF($A$144="Estimated Refund (Overpayment)", MAX(0, C139-SUM(C140:C141,-ABS(C142),-ABS(C143))), 0))</f>
        <v>0</v>
      </c>
      <c r="D145" s="159">
        <f t="shared" si="711"/>
        <v>0</v>
      </c>
      <c r="E145" s="159">
        <f t="shared" si="711"/>
        <v>0</v>
      </c>
      <c r="F145" s="159">
        <f t="shared" si="711"/>
        <v>0</v>
      </c>
      <c r="G145" s="159">
        <f t="shared" si="711"/>
        <v>0</v>
      </c>
      <c r="H145" s="159">
        <f t="shared" si="711"/>
        <v>0</v>
      </c>
      <c r="I145" s="159">
        <f>IF($A$144="Estimated Balance Due", MAX(0, SUM(I140:I141,-ABS(I142),-ABS(I143))-I139),
 IF($A$144="Estimated Refund (Overpayment)", MAX(0, I139-SUM(I140:I141,-ABS(I142),-ABS(I143))), 0))</f>
        <v>0</v>
      </c>
      <c r="J145" s="159">
        <f>IF($A$144="Estimated Balance Due", MAX(0, SUM(J140:J141,-ABS(J142),-ABS(J143))-J139),
 IF($A$144="Estimated Refund (Overpayment)", MAX(0, J139-SUM(J140:J141,-ABS(J142),-ABS(J143))), 0))</f>
        <v>0</v>
      </c>
      <c r="O145" s="10"/>
      <c r="P145" s="246"/>
      <c r="Q145" s="10"/>
      <c r="R145" s="248"/>
    </row>
    <row r="146" spans="1:31" ht="16.5" thickBot="1" x14ac:dyDescent="0.3">
      <c r="A146" s="332" t="s">
        <v>93</v>
      </c>
      <c r="B146" s="168">
        <f>B107+B117+B127+B137+SUM(B103:B104)+B92</f>
        <v>0</v>
      </c>
      <c r="C146" s="168">
        <f t="shared" ref="C146:H146" si="712">C107+C117+C127+C137+SUM(C103:C104)+C92</f>
        <v>0</v>
      </c>
      <c r="D146" s="168">
        <f t="shared" si="712"/>
        <v>0</v>
      </c>
      <c r="E146" s="168">
        <f t="shared" si="712"/>
        <v>0</v>
      </c>
      <c r="F146" s="168">
        <f t="shared" si="712"/>
        <v>0</v>
      </c>
      <c r="G146" s="168">
        <f t="shared" si="712"/>
        <v>0</v>
      </c>
      <c r="H146" s="168">
        <f t="shared" si="712"/>
        <v>0</v>
      </c>
      <c r="I146" s="168">
        <f>I107+I117+I127+I137+SUM(I103:I104)+I92</f>
        <v>0</v>
      </c>
      <c r="J146" s="168" t="e">
        <f>J107+J117+J127+J137+SUM(J103:J104)+J92</f>
        <v>#VALUE!</v>
      </c>
      <c r="O146" s="244" t="s">
        <v>439</v>
      </c>
      <c r="P146" s="250">
        <f>P143-P133</f>
        <v>0</v>
      </c>
      <c r="Q146" s="244" t="s">
        <v>439</v>
      </c>
      <c r="R146" s="251">
        <f>R143-R133</f>
        <v>0</v>
      </c>
      <c r="V146" s="288" t="s">
        <v>508</v>
      </c>
      <c r="W146" s="288" t="s">
        <v>509</v>
      </c>
      <c r="X146" s="288" t="s">
        <v>510</v>
      </c>
      <c r="Y146" s="288" t="s">
        <v>511</v>
      </c>
      <c r="Z146" s="288" t="s">
        <v>512</v>
      </c>
      <c r="AA146" s="288" t="s">
        <v>513</v>
      </c>
      <c r="AB146" s="288" t="s">
        <v>514</v>
      </c>
      <c r="AC146" s="288" t="s">
        <v>515</v>
      </c>
      <c r="AD146" s="288" t="s">
        <v>516</v>
      </c>
      <c r="AE146" s="288" t="s">
        <v>517</v>
      </c>
    </row>
    <row r="147" spans="1:31" ht="16.5" thickBot="1" x14ac:dyDescent="0.3">
      <c r="A147" s="24"/>
      <c r="B147" s="24"/>
      <c r="C147" s="24"/>
      <c r="D147" s="24"/>
      <c r="E147" s="24"/>
      <c r="F147" s="24"/>
      <c r="G147" s="24"/>
      <c r="H147" s="24"/>
      <c r="I147" s="24"/>
      <c r="J147" s="24"/>
      <c r="O147" s="244" t="s">
        <v>440</v>
      </c>
      <c r="P147" s="251">
        <f>P146-P139</f>
        <v>0</v>
      </c>
      <c r="Q147" s="244" t="s">
        <v>440</v>
      </c>
      <c r="R147" s="251">
        <f>R146-R139</f>
        <v>0</v>
      </c>
    </row>
    <row r="148" spans="1:31" x14ac:dyDescent="0.25">
      <c r="A148" s="25" t="s">
        <v>54</v>
      </c>
      <c r="B148" s="26"/>
      <c r="C148" s="26">
        <f>B146-C146</f>
        <v>0</v>
      </c>
      <c r="D148" s="26"/>
      <c r="E148" s="26"/>
      <c r="F148" s="26"/>
      <c r="G148" s="27">
        <f>D146-F146</f>
        <v>0</v>
      </c>
      <c r="H148" s="28" t="s">
        <v>55</v>
      </c>
      <c r="I148" s="29">
        <f>D146-G146</f>
        <v>0</v>
      </c>
      <c r="J148" s="29" t="e">
        <f>B146-J146</f>
        <v>#VALUE!</v>
      </c>
    </row>
    <row r="150" spans="1:31" x14ac:dyDescent="0.25">
      <c r="A150" s="44" t="s">
        <v>411</v>
      </c>
      <c r="B150" s="20"/>
      <c r="C150" s="34" t="e">
        <f>H179</f>
        <v>#VALUE!</v>
      </c>
      <c r="G150" s="20" t="e">
        <f>H205</f>
        <v>#VALUE!</v>
      </c>
      <c r="H150" s="36" t="s">
        <v>55</v>
      </c>
      <c r="I150" s="20" t="e">
        <f>H230</f>
        <v>#VALUE!</v>
      </c>
      <c r="J150" s="20" t="e">
        <f>H259</f>
        <v>#VALUE!</v>
      </c>
    </row>
    <row r="151" spans="1:31" ht="15.75" customHeight="1" x14ac:dyDescent="0.25">
      <c r="B151" s="5"/>
      <c r="F151" s="50"/>
      <c r="G151" s="45"/>
    </row>
    <row r="152" spans="1:31" ht="30" customHeight="1" x14ac:dyDescent="0.25">
      <c r="A152" s="334" t="s">
        <v>77</v>
      </c>
      <c r="B152" s="334"/>
      <c r="C152" s="334"/>
      <c r="D152" s="334"/>
      <c r="E152" s="334"/>
      <c r="F152" s="334"/>
      <c r="G152" s="334"/>
      <c r="H152" s="334"/>
      <c r="I152" s="334"/>
    </row>
    <row r="154" spans="1:31" ht="15.75" thickBot="1" x14ac:dyDescent="0.3">
      <c r="B154" s="214" t="s">
        <v>102</v>
      </c>
    </row>
    <row r="155" spans="1:31" ht="15.75" thickBot="1" x14ac:dyDescent="0.3">
      <c r="B155" s="214" t="s">
        <v>103</v>
      </c>
      <c r="P155" s="171"/>
      <c r="Y155" s="109" t="s">
        <v>247</v>
      </c>
      <c r="Z155" s="109" t="s">
        <v>247</v>
      </c>
      <c r="AA155" s="109" t="s">
        <v>247</v>
      </c>
      <c r="AB155" s="109" t="s">
        <v>247</v>
      </c>
      <c r="AC155" s="109" t="s">
        <v>247</v>
      </c>
    </row>
    <row r="156" spans="1:31" x14ac:dyDescent="0.25">
      <c r="B156" s="214" t="s">
        <v>105</v>
      </c>
      <c r="P156" s="171"/>
      <c r="Q156" s="1" t="s">
        <v>229</v>
      </c>
      <c r="R156" s="1"/>
      <c r="S156" s="1"/>
      <c r="T156" s="1" t="s">
        <v>221</v>
      </c>
      <c r="U156" s="1"/>
      <c r="V156" s="1"/>
      <c r="W156" s="43" t="s">
        <v>248</v>
      </c>
      <c r="X156" s="43"/>
      <c r="Y156" s="110" t="s">
        <v>81</v>
      </c>
      <c r="Z156" s="110" t="s">
        <v>81</v>
      </c>
      <c r="AA156" s="110" t="s">
        <v>81</v>
      </c>
      <c r="AB156" s="110" t="s">
        <v>81</v>
      </c>
      <c r="AC156" s="110" t="s">
        <v>81</v>
      </c>
    </row>
    <row r="157" spans="1:31" ht="15.75" thickBot="1" x14ac:dyDescent="0.3">
      <c r="B157" s="214" t="s">
        <v>106</v>
      </c>
      <c r="R157" s="81" t="s">
        <v>82</v>
      </c>
      <c r="U157" s="81" t="s">
        <v>67</v>
      </c>
      <c r="W157" s="43" t="s">
        <v>249</v>
      </c>
      <c r="X157" s="43"/>
      <c r="Y157" s="111" t="s">
        <v>82</v>
      </c>
      <c r="Z157" s="111" t="s">
        <v>82</v>
      </c>
      <c r="AA157" s="111" t="s">
        <v>82</v>
      </c>
      <c r="AB157" s="111" t="s">
        <v>82</v>
      </c>
      <c r="AC157" s="111" t="s">
        <v>82</v>
      </c>
    </row>
    <row r="158" spans="1:31" ht="15.75" thickBot="1" x14ac:dyDescent="0.3">
      <c r="B158" s="214" t="s">
        <v>107</v>
      </c>
    </row>
    <row r="159" spans="1:31" ht="15.75" thickBot="1" x14ac:dyDescent="0.3">
      <c r="B159" s="214" t="s">
        <v>108</v>
      </c>
      <c r="D159" s="30" t="s">
        <v>57</v>
      </c>
      <c r="E159" s="31" t="s">
        <v>58</v>
      </c>
      <c r="F159" s="31" t="s">
        <v>59</v>
      </c>
      <c r="G159" s="31" t="s">
        <v>60</v>
      </c>
      <c r="H159" s="31" t="s">
        <v>70</v>
      </c>
      <c r="I159" s="48" t="str">
        <f>B23</f>
        <v/>
      </c>
      <c r="P159" s="94"/>
      <c r="Q159" s="95"/>
      <c r="R159" s="95"/>
      <c r="S159" s="95"/>
      <c r="T159" s="95"/>
      <c r="U159" s="95"/>
      <c r="V159" s="95"/>
      <c r="W159" s="113"/>
      <c r="X159" s="113"/>
      <c r="Y159" s="113"/>
      <c r="Z159" s="112"/>
      <c r="AA159" s="112"/>
      <c r="AB159" s="112"/>
      <c r="AC159" s="85"/>
    </row>
    <row r="160" spans="1:31" ht="15.75" thickBot="1" x14ac:dyDescent="0.3">
      <c r="B160" s="214" t="s">
        <v>109</v>
      </c>
      <c r="D160" s="32">
        <v>1</v>
      </c>
      <c r="E160" s="33">
        <v>7.6399999999999996E-2</v>
      </c>
      <c r="F160" s="34">
        <f>C148</f>
        <v>0</v>
      </c>
      <c r="G160" t="e">
        <f t="shared" ref="G160:G179" si="713">(F160*E160)*(1-$I$159)</f>
        <v>#VALUE!</v>
      </c>
      <c r="H160" s="34" t="e">
        <f t="shared" ref="H160:H178" si="714">F160+G160</f>
        <v>#VALUE!</v>
      </c>
      <c r="M160" s="1"/>
      <c r="P160" s="91" t="s">
        <v>85</v>
      </c>
      <c r="Q160" s="91" t="s">
        <v>86</v>
      </c>
      <c r="R160" s="91" t="s">
        <v>87</v>
      </c>
      <c r="S160" s="91" t="s">
        <v>88</v>
      </c>
      <c r="T160" s="91" t="s">
        <v>89</v>
      </c>
      <c r="U160" s="91" t="s">
        <v>90</v>
      </c>
      <c r="V160" s="91" t="s">
        <v>91</v>
      </c>
      <c r="W160" s="91" t="s">
        <v>92</v>
      </c>
      <c r="X160" s="91" t="s">
        <v>518</v>
      </c>
      <c r="Y160" s="109" t="s">
        <v>247</v>
      </c>
      <c r="Z160" s="109" t="s">
        <v>247</v>
      </c>
      <c r="AA160" s="109" t="s">
        <v>247</v>
      </c>
      <c r="AB160" s="109" t="s">
        <v>247</v>
      </c>
      <c r="AC160" s="109" t="s">
        <v>247</v>
      </c>
    </row>
    <row r="161" spans="2:45" ht="15.75" thickBot="1" x14ac:dyDescent="0.3">
      <c r="B161" s="214" t="s">
        <v>110</v>
      </c>
      <c r="D161" s="32">
        <v>2</v>
      </c>
      <c r="E161" s="33">
        <f t="shared" ref="E161:E179" si="715">E160</f>
        <v>7.6399999999999996E-2</v>
      </c>
      <c r="F161" s="34" t="e">
        <f>$C$148+H160</f>
        <v>#VALUE!</v>
      </c>
      <c r="G161" t="e">
        <f t="shared" si="713"/>
        <v>#VALUE!</v>
      </c>
      <c r="H161" s="34" t="e">
        <f t="shared" si="714"/>
        <v>#VALUE!</v>
      </c>
      <c r="P161" s="96"/>
      <c r="Q161" s="96"/>
      <c r="R161" s="96"/>
      <c r="S161" s="96"/>
      <c r="T161" s="96"/>
      <c r="U161" s="96"/>
      <c r="V161" s="96"/>
      <c r="W161" s="96"/>
      <c r="X161" s="96"/>
      <c r="Y161" s="96"/>
      <c r="Z161" s="96"/>
      <c r="AA161" s="96"/>
      <c r="AB161" s="96"/>
      <c r="AC161" s="96"/>
    </row>
    <row r="162" spans="2:45" ht="15.75" thickBot="1" x14ac:dyDescent="0.3">
      <c r="B162" s="214" t="s">
        <v>111</v>
      </c>
      <c r="D162" s="32">
        <v>3</v>
      </c>
      <c r="E162" s="33">
        <f t="shared" si="715"/>
        <v>7.6399999999999996E-2</v>
      </c>
      <c r="F162" s="34" t="e">
        <f t="shared" ref="F162:F179" si="716">$C$148+H161</f>
        <v>#VALUE!</v>
      </c>
      <c r="G162" t="e">
        <f t="shared" si="713"/>
        <v>#VALUE!</v>
      </c>
      <c r="H162" s="34" t="e">
        <f t="shared" si="714"/>
        <v>#VALUE!</v>
      </c>
      <c r="P162" s="254" t="s">
        <v>410</v>
      </c>
      <c r="Q162" s="254" t="s">
        <v>410</v>
      </c>
      <c r="R162" s="254" t="s">
        <v>410</v>
      </c>
      <c r="S162" s="254" t="s">
        <v>410</v>
      </c>
      <c r="T162" s="254" t="s">
        <v>410</v>
      </c>
      <c r="U162" s="254" t="s">
        <v>410</v>
      </c>
      <c r="V162" s="254" t="s">
        <v>410</v>
      </c>
      <c r="W162" s="254" t="s">
        <v>410</v>
      </c>
      <c r="X162" s="254" t="s">
        <v>410</v>
      </c>
      <c r="Y162" s="254" t="s">
        <v>410</v>
      </c>
      <c r="Z162" s="254" t="s">
        <v>410</v>
      </c>
      <c r="AA162" s="254" t="s">
        <v>410</v>
      </c>
      <c r="AB162" s="254" t="s">
        <v>410</v>
      </c>
      <c r="AC162" s="254" t="s">
        <v>410</v>
      </c>
      <c r="AE162" s="90" t="s">
        <v>234</v>
      </c>
      <c r="AF162" s="91" t="s">
        <v>85</v>
      </c>
      <c r="AG162" s="91" t="s">
        <v>86</v>
      </c>
      <c r="AH162" s="91" t="s">
        <v>87</v>
      </c>
      <c r="AI162" s="91" t="s">
        <v>88</v>
      </c>
      <c r="AJ162" s="91" t="s">
        <v>89</v>
      </c>
      <c r="AK162" s="91" t="s">
        <v>90</v>
      </c>
      <c r="AL162" s="91" t="s">
        <v>91</v>
      </c>
      <c r="AM162" s="91" t="s">
        <v>92</v>
      </c>
      <c r="AN162" s="91" t="s">
        <v>518</v>
      </c>
      <c r="AO162" s="109" t="s">
        <v>247</v>
      </c>
      <c r="AP162" s="109" t="s">
        <v>247</v>
      </c>
      <c r="AQ162" s="109" t="s">
        <v>247</v>
      </c>
      <c r="AR162" s="109" t="s">
        <v>247</v>
      </c>
      <c r="AS162" s="109" t="s">
        <v>247</v>
      </c>
    </row>
    <row r="163" spans="2:45" x14ac:dyDescent="0.25">
      <c r="B163" s="214" t="s">
        <v>112</v>
      </c>
      <c r="D163" s="32">
        <v>4</v>
      </c>
      <c r="E163" s="33">
        <f t="shared" si="715"/>
        <v>7.6399999999999996E-2</v>
      </c>
      <c r="F163" s="34" t="e">
        <f t="shared" si="716"/>
        <v>#VALUE!</v>
      </c>
      <c r="G163" t="e">
        <f t="shared" si="713"/>
        <v>#VALUE!</v>
      </c>
      <c r="H163" s="34" t="e">
        <f t="shared" si="714"/>
        <v>#VALUE!</v>
      </c>
      <c r="P163" s="256" t="s">
        <v>344</v>
      </c>
      <c r="Q163" s="256" t="s">
        <v>344</v>
      </c>
      <c r="R163" s="256" t="s">
        <v>344</v>
      </c>
      <c r="S163" s="256" t="s">
        <v>344</v>
      </c>
      <c r="T163" s="256" t="s">
        <v>344</v>
      </c>
      <c r="U163" s="256" t="s">
        <v>344</v>
      </c>
      <c r="V163" s="256" t="s">
        <v>344</v>
      </c>
      <c r="W163" s="256" t="s">
        <v>344</v>
      </c>
      <c r="X163" s="256" t="s">
        <v>344</v>
      </c>
      <c r="Y163" s="256" t="s">
        <v>344</v>
      </c>
      <c r="Z163" s="256" t="s">
        <v>344</v>
      </c>
      <c r="AA163" s="256" t="s">
        <v>344</v>
      </c>
      <c r="AB163" s="256" t="s">
        <v>344</v>
      </c>
      <c r="AC163" s="256" t="s">
        <v>344</v>
      </c>
      <c r="AE163" s="92">
        <v>2022</v>
      </c>
      <c r="AF163" s="93">
        <f t="shared" ref="AF163:AN163" si="717">IF(AND(B$1=2022, B$2="MFJ", $R$157="-"),
    IF(P164&lt;13000, 0,
        IF(P164&lt;33550, 0.1*(P164-13000),
            IF(P164&lt;96550, 2055+0.12*(P164-33550),
                IF(P164&lt;191150, 9615+0.22*(P164-96550),
                    IF(P164&lt;353100, 30427+0.24*(P164-191150),
                        IF(P164&lt;444900, 69295+0.32*(P164-353100),
                            IF(P164&lt;660850, 98671+0.35*(P164-444900),
                                174253.5+0.37*(P164-660850)
                            )
                        )
                    )
                )
            )
        )
    ),
    IF(OR(AND(B$1=2022, B$2="Single", $R$157="-"), AND(B$1=2022, B$2="MFS", $R$157="-")),
        IF(P164&lt;4350, 0,
            IF(P164&lt;14625, 0.1*(P164-4350),
                IF(P164&lt;46125, 1027.5+0.12*(P164-14625),
                    IF(P164&lt;93425, 4807.5+0.22*(P164-46125),
                        IF(P164&lt;174400, 15213.5+0.24*(P164-93425),
                            IF(P164&lt;220300, 34647.5+0.32*(P164-174400),
                                IF(P164&lt;544250, 49335.5+0.35*(P164-220300),
                                    162718+0.37*(P164-544250)
                                )
                            )
                        )
                    )
                )
            )
        ),
        IF(AND(B$1=2022, B$2="HOH", $R$157="-"),
            IF(P164&lt;10800, 0,
                IF(P164&lt;25450, 0.1*(P164-10800),
                    IF(P164&lt;66700, 1465+0.12*(P164-25450),
                        IF(P164&lt;99850, 6415+0.22*(P164-66700),
                            IF(P164&lt;180850, 13708+0.24*(P164-99850),
                                IF(P164&lt;226750, 33148+0.32*(P164-180850),
                                    IF(P164&lt;550700, 47836+0.35*(P164-226750),
                                        161218.5+0.37*(P164-550700)
                                    )
                                )
                            )
                        )
                    )
                )
            ),
            IF(AND(B$1=2022, B$2="MFJ", $R$157="X"),
                IF(P164&lt;12950, 0,
                    IF(P164&lt;23225, 0.1*(P164-12950),
                        IF(P164&lt;54725, 1027.5+0.12*(P164-23225),
                            IF(P164&lt;102025, 4807.5+0.22*(P164-54725),
                                IF(P164&lt;183000, 15213.5+0.24*(P164-102025),
                                    IF(P164&lt;228900, 34647.5+0.32*(P164-183000),
                                        IF(P164&lt;336875, 49335.5+0.35*(P164-228900),
                                            87126.75+0.37*(P164-336875)
                                        )
                                    )
                                )
                            )
                        )
                    )
                ),
                IF(OR(AND(B$1=2022, B$2="Single", $R$157="X"), AND(B$1=2022, B$2="MFS", $R$157="X")),
                    IF(P164&lt;6475, 0,
                        IF(P164&lt;11613, 0.1*(P164-6475),
                            IF(P164&lt;27363, 513.75+0.12*(P164-11613),
                                IF(P164&lt;51013, 2403.75+0.22*(P164-27363),
                                    IF(P164&lt;91500, 7606.75+0.24*(P164-51013),
                                        IF(P164&lt;114450, 17323.75+0.32*(P164-91500),
                                            IF(P164&lt;276425, 24667.75+0.35*(P164-114450),
                                                81359+0.37*(P164-276425)
                                            )
                                        )
                                    )
                                )
                            )
                        )
                    ),
                    IF(AND(B$1=2022, B$2="HOH", $R$157="X"),
                        IF(P164&lt;9700, 0,
                            IF(P164&lt;17025, 0.1*(P164-9700),
                                IF(P164&lt;37650, 732.5+0.12*(P164-17025),
                                    IF(P164&lt;54225, 3207.5+0.22*(P164-37650),
                                        IF(P164&lt;94725, 6854+0.24*(P164-54225),
                                            IF(P164&lt;117675, 16574+0.32*(P164-94725),
                                                IF(P164&lt;279650, 23918+0.35*(P164-117675),
                                                    80609.25+0.37*(P164-279650)
                                                )
                                            )
                                        )
                                    )
                                )
                            )
                        ),
                        0
                    )
                )
            )
        )
    )
)</f>
        <v>0</v>
      </c>
      <c r="AG163" s="93">
        <f t="shared" si="717"/>
        <v>0</v>
      </c>
      <c r="AH163" s="93">
        <f t="shared" si="717"/>
        <v>0</v>
      </c>
      <c r="AI163" s="93">
        <f t="shared" si="717"/>
        <v>0</v>
      </c>
      <c r="AJ163" s="93">
        <f t="shared" si="717"/>
        <v>0</v>
      </c>
      <c r="AK163" s="93">
        <f t="shared" si="717"/>
        <v>0</v>
      </c>
      <c r="AL163" s="93">
        <f t="shared" si="717"/>
        <v>0</v>
      </c>
      <c r="AM163" s="93">
        <f t="shared" si="717"/>
        <v>0</v>
      </c>
      <c r="AN163" s="93">
        <f t="shared" si="717"/>
        <v>0</v>
      </c>
      <c r="AO163" s="93">
        <f>IF(AND(Y$156=2022, Y$157="MFJ", $R$157="-"),
    IF(Y164&lt;13000, 0,
        IF(Y164&lt;33550, 0.1*(Y164-13000),
            IF(Y164&lt;96550, 2055+0.12*(Y164-33550),
                IF(Y164&lt;191150, 9615+0.22*(Y164-96550),
                    IF(Y164&lt;353100, 30427+0.24*(Y164-191150),
                        IF(Y164&lt;444900, 69295+0.32*(Y164-353100),
                            IF(Y164&lt;660850, 98671+0.35*(Y164-444900),
                                174253.5+0.37*(Y164-660850)
                            )
                        )
                    )
                )
            )
        )
    ),
    IF(OR(AND(Y$156=2022, Y$157="Single", $R$157="-"), AND(Y$156=2022, Y$157="MFS", $R$157="-")),
        IF(Y164&lt;4350, 0,
            IF(Y164&lt;14625, 0.1*(Y164-4350),
                IF(Y164&lt;46125, 1027.5+0.12*(Y164-14625),
                    IF(Y164&lt;93425, 4807.5+0.22*(Y164-46125),
                        IF(Y164&lt;174400, 15213.5+0.24*(Y164-93425),
                            IF(Y164&lt;220300, 34647.5+0.32*(Y164-174400),
                                IF(Y164&lt;544250, 49335.5+0.35*(Y164-220300),
                                    162718+0.37*(Y164-544250)
                                )
                            )
                        )
                    )
                )
            )
        ),
        IF(AND(Y$156=2022, Y$157="HOH", $R$157="-"),
            IF(Y164&lt;10800, 0,
                IF(Y164&lt;25450, 0.1*(Y164-10800),
                    IF(Y164&lt;66700, 1465+0.12*(Y164-25450),
                        IF(Y164&lt;99850, 6415+0.22*(Y164-66700),
                            IF(Y164&lt;180850, 13708+0.24*(Y164-99850),
                                IF(Y164&lt;226750, 33148+0.32*(Y164-180850),
                                    IF(Y164&lt;550700, 47836+0.35*(Y164-226750),
                                        161218.5+0.37*(Y164-550700)
                                    )
                                )
                            )
                        )
                    )
                )
            ),
            IF(AND(Y$156=2022, Y$157="MFJ", $R$157="X"),
                IF(Y164&lt;12950, 0,
                    IF(Y164&lt;23225, 0.1*(Y164-12950),
                        IF(Y164&lt;54725, 1027.5+0.12*(Y164-23225),
                            IF(Y164&lt;102025, 4807.5+0.22*(Y164-54725),
                                IF(Y164&lt;183000, 15213.5+0.24*(Y164-102025),
                                    IF(Y164&lt;228900, 34647.5+0.32*(Y164-183000),
                                        IF(Y164&lt;336875, 49335.5+0.35*(Y164-228900),
                                            87126.75+0.37*(Y164-336875)
                                        )
                                    )
                                )
                            )
                        )
                    )
                ),
                IF(OR(AND(Y$156=2022, Y$157="Single", $R$157="X"), AND(Y$156=2022, Y$157="MFS", $R$157="X")),
                    IF(Y164&lt;6475, 0,
                        IF(Y164&lt;11613, 0.1*(Y164-6475),
                            IF(Y164&lt;27363, 513.75+0.12*(Y164-11613),
                                IF(Y164&lt;51013, 2403.75+0.22*(Y164-27363),
                                    IF(Y164&lt;91500, 7606.75+0.24*(Y164-51013),
                                        IF(Y164&lt;114450, 17323.75+0.32*(Y164-91500),
                                            IF(Y164&lt;276425, 24667.75+0.35*(Y164-114450),
                                                81359+0.37*(Y164-276425)
                                            )
                                        )
                                    )
                                )
                            )
                        )
                    ),
                    IF(AND(Y$156=2022, Y$157="HOH", $R$157="X"),
                        IF(Y164&lt;9700, 0,
                            IF(Y164&lt;17025, 0.1*(Y164-9700),
                                IF(Y164&lt;37650, 732.5+0.12*(Y164-17025),
                                    IF(Y164&lt;54225, 3207.5+0.22*(Y164-37650),
                                        IF(Y164&lt;94725, 6854+0.24*(Y164-54225),
                                            IF(Y164&lt;117675, 16574+0.32*(Y164-94725),
                                                IF(Y164&lt;279650, 23918+0.35*(Y164-117675),
                                                    80609.25+0.37*(Y164-279650)
                                                )
                                            )
                                        )
                                    )
                                )
                            )
                        ),
                        0
                    )
                )
            )
        )
    )
)</f>
        <v>0</v>
      </c>
      <c r="AP163" s="93">
        <f>IF(AND(Z$156=2022, Z$157="MFJ", $R$157="-"),
    IF(Z164&lt;13000, 0,
        IF(Z164&lt;33550, 0.1*(Z164-13000),
            IF(Z164&lt;96550, 2055+0.12*(Z164-33550),
                IF(Z164&lt;191150, 9615+0.22*(Z164-96550),
                    IF(Z164&lt;353100, 30427+0.24*(Z164-191150),
                        IF(Z164&lt;444900, 69295+0.32*(Z164-353100),
                            IF(Z164&lt;660850, 98671+0.35*(Z164-444900),
                                174253.5+0.37*(Z164-660850)
                            )
                        )
                    )
                )
            )
        )
    ),
    IF(OR(AND(Z$156=2022, Z$157="Single", $R$157="-"), AND(Z$156=2022, Z$157="MFS", $R$157="-")),
        IF(Z164&lt;4350, 0,
            IF(Z164&lt;14625, 0.1*(Z164-4350),
                IF(Z164&lt;46125, 1027.5+0.12*(Z164-14625),
                    IF(Z164&lt;93425, 4807.5+0.22*(Z164-46125),
                        IF(Z164&lt;174400, 15213.5+0.24*(Z164-93425),
                            IF(Z164&lt;220300, 34647.5+0.32*(Z164-174400),
                                IF(Z164&lt;544250, 49335.5+0.35*(Z164-220300),
                                    162718+0.37*(Z164-544250)
                                )
                            )
                        )
                    )
                )
            )
        ),
        IF(AND(Z$156=2022, Z$157="HOH", $R$157="-"),
            IF(Z164&lt;10800, 0,
                IF(Z164&lt;25450, 0.1*(Z164-10800),
                    IF(Z164&lt;66700, 1465+0.12*(Z164-25450),
                        IF(Z164&lt;99850, 6415+0.22*(Z164-66700),
                            IF(Z164&lt;180850, 13708+0.24*(Z164-99850),
                                IF(Z164&lt;226750, 33148+0.32*(Z164-180850),
                                    IF(Z164&lt;550700, 47836+0.35*(Z164-226750),
                                        161218.5+0.37*(Z164-550700)
                                    )
                                )
                            )
                        )
                    )
                )
            ),
            IF(AND(Z$156=2022, Z$157="MFJ", $R$157="X"),
                IF(Z164&lt;12950, 0,
                    IF(Z164&lt;23225, 0.1*(Z164-12950),
                        IF(Z164&lt;54725, 1027.5+0.12*(Z164-23225),
                            IF(Z164&lt;102025, 4807.5+0.22*(Z164-54725),
                                IF(Z164&lt;183000, 15213.5+0.24*(Z164-102025),
                                    IF(Z164&lt;228900, 34647.5+0.32*(Z164-183000),
                                        IF(Z164&lt;336875, 49335.5+0.35*(Z164-228900),
                                            87126.75+0.37*(Z164-336875)
                                        )
                                    )
                                )
                            )
                        )
                    )
                ),
                IF(OR(AND(Z$156=2022, Z$157="Single", $R$157="X"), AND(Z$156=2022, Z$157="MFS", $R$157="X")),
                    IF(Z164&lt;6475, 0,
                        IF(Z164&lt;11613, 0.1*(Z164-6475),
                            IF(Z164&lt;27363, 513.75+0.12*(Z164-11613),
                                IF(Z164&lt;51013, 2403.75+0.22*(Z164-27363),
                                    IF(Z164&lt;91500, 7606.75+0.24*(Z164-51013),
                                        IF(Z164&lt;114450, 17323.75+0.32*(Z164-91500),
                                            IF(Z164&lt;276425, 24667.75+0.35*(Z164-114450),
                                                81359+0.37*(Z164-276425)
                                            )
                                        )
                                    )
                                )
                            )
                        )
                    ),
                    IF(AND(Z$156=2022, Z$157="HOH", $R$157="X"),
                        IF(Z164&lt;9700, 0,
                            IF(Z164&lt;17025, 0.1*(Z164-9700),
                                IF(Z164&lt;37650, 732.5+0.12*(Z164-17025),
                                    IF(Z164&lt;54225, 3207.5+0.22*(Z164-37650),
                                        IF(Z164&lt;94725, 6854+0.24*(Z164-54225),
                                            IF(Z164&lt;117675, 16574+0.32*(Z164-94725),
                                                IF(Z164&lt;279650, 23918+0.35*(Z164-117675),
                                                    80609.25+0.37*(Z164-279650)
                                                )
                                            )
                                        )
                                    )
                                )
                            )
                        ),
                        0
                    )
                )
            )
        )
    )
)</f>
        <v>0</v>
      </c>
      <c r="AQ163" s="93">
        <f>IF(AND(AA$156=2022, AA$157="MFJ", $R$157="-"),
    IF(AA164&lt;13000, 0,
        IF(AA164&lt;33550, 0.1*(AA164-13000),
            IF(AA164&lt;96550, 2055+0.12*(AA164-33550),
                IF(AA164&lt;191150, 9615+0.22*(AA164-96550),
                    IF(AA164&lt;353100, 30427+0.24*(AA164-191150),
                        IF(AA164&lt;444900, 69295+0.32*(AA164-353100),
                            IF(AA164&lt;660850, 98671+0.35*(AA164-444900),
                                174253.5+0.37*(AA164-660850)
                            )
                        )
                    )
                )
            )
        )
    ),
    IF(OR(AND(AA$156=2022, AA$157="Single", $R$157="-"), AND(AA$156=2022, AA$157="MFS", $R$157="-")),
        IF(AA164&lt;4350, 0,
            IF(AA164&lt;14625, 0.1*(AA164-4350),
                IF(AA164&lt;46125, 1027.5+0.12*(AA164-14625),
                    IF(AA164&lt;93425, 4807.5+0.22*(AA164-46125),
                        IF(AA164&lt;174400, 15213.5+0.24*(AA164-93425),
                            IF(AA164&lt;220300, 34647.5+0.32*(AA164-174400),
                                IF(AA164&lt;544250, 49335.5+0.35*(AA164-220300),
                                    162718+0.37*(AA164-544250)
                                )
                            )
                        )
                    )
                )
            )
        ),
        IF(AND(AA$156=2022, AA$157="HOH", $R$157="-"),
            IF(AA164&lt;10800, 0,
                IF(AA164&lt;25450, 0.1*(AA164-10800),
                    IF(AA164&lt;66700, 1465+0.12*(AA164-25450),
                        IF(AA164&lt;99850, 6415+0.22*(AA164-66700),
                            IF(AA164&lt;180850, 13708+0.24*(AA164-99850),
                                IF(AA164&lt;226750, 33148+0.32*(AA164-180850),
                                    IF(AA164&lt;550700, 47836+0.35*(AA164-226750),
                                        161218.5+0.37*(AA164-550700)
                                    )
                                )
                            )
                        )
                    )
                )
            ),
            IF(AND(AA$156=2022, AA$157="MFJ", $R$157="X"),
                IF(AA164&lt;12950, 0,
                    IF(AA164&lt;23225, 0.1*(AA164-12950),
                        IF(AA164&lt;54725, 1027.5+0.12*(AA164-23225),
                            IF(AA164&lt;102025, 4807.5+0.22*(AA164-54725),
                                IF(AA164&lt;183000, 15213.5+0.24*(AA164-102025),
                                    IF(AA164&lt;228900, 34647.5+0.32*(AA164-183000),
                                        IF(AA164&lt;336875, 49335.5+0.35*(AA164-228900),
                                            87126.75+0.37*(AA164-336875)
                                        )
                                    )
                                )
                            )
                        )
                    )
                ),
                IF(OR(AND(AA$156=2022, AA$157="Single", $R$157="X"), AND(AA$156=2022, AA$157="MFS", $R$157="X")),
                    IF(AA164&lt;6475, 0,
                        IF(AA164&lt;11613, 0.1*(AA164-6475),
                            IF(AA164&lt;27363, 513.75+0.12*(AA164-11613),
                                IF(AA164&lt;51013, 2403.75+0.22*(AA164-27363),
                                    IF(AA164&lt;91500, 7606.75+0.24*(AA164-51013),
                                        IF(AA164&lt;114450, 17323.75+0.32*(AA164-91500),
                                            IF(AA164&lt;276425, 24667.75+0.35*(AA164-114450),
                                                81359+0.37*(AA164-276425)
                                            )
                                        )
                                    )
                                )
                            )
                        )
                    ),
                    IF(AND(AA$156=2022, AA$157="HOH", $R$157="X"),
                        IF(AA164&lt;9700, 0,
                            IF(AA164&lt;17025, 0.1*(AA164-9700),
                                IF(AA164&lt;37650, 732.5+0.12*(AA164-17025),
                                    IF(AA164&lt;54225, 3207.5+0.22*(AA164-37650),
                                        IF(AA164&lt;94725, 6854+0.24*(AA164-54225),
                                            IF(AA164&lt;117675, 16574+0.32*(AA164-94725),
                                                IF(AA164&lt;279650, 23918+0.35*(AA164-117675),
                                                    80609.25+0.37*(AA164-279650)
                                                )
                                            )
                                        )
                                    )
                                )
                            )
                        ),
                        0
                    )
                )
            )
        )
    )
)</f>
        <v>0</v>
      </c>
      <c r="AR163" s="93">
        <f>IF(AND(AB$156=2022, AB$157="MFJ", $R$157="-"),
    IF(AB164&lt;13000, 0,
        IF(AB164&lt;33550, 0.1*(AB164-13000),
            IF(AB164&lt;96550, 2055+0.12*(AB164-33550),
                IF(AB164&lt;191150, 9615+0.22*(AB164-96550),
                    IF(AB164&lt;353100, 30427+0.24*(AB164-191150),
                        IF(AB164&lt;444900, 69295+0.32*(AB164-353100),
                            IF(AB164&lt;660850, 98671+0.35*(AB164-444900),
                                174253.5+0.37*(AB164-660850)
                            )
                        )
                    )
                )
            )
        )
    ),
    IF(OR(AND(AB$156=2022, AB$157="Single", $R$157="-"), AND(AB$156=2022, AB$157="MFS", $R$157="-")),
        IF(AB164&lt;4350, 0,
            IF(AB164&lt;14625, 0.1*(AB164-4350),
                IF(AB164&lt;46125, 1027.5+0.12*(AB164-14625),
                    IF(AB164&lt;93425, 4807.5+0.22*(AB164-46125),
                        IF(AB164&lt;174400, 15213.5+0.24*(AB164-93425),
                            IF(AB164&lt;220300, 34647.5+0.32*(AB164-174400),
                                IF(AB164&lt;544250, 49335.5+0.35*(AB164-220300),
                                    162718+0.37*(AB164-544250)
                                )
                            )
                        )
                    )
                )
            )
        ),
        IF(AND(AB$156=2022, AB$157="HOH", $R$157="-"),
            IF(AB164&lt;10800, 0,
                IF(AB164&lt;25450, 0.1*(AB164-10800),
                    IF(AB164&lt;66700, 1465+0.12*(AB164-25450),
                        IF(AB164&lt;99850, 6415+0.22*(AB164-66700),
                            IF(AB164&lt;180850, 13708+0.24*(AB164-99850),
                                IF(AB164&lt;226750, 33148+0.32*(AB164-180850),
                                    IF(AB164&lt;550700, 47836+0.35*(AB164-226750),
                                        161218.5+0.37*(AB164-550700)
                                    )
                                )
                            )
                        )
                    )
                )
            ),
            IF(AND(AB$156=2022, AB$157="MFJ", $R$157="X"),
                IF(AB164&lt;12950, 0,
                    IF(AB164&lt;23225, 0.1*(AB164-12950),
                        IF(AB164&lt;54725, 1027.5+0.12*(AB164-23225),
                            IF(AB164&lt;102025, 4807.5+0.22*(AB164-54725),
                                IF(AB164&lt;183000, 15213.5+0.24*(AB164-102025),
                                    IF(AB164&lt;228900, 34647.5+0.32*(AB164-183000),
                                        IF(AB164&lt;336875, 49335.5+0.35*(AB164-228900),
                                            87126.75+0.37*(AB164-336875)
                                        )
                                    )
                                )
                            )
                        )
                    )
                ),
                IF(OR(AND(AB$156=2022, AB$157="Single", $R$157="X"), AND(AB$156=2022, AB$157="MFS", $R$157="X")),
                    IF(AB164&lt;6475, 0,
                        IF(AB164&lt;11613, 0.1*(AB164-6475),
                            IF(AB164&lt;27363, 513.75+0.12*(AB164-11613),
                                IF(AB164&lt;51013, 2403.75+0.22*(AB164-27363),
                                    IF(AB164&lt;91500, 7606.75+0.24*(AB164-51013),
                                        IF(AB164&lt;114450, 17323.75+0.32*(AB164-91500),
                                            IF(AB164&lt;276425, 24667.75+0.35*(AB164-114450),
                                                81359+0.37*(AB164-276425)
                                            )
                                        )
                                    )
                                )
                            )
                        )
                    ),
                    IF(AND(AB$156=2022, AB$157="HOH", $R$157="X"),
                        IF(AB164&lt;9700, 0,
                            IF(AB164&lt;17025, 0.1*(AB164-9700),
                                IF(AB164&lt;37650, 732.5+0.12*(AB164-17025),
                                    IF(AB164&lt;54225, 3207.5+0.22*(AB164-37650),
                                        IF(AB164&lt;94725, 6854+0.24*(AB164-54225),
                                            IF(AB164&lt;117675, 16574+0.32*(AB164-94725),
                                                IF(AB164&lt;279650, 23918+0.35*(AB164-117675),
                                                    80609.25+0.37*(AB164-279650)
                                                )
                                            )
                                        )
                                    )
                                )
                            )
                        ),
                        0
                    )
                )
            )
        )
    )
)</f>
        <v>0</v>
      </c>
      <c r="AS163" s="93">
        <f>IF(AND(AC$156=2022, AC$157="MFJ", $R$157="-"),
    IF(AC164&lt;13000, 0,
        IF(AC164&lt;33550, 0.1*(AC164-13000),
            IF(AC164&lt;96550, 2055+0.12*(AC164-33550),
                IF(AC164&lt;191150, 9615+0.22*(AC164-96550),
                    IF(AC164&lt;353100, 30427+0.24*(AC164-191150),
                        IF(AC164&lt;444900, 69295+0.32*(AC164-353100),
                            IF(AC164&lt;660850, 98671+0.35*(AC164-444900),
                                174253.5+0.37*(AC164-660850)
                            )
                        )
                    )
                )
            )
        )
    ),
    IF(OR(AND(AC$156=2022, AC$157="Single", $R$157="-"), AND(AC$156=2022, AC$157="MFS", $R$157="-")),
        IF(AC164&lt;4350, 0,
            IF(AC164&lt;14625, 0.1*(AC164-4350),
                IF(AC164&lt;46125, 1027.5+0.12*(AC164-14625),
                    IF(AC164&lt;93425, 4807.5+0.22*(AC164-46125),
                        IF(AC164&lt;174400, 15213.5+0.24*(AC164-93425),
                            IF(AC164&lt;220300, 34647.5+0.32*(AC164-174400),
                                IF(AC164&lt;544250, 49335.5+0.35*(AC164-220300),
                                    162718+0.37*(AC164-544250)
                                )
                            )
                        )
                    )
                )
            )
        ),
        IF(AND(AC$156=2022, AC$157="HOH", $R$157="-"),
            IF(AC164&lt;10800, 0,
                IF(AC164&lt;25450, 0.1*(AC164-10800),
                    IF(AC164&lt;66700, 1465+0.12*(AC164-25450),
                        IF(AC164&lt;99850, 6415+0.22*(AC164-66700),
                            IF(AC164&lt;180850, 13708+0.24*(AC164-99850),
                                IF(AC164&lt;226750, 33148+0.32*(AC164-180850),
                                    IF(AC164&lt;550700, 47836+0.35*(AC164-226750),
                                        161218.5+0.37*(AC164-550700)
                                    )
                                )
                            )
                        )
                    )
                )
            ),
            IF(AND(AC$156=2022, AC$157="MFJ", $R$157="X"),
                IF(AC164&lt;12950, 0,
                    IF(AC164&lt;23225, 0.1*(AC164-12950),
                        IF(AC164&lt;54725, 1027.5+0.12*(AC164-23225),
                            IF(AC164&lt;102025, 4807.5+0.22*(AC164-54725),
                                IF(AC164&lt;183000, 15213.5+0.24*(AC164-102025),
                                    IF(AC164&lt;228900, 34647.5+0.32*(AC164-183000),
                                        IF(AC164&lt;336875, 49335.5+0.35*(AC164-228900),
                                            87126.75+0.37*(AC164-336875)
                                        )
                                    )
                                )
                            )
                        )
                    )
                ),
                IF(OR(AND(AC$156=2022, AC$157="Single", $R$157="X"), AND(AC$156=2022, AC$157="MFS", $R$157="X")),
                    IF(AC164&lt;6475, 0,
                        IF(AC164&lt;11613, 0.1*(AC164-6475),
                            IF(AC164&lt;27363, 513.75+0.12*(AC164-11613),
                                IF(AC164&lt;51013, 2403.75+0.22*(AC164-27363),
                                    IF(AC164&lt;91500, 7606.75+0.24*(AC164-51013),
                                        IF(AC164&lt;114450, 17323.75+0.32*(AC164-91500),
                                            IF(AC164&lt;276425, 24667.75+0.35*(AC164-114450),
                                                81359+0.37*(AC164-276425)
                                            )
                                        )
                                    )
                                )
                            )
                        )
                    ),
                    IF(AND(AC$156=2022, AC$157="HOH", $R$157="X"),
                        IF(AC164&lt;9700, 0,
                            IF(AC164&lt;17025, 0.1*(AC164-9700),
                                IF(AC164&lt;37650, 732.5+0.12*(AC164-17025),
                                    IF(AC164&lt;54225, 3207.5+0.22*(AC164-37650),
                                        IF(AC164&lt;94725, 6854+0.24*(AC164-54225),
                                            IF(AC164&lt;117675, 16574+0.32*(AC164-94725),
                                                IF(AC164&lt;279650, 23918+0.35*(AC164-117675),
                                                    80609.25+0.37*(AC164-279650)
                                                )
                                            )
                                        )
                                    )
                                )
                            )
                        ),
                        0
                    )
                )
            )
        )
    )
)</f>
        <v>0</v>
      </c>
    </row>
    <row r="164" spans="2:45" x14ac:dyDescent="0.25">
      <c r="B164" s="214" t="s">
        <v>113</v>
      </c>
      <c r="D164" s="32">
        <v>5</v>
      </c>
      <c r="E164" s="33">
        <f t="shared" si="715"/>
        <v>7.6399999999999996E-2</v>
      </c>
      <c r="F164" s="34" t="e">
        <f t="shared" si="716"/>
        <v>#VALUE!</v>
      </c>
      <c r="G164" t="e">
        <f t="shared" si="713"/>
        <v>#VALUE!</v>
      </c>
      <c r="H164" s="34" t="e">
        <f t="shared" si="714"/>
        <v>#VALUE!</v>
      </c>
      <c r="O164" t="s">
        <v>236</v>
      </c>
      <c r="P164" s="101">
        <f>B26</f>
        <v>0</v>
      </c>
      <c r="Q164" s="101">
        <f>C26</f>
        <v>0</v>
      </c>
      <c r="R164" s="101">
        <f>D26</f>
        <v>0</v>
      </c>
      <c r="S164" s="101">
        <f t="shared" ref="S164:U164" si="718">E26</f>
        <v>0</v>
      </c>
      <c r="T164" s="101">
        <f t="shared" si="718"/>
        <v>0</v>
      </c>
      <c r="U164" s="101">
        <f t="shared" si="718"/>
        <v>0</v>
      </c>
      <c r="V164" s="101">
        <f>H26</f>
        <v>0</v>
      </c>
      <c r="W164" s="101">
        <f>I26</f>
        <v>0</v>
      </c>
      <c r="X164" s="101">
        <f>J26</f>
        <v>0</v>
      </c>
      <c r="Y164" s="101">
        <v>0</v>
      </c>
      <c r="Z164" s="101">
        <v>0</v>
      </c>
      <c r="AA164" s="101">
        <v>0</v>
      </c>
      <c r="AB164" s="101">
        <v>0</v>
      </c>
      <c r="AC164" s="101">
        <v>0</v>
      </c>
      <c r="AE164" s="92">
        <v>2023</v>
      </c>
      <c r="AF164" s="93">
        <f t="shared" ref="AF164:AN164" si="719">IF(AND(B$1=2023, B$2="MFJ", $R$157="-"),
    IF(P164&lt;14800, 0,
        IF(P164&lt;36800, 0.1*(P164-14800),
            IF(P164&lt;104250, 2200+0.12*(P164-36800),
                IF(P164&lt;205550, 10294+0.22*(P164-104250),
                    IF(P164&lt;379000, 32580+0.24*(P164-205550),
                        IF(P164&lt;477300, 74208+0.32*(P164-379000),
                            IF(P164&lt;708550, 105664+0.35*(P164-477300),
                                186601.5+0.37*(P164-708550)
                            )
                        )
                    )
                )
            )
        )
    ),
    IF(OR(AND(B$1=2023, B$2="Single", $R$157="-"), AND(B$1=2023, B$2="MFS", $R$157="-")),
        IF(P164&lt;5250, 0,
            IF(P164&lt;16250, 0.1*(P164-5250),
                IF(P164&lt;49975, 1100+0.12*(P164-16250),
                    IF(P164&lt;100625, 5147+0.22*(P164-49975),
                        IF(P164&lt;187350, 16290+0.24*(P164-100625),
                            IF(P164&lt;236500, 37104+0.32*(P164-187350),
                                IF(P164&lt;583375, 52832+0.35*(P164-236500),
                                    174238.25+0.37*(P164-583375)
                                )
                            )
                        )
                    )
                )
            )
        ),
        IF(AND(B$1=2023, B$2="HOH", $R$157="-"),
            IF(P164&lt;12200, 0,
                IF(P164&lt;27900, 0.1*(P164-12200),
                    IF(P164&lt;72050, 1570+0.12*(P164-27900),
                        IF(P164&lt;107550, 6868+0.22*(P164-72050),
                            IF(P164&lt;194300, 14678+0.24*(P164-107550),
                                IF(P164&lt;243450, 35498+0.32*(P164-194300),
                                    IF(P164&lt;590300, 51226+0.35*(P164-243450),
                                        172623.5+0.37*(P164-590300)
                                    )
                                )
                            )
                        )
                    )
                )
            ),
            IF(AND(B$1=2023, B$2="MFJ", $R$157="X"),
                IF(P164&lt;13850, 0,
                    IF(P164&lt;24850, 0.1*(P164-13850),
                        IF(P164&lt;58575, 1100+0.12*(P164-36800),
                            IF(P164&lt;109225, 5147+0.22*(P164-58575),
                                IF(P164&lt;195950, 16290+0.24*(P164-109225),
                                    IF(P164&lt;245100, 37104+0.32*(P164-195950),
                                        IF(P164&lt;360725, 52832+0.35*(P164-245100),
                                            93300.75+0.37*(P164-360725)
                                        )
                                    )
                                )
                            )
                        )
                    )
                ),
                IF(OR(AND(B$1=2023, B$2="Single", $R$157="X"), AND(B$1=2023, B$2="MFS", $R$157="X")),
                    IF(P164&lt;6925, 0,
                        IF(P164&lt;12425, 0.1*(P164-6925),
                            IF(P164&lt;29288, 550+0.12*(P164-12425),
                                IF(P164&lt;54613, 2573.5+0.22*(P164-29288),
                                    IF(P164&lt;97975, 8145+0.24*(P164-54613),
                                        IF(P164&lt;122550, 18552+0.32*(P164-97975),
                                            IF(P164&lt;295988, 26416+0.35*(P164-122550),
                                                87119.13+0.37*(P164-295988)
                                            )
                                        )
                                    )
                                )
                            )
                        )
                    ),
                    IF(AND(B$1=2023, B$2="HOH", $R$157="X"),
                        IF(P164&lt;10400, 0,
                            IF(P164&lt;18250, 0.1*(P164-10400),
                                IF(P164&lt;40325, 785+0.12*(P164-18250),
                                    IF(P164&lt;58075, 34334+0.22*(P164-40325),
                                        IF(P164&lt;101450, 7339+0.24*(P164-58075),
                                            IF(P164&lt;126025, 17749+0.32*(P164-101450),
                                                IF(P164&lt;299450, 25613+0.35*(P164-126025),
                                                    86311.75+0.37*(P164-299450)
                                                )
                                            )
                                        )
                                    )
                                )
                            )
                        ),
                        0
                    )
                )
            )
        )
    )
)</f>
        <v>0</v>
      </c>
      <c r="AG164" s="93">
        <f t="shared" si="719"/>
        <v>0</v>
      </c>
      <c r="AH164" s="93">
        <f t="shared" si="719"/>
        <v>0</v>
      </c>
      <c r="AI164" s="93">
        <f t="shared" si="719"/>
        <v>0</v>
      </c>
      <c r="AJ164" s="93">
        <f t="shared" si="719"/>
        <v>0</v>
      </c>
      <c r="AK164" s="93">
        <f t="shared" si="719"/>
        <v>0</v>
      </c>
      <c r="AL164" s="93">
        <f t="shared" si="719"/>
        <v>0</v>
      </c>
      <c r="AM164" s="93">
        <f t="shared" si="719"/>
        <v>0</v>
      </c>
      <c r="AN164" s="93">
        <f t="shared" si="719"/>
        <v>0</v>
      </c>
      <c r="AO164" s="93">
        <f>IF(AND(Y$156=2023, Y$157="MFJ", $R$157="-"),
    IF(Y164&lt;14800, 0,
        IF(Y164&lt;36800, 0.1*(Y164-14800),
            IF(Y164&lt;104250, 2200+0.12*(Y164-36800),
                IF(Y164&lt;205550, 10294+0.22*(Y164-104250),
                    IF(Y164&lt;379000, 32580+0.24*(Y164-205550),
                        IF(Y164&lt;477300, 74208+0.32*(Y164-379000),
                            IF(Y164&lt;708550, 105664+0.35*(Y164-477300),
                                186601.5+0.37*(Y164-708550)
                            )
                        )
                    )
                )
            )
        )
    ),
    IF(OR(AND(Y$156=2023, Y$157="Single", $R$157="-"), AND(Y$156=2023, Y$157="MFS", $R$157="-")),
        IF(Y164&lt;5250, 0,
            IF(Y164&lt;16250, 0.1*(Y164-5250),
                IF(Y164&lt;49975, 1100+0.12*(Y164-16250),
                    IF(Y164&lt;100625, 5147+0.22*(Y164-49975),
                        IF(Y164&lt;187350, 16290+0.24*(Y164-100625),
                            IF(Y164&lt;236500, 37104+0.32*(Y164-187350),
                                IF(Y164&lt;583375, 52832+0.35*(Y164-236500),
                                    174238.25+0.37*(Y164-583375)
                                )
                            )
                        )
                    )
                )
            )
        ),
        IF(AND(Y$156=2023, Y$157="HOH", $R$157="-"),
            IF(Y164&lt;12200, 0,
                IF(Y164&lt;27900, 0.1*(Y164-12200),
                    IF(Y164&lt;72050, 1570+0.12*(Y164-27900),
                        IF(Y164&lt;107550, 6868+0.22*(Y164-72050),
                            IF(Y164&lt;194300, 14678+0.24*(Y164-107550),
                                IF(Y164&lt;243450, 35498+0.32*(Y164-194300),
                                    IF(Y164&lt;590300, 51226+0.35*(Y164-243450),
                                        172623.5+0.37*(Y164-590300)
                                    )
                                )
                            )
                        )
                    )
                )
            ),
            IF(AND(Y$156=2023, Y$157="MFJ", $R$157="X"),
                IF(Y164&lt;13850, 0,
                    IF(Y164&lt;24850, 0.1*(Y164-13850),
                        IF(Y164&lt;58575, 1100+0.12*(Y164-36800),
                            IF(Y164&lt;109225, 5147+0.22*(Y164-58575),
                                IF(Y164&lt;195950, 16290+0.24*(Y164-109225),
                                    IF(Y164&lt;245100, 37104+0.32*(Y164-195950),
                                        IF(Y164&lt;360725, 52832+0.35*(Y164-245100),
                                            93300.75+0.37*(Y164-360725)
                                        )
                                    )
                                )
                            )
                        )
                    )
                ),
                IF(OR(AND(Y$156=2023, Y$157="Single", $R$157="X"), AND(Y$156=2023, Y$157="MFS", $R$157="X")),
                    IF(Y164&lt;6925, 0,
                        IF(Y164&lt;12425, 0.1*(Y164-6925),
                            IF(Y164&lt;29288, 550+0.12*(Y164-12425),
                                IF(Y164&lt;54613, 2573.5+0.22*(Y164-29288),
                                    IF(Y164&lt;97975, 8145+0.24*(Y164-54613),
                                        IF(Y164&lt;122550, 18552+0.32*(Y164-97975),
                                            IF(Y164&lt;295988, 26416+0.35*(Y164-122550),
                                                87119.13+0.37*(Y164-295988)
                                            )
                                        )
                                    )
                                )
                            )
                        )
                    ),
                    IF(AND(Y$156=2023, Y$157="HOH", $R$157="X"),
                        IF(Y164&lt;10400, 0,
                            IF(Y164&lt;18250, 0.1*(Y164-10400),
                                IF(Y164&lt;40325, 785+0.12*(Y164-18250),
                                    IF(Y164&lt;58075, 34334+0.22*(Y164-40325),
                                        IF(Y164&lt;101450, 7339+0.24*(Y164-58075),
                                            IF(Y164&lt;126025, 17749+0.32*(Y164-101450),
                                                IF(Y164&lt;299450, 25613+0.35*(Y164-126025),
                                                    86311.75+0.37*(Y164-299450)
                                                )
                                            )
                                        )
                                    )
                                )
                            )
                        ),
                        0
                    )
                )
            )
        )
    )
)</f>
        <v>0</v>
      </c>
      <c r="AP164" s="93">
        <f>IF(AND(Z$156=2023, Z$157="MFJ", $R$157="-"),
    IF(Z164&lt;14800, 0,
        IF(Z164&lt;36800, 0.1*(Z164-14800),
            IF(Z164&lt;104250, 2200+0.12*(Z164-36800),
                IF(Z164&lt;205550, 10294+0.22*(Z164-104250),
                    IF(Z164&lt;379000, 32580+0.24*(Z164-205550),
                        IF(Z164&lt;477300, 74208+0.32*(Z164-379000),
                            IF(Z164&lt;708550, 105664+0.35*(Z164-477300),
                                186601.5+0.37*(Z164-708550)
                            )
                        )
                    )
                )
            )
        )
    ),
    IF(OR(AND(Z$156=2023, Z$157="Single", $R$157="-"), AND(Z$156=2023, Z$157="MFS", $R$157="-")),
        IF(Z164&lt;5250, 0,
            IF(Z164&lt;16250, 0.1*(Z164-5250),
                IF(Z164&lt;49975, 1100+0.12*(Z164-16250),
                    IF(Z164&lt;100625, 5147+0.22*(Z164-49975),
                        IF(Z164&lt;187350, 16290+0.24*(Z164-100625),
                            IF(Z164&lt;236500, 37104+0.32*(Z164-187350),
                                IF(Z164&lt;583375, 52832+0.35*(Z164-236500),
                                    174238.25+0.37*(Z164-583375)
                                )
                            )
                        )
                    )
                )
            )
        ),
        IF(AND(Z$156=2023, Z$157="HOH", $R$157="-"),
            IF(Z164&lt;12200, 0,
                IF(Z164&lt;27900, 0.1*(Z164-12200),
                    IF(Z164&lt;72050, 1570+0.12*(Z164-27900),
                        IF(Z164&lt;107550, 6868+0.22*(Z164-72050),
                            IF(Z164&lt;194300, 14678+0.24*(Z164-107550),
                                IF(Z164&lt;243450, 35498+0.32*(Z164-194300),
                                    IF(Z164&lt;590300, 51226+0.35*(Z164-243450),
                                        172623.5+0.37*(Z164-590300)
                                    )
                                )
                            )
                        )
                    )
                )
            ),
            IF(AND(Z$156=2023, Z$157="MFJ", $R$157="X"),
                IF(Z164&lt;13850, 0,
                    IF(Z164&lt;24850, 0.1*(Z164-13850),
                        IF(Z164&lt;58575, 1100+0.12*(Z164-36800),
                            IF(Z164&lt;109225, 5147+0.22*(Z164-58575),
                                IF(Z164&lt;195950, 16290+0.24*(Z164-109225),
                                    IF(Z164&lt;245100, 37104+0.32*(Z164-195950),
                                        IF(Z164&lt;360725, 52832+0.35*(Z164-245100),
                                            93300.75+0.37*(Z164-360725)
                                        )
                                    )
                                )
                            )
                        )
                    )
                ),
                IF(OR(AND(Z$156=2023, Z$157="Single", $R$157="X"), AND(Z$156=2023, Z$157="MFS", $R$157="X")),
                    IF(Z164&lt;6925, 0,
                        IF(Z164&lt;12425, 0.1*(Z164-6925),
                            IF(Z164&lt;29288, 550+0.12*(Z164-12425),
                                IF(Z164&lt;54613, 2573.5+0.22*(Z164-29288),
                                    IF(Z164&lt;97975, 8145+0.24*(Z164-54613),
                                        IF(Z164&lt;122550, 18552+0.32*(Z164-97975),
                                            IF(Z164&lt;295988, 26416+0.35*(Z164-122550),
                                                87119.13+0.37*(Z164-295988)
                                            )
                                        )
                                    )
                                )
                            )
                        )
                    ),
                    IF(AND(Z$156=2023, Z$157="HOH", $R$157="X"),
                        IF(Z164&lt;10400, 0,
                            IF(Z164&lt;18250, 0.1*(Z164-10400),
                                IF(Z164&lt;40325, 785+0.12*(Z164-18250),
                                    IF(Z164&lt;58075, 34334+0.22*(Z164-40325),
                                        IF(Z164&lt;101450, 7339+0.24*(Z164-58075),
                                            IF(Z164&lt;126025, 17749+0.32*(Z164-101450),
                                                IF(Z164&lt;299450, 25613+0.35*(Z164-126025),
                                                    86311.75+0.37*(Z164-299450)
                                                )
                                            )
                                        )
                                    )
                                )
                            )
                        ),
                        0
                    )
                )
            )
        )
    )
)</f>
        <v>0</v>
      </c>
      <c r="AQ164" s="93">
        <f>IF(AND(AA$156=2023, AA$157="MFJ", $R$157="-"),
    IF(AA164&lt;14800, 0,
        IF(AA164&lt;36800, 0.1*(AA164-14800),
            IF(AA164&lt;104250, 2200+0.12*(AA164-36800),
                IF(AA164&lt;205550, 10294+0.22*(AA164-104250),
                    IF(AA164&lt;379000, 32580+0.24*(AA164-205550),
                        IF(AA164&lt;477300, 74208+0.32*(AA164-379000),
                            IF(AA164&lt;708550, 105664+0.35*(AA164-477300),
                                186601.5+0.37*(AA164-708550)
                            )
                        )
                    )
                )
            )
        )
    ),
    IF(OR(AND(AA$156=2023, AA$157="Single", $R$157="-"), AND(AA$156=2023, AA$157="MFS", $R$157="-")),
        IF(AA164&lt;5250, 0,
            IF(AA164&lt;16250, 0.1*(AA164-5250),
                IF(AA164&lt;49975, 1100+0.12*(AA164-16250),
                    IF(AA164&lt;100625, 5147+0.22*(AA164-49975),
                        IF(AA164&lt;187350, 16290+0.24*(AA164-100625),
                            IF(AA164&lt;236500, 37104+0.32*(AA164-187350),
                                IF(AA164&lt;583375, 52832+0.35*(AA164-236500),
                                    174238.25+0.37*(AA164-583375)
                                )
                            )
                        )
                    )
                )
            )
        ),
        IF(AND(AA$156=2023, AA$157="HOH", $R$157="-"),
            IF(AA164&lt;12200, 0,
                IF(AA164&lt;27900, 0.1*(AA164-12200),
                    IF(AA164&lt;72050, 1570+0.12*(AA164-27900),
                        IF(AA164&lt;107550, 6868+0.22*(AA164-72050),
                            IF(AA164&lt;194300, 14678+0.24*(AA164-107550),
                                IF(AA164&lt;243450, 35498+0.32*(AA164-194300),
                                    IF(AA164&lt;590300, 51226+0.35*(AA164-243450),
                                        172623.5+0.37*(AA164-590300)
                                    )
                                )
                            )
                        )
                    )
                )
            ),
            IF(AND(AA$156=2023, AA$157="MFJ", $R$157="X"),
                IF(AA164&lt;13850, 0,
                    IF(AA164&lt;24850, 0.1*(AA164-13850),
                        IF(AA164&lt;58575, 1100+0.12*(AA164-36800),
                            IF(AA164&lt;109225, 5147+0.22*(AA164-58575),
                                IF(AA164&lt;195950, 16290+0.24*(AA164-109225),
                                    IF(AA164&lt;245100, 37104+0.32*(AA164-195950),
                                        IF(AA164&lt;360725, 52832+0.35*(AA164-245100),
                                            93300.75+0.37*(AA164-360725)
                                        )
                                    )
                                )
                            )
                        )
                    )
                ),
                IF(OR(AND(AA$156=2023, AA$157="Single", $R$157="X"), AND(AA$156=2023, AA$157="MFS", $R$157="X")),
                    IF(AA164&lt;6925, 0,
                        IF(AA164&lt;12425, 0.1*(AA164-6925),
                            IF(AA164&lt;29288, 550+0.12*(AA164-12425),
                                IF(AA164&lt;54613, 2573.5+0.22*(AA164-29288),
                                    IF(AA164&lt;97975, 8145+0.24*(AA164-54613),
                                        IF(AA164&lt;122550, 18552+0.32*(AA164-97975),
                                            IF(AA164&lt;295988, 26416+0.35*(AA164-122550),
                                                87119.13+0.37*(AA164-295988)
                                            )
                                        )
                                    )
                                )
                            )
                        )
                    ),
                    IF(AND(AA$156=2023, AA$157="HOH", $R$157="X"),
                        IF(AA164&lt;10400, 0,
                            IF(AA164&lt;18250, 0.1*(AA164-10400),
                                IF(AA164&lt;40325, 785+0.12*(AA164-18250),
                                    IF(AA164&lt;58075, 34334+0.22*(AA164-40325),
                                        IF(AA164&lt;101450, 7339+0.24*(AA164-58075),
                                            IF(AA164&lt;126025, 17749+0.32*(AA164-101450),
                                                IF(AA164&lt;299450, 25613+0.35*(AA164-126025),
                                                    86311.75+0.37*(AA164-299450)
                                                )
                                            )
                                        )
                                    )
                                )
                            )
                        ),
                        0
                    )
                )
            )
        )
    )
)</f>
        <v>0</v>
      </c>
      <c r="AR164" s="93">
        <f>IF(AND(AB$156=2023, AB$157="MFJ", $R$157="-"),
    IF(AB164&lt;14800, 0,
        IF(AB164&lt;36800, 0.1*(AB164-14800),
            IF(AB164&lt;104250, 2200+0.12*(AB164-36800),
                IF(AB164&lt;205550, 10294+0.22*(AB164-104250),
                    IF(AB164&lt;379000, 32580+0.24*(AB164-205550),
                        IF(AB164&lt;477300, 74208+0.32*(AB164-379000),
                            IF(AB164&lt;708550, 105664+0.35*(AB164-477300),
                                186601.5+0.37*(AB164-708550)
                            )
                        )
                    )
                )
            )
        )
    ),
    IF(OR(AND(AB$156=2023, AB$157="Single", $R$157="-"), AND(AB$156=2023, AB$157="MFS", $R$157="-")),
        IF(AB164&lt;5250, 0,
            IF(AB164&lt;16250, 0.1*(AB164-5250),
                IF(AB164&lt;49975, 1100+0.12*(AB164-16250),
                    IF(AB164&lt;100625, 5147+0.22*(AB164-49975),
                        IF(AB164&lt;187350, 16290+0.24*(AB164-100625),
                            IF(AB164&lt;236500, 37104+0.32*(AB164-187350),
                                IF(AB164&lt;583375, 52832+0.35*(AB164-236500),
                                    174238.25+0.37*(AB164-583375)
                                )
                            )
                        )
                    )
                )
            )
        ),
        IF(AND(AB$156=2023, AB$157="HOH", $R$157="-"),
            IF(AB164&lt;12200, 0,
                IF(AB164&lt;27900, 0.1*(AB164-12200),
                    IF(AB164&lt;72050, 1570+0.12*(AB164-27900),
                        IF(AB164&lt;107550, 6868+0.22*(AB164-72050),
                            IF(AB164&lt;194300, 14678+0.24*(AB164-107550),
                                IF(AB164&lt;243450, 35498+0.32*(AB164-194300),
                                    IF(AB164&lt;590300, 51226+0.35*(AB164-243450),
                                        172623.5+0.37*(AB164-590300)
                                    )
                                )
                            )
                        )
                    )
                )
            ),
            IF(AND(AB$156=2023, AB$157="MFJ", $R$157="X"),
                IF(AB164&lt;13850, 0,
                    IF(AB164&lt;24850, 0.1*(AB164-13850),
                        IF(AB164&lt;58575, 1100+0.12*(AB164-36800),
                            IF(AB164&lt;109225, 5147+0.22*(AB164-58575),
                                IF(AB164&lt;195950, 16290+0.24*(AB164-109225),
                                    IF(AB164&lt;245100, 37104+0.32*(AB164-195950),
                                        IF(AB164&lt;360725, 52832+0.35*(AB164-245100),
                                            93300.75+0.37*(AB164-360725)
                                        )
                                    )
                                )
                            )
                        )
                    )
                ),
                IF(OR(AND(AB$156=2023, AB$157="Single", $R$157="X"), AND(AB$156=2023, AB$157="MFS", $R$157="X")),
                    IF(AB164&lt;6925, 0,
                        IF(AB164&lt;12425, 0.1*(AB164-6925),
                            IF(AB164&lt;29288, 550+0.12*(AB164-12425),
                                IF(AB164&lt;54613, 2573.5+0.22*(AB164-29288),
                                    IF(AB164&lt;97975, 8145+0.24*(AB164-54613),
                                        IF(AB164&lt;122550, 18552+0.32*(AB164-97975),
                                            IF(AB164&lt;295988, 26416+0.35*(AB164-122550),
                                                87119.13+0.37*(AB164-295988)
                                            )
                                        )
                                    )
                                )
                            )
                        )
                    ),
                    IF(AND(AB$156=2023, AB$157="HOH", $R$157="X"),
                        IF(AB164&lt;10400, 0,
                            IF(AB164&lt;18250, 0.1*(AB164-10400),
                                IF(AB164&lt;40325, 785+0.12*(AB164-18250),
                                    IF(AB164&lt;58075, 34334+0.22*(AB164-40325),
                                        IF(AB164&lt;101450, 7339+0.24*(AB164-58075),
                                            IF(AB164&lt;126025, 17749+0.32*(AB164-101450),
                                                IF(AB164&lt;299450, 25613+0.35*(AB164-126025),
                                                    86311.75+0.37*(AB164-299450)
                                                )
                                            )
                                        )
                                    )
                                )
                            )
                        ),
                        0
                    )
                )
            )
        )
    )
)</f>
        <v>0</v>
      </c>
      <c r="AS164" s="93">
        <f>IF(AND(AC$156=2023, AC$157="MFJ", $R$157="-"),
    IF(AC164&lt;14800, 0,
        IF(AC164&lt;36800, 0.1*(AC164-14800),
            IF(AC164&lt;104250, 2200+0.12*(AC164-36800),
                IF(AC164&lt;205550, 10294+0.22*(AC164-104250),
                    IF(AC164&lt;379000, 32580+0.24*(AC164-205550),
                        IF(AC164&lt;477300, 74208+0.32*(AC164-379000),
                            IF(AC164&lt;708550, 105664+0.35*(AC164-477300),
                                186601.5+0.37*(AC164-708550)
                            )
                        )
                    )
                )
            )
        )
    ),
    IF(OR(AND(AC$156=2023, AC$157="Single", $R$157="-"), AND(AC$156=2023, AC$157="MFS", $R$157="-")),
        IF(AC164&lt;5250, 0,
            IF(AC164&lt;16250, 0.1*(AC164-5250),
                IF(AC164&lt;49975, 1100+0.12*(AC164-16250),
                    IF(AC164&lt;100625, 5147+0.22*(AC164-49975),
                        IF(AC164&lt;187350, 16290+0.24*(AC164-100625),
                            IF(AC164&lt;236500, 37104+0.32*(AC164-187350),
                                IF(AC164&lt;583375, 52832+0.35*(AC164-236500),
                                    174238.25+0.37*(AC164-583375)
                                )
                            )
                        )
                    )
                )
            )
        ),
        IF(AND(AC$156=2023, AC$157="HOH", $R$157="-"),
            IF(AC164&lt;12200, 0,
                IF(AC164&lt;27900, 0.1*(AC164-12200),
                    IF(AC164&lt;72050, 1570+0.12*(AC164-27900),
                        IF(AC164&lt;107550, 6868+0.22*(AC164-72050),
                            IF(AC164&lt;194300, 14678+0.24*(AC164-107550),
                                IF(AC164&lt;243450, 35498+0.32*(AC164-194300),
                                    IF(AC164&lt;590300, 51226+0.35*(AC164-243450),
                                        172623.5+0.37*(AC164-590300)
                                    )
                                )
                            )
                        )
                    )
                )
            ),
            IF(AND(AC$156=2023, AC$157="MFJ", $R$157="X"),
                IF(AC164&lt;13850, 0,
                    IF(AC164&lt;24850, 0.1*(AC164-13850),
                        IF(AC164&lt;58575, 1100+0.12*(AC164-36800),
                            IF(AC164&lt;109225, 5147+0.22*(AC164-58575),
                                IF(AC164&lt;195950, 16290+0.24*(AC164-109225),
                                    IF(AC164&lt;245100, 37104+0.32*(AC164-195950),
                                        IF(AC164&lt;360725, 52832+0.35*(AC164-245100),
                                            93300.75+0.37*(AC164-360725)
                                        )
                                    )
                                )
                            )
                        )
                    )
                ),
                IF(OR(AND(AC$156=2023, AC$157="Single", $R$157="X"), AND(AC$156=2023, AC$157="MFS", $R$157="X")),
                    IF(AC164&lt;6925, 0,
                        IF(AC164&lt;12425, 0.1*(AC164-6925),
                            IF(AC164&lt;29288, 550+0.12*(AC164-12425),
                                IF(AC164&lt;54613, 2573.5+0.22*(AC164-29288),
                                    IF(AC164&lt;97975, 8145+0.24*(AC164-54613),
                                        IF(AC164&lt;122550, 18552+0.32*(AC164-97975),
                                            IF(AC164&lt;295988, 26416+0.35*(AC164-122550),
                                                87119.13+0.37*(AC164-295988)
                                            )
                                        )
                                    )
                                )
                            )
                        )
                    ),
                    IF(AND(AC$156=2023, AC$157="HOH", $R$157="X"),
                        IF(AC164&lt;10400, 0,
                            IF(AC164&lt;18250, 0.1*(AC164-10400),
                                IF(AC164&lt;40325, 785+0.12*(AC164-18250),
                                    IF(AC164&lt;58075, 34334+0.22*(AC164-40325),
                                        IF(AC164&lt;101450, 7339+0.24*(AC164-58075),
                                            IF(AC164&lt;126025, 17749+0.32*(AC164-101450),
                                                IF(AC164&lt;299450, 25613+0.35*(AC164-126025),
                                                    86311.75+0.37*(AC164-299450)
                                                )
                                            )
                                        )
                                    )
                                )
                            )
                        ),
                        0
                    )
                )
            )
        )
    )
)</f>
        <v>0</v>
      </c>
    </row>
    <row r="165" spans="2:45" x14ac:dyDescent="0.25">
      <c r="B165" s="214" t="s">
        <v>114</v>
      </c>
      <c r="D165" s="32">
        <v>6</v>
      </c>
      <c r="E165" s="33">
        <f t="shared" si="715"/>
        <v>7.6399999999999996E-2</v>
      </c>
      <c r="F165" s="34" t="e">
        <f t="shared" si="716"/>
        <v>#VALUE!</v>
      </c>
      <c r="G165" t="e">
        <f t="shared" si="713"/>
        <v>#VALUE!</v>
      </c>
      <c r="H165" s="34" t="e">
        <f t="shared" si="714"/>
        <v>#VALUE!</v>
      </c>
      <c r="N165" t="s">
        <v>230</v>
      </c>
      <c r="P165" s="106">
        <f t="shared" ref="P165:X165" si="720">IF(ISNUMBER(B$1), CHOOSE(B$1-2021, AF163, AF164, AF165), 0)</f>
        <v>0</v>
      </c>
      <c r="Q165" s="106">
        <f t="shared" si="720"/>
        <v>0</v>
      </c>
      <c r="R165" s="106">
        <f t="shared" si="720"/>
        <v>0</v>
      </c>
      <c r="S165" s="106">
        <f t="shared" si="720"/>
        <v>0</v>
      </c>
      <c r="T165" s="106">
        <f t="shared" si="720"/>
        <v>0</v>
      </c>
      <c r="U165" s="106">
        <f t="shared" si="720"/>
        <v>0</v>
      </c>
      <c r="V165" s="106">
        <f t="shared" si="720"/>
        <v>0</v>
      </c>
      <c r="W165" s="106">
        <f t="shared" si="720"/>
        <v>0</v>
      </c>
      <c r="X165" s="106">
        <f t="shared" si="720"/>
        <v>0</v>
      </c>
      <c r="Y165" s="106">
        <f>IF(ISNUMBER(Y$156), CHOOSE(Y$156-2021, AO163, AO164, AO165), 0)</f>
        <v>0</v>
      </c>
      <c r="Z165" s="106">
        <f>IF(ISNUMBER(Z$156), CHOOSE(Z$156-2021, AP163, AP164, AP165), 0)</f>
        <v>0</v>
      </c>
      <c r="AA165" s="106">
        <f>IF(ISNUMBER(AA$156), CHOOSE(AA$156-2021, AQ163, AQ164, AQ165), 0)</f>
        <v>0</v>
      </c>
      <c r="AB165" s="106">
        <f>IF(ISNUMBER(AB$156), CHOOSE(AB$156-2021, AR163, AR164, AR165), 0)</f>
        <v>0</v>
      </c>
      <c r="AC165" s="106">
        <f>IF(ISNUMBER(AC$156), CHOOSE(AC$156-2021, AS163, AS164, AS165), 0)</f>
        <v>0</v>
      </c>
      <c r="AE165" s="92">
        <v>2024</v>
      </c>
      <c r="AF165" s="107" t="b">
        <f t="shared" ref="AF165:AN165" si="721">IF(B$1=2024,
    IF($R$157="-",
        IF(B$2="MFJ",
            IF(P164&lt;16300, 0,
                IF(P164&lt;39500, 0.1*(P164-16300),
                    IF(P164&lt;110600, 2320+0.12*(P164-39500),
                        IF(P164&lt;217350, 10852+0.22*(P164-110600),
                            IF(P164&lt;400200, 34337+0.24*(P164-217350),
                                IF(P164&lt;503750, 78221+0.32*(P164-400200),
                                    IF(P164&lt;747500, 111357+0.35*(P164-503750),
                                        IF(P164&gt;747500, 196669.5+0.37*(P164-747500)
                                        )
                                    )
                                )
                            )
                        )
                    )
                )
            ),
            IF(OR(B$2="Single", B$2="MFS"),
                IF(P164&lt;6000, 0,
                    IF(P164&lt;17600, 0.1*(P164-6000),
                        IF(P164&lt;53150, 1160+0.12*(P164-17600),
                            IF(P164&lt;106525, 5426+0.22*(P164-53150),
                                IF(P164&lt;197950, 17168.5+0.24*(P164-106525),
                                    IF(P164&lt;249725, 39110.5+0.32*(P164-197950),
                                        IF(P164&lt;615350, 55678.5+0.35*(P164-249725),
                                            IF(P164&gt;615350, 183647.25+0.37*(P164-615350)
                                            )
                                        )
                                    )
                                )
                            )
                        )
                    )
                ),
                IF(B$2="HOH",
                    IF(P164&lt;13300, 0,
                        IF(P164&lt;29850, 0.1*(P164-13300),
                            IF(P164&lt;76400, 1655+0.12*(P164-29850),
                                IF(P164&lt;113800, 7241+0.22*(P164-76400),
                                    IF(P164&lt;205250, 15469+0.24*(P164-113800),
                                        IF(P164&lt;257000, 37417+0.32*(P164-205250),
                                            IF(P164&lt;622650, 53977+0.35*(P164-257000),
                                                IF(P164&gt;622650, 181954.5+0.37*(P164-622650),
                                                    "Invalid Filing Status or Q148 Value"
                                                )
                                            )
                                        )
                                    )
                                )
                            )
                        )
                    )
                )
            )
        ),
        IF($R$157="X",
            IF(B$2="MFJ",
                IF(P164&lt;14600, 0,
                    IF(P164&lt;26200, 0.1*(P164-14600),
                        IF(P164&lt;61750, 1160+0.12*(P164-26200),
                            IF(P164&lt;115125, 5426+0.22*(P164-61750),
                                IF(P164&lt;206550, 17168.5+0.24*(P164-115125),
                                    IF(P164&lt;258325, 39110.5+0.32*(P164-206550),
                                        IF(P164&lt;380200, 55678.5+0.35*(P164-258325),
                                            IF(P164&gt;380200, 98334.75+0.37*(P164-380200)
                                            )
                                        )
                                    )
                                )
                            )
                        )
                    )
                ),
                IF(OR(B$2="Single", B$2="MFS"),
                    IF(P164&lt;7300, 0,
                        IF(P164&lt;13100, 0.1*(P164-7300),
                            IF(P164&lt;30875, 580+0.12*(P164-13100),
                                IF(P164&lt;57563, 2713+0.22*(P164-30875),
                                    IF(P164&lt;103275, 8584.25+0.24*(P164-57563),
                                        IF(P164&lt;129163, 19555.25+0.32*(P164-103275),
                                            IF(P164&lt;311975, 27839.25+0.35*(P164-129163),
                                                IF(P164&gt;311975, 91823.63+0.37*(P164-311975)
                                                )
                                            )
                                        )
                                    )
                                )
                            )
                        )
                    ),
                    IF(B$2="HOH",
                        IF(P164&lt;10950, 0,
                            IF(P164&lt;19225, 0.1*(P164-10950),
                                IF(P164&lt;42500, 827.5+0.12*(P164-19225),
                                    IF(P164&lt;61200, 3620.5+0.22*(P164-42500),
                                        IF(P164&lt;106925, 7734.5+0.24*(P164-61200),
                                            IF(P164&lt;132800, 18708.5+0.32*(P164-106925),
                                                IF(P164&lt;315625, 26988.5+0.35*(P164-132800),
                                                    IF(P164&gt;315625, 90977.25+0.37*(P164-315625),
                                                        "Invalid Input"
                                                    )
                                                )
                                            )
                                        )
                                    )
                                )
                            )
                        )
                    )
                )
            )
        )
    )
)</f>
        <v>0</v>
      </c>
      <c r="AG165" s="107" t="b">
        <f t="shared" si="721"/>
        <v>0</v>
      </c>
      <c r="AH165" s="107" t="b">
        <f t="shared" si="721"/>
        <v>0</v>
      </c>
      <c r="AI165" s="107" t="b">
        <f t="shared" si="721"/>
        <v>0</v>
      </c>
      <c r="AJ165" s="107" t="b">
        <f t="shared" si="721"/>
        <v>0</v>
      </c>
      <c r="AK165" s="107" t="b">
        <f t="shared" si="721"/>
        <v>0</v>
      </c>
      <c r="AL165" s="107" t="b">
        <f t="shared" si="721"/>
        <v>0</v>
      </c>
      <c r="AM165" s="107" t="b">
        <f t="shared" si="721"/>
        <v>0</v>
      </c>
      <c r="AN165" s="107" t="b">
        <f t="shared" si="721"/>
        <v>0</v>
      </c>
      <c r="AO165" s="107" t="b">
        <f>IF(Y$156=2024,
    IF($R$157="-",
        IF(Y$157="MFJ",
            IF(Y164&lt;16300, 0,
                IF(Y164&lt;39500, 0.1*(Y164-16300),
                    IF(Y164&lt;110600, 2320+0.12*(Y164-39500),
                        IF(Y164&lt;217350, 10852+0.22*(Y164-110600),
                            IF(Y164&lt;400200, 34337+0.24*(Y164-217350),
                                IF(Y164&lt;503750, 78221+0.32*(Y164-400200),
                                    IF(Y164&lt;747500, 111357+0.35*(Y164-503750),
                                        IF(Y164&gt;747500, 196669.5+0.37*(Y164-747500)
                                        )
                                    )
                                )
                            )
                        )
                    )
                )
            ),
            IF(OR(Y$157="Single", Y$157="MFS"),
                IF(Y164&lt;6000, 0,
                    IF(Y164&lt;17600, 0.1*(Y164-6000),
                        IF(Y164&lt;53150, 1160+0.12*(Y164-17600),
                            IF(Y164&lt;106525, 5426+0.22*(Y164-53150),
                                IF(Y164&lt;197950, 17168.5+0.24*(Y164-106525),
                                    IF(Y164&lt;249725, 39110.5+0.32*(Y164-197950),
                                        IF(Y164&lt;615350, 55678.5+0.35*(Y164-249725),
                                            IF(Y164&gt;615350, 183647.25+0.37*(Y164-615350)
                                            )
                                        )
                                    )
                                )
                            )
                        )
                    )
                ),
                IF(Y$157="HOH",
                    IF(Y164&lt;13300, 0,
                        IF(Y164&lt;29850, 0.1*(Y164-13300),
                            IF(Y164&lt;76400, 1655+0.12*(Y164-29850),
                                IF(Y164&lt;113800, 7241+0.22*(Y164-76400),
                                    IF(Y164&lt;205250, 15469+0.24*(Y164-113800),
                                        IF(Y164&lt;257000, 37417+0.32*(Y164-205250),
                                            IF(Y164&lt;622650, 53977+0.35*(Y164-257000),
                                                IF(Y164&gt;622650, 181954.5+0.37*(Y164-622650),
                                                    "Invalid Filing Status or Q148 Value"
                                                )
                                            )
                                        )
                                    )
                                )
                            )
                        )
                    )
                )
            )
        ),
        IF($R$157="X",
            IF(Y$157="MFJ",
                IF(Y164&lt;14600, 0,
                    IF(Y164&lt;26200, 0.1*(Y164-14600),
                        IF(Y164&lt;61750, 1160+0.12*(Y164-26200),
                            IF(Y164&lt;115125, 5426+0.22*(Y164-61750),
                                IF(Y164&lt;206550, 17168.5+0.24*(Y164-115125),
                                    IF(Y164&lt;258325, 39110.5+0.32*(Y164-206550),
                                        IF(Y164&lt;380200, 55678.5+0.35*(Y164-258325),
                                            IF(Y164&gt;380200, 98334.75+0.37*(Y164-380200)
                                            )
                                        )
                                    )
                                )
                            )
                        )
                    )
                ),
                IF(OR(Y$157="Single", Y$157="MFS"),
                    IF(Y164&lt;7300, 0,
                        IF(Y164&lt;13100, 0.1*(Y164-7300),
                            IF(Y164&lt;30875, 580+0.12*(Y164-13100),
                                IF(Y164&lt;57563, 2713+0.22*(Y164-30875),
                                    IF(Y164&lt;103275, 8584.25+0.24*(Y164-57563),
                                        IF(Y164&lt;129163, 19555.25+0.32*(Y164-103275),
                                            IF(Y164&lt;311975, 27839.25+0.35*(Y164-129163),
                                                IF(Y164&gt;311975, 91823.63+0.37*(Y164-311975)
                                                )
                                            )
                                        )
                                    )
                                )
                            )
                        )
                    ),
                    IF(Y$157="HOH",
                        IF(Y164&lt;10950, 0,
                            IF(Y164&lt;19225, 0.1*(Y164-10950),
                                IF(Y164&lt;42500, 827.5+0.12*(Y164-19225),
                                    IF(Y164&lt;61200, 3620.5+0.22*(Y164-42500),
                                        IF(Y164&lt;106925, 7734.5+0.24*(Y164-61200),
                                            IF(Y164&lt;132800, 18708.5+0.32*(Y164-106925),
                                                IF(Y164&lt;315625, 26988.5+0.35*(Y164-132800),
                                                    IF(Y164&gt;315625, 90977.25+0.37*(Y164-315625),
                                                        "Invalid Input"
                                                    )
                                                )
                                            )
                                        )
                                    )
                                )
                            )
                        )
                    )
                )
            )
        )
    )
)</f>
        <v>0</v>
      </c>
      <c r="AP165" s="107" t="b">
        <f>IF(Z$156=2024,
    IF($R$157="-",
        IF(Z$157="MFJ",
            IF(Z164&lt;16300, 0,
                IF(Z164&lt;39500, 0.1*(Z164-16300),
                    IF(Z164&lt;110600, 2320+0.12*(Z164-39500),
                        IF(Z164&lt;217350, 10852+0.22*(Z164-110600),
                            IF(Z164&lt;400200, 34337+0.24*(Z164-217350),
                                IF(Z164&lt;503750, 78221+0.32*(Z164-400200),
                                    IF(Z164&lt;747500, 111357+0.35*(Z164-503750),
                                        IF(Z164&gt;747500, 196669.5+0.37*(Z164-747500)
                                        )
                                    )
                                )
                            )
                        )
                    )
                )
            ),
            IF(OR(Z$157="Single", Z$157="MFS"),
                IF(Z164&lt;6000, 0,
                    IF(Z164&lt;17600, 0.1*(Z164-6000),
                        IF(Z164&lt;53150, 1160+0.12*(Z164-17600),
                            IF(Z164&lt;106525, 5426+0.22*(Z164-53150),
                                IF(Z164&lt;197950, 17168.5+0.24*(Z164-106525),
                                    IF(Z164&lt;249725, 39110.5+0.32*(Z164-197950),
                                        IF(Z164&lt;615350, 55678.5+0.35*(Z164-249725),
                                            IF(Z164&gt;615350, 183647.25+0.37*(Z164-615350)
                                            )
                                        )
                                    )
                                )
                            )
                        )
                    )
                ),
                IF(Z$157="HOH",
                    IF(Z164&lt;13300, 0,
                        IF(Z164&lt;29850, 0.1*(Z164-13300),
                            IF(Z164&lt;76400, 1655+0.12*(Z164-29850),
                                IF(Z164&lt;113800, 7241+0.22*(Z164-76400),
                                    IF(Z164&lt;205250, 15469+0.24*(Z164-113800),
                                        IF(Z164&lt;257000, 37417+0.32*(Z164-205250),
                                            IF(Z164&lt;622650, 53977+0.35*(Z164-257000),
                                                IF(Z164&gt;622650, 181954.5+0.37*(Z164-622650),
                                                    "Invalid Filing Status or Q148 Value"
                                                )
                                            )
                                        )
                                    )
                                )
                            )
                        )
                    )
                )
            )
        ),
        IF($R$157="X",
            IF(Z$157="MFJ",
                IF(Z164&lt;14600, 0,
                    IF(Z164&lt;26200, 0.1*(Z164-14600),
                        IF(Z164&lt;61750, 1160+0.12*(Z164-26200),
                            IF(Z164&lt;115125, 5426+0.22*(Z164-61750),
                                IF(Z164&lt;206550, 17168.5+0.24*(Z164-115125),
                                    IF(Z164&lt;258325, 39110.5+0.32*(Z164-206550),
                                        IF(Z164&lt;380200, 55678.5+0.35*(Z164-258325),
                                            IF(Z164&gt;380200, 98334.75+0.37*(Z164-380200)
                                            )
                                        )
                                    )
                                )
                            )
                        )
                    )
                ),
                IF(OR(Z$157="Single", Z$157="MFS"),
                    IF(Z164&lt;7300, 0,
                        IF(Z164&lt;13100, 0.1*(Z164-7300),
                            IF(Z164&lt;30875, 580+0.12*(Z164-13100),
                                IF(Z164&lt;57563, 2713+0.22*(Z164-30875),
                                    IF(Z164&lt;103275, 8584.25+0.24*(Z164-57563),
                                        IF(Z164&lt;129163, 19555.25+0.32*(Z164-103275),
                                            IF(Z164&lt;311975, 27839.25+0.35*(Z164-129163),
                                                IF(Z164&gt;311975, 91823.63+0.37*(Z164-311975)
                                                )
                                            )
                                        )
                                    )
                                )
                            )
                        )
                    ),
                    IF(Z$157="HOH",
                        IF(Z164&lt;10950, 0,
                            IF(Z164&lt;19225, 0.1*(Z164-10950),
                                IF(Z164&lt;42500, 827.5+0.12*(Z164-19225),
                                    IF(Z164&lt;61200, 3620.5+0.22*(Z164-42500),
                                        IF(Z164&lt;106925, 7734.5+0.24*(Z164-61200),
                                            IF(Z164&lt;132800, 18708.5+0.32*(Z164-106925),
                                                IF(Z164&lt;315625, 26988.5+0.35*(Z164-132800),
                                                    IF(Z164&gt;315625, 90977.25+0.37*(Z164-315625),
                                                        "Invalid Input"
                                                    )
                                                )
                                            )
                                        )
                                    )
                                )
                            )
                        )
                    )
                )
            )
        )
    )
)</f>
        <v>0</v>
      </c>
      <c r="AQ165" s="107" t="b">
        <f>IF(AA$156=2024,
    IF($R$157="-",
        IF(AA$157="MFJ",
            IF(AA164&lt;16300, 0,
                IF(AA164&lt;39500, 0.1*(AA164-16300),
                    IF(AA164&lt;110600, 2320+0.12*(AA164-39500),
                        IF(AA164&lt;217350, 10852+0.22*(AA164-110600),
                            IF(AA164&lt;400200, 34337+0.24*(AA164-217350),
                                IF(AA164&lt;503750, 78221+0.32*(AA164-400200),
                                    IF(AA164&lt;747500, 111357+0.35*(AA164-503750),
                                        IF(AA164&gt;747500, 196669.5+0.37*(AA164-747500)
                                        )
                                    )
                                )
                            )
                        )
                    )
                )
            ),
            IF(OR(AA$157="Single", AA$157="MFS"),
                IF(AA164&lt;6000, 0,
                    IF(AA164&lt;17600, 0.1*(AA164-6000),
                        IF(AA164&lt;53150, 1160+0.12*(AA164-17600),
                            IF(AA164&lt;106525, 5426+0.22*(AA164-53150),
                                IF(AA164&lt;197950, 17168.5+0.24*(AA164-106525),
                                    IF(AA164&lt;249725, 39110.5+0.32*(AA164-197950),
                                        IF(AA164&lt;615350, 55678.5+0.35*(AA164-249725),
                                            IF(AA164&gt;615350, 183647.25+0.37*(AA164-615350)
                                            )
                                        )
                                    )
                                )
                            )
                        )
                    )
                ),
                IF(AA$157="HOH",
                    IF(AA164&lt;13300, 0,
                        IF(AA164&lt;29850, 0.1*(AA164-13300),
                            IF(AA164&lt;76400, 1655+0.12*(AA164-29850),
                                IF(AA164&lt;113800, 7241+0.22*(AA164-76400),
                                    IF(AA164&lt;205250, 15469+0.24*(AA164-113800),
                                        IF(AA164&lt;257000, 37417+0.32*(AA164-205250),
                                            IF(AA164&lt;622650, 53977+0.35*(AA164-257000),
                                                IF(AA164&gt;622650, 181954.5+0.37*(AA164-622650),
                                                    "Invalid Filing Status or Q148 Value"
                                                )
                                            )
                                        )
                                    )
                                )
                            )
                        )
                    )
                )
            )
        ),
        IF($R$157="X",
            IF(AA$157="MFJ",
                IF(AA164&lt;14600, 0,
                    IF(AA164&lt;26200, 0.1*(AA164-14600),
                        IF(AA164&lt;61750, 1160+0.12*(AA164-26200),
                            IF(AA164&lt;115125, 5426+0.22*(AA164-61750),
                                IF(AA164&lt;206550, 17168.5+0.24*(AA164-115125),
                                    IF(AA164&lt;258325, 39110.5+0.32*(AA164-206550),
                                        IF(AA164&lt;380200, 55678.5+0.35*(AA164-258325),
                                            IF(AA164&gt;380200, 98334.75+0.37*(AA164-380200)
                                            )
                                        )
                                    )
                                )
                            )
                        )
                    )
                ),
                IF(OR(AA$157="Single", AA$157="MFS"),
                    IF(AA164&lt;7300, 0,
                        IF(AA164&lt;13100, 0.1*(AA164-7300),
                            IF(AA164&lt;30875, 580+0.12*(AA164-13100),
                                IF(AA164&lt;57563, 2713+0.22*(AA164-30875),
                                    IF(AA164&lt;103275, 8584.25+0.24*(AA164-57563),
                                        IF(AA164&lt;129163, 19555.25+0.32*(AA164-103275),
                                            IF(AA164&lt;311975, 27839.25+0.35*(AA164-129163),
                                                IF(AA164&gt;311975, 91823.63+0.37*(AA164-311975)
                                                )
                                            )
                                        )
                                    )
                                )
                            )
                        )
                    ),
                    IF(AA$157="HOH",
                        IF(AA164&lt;10950, 0,
                            IF(AA164&lt;19225, 0.1*(AA164-10950),
                                IF(AA164&lt;42500, 827.5+0.12*(AA164-19225),
                                    IF(AA164&lt;61200, 3620.5+0.22*(AA164-42500),
                                        IF(AA164&lt;106925, 7734.5+0.24*(AA164-61200),
                                            IF(AA164&lt;132800, 18708.5+0.32*(AA164-106925),
                                                IF(AA164&lt;315625, 26988.5+0.35*(AA164-132800),
                                                    IF(AA164&gt;315625, 90977.25+0.37*(AA164-315625),
                                                        "Invalid Input"
                                                    )
                                                )
                                            )
                                        )
                                    )
                                )
                            )
                        )
                    )
                )
            )
        )
    )
)</f>
        <v>0</v>
      </c>
      <c r="AR165" s="107" t="b">
        <f>IF(AB$156=2024,
    IF($R$157="-",
        IF(AB$157="MFJ",
            IF(AB164&lt;16300, 0,
                IF(AB164&lt;39500, 0.1*(AB164-16300),
                    IF(AB164&lt;110600, 2320+0.12*(AB164-39500),
                        IF(AB164&lt;217350, 10852+0.22*(AB164-110600),
                            IF(AB164&lt;400200, 34337+0.24*(AB164-217350),
                                IF(AB164&lt;503750, 78221+0.32*(AB164-400200),
                                    IF(AB164&lt;747500, 111357+0.35*(AB164-503750),
                                        IF(AB164&gt;747500, 196669.5+0.37*(AB164-747500)
                                        )
                                    )
                                )
                            )
                        )
                    )
                )
            ),
            IF(OR(AB$157="Single", AB$157="MFS"),
                IF(AB164&lt;6000, 0,
                    IF(AB164&lt;17600, 0.1*(AB164-6000),
                        IF(AB164&lt;53150, 1160+0.12*(AB164-17600),
                            IF(AB164&lt;106525, 5426+0.22*(AB164-53150),
                                IF(AB164&lt;197950, 17168.5+0.24*(AB164-106525),
                                    IF(AB164&lt;249725, 39110.5+0.32*(AB164-197950),
                                        IF(AB164&lt;615350, 55678.5+0.35*(AB164-249725),
                                            IF(AB164&gt;615350, 183647.25+0.37*(AB164-615350)
                                            )
                                        )
                                    )
                                )
                            )
                        )
                    )
                ),
                IF(AB$157="HOH",
                    IF(AB164&lt;13300, 0,
                        IF(AB164&lt;29850, 0.1*(AB164-13300),
                            IF(AB164&lt;76400, 1655+0.12*(AB164-29850),
                                IF(AB164&lt;113800, 7241+0.22*(AB164-76400),
                                    IF(AB164&lt;205250, 15469+0.24*(AB164-113800),
                                        IF(AB164&lt;257000, 37417+0.32*(AB164-205250),
                                            IF(AB164&lt;622650, 53977+0.35*(AB164-257000),
                                                IF(AB164&gt;622650, 181954.5+0.37*(AB164-622650),
                                                    "Invalid Filing Status or Q148 Value"
                                                )
                                            )
                                        )
                                    )
                                )
                            )
                        )
                    )
                )
            )
        ),
        IF($R$157="X",
            IF(AB$157="MFJ",
                IF(AB164&lt;14600, 0,
                    IF(AB164&lt;26200, 0.1*(AB164-14600),
                        IF(AB164&lt;61750, 1160+0.12*(AB164-26200),
                            IF(AB164&lt;115125, 5426+0.22*(AB164-61750),
                                IF(AB164&lt;206550, 17168.5+0.24*(AB164-115125),
                                    IF(AB164&lt;258325, 39110.5+0.32*(AB164-206550),
                                        IF(AB164&lt;380200, 55678.5+0.35*(AB164-258325),
                                            IF(AB164&gt;380200, 98334.75+0.37*(AB164-380200)
                                            )
                                        )
                                    )
                                )
                            )
                        )
                    )
                ),
                IF(OR(AB$157="Single", AB$157="MFS"),
                    IF(AB164&lt;7300, 0,
                        IF(AB164&lt;13100, 0.1*(AB164-7300),
                            IF(AB164&lt;30875, 580+0.12*(AB164-13100),
                                IF(AB164&lt;57563, 2713+0.22*(AB164-30875),
                                    IF(AB164&lt;103275, 8584.25+0.24*(AB164-57563),
                                        IF(AB164&lt;129163, 19555.25+0.32*(AB164-103275),
                                            IF(AB164&lt;311975, 27839.25+0.35*(AB164-129163),
                                                IF(AB164&gt;311975, 91823.63+0.37*(AB164-311975)
                                                )
                                            )
                                        )
                                    )
                                )
                            )
                        )
                    ),
                    IF(AB$157="HOH",
                        IF(AB164&lt;10950, 0,
                            IF(AB164&lt;19225, 0.1*(AB164-10950),
                                IF(AB164&lt;42500, 827.5+0.12*(AB164-19225),
                                    IF(AB164&lt;61200, 3620.5+0.22*(AB164-42500),
                                        IF(AB164&lt;106925, 7734.5+0.24*(AB164-61200),
                                            IF(AB164&lt;132800, 18708.5+0.32*(AB164-106925),
                                                IF(AB164&lt;315625, 26988.5+0.35*(AB164-132800),
                                                    IF(AB164&gt;315625, 90977.25+0.37*(AB164-315625),
                                                        "Invalid Input"
                                                    )
                                                )
                                            )
                                        )
                                    )
                                )
                            )
                        )
                    )
                )
            )
        )
    )
)</f>
        <v>0</v>
      </c>
      <c r="AS165" s="107" t="b">
        <f>IF(AC$156=2024,
    IF($R$157="-",
        IF(AC$157="MFJ",
            IF(AC164&lt;16300, 0,
                IF(AC164&lt;39500, 0.1*(AC164-16300),
                    IF(AC164&lt;110600, 2320+0.12*(AC164-39500),
                        IF(AC164&lt;217350, 10852+0.22*(AC164-110600),
                            IF(AC164&lt;400200, 34337+0.24*(AC164-217350),
                                IF(AC164&lt;503750, 78221+0.32*(AC164-400200),
                                    IF(AC164&lt;747500, 111357+0.35*(AC164-503750),
                                        IF(AC164&gt;747500, 196669.5+0.37*(AC164-747500)
                                        )
                                    )
                                )
                            )
                        )
                    )
                )
            ),
            IF(OR(AC$157="Single", AC$157="MFS"),
                IF(AC164&lt;6000, 0,
                    IF(AC164&lt;17600, 0.1*(AC164-6000),
                        IF(AC164&lt;53150, 1160+0.12*(AC164-17600),
                            IF(AC164&lt;106525, 5426+0.22*(AC164-53150),
                                IF(AC164&lt;197950, 17168.5+0.24*(AC164-106525),
                                    IF(AC164&lt;249725, 39110.5+0.32*(AC164-197950),
                                        IF(AC164&lt;615350, 55678.5+0.35*(AC164-249725),
                                            IF(AC164&gt;615350, 183647.25+0.37*(AC164-615350)
                                            )
                                        )
                                    )
                                )
                            )
                        )
                    )
                ),
                IF(AC$157="HOH",
                    IF(AC164&lt;13300, 0,
                        IF(AC164&lt;29850, 0.1*(AC164-13300),
                            IF(AC164&lt;76400, 1655+0.12*(AC164-29850),
                                IF(AC164&lt;113800, 7241+0.22*(AC164-76400),
                                    IF(AC164&lt;205250, 15469+0.24*(AC164-113800),
                                        IF(AC164&lt;257000, 37417+0.32*(AC164-205250),
                                            IF(AC164&lt;622650, 53977+0.35*(AC164-257000),
                                                IF(AC164&gt;622650, 181954.5+0.37*(AC164-622650),
                                                    "Invalid Filing Status or Q148 Value"
                                                )
                                            )
                                        )
                                    )
                                )
                            )
                        )
                    )
                )
            )
        ),
        IF($R$157="X",
            IF(AC$157="MFJ",
                IF(AC164&lt;14600, 0,
                    IF(AC164&lt;26200, 0.1*(AC164-14600),
                        IF(AC164&lt;61750, 1160+0.12*(AC164-26200),
                            IF(AC164&lt;115125, 5426+0.22*(AC164-61750),
                                IF(AC164&lt;206550, 17168.5+0.24*(AC164-115125),
                                    IF(AC164&lt;258325, 39110.5+0.32*(AC164-206550),
                                        IF(AC164&lt;380200, 55678.5+0.35*(AC164-258325),
                                            IF(AC164&gt;380200, 98334.75+0.37*(AC164-380200)
                                            )
                                        )
                                    )
                                )
                            )
                        )
                    )
                ),
                IF(OR(AC$157="Single", AC$157="MFS"),
                    IF(AC164&lt;7300, 0,
                        IF(AC164&lt;13100, 0.1*(AC164-7300),
                            IF(AC164&lt;30875, 580+0.12*(AC164-13100),
                                IF(AC164&lt;57563, 2713+0.22*(AC164-30875),
                                    IF(AC164&lt;103275, 8584.25+0.24*(AC164-57563),
                                        IF(AC164&lt;129163, 19555.25+0.32*(AC164-103275),
                                            IF(AC164&lt;311975, 27839.25+0.35*(AC164-129163),
                                                IF(AC164&gt;311975, 91823.63+0.37*(AC164-311975)
                                                )
                                            )
                                        )
                                    )
                                )
                            )
                        )
                    ),
                    IF(AC$157="HOH",
                        IF(AC164&lt;10950, 0,
                            IF(AC164&lt;19225, 0.1*(AC164-10950),
                                IF(AC164&lt;42500, 827.5+0.12*(AC164-19225),
                                    IF(AC164&lt;61200, 3620.5+0.22*(AC164-42500),
                                        IF(AC164&lt;106925, 7734.5+0.24*(AC164-61200),
                                            IF(AC164&lt;132800, 18708.5+0.32*(AC164-106925),
                                                IF(AC164&lt;315625, 26988.5+0.35*(AC164-132800),
                                                    IF(AC164&gt;315625, 90977.25+0.37*(AC164-315625),
                                                        "Invalid Input"
                                                    )
                                                )
                                            )
                                        )
                                    )
                                )
                            )
                        )
                    )
                )
            )
        )
    )
)</f>
        <v>0</v>
      </c>
    </row>
    <row r="166" spans="2:45" x14ac:dyDescent="0.25">
      <c r="B166" s="214" t="s">
        <v>115</v>
      </c>
      <c r="D166" s="32">
        <v>7</v>
      </c>
      <c r="E166" s="33">
        <f t="shared" si="715"/>
        <v>7.6399999999999996E-2</v>
      </c>
      <c r="F166" s="34" t="e">
        <f t="shared" si="716"/>
        <v>#VALUE!</v>
      </c>
      <c r="G166" t="e">
        <f t="shared" si="713"/>
        <v>#VALUE!</v>
      </c>
      <c r="H166" s="34" t="e">
        <f t="shared" si="714"/>
        <v>#VALUE!</v>
      </c>
      <c r="N166" t="s">
        <v>235</v>
      </c>
      <c r="P166" s="106">
        <f>IF(P169="[Select State]", 0, INDEX(B$366:B$415, MATCH(P169, $A$366:$A$415, 0)))</f>
        <v>0</v>
      </c>
      <c r="Q166" s="106">
        <f>IF(Q169="[Select State]", 0, INDEX(C$366:C$415, MATCH(Q169, $A$366:$A$415, 0)))</f>
        <v>0</v>
      </c>
      <c r="R166" s="106">
        <f>IF(R169="[Select State]", 0, INDEX(D$366:D$415, MATCH(R169, $A$366:$A$415, 0)))</f>
        <v>0</v>
      </c>
      <c r="S166" s="106">
        <f t="shared" ref="S166:U166" si="722">IF(S169="[Select State]", 0, INDEX(E$366:E$415, MATCH(S169, $A$366:$A$415, 0)))</f>
        <v>0</v>
      </c>
      <c r="T166" s="106">
        <f t="shared" si="722"/>
        <v>0</v>
      </c>
      <c r="U166" s="106">
        <f t="shared" si="722"/>
        <v>0</v>
      </c>
      <c r="V166" s="106">
        <f>IF(V169="[Select State]", 0, INDEX(H$366:H$415, MATCH(V169, $A$366:$A$415, 0)))</f>
        <v>0</v>
      </c>
      <c r="W166" s="106">
        <f>IF(W169="[Select State]", 0, INDEX(I$366:I$415, MATCH(W169, $A$366:$A$415, 0)))</f>
        <v>0</v>
      </c>
      <c r="X166" s="106">
        <f>IF(X169="[Select State]", 0, INDEX(J$366:J$415, MATCH(X169, $A$366:$A$415, 0)))</f>
        <v>0</v>
      </c>
      <c r="Y166" s="106">
        <f>IF(Y169="[Select State]", 0, INDEX(K$366:K$414, MATCH(Y169, $A$366:$A$415, 0)))</f>
        <v>0</v>
      </c>
      <c r="Z166" s="106">
        <f t="shared" ref="Z166:AC166" si="723">IF(Z169="[Select State]", 0, INDEX(L$366:L$414, MATCH(Z169, $A$366:$A$415, 0)))</f>
        <v>0</v>
      </c>
      <c r="AA166" s="106">
        <f t="shared" si="723"/>
        <v>0</v>
      </c>
      <c r="AB166" s="106">
        <f t="shared" si="723"/>
        <v>0</v>
      </c>
      <c r="AC166" s="106">
        <f t="shared" si="723"/>
        <v>0</v>
      </c>
      <c r="AE166" s="93"/>
      <c r="AF166" s="93"/>
      <c r="AG166" s="93"/>
      <c r="AH166" s="93"/>
      <c r="AI166" s="93"/>
      <c r="AJ166" s="93"/>
      <c r="AK166" s="93"/>
      <c r="AL166" s="93"/>
      <c r="AM166" s="93"/>
      <c r="AN166" s="93"/>
      <c r="AO166" s="93"/>
      <c r="AP166" s="93"/>
      <c r="AQ166" s="93"/>
      <c r="AR166" s="93"/>
      <c r="AS166" s="93"/>
    </row>
    <row r="167" spans="2:45" x14ac:dyDescent="0.25">
      <c r="B167" s="214" t="s">
        <v>116</v>
      </c>
      <c r="D167" s="32">
        <v>8</v>
      </c>
      <c r="E167" s="33">
        <f t="shared" si="715"/>
        <v>7.6399999999999996E-2</v>
      </c>
      <c r="F167" s="34" t="e">
        <f t="shared" si="716"/>
        <v>#VALUE!</v>
      </c>
      <c r="G167" t="e">
        <f t="shared" si="713"/>
        <v>#VALUE!</v>
      </c>
      <c r="H167" s="34" t="e">
        <f t="shared" si="714"/>
        <v>#VALUE!</v>
      </c>
      <c r="O167" t="s">
        <v>208</v>
      </c>
      <c r="P167" s="102" t="str">
        <f>IF(B$1=2022, MIN(P164,147000)*0.062,
   IF(B$1=2023, MIN(P164,160200)*0.062,
      IF(B$1=2024, MIN(P164,168600)*0.062,
         "-"
      )
   )
)</f>
        <v>-</v>
      </c>
      <c r="Q167" s="102" t="str">
        <f>IF(C$1=2022, MIN(Q164,147000)*0.062,
   IF(C$1=2023, MIN(Q164,160200)*0.062,
      IF(C$1=2024, MIN(Q164,168600)*0.062,
         "-"
      )
   )
)</f>
        <v>-</v>
      </c>
      <c r="R167" s="102" t="str">
        <f>IF(D$1=2022, MIN(R164,147000)*0.062,
   IF(D$1=2023, MIN(R164,160200)*0.062,
      IF(D$1=2024, MIN(R164,168600)*0.062,
         "-"
      )
   )
)</f>
        <v>-</v>
      </c>
      <c r="S167" s="102" t="str">
        <f t="shared" ref="S167:U167" si="724">IF(E$1=2022, MIN(S164,147000)*0.062,
   IF(E$1=2023, MIN(S164,160200)*0.062,
      IF(E$1=2024, MIN(S164,168600)*0.062,
         "-"
      )
   )
)</f>
        <v>-</v>
      </c>
      <c r="T167" s="102" t="str">
        <f t="shared" si="724"/>
        <v>-</v>
      </c>
      <c r="U167" s="102" t="str">
        <f t="shared" si="724"/>
        <v>-</v>
      </c>
      <c r="V167" s="102" t="str">
        <f>IF(H$1=2022, MIN(V164,147000)*0.062,
   IF(H$1=2023, MIN(V164,160200)*0.062,
      IF(H$1=2024, MIN(V164,168600)*0.062,
         "-"
      )
   )
)</f>
        <v>-</v>
      </c>
      <c r="W167" s="102" t="str">
        <f>IF(I$1=2022, MIN(W164,147000)*0.062,
   IF(I$1=2023, MIN(W164,160200)*0.062,
      IF(I$1=2024, MIN(W164,168600)*0.062,
         "-"
      )
   )
)</f>
        <v>-</v>
      </c>
      <c r="X167" s="102" t="str">
        <f>IF(J$1=2022, MIN(X164,147000)*0.062,
   IF(J$1=2023, MIN(X164,160200)*0.062,
      IF(J$1=2024, MIN(X164,168600)*0.062,
         "-"
      )
   )
)</f>
        <v>-</v>
      </c>
      <c r="Y167" s="102" t="str">
        <f>IF(Y$156=2022, MIN(Y164,147000)*0.062,
   IF(Y$156=2023, MIN(Y164,160200)*0.062,
      IF(Y$156=2024, MIN(Y164,168600)*0.062,
         "-"
      )
   )
)</f>
        <v>-</v>
      </c>
      <c r="Z167" s="102" t="str">
        <f t="shared" ref="Z167:AC167" si="725">IF(Z$156=2022, MIN(Z164,147000)*0.062,
   IF(Z$156=2023, MIN(Z164,160200)*0.062,
      IF(Z$156=2024, MIN(Z164,168600)*0.062,
         "-"
      )
   )
)</f>
        <v>-</v>
      </c>
      <c r="AA167" s="102" t="str">
        <f t="shared" si="725"/>
        <v>-</v>
      </c>
      <c r="AB167" s="102" t="str">
        <f t="shared" si="725"/>
        <v>-</v>
      </c>
      <c r="AC167" s="102" t="str">
        <f t="shared" si="725"/>
        <v>-</v>
      </c>
      <c r="AE167" s="93"/>
      <c r="AF167" s="93"/>
      <c r="AG167" s="93"/>
      <c r="AH167" s="93"/>
      <c r="AI167" s="93"/>
      <c r="AJ167" s="93"/>
      <c r="AK167" s="93"/>
      <c r="AL167" s="93"/>
      <c r="AM167" s="93"/>
      <c r="AN167" s="93"/>
      <c r="AO167" s="93"/>
      <c r="AP167" s="93"/>
      <c r="AQ167" s="93"/>
      <c r="AR167" s="93"/>
      <c r="AS167" s="93"/>
    </row>
    <row r="168" spans="2:45" x14ac:dyDescent="0.25">
      <c r="B168" s="214" t="s">
        <v>117</v>
      </c>
      <c r="D168" s="32">
        <v>9</v>
      </c>
      <c r="E168" s="33">
        <f t="shared" si="715"/>
        <v>7.6399999999999996E-2</v>
      </c>
      <c r="F168" s="34" t="e">
        <f t="shared" si="716"/>
        <v>#VALUE!</v>
      </c>
      <c r="G168" t="e">
        <f t="shared" si="713"/>
        <v>#VALUE!</v>
      </c>
      <c r="H168" s="34" t="e">
        <f t="shared" si="714"/>
        <v>#VALUE!</v>
      </c>
      <c r="N168" s="125" t="s">
        <v>210</v>
      </c>
      <c r="O168" t="s">
        <v>207</v>
      </c>
      <c r="P168" s="102">
        <f>P164*0.0145</f>
        <v>0</v>
      </c>
      <c r="Q168" s="102">
        <f>Q164*0.0145</f>
        <v>0</v>
      </c>
      <c r="R168" s="102">
        <f>R164*0.0145</f>
        <v>0</v>
      </c>
      <c r="S168" s="102">
        <f t="shared" ref="S168:U168" si="726">S164*0.0145</f>
        <v>0</v>
      </c>
      <c r="T168" s="102">
        <f t="shared" si="726"/>
        <v>0</v>
      </c>
      <c r="U168" s="102">
        <f t="shared" si="726"/>
        <v>0</v>
      </c>
      <c r="V168" s="102">
        <f>V164*0.0145</f>
        <v>0</v>
      </c>
      <c r="W168" s="102">
        <f>W164*0.0145</f>
        <v>0</v>
      </c>
      <c r="X168" s="102">
        <f t="shared" ref="X168" si="727">X164*0.0145</f>
        <v>0</v>
      </c>
      <c r="Y168" s="102">
        <f>Y164*0.0145</f>
        <v>0</v>
      </c>
      <c r="Z168" s="102">
        <f t="shared" ref="Z168:AC168" si="728">Z164*0.0145</f>
        <v>0</v>
      </c>
      <c r="AA168" s="102">
        <f t="shared" si="728"/>
        <v>0</v>
      </c>
      <c r="AB168" s="102">
        <f t="shared" si="728"/>
        <v>0</v>
      </c>
      <c r="AC168" s="102">
        <f t="shared" si="728"/>
        <v>0</v>
      </c>
      <c r="AE168" s="93"/>
      <c r="AF168" s="93"/>
      <c r="AG168" s="93"/>
      <c r="AH168" s="93"/>
      <c r="AI168" s="93"/>
      <c r="AJ168" s="93"/>
      <c r="AK168" s="93"/>
      <c r="AL168" s="93"/>
      <c r="AM168" s="93"/>
      <c r="AN168" s="93"/>
      <c r="AO168" s="93"/>
      <c r="AP168" s="93"/>
      <c r="AQ168" s="93"/>
      <c r="AR168" s="93"/>
      <c r="AS168" s="93"/>
    </row>
    <row r="169" spans="2:45" x14ac:dyDescent="0.25">
      <c r="B169" s="214" t="s">
        <v>118</v>
      </c>
      <c r="D169" s="32">
        <v>10</v>
      </c>
      <c r="E169" s="33">
        <f t="shared" si="715"/>
        <v>7.6399999999999996E-2</v>
      </c>
      <c r="F169" s="34" t="e">
        <f t="shared" si="716"/>
        <v>#VALUE!</v>
      </c>
      <c r="G169" t="e">
        <f t="shared" si="713"/>
        <v>#VALUE!</v>
      </c>
      <c r="H169" s="34" t="e">
        <f t="shared" si="714"/>
        <v>#VALUE!</v>
      </c>
      <c r="P169" s="89" t="str">
        <f>B3</f>
        <v>[Select State]</v>
      </c>
      <c r="Q169" s="89" t="str">
        <f>C3</f>
        <v>[Select State]</v>
      </c>
      <c r="R169" s="89" t="str">
        <f>D3</f>
        <v>[Select State]</v>
      </c>
      <c r="S169" s="89" t="str">
        <f t="shared" ref="S169:U169" si="729">E3</f>
        <v>[Select State]</v>
      </c>
      <c r="T169" s="89" t="str">
        <f t="shared" si="729"/>
        <v>[Select State]</v>
      </c>
      <c r="U169" s="89" t="str">
        <f t="shared" si="729"/>
        <v>[Select State]</v>
      </c>
      <c r="V169" s="89" t="str">
        <f>H3</f>
        <v>[Select State]</v>
      </c>
      <c r="W169" s="89" t="str">
        <f>I3</f>
        <v>[Select State]</v>
      </c>
      <c r="X169" s="89" t="str">
        <f>J3</f>
        <v>[Select State]</v>
      </c>
      <c r="Y169" s="89" t="s">
        <v>62</v>
      </c>
      <c r="Z169" s="89" t="s">
        <v>62</v>
      </c>
      <c r="AA169" s="89" t="s">
        <v>62</v>
      </c>
      <c r="AB169" s="89" t="s">
        <v>62</v>
      </c>
      <c r="AC169" s="89" t="s">
        <v>62</v>
      </c>
      <c r="AE169" s="93"/>
      <c r="AF169" s="93"/>
      <c r="AG169" s="93"/>
      <c r="AH169" s="93"/>
      <c r="AI169" s="93"/>
      <c r="AJ169" s="93"/>
      <c r="AK169" s="93"/>
      <c r="AL169" s="93"/>
      <c r="AM169" s="93"/>
      <c r="AN169" s="93"/>
      <c r="AO169" s="93"/>
      <c r="AP169" s="93"/>
      <c r="AQ169" s="93"/>
      <c r="AR169" s="93"/>
      <c r="AS169" s="93"/>
    </row>
    <row r="170" spans="2:45" x14ac:dyDescent="0.25">
      <c r="B170" s="214" t="s">
        <v>119</v>
      </c>
      <c r="D170" s="32">
        <v>11</v>
      </c>
      <c r="E170" s="33">
        <f t="shared" si="715"/>
        <v>7.6399999999999996E-2</v>
      </c>
      <c r="F170" s="34" t="e">
        <f t="shared" si="716"/>
        <v>#VALUE!</v>
      </c>
      <c r="G170" t="e">
        <f t="shared" si="713"/>
        <v>#VALUE!</v>
      </c>
      <c r="H170" s="34" t="e">
        <f t="shared" si="714"/>
        <v>#VALUE!</v>
      </c>
      <c r="O170" t="s">
        <v>209</v>
      </c>
      <c r="P170" s="102">
        <f>IF(P163="W-2", 0, IF(B$1=2022, MIN(P164,147000)*0.062, IF(B$1=2023, MIN(P164,160200)*0.062, IF(B$1=2024, MIN(P164,168600)*0.062, "-"))))</f>
        <v>0</v>
      </c>
      <c r="Q170" s="102">
        <f>IF(Q163="W-2", 0, IF(C$1=2022, MIN(Q164,147000)*0.062, IF(C$1=2023, MIN(Q164,160200)*0.062, IF(C$1=2024, MIN(Q164,168600)*0.062, "-"))))</f>
        <v>0</v>
      </c>
      <c r="R170" s="102">
        <f>IF(R163="W-2", 0, IF(D$1=2022, MIN(R164,147000)*0.062, IF(D$1=2023, MIN(R164,160200)*0.062, IF(D$1=2024, MIN(R164,168600)*0.062, "-"))))</f>
        <v>0</v>
      </c>
      <c r="S170" s="102">
        <f t="shared" ref="S170:U170" si="730">IF(S163="W-2", 0, IF(E$1=2022, MIN(S164,147000)*0.062, IF(E$1=2023, MIN(S164,160200)*0.062, IF(E$1=2024, MIN(S164,168600)*0.062, "-"))))</f>
        <v>0</v>
      </c>
      <c r="T170" s="102">
        <f t="shared" si="730"/>
        <v>0</v>
      </c>
      <c r="U170" s="102">
        <f t="shared" si="730"/>
        <v>0</v>
      </c>
      <c r="V170" s="102">
        <f>IF(V163="W-2", 0, IF(H$1=2022, MIN(V164,147000)*0.062, IF(H$1=2023, MIN(V164,160200)*0.062, IF(H$1=2024, MIN(V164,168600)*0.062, "-"))))</f>
        <v>0</v>
      </c>
      <c r="W170" s="102">
        <f>IF(W163="W-2", 0, IF(I$1=2022, MIN(W164,147000)*0.062, IF(I$1=2023, MIN(W164,160200)*0.062, IF(I$1=2024, MIN(W164,168600)*0.062, "-"))))</f>
        <v>0</v>
      </c>
      <c r="X170" s="102">
        <f>IF(X163="W-2", 0, IF(J$1=2022, MIN(X164,147000)*0.062, IF(J$1=2023, MIN(X164,160200)*0.062, IF(J$1=2024, MIN(X164,168600)*0.062, "-"))))</f>
        <v>0</v>
      </c>
      <c r="Y170" s="102">
        <f>IF(Y163="W-2", 0, IF(Y$156=2022, MIN(Y164,147000)*0.062, IF(Y$156=2023, MIN(Y164,160200)*0.062, IF(Y$156=2024, MIN(Y164,168600)*0.062, "-"))))</f>
        <v>0</v>
      </c>
      <c r="Z170" s="102">
        <f t="shared" ref="Z170:AC170" si="731">IF(Z163="W-2", 0, IF(Z$156=2022, MIN(Z164,147000)*0.062, IF(Z$156=2023, MIN(Z164,160200)*0.062, IF(Z$156=2024, MIN(Z164,168600)*0.062, "-"))))</f>
        <v>0</v>
      </c>
      <c r="AA170" s="102">
        <f t="shared" si="731"/>
        <v>0</v>
      </c>
      <c r="AB170" s="102">
        <f t="shared" si="731"/>
        <v>0</v>
      </c>
      <c r="AC170" s="102">
        <f t="shared" si="731"/>
        <v>0</v>
      </c>
      <c r="AE170" s="93"/>
      <c r="AF170" s="93"/>
      <c r="AG170" s="93"/>
      <c r="AH170" s="93"/>
      <c r="AI170" s="93"/>
      <c r="AJ170" s="93"/>
      <c r="AK170" s="93"/>
      <c r="AL170" s="93"/>
      <c r="AM170" s="93"/>
      <c r="AN170" s="93"/>
      <c r="AO170" s="93"/>
      <c r="AP170" s="93"/>
      <c r="AQ170" s="93"/>
      <c r="AR170" s="93"/>
      <c r="AS170" s="93"/>
    </row>
    <row r="171" spans="2:45" x14ac:dyDescent="0.25">
      <c r="B171" s="214" t="s">
        <v>120</v>
      </c>
      <c r="D171" s="32">
        <v>12</v>
      </c>
      <c r="E171" s="33">
        <f t="shared" si="715"/>
        <v>7.6399999999999996E-2</v>
      </c>
      <c r="F171" s="34" t="e">
        <f t="shared" si="716"/>
        <v>#VALUE!</v>
      </c>
      <c r="G171" t="e">
        <f t="shared" si="713"/>
        <v>#VALUE!</v>
      </c>
      <c r="H171" s="34" t="e">
        <f t="shared" si="714"/>
        <v>#VALUE!</v>
      </c>
      <c r="N171" s="125" t="s">
        <v>211</v>
      </c>
      <c r="O171" t="s">
        <v>207</v>
      </c>
      <c r="P171" s="102">
        <f>IF(P163="W-2", 0, P164*0.0145)</f>
        <v>0</v>
      </c>
      <c r="Q171" s="102">
        <f>IF(Q163="W-2", 0, Q164*0.0145)</f>
        <v>0</v>
      </c>
      <c r="R171" s="102">
        <f>IF(R163="W-2", 0, R164*0.0145)</f>
        <v>0</v>
      </c>
      <c r="S171" s="102">
        <f t="shared" ref="S171:U171" si="732">IF(S163="W-2", 0, S164*0.0145)</f>
        <v>0</v>
      </c>
      <c r="T171" s="102">
        <f t="shared" si="732"/>
        <v>0</v>
      </c>
      <c r="U171" s="102">
        <f t="shared" si="732"/>
        <v>0</v>
      </c>
      <c r="V171" s="102">
        <f>IF(V163="W-2", 0, V164*0.0145)</f>
        <v>0</v>
      </c>
      <c r="W171" s="102">
        <f>IF(W163="W-2", 0, W164*0.0145)</f>
        <v>0</v>
      </c>
      <c r="X171" s="102">
        <f t="shared" ref="X171" si="733">IF(X163="W-2", 0, X164*0.0145)</f>
        <v>0</v>
      </c>
      <c r="Y171" s="102">
        <f>IF(Y163="W-2", 0, Y164*0.0145)</f>
        <v>0</v>
      </c>
      <c r="Z171" s="102">
        <f t="shared" ref="Z171:AC171" si="734">IF(Z163="W-2", 0, Z164*0.0145)</f>
        <v>0</v>
      </c>
      <c r="AA171" s="102">
        <f t="shared" si="734"/>
        <v>0</v>
      </c>
      <c r="AB171" s="102">
        <f t="shared" si="734"/>
        <v>0</v>
      </c>
      <c r="AC171" s="102">
        <f t="shared" si="734"/>
        <v>0</v>
      </c>
      <c r="AE171" s="93"/>
      <c r="AF171" s="93"/>
      <c r="AG171" s="93"/>
      <c r="AH171" s="93"/>
      <c r="AI171" s="93"/>
      <c r="AJ171" s="93"/>
      <c r="AK171" s="93"/>
      <c r="AL171" s="93"/>
      <c r="AM171" s="93"/>
      <c r="AN171" s="93"/>
      <c r="AO171" s="93"/>
      <c r="AP171" s="93"/>
      <c r="AQ171" s="93"/>
      <c r="AR171" s="93"/>
      <c r="AS171" s="93"/>
    </row>
    <row r="172" spans="2:45" x14ac:dyDescent="0.25">
      <c r="B172" s="214" t="s">
        <v>121</v>
      </c>
      <c r="D172" s="32">
        <v>13</v>
      </c>
      <c r="E172" s="33">
        <f t="shared" si="715"/>
        <v>7.6399999999999996E-2</v>
      </c>
      <c r="F172" s="34" t="e">
        <f t="shared" si="716"/>
        <v>#VALUE!</v>
      </c>
      <c r="G172" t="e">
        <f t="shared" si="713"/>
        <v>#VALUE!</v>
      </c>
      <c r="H172" s="34" t="e">
        <f t="shared" si="714"/>
        <v>#VALUE!</v>
      </c>
      <c r="O172" t="s">
        <v>223</v>
      </c>
      <c r="P172" s="102" cm="1">
        <f t="array" ref="P172">IF(P163="W-2",0,_xlfn.IFNA(_xlfn.IFS(
B$1=2022,
_xlfn.SWITCH(
P169,
"Alabama Taxes",MIN(P164,8000)*0.027,
"Alaska Taxes",MIN(P164,45200)*0.0237,
"Arizona Taxes",MIN(P164,7000)*0.02,
"Arkansas Taxes",MIN(P164,10000)*0.031,
"California Taxes",MIN(P164,7000)*0.034,
"Colorado Taxes",MIN(P164,17000)*0.017,
"Connecticut Taxes",MIN(P164,15000)*0.03,
"Delaware Taxes",MIN(P164,16500)*0.018,
"District of Columbia Taxes",MIN(P164,9000)*0.027,
"Florida Taxes",MIN(P164,7000)*0.027,
"Georgia Taxes",MIN(P164,9500)*0.0264,
"Hawaii Taxes",MIN(P164,51600)*0.03,
"Idaho Taxes",MIN(P164,46500)*0.0097,
"Illinois Taxes",MIN(P164,12960)*0.03525,
"Indiana Taxes",MIN(P164,9500)*0.025,
"Iowa Taxes",MIN(P164,34800)*0.01,
"Kansas Taxes",MIN(P164,14000)*0.027,
"Kentucky Taxes",MIN(P164,11100)*0.027,
"Louisiana Taxes",MIN(P164,7700)*0.027,
"Maine Taxes",MIN(P164,12000)*0.0224,
"Maryland Taxes",MIN(P164,8500)*0.026,
"Massachusetts Taxes",MIN(P164,15000)*0.0242,
"Michigan Taxes",MIN(P164,9500)*0.027,
"Minnesota Taxes",MIN(P164,38000)*0.027,
"Mississippi Taxes",MIN(P164,14000)*0.01,
"Missouri Taxes",MIN(P164,11000)*0.02376,
"Montana Taxes",MIN(P164,38100)*0.027,
"Nebraska Taxes",MIN(P164,24000)*0.0125,
"Nevada Taxes",MIN(P164,36600)*0.0295,
"New Hampshire Taxes",MIN(P164,14000)*0.027,
"New Jersey Taxes",MIN(P164,39800)*0.028,
"New Mexico Taxes",MIN(P164,28700)*0.01,
"New York Taxes",MIN(P164,12000)*0.03125,
"North Carolina Taxes",MIN(P164,28000)*0.01,
"North Dakota Taxes",MIN(P164,38400)*0.0102,
"Ohio Taxes",MIN(P164,9000)*0.027,
"Oklahoma Taxes",MIN(P164,24800)*0.015,
"Oregon Taxes",MIN(P164,47700)*0.024,
"Pennsylvania Taxes",MIN(P164,10000)*0.03689,
"Rhode Island Taxes",MIN(P164,24600)*0.0098,
"South Carolina Taxes",MIN(P164,14000)*0.0049,
"South Dakota Taxes",MIN(P164,15000)*0.012,
"Tennessee Taxes",MIN(P164,7000)*0.027,
"Texas Taxes",MIN(P164,9000)*0.027,
"Utah Taxes",MIN(P164,41600)*0.027,
"Vermont Taxes",MIN(P164,15500)*0.01,
"Virginia Taxes",MIN(P164,8000)*0.0273,
"Washington Taxes",MIN(P164,62500)*0.027,
"West Virginia Taxes",MIN(P164,12000)*0.027,
"Wisconsin Taxes",MIN(P164,14000)*0.0305,
"Wyoming Taxes",MIN(P164,27700)*0.027
),
B$1=2023,
_xlfn.SWITCH(
P169,
"Alabama Taxes",MIN(P164,8000)*0.027,
"Alaska Taxes",MIN(P164,41500)*0.0237,
"Arizona Taxes",MIN(P164,7000)*0.02,
"Arkansas Taxes",MIN(P164,12000)*0.031,
"California Taxes",MIN(P164,7000)*0.034,
"Colorado Taxes",MIN(P164,13800)*0.017,
"Connecticut Taxes",MIN(P164,15000)*0.028,
"Delaware Taxes",MIN(P164,8500)*0.001,
"District of Columbia Taxes",MIN(P164,9000)*0.027,
"Florida Taxes",MIN(P164,7000)*0.027,
"Georgia Taxes",MIN(P164,9500)*0.027,
"Hawaii Taxes",MIN(P164,46800)*0.04,
"Idaho Taxes",MIN(P164,41500)*0.01071,
"Illinois Taxes",MIN(P164,12900)*0.0395,
"Indiana Taxes",MIN(P164,9500)*0.025,
"Iowa Taxes",MIN(P164,29500)*0.01,
"Kansas Taxes",MIN(P164,14000)*0.027,
"Kentucky Taxes",MIN(P164,11000)*0.027,
"Louisiana Taxes",MIN(P164,7500)*0.0009,
"Maine Taxes",MIN(P164,12000)*0.0219,
"Maryland Taxes",MIN(P164,8500)*0.023,
"Massachusetts Taxes",MIN(P164,15000)*0.0143,
"Michigan Taxes",MIN(P164,9500)*0.027,
"Minnesota Taxes",MIN(P164,35000)*0.001,
"Mississippi Taxes",MIN(P164,14000)*0.01,
"Missouri Taxes",MIN(P164,13500)*0.027,
"Montana Taxes",MIN(P164,34500)*0.0013,
"Nebraska Taxes",MIN(P164,9000)*0.0125,
"Nevada Taxes",MIN(P164,33100)*0.0295,
"New Hampshire Taxes",MIN(P164,14000)*0.027,
"New Jersey Taxes",MIN(P164,35700)*0.031,
"New Mexico Taxes",MIN(P164,25400)*0.01,
"New York Taxes",MIN(P164,11500)*0.026,
"North Carolina Taxes",MIN(P164,25400)*0.01,
"North Dakota Taxes",MIN(P164,39200)*0.0113,
"Ohio Taxes",MIN(P164,9000)*0.027,
"Oklahoma Taxes",MIN(P164,17500)*0.015,
"Oregon Taxes",MIN(P164,43000)*0.021,
"Pennsylvania Taxes",MIN(P164,10000)*0.03822,
"Rhode Island Taxes",MIN(P164,24000)*0.0109,
"South Carolina Taxes",MIN(P164,14000)*0.0045,
"South Dakota Taxes",MIN(P164,15000)*0.012,
"Tennessee Taxes",MIN(P164,7000)*0.027,
"Texas Taxes",MIN(P164,9000)*0.027,
"Utah Taxes",MIN(P164,35700)*0.003,
"Vermont Taxes",MIN(P164,16000)*0.01,
"Virginia Taxes",MIN(P164,8000)*0.025,
"Washington Taxes",MIN(P164,56200)*0.0125,
"West Virginia Taxes",MIN(P164,12000)*0.027,
"Wisconsin Taxes",MIN(P164,14000)*0.0305,
"Wyoming Taxes",MIN(P164,25800)*0.018
),
B$1=2024,
_xlfn.SWITCH(
P169,
"Alabama Taxes",MIN(P164,8000)*0.027,
"Alaska Taxes",MIN(P164,41500)*0.0237,
"Arizona Taxes",MIN(P164,7000)*0.02,
"Arkansas Taxes",MIN(P164,12000)*0.031,
"California Taxes",MIN(P164,7000)*0.034,
"Colorado Taxes",MIN(P164,13800)*0.017,
"Connecticut Taxes",MIN(P164,15000)*0.028,
"Delaware Taxes",MIN(P164,8500)*0.001,
"District of Columbia Taxes",MIN(P164,9000)*0.027,
"Florida Taxes",MIN(P164,7000)*0.027,
"Georgia Taxes",MIN(P164,9500)*0.027,
"Hawaii Taxes",MIN(P164,46800)*0.04,
"Idaho Taxes",MIN(P164,41500)*0.01071,
"Illinois Taxes",MIN(P164,12900)*0.0395,
"Indiana Taxes",MIN(P164,9500)*0.025,
"Iowa Taxes",MIN(P164,29500)*0.01,
"Kansas Taxes",MIN(P164,14000)*0.027,
"Kentucky Taxes",MIN(P164,11000)*0.027,
"Louisiana Taxes",MIN(P164,7500)*0.0009,
"Maine Taxes",MIN(P164,12000)*0.0219,
"Maryland Taxes",MIN(P164,8500)*0.023,
"Massachusetts Taxes",MIN(P164,15000)*0.0143,
"Michigan Taxes",MIN(P164,9500)*0.027,
"Minnesota Taxes",MIN(P164,35000)*0.001,
"Mississippi Taxes",MIN(P164,14000)*0.01,
"Missouri Taxes",MIN(P164,13500)*0.027,
"Montana Taxes",MIN(P164,34500)*0.0013,
"Nebraska Taxes",MIN(P164,9000)*0.0125,
"Nevada Taxes",MIN(P164,33100)*0.0295,
"New Hampshire Taxes",MIN(P164,14000)*0.027,
"New Jersey Taxes",MIN(P164,35700)*0.031,
"New Mexico Taxes",MIN(P164,25400)*0.01,
"New York Taxes",MIN(P164,11500)*0.026,
"North Carolina Taxes",MIN(P164,25400)*0.01,
"North Dakota Taxes",MIN(P164,39200)*0.0113,
"Ohio Taxes",MIN(P164,9000)*0.027,
"Oklahoma Taxes",MIN(P164,17500)*0.015,
"Oregon Taxes",MIN(P164,43000)*0.021,
"Pennsylvania Taxes",MIN(P164,10000)*0.03822,
"Rhode Island Taxes",MIN(P164,24000)*0.0109,
"South Carolina Taxes",MIN(P164,14000)*0.0045,
"South Dakota Taxes",MIN(P164,15000)*0.012,
"Tennessee Taxes",MIN(P164,7000)*0.027,
"Texas Taxes",MIN(P164,9000)*0.027,
"Utah Taxes",MIN(P164,35700)*0.003,
"Vermont Taxes",MIN(P164,16000)*0.01,
"Virginia Taxes",MIN(P164,8000)*0.025,
"Washington Taxes",MIN(P164,56200)*0.0125,
"West Virginia Taxes",MIN(P164,12000)*0.027,
"Wisconsin Taxes",MIN(P164,14000)*0.0305,
"Wyoming Taxes",MIN(P164,25800)*0.018
)
),0))</f>
        <v>0</v>
      </c>
      <c r="Q172" s="102" cm="1">
        <f t="array" ref="Q172">IF(Q163="W-2",0,_xlfn.IFNA(_xlfn.IFS(
C$1=2022,
_xlfn.SWITCH(
Q169,
"Alabama Taxes",MIN(Q164,8000)*0.027,
"Alaska Taxes",MIN(Q164,45200)*0.0237,
"Arizona Taxes",MIN(Q164,7000)*0.02,
"Arkansas Taxes",MIN(Q164,10000)*0.031,
"California Taxes",MIN(Q164,7000)*0.034,
"Colorado Taxes",MIN(Q164,17000)*0.017,
"Connecticut Taxes",MIN(Q164,15000)*0.03,
"Delaware Taxes",MIN(Q164,16500)*0.018,
"District of Columbia Taxes",MIN(Q164,9000)*0.027,
"Florida Taxes",MIN(Q164,7000)*0.027,
"Georgia Taxes",MIN(Q164,9500)*0.0264,
"Hawaii Taxes",MIN(Q164,51600)*0.03,
"Idaho Taxes",MIN(Q164,46500)*0.0097,
"Illinois Taxes",MIN(Q164,12960)*0.03525,
"Indiana Taxes",MIN(Q164,9500)*0.025,
"Iowa Taxes",MIN(Q164,34800)*0.01,
"Kansas Taxes",MIN(Q164,14000)*0.027,
"Kentucky Taxes",MIN(Q164,11100)*0.027,
"Louisiana Taxes",MIN(Q164,7700)*0.027,
"Maine Taxes",MIN(Q164,12000)*0.0224,
"Maryland Taxes",MIN(Q164,8500)*0.026,
"Massachusetts Taxes",MIN(Q164,15000)*0.0242,
"Michigan Taxes",MIN(Q164,9500)*0.027,
"Minnesota Taxes",MIN(Q164,38000)*0.027,
"Mississippi Taxes",MIN(Q164,14000)*0.01,
"Missouri Taxes",MIN(Q164,11000)*0.02376,
"Montana Taxes",MIN(Q164,38100)*0.027,
"Nebraska Taxes",MIN(Q164,24000)*0.0125,
"Nevada Taxes",MIN(Q164,36600)*0.0295,
"New Hampshire Taxes",MIN(Q164,14000)*0.027,
"New Jersey Taxes",MIN(Q164,39800)*0.028,
"New Mexico Taxes",MIN(Q164,28700)*0.01,
"New York Taxes",MIN(Q164,12000)*0.03125,
"North Carolina Taxes",MIN(Q164,28000)*0.01,
"North Dakota Taxes",MIN(Q164,38400)*0.0102,
"Ohio Taxes",MIN(Q164,9000)*0.027,
"Oklahoma Taxes",MIN(Q164,24800)*0.015,
"Oregon Taxes",MIN(Q164,47700)*0.024,
"Pennsylvania Taxes",MIN(Q164,10000)*0.03689,
"Rhode Island Taxes",MIN(Q164,24600)*0.0098,
"South Carolina Taxes",MIN(Q164,14000)*0.0049,
"South Dakota Taxes",MIN(Q164,15000)*0.012,
"Tennessee Taxes",MIN(Q164,7000)*0.027,
"Texas Taxes",MIN(Q164,9000)*0.027,
"Utah Taxes",MIN(Q164,41600)*0.027,
"Vermont Taxes",MIN(Q164,15500)*0.01,
"Virginia Taxes",MIN(Q164,8000)*0.0273,
"Washington Taxes",MIN(Q164,62500)*0.027,
"West Virginia Taxes",MIN(Q164,12000)*0.027,
"Wisconsin Taxes",MIN(Q164,14000)*0.0305,
"Wyoming Taxes",MIN(Q164,27700)*0.027
),
C$1=2023,
_xlfn.SWITCH(
Q169,
"Alabama Taxes",MIN(Q164,8000)*0.027,
"Alaska Taxes",MIN(Q164,41500)*0.0237,
"Arizona Taxes",MIN(Q164,7000)*0.02,
"Arkansas Taxes",MIN(Q164,12000)*0.031,
"California Taxes",MIN(Q164,7000)*0.034,
"Colorado Taxes",MIN(Q164,13800)*0.017,
"Connecticut Taxes",MIN(Q164,15000)*0.028,
"Delaware Taxes",MIN(Q164,8500)*0.001,
"District of Columbia Taxes",MIN(Q164,9000)*0.027,
"Florida Taxes",MIN(Q164,7000)*0.027,
"Georgia Taxes",MIN(Q164,9500)*0.027,
"Hawaii Taxes",MIN(Q164,46800)*0.04,
"Idaho Taxes",MIN(Q164,41500)*0.01071,
"Illinois Taxes",MIN(Q164,12900)*0.0395,
"Indiana Taxes",MIN(Q164,9500)*0.025,
"Iowa Taxes",MIN(Q164,29500)*0.01,
"Kansas Taxes",MIN(Q164,14000)*0.027,
"Kentucky Taxes",MIN(Q164,11000)*0.027,
"Louisiana Taxes",MIN(Q164,7500)*0.0009,
"Maine Taxes",MIN(Q164,12000)*0.0219,
"Maryland Taxes",MIN(Q164,8500)*0.023,
"Massachusetts Taxes",MIN(Q164,15000)*0.0143,
"Michigan Taxes",MIN(Q164,9500)*0.027,
"Minnesota Taxes",MIN(Q164,35000)*0.001,
"Mississippi Taxes",MIN(Q164,14000)*0.01,
"Missouri Taxes",MIN(Q164,13500)*0.027,
"Montana Taxes",MIN(Q164,34500)*0.0013,
"Nebraska Taxes",MIN(Q164,9000)*0.0125,
"Nevada Taxes",MIN(Q164,33100)*0.0295,
"New Hampshire Taxes",MIN(Q164,14000)*0.027,
"New Jersey Taxes",MIN(Q164,35700)*0.031,
"New Mexico Taxes",MIN(Q164,25400)*0.01,
"New York Taxes",MIN(Q164,11500)*0.026,
"North Carolina Taxes",MIN(Q164,25400)*0.01,
"North Dakota Taxes",MIN(Q164,39200)*0.0113,
"Ohio Taxes",MIN(Q164,9000)*0.027,
"Oklahoma Taxes",MIN(Q164,17500)*0.015,
"Oregon Taxes",MIN(Q164,43000)*0.021,
"Pennsylvania Taxes",MIN(Q164,10000)*0.03822,
"Rhode Island Taxes",MIN(Q164,24000)*0.0109,
"South Carolina Taxes",MIN(Q164,14000)*0.0045,
"South Dakota Taxes",MIN(Q164,15000)*0.012,
"Tennessee Taxes",MIN(Q164,7000)*0.027,
"Texas Taxes",MIN(Q164,9000)*0.027,
"Utah Taxes",MIN(Q164,35700)*0.003,
"Vermont Taxes",MIN(Q164,16000)*0.01,
"Virginia Taxes",MIN(Q164,8000)*0.025,
"Washington Taxes",MIN(Q164,56200)*0.0125,
"West Virginia Taxes",MIN(Q164,12000)*0.027,
"Wisconsin Taxes",MIN(Q164,14000)*0.0305,
"Wyoming Taxes",MIN(Q164,25800)*0.018
),
C$1=2024,
_xlfn.SWITCH(
Q169,
"Alabama Taxes",MIN(Q164,8000)*0.027,
"Alaska Taxes",MIN(Q164,41500)*0.0237,
"Arizona Taxes",MIN(Q164,7000)*0.02,
"Arkansas Taxes",MIN(Q164,12000)*0.031,
"California Taxes",MIN(Q164,7000)*0.034,
"Colorado Taxes",MIN(Q164,13800)*0.017,
"Connecticut Taxes",MIN(Q164,15000)*0.028,
"Delaware Taxes",MIN(Q164,8500)*0.001,
"District of Columbia Taxes",MIN(Q164,9000)*0.027,
"Florida Taxes",MIN(Q164,7000)*0.027,
"Georgia Taxes",MIN(Q164,9500)*0.027,
"Hawaii Taxes",MIN(Q164,46800)*0.04,
"Idaho Taxes",MIN(Q164,41500)*0.01071,
"Illinois Taxes",MIN(Q164,12900)*0.0395,
"Indiana Taxes",MIN(Q164,9500)*0.025,
"Iowa Taxes",MIN(Q164,29500)*0.01,
"Kansas Taxes",MIN(Q164,14000)*0.027,
"Kentucky Taxes",MIN(Q164,11000)*0.027,
"Louisiana Taxes",MIN(Q164,7500)*0.0009,
"Maine Taxes",MIN(Q164,12000)*0.0219,
"Maryland Taxes",MIN(Q164,8500)*0.023,
"Massachusetts Taxes",MIN(Q164,15000)*0.0143,
"Michigan Taxes",MIN(Q164,9500)*0.027,
"Minnesota Taxes",MIN(Q164,35000)*0.001,
"Mississippi Taxes",MIN(Q164,14000)*0.01,
"Missouri Taxes",MIN(Q164,13500)*0.027,
"Montana Taxes",MIN(Q164,34500)*0.0013,
"Nebraska Taxes",MIN(Q164,9000)*0.0125,
"Nevada Taxes",MIN(Q164,33100)*0.0295,
"New Hampshire Taxes",MIN(Q164,14000)*0.027,
"New Jersey Taxes",MIN(Q164,35700)*0.031,
"New Mexico Taxes",MIN(Q164,25400)*0.01,
"New York Taxes",MIN(Q164,11500)*0.026,
"North Carolina Taxes",MIN(Q164,25400)*0.01,
"North Dakota Taxes",MIN(Q164,39200)*0.0113,
"Ohio Taxes",MIN(Q164,9000)*0.027,
"Oklahoma Taxes",MIN(Q164,17500)*0.015,
"Oregon Taxes",MIN(Q164,43000)*0.021,
"Pennsylvania Taxes",MIN(Q164,10000)*0.03822,
"Rhode Island Taxes",MIN(Q164,24000)*0.0109,
"South Carolina Taxes",MIN(Q164,14000)*0.0045,
"South Dakota Taxes",MIN(Q164,15000)*0.012,
"Tennessee Taxes",MIN(Q164,7000)*0.027,
"Texas Taxes",MIN(Q164,9000)*0.027,
"Utah Taxes",MIN(Q164,35700)*0.003,
"Vermont Taxes",MIN(Q164,16000)*0.01,
"Virginia Taxes",MIN(Q164,8000)*0.025,
"Washington Taxes",MIN(Q164,56200)*0.0125,
"West Virginia Taxes",MIN(Q164,12000)*0.027,
"Wisconsin Taxes",MIN(Q164,14000)*0.0305,
"Wyoming Taxes",MIN(Q164,25800)*0.018
)
),0))</f>
        <v>0</v>
      </c>
      <c r="R172" s="102" cm="1">
        <f t="array" ref="R172">IF(R163="W-2",0,_xlfn.IFNA(_xlfn.IFS(
D$1=2022,
_xlfn.SWITCH(
R169,
"Alabama Taxes",MIN(R164,8000)*0.027,
"Alaska Taxes",MIN(R164,45200)*0.0237,
"Arizona Taxes",MIN(R164,7000)*0.02,
"Arkansas Taxes",MIN(R164,10000)*0.031,
"California Taxes",MIN(R164,7000)*0.034,
"Colorado Taxes",MIN(R164,17000)*0.017,
"Connecticut Taxes",MIN(R164,15000)*0.03,
"Delaware Taxes",MIN(R164,16500)*0.018,
"District of Columbia Taxes",MIN(R164,9000)*0.027,
"Florida Taxes",MIN(R164,7000)*0.027,
"Georgia Taxes",MIN(R164,9500)*0.0264,
"Hawaii Taxes",MIN(R164,51600)*0.03,
"Idaho Taxes",MIN(R164,46500)*0.0097,
"Illinois Taxes",MIN(R164,12960)*0.03525,
"Indiana Taxes",MIN(R164,9500)*0.025,
"Iowa Taxes",MIN(R164,34800)*0.01,
"Kansas Taxes",MIN(R164,14000)*0.027,
"Kentucky Taxes",MIN(R164,11100)*0.027,
"Louisiana Taxes",MIN(R164,7700)*0.027,
"Maine Taxes",MIN(R164,12000)*0.0224,
"Maryland Taxes",MIN(R164,8500)*0.026,
"Massachusetts Taxes",MIN(R164,15000)*0.0242,
"Michigan Taxes",MIN(R164,9500)*0.027,
"Minnesota Taxes",MIN(R164,38000)*0.027,
"Mississippi Taxes",MIN(R164,14000)*0.01,
"Missouri Taxes",MIN(R164,11000)*0.02376,
"Montana Taxes",MIN(R164,38100)*0.027,
"Nebraska Taxes",MIN(R164,24000)*0.0125,
"Nevada Taxes",MIN(R164,36600)*0.0295,
"New Hampshire Taxes",MIN(R164,14000)*0.027,
"New Jersey Taxes",MIN(R164,39800)*0.028,
"New Mexico Taxes",MIN(R164,28700)*0.01,
"New York Taxes",MIN(R164,12000)*0.03125,
"North Carolina Taxes",MIN(R164,28000)*0.01,
"North Dakota Taxes",MIN(R164,38400)*0.0102,
"Ohio Taxes",MIN(R164,9000)*0.027,
"Oklahoma Taxes",MIN(R164,24800)*0.015,
"Oregon Taxes",MIN(R164,47700)*0.024,
"Pennsylvania Taxes",MIN(R164,10000)*0.03689,
"Rhode Island Taxes",MIN(R164,24600)*0.0098,
"South Carolina Taxes",MIN(R164,14000)*0.0049,
"South Dakota Taxes",MIN(R164,15000)*0.012,
"Tennessee Taxes",MIN(R164,7000)*0.027,
"Texas Taxes",MIN(R164,9000)*0.027,
"Utah Taxes",MIN(R164,41600)*0.027,
"Vermont Taxes",MIN(R164,15500)*0.01,
"Virginia Taxes",MIN(R164,8000)*0.0273,
"Washington Taxes",MIN(R164,62500)*0.027,
"West Virginia Taxes",MIN(R164,12000)*0.027,
"Wisconsin Taxes",MIN(R164,14000)*0.0305,
"Wyoming Taxes",MIN(R164,27700)*0.027
),
D$1=2023,
_xlfn.SWITCH(
R169,
"Alabama Taxes",MIN(R164,8000)*0.027,
"Alaska Taxes",MIN(R164,41500)*0.0237,
"Arizona Taxes",MIN(R164,7000)*0.02,
"Arkansas Taxes",MIN(R164,12000)*0.031,
"California Taxes",MIN(R164,7000)*0.034,
"Colorado Taxes",MIN(R164,13800)*0.017,
"Connecticut Taxes",MIN(R164,15000)*0.028,
"Delaware Taxes",MIN(R164,8500)*0.001,
"District of Columbia Taxes",MIN(R164,9000)*0.027,
"Florida Taxes",MIN(R164,7000)*0.027,
"Georgia Taxes",MIN(R164,9500)*0.027,
"Hawaii Taxes",MIN(R164,46800)*0.04,
"Idaho Taxes",MIN(R164,41500)*0.01071,
"Illinois Taxes",MIN(R164,12900)*0.0395,
"Indiana Taxes",MIN(R164,9500)*0.025,
"Iowa Taxes",MIN(R164,29500)*0.01,
"Kansas Taxes",MIN(R164,14000)*0.027,
"Kentucky Taxes",MIN(R164,11000)*0.027,
"Louisiana Taxes",MIN(R164,7500)*0.0009,
"Maine Taxes",MIN(R164,12000)*0.0219,
"Maryland Taxes",MIN(R164,8500)*0.023,
"Massachusetts Taxes",MIN(R164,15000)*0.0143,
"Michigan Taxes",MIN(R164,9500)*0.027,
"Minnesota Taxes",MIN(R164,35000)*0.001,
"Mississippi Taxes",MIN(R164,14000)*0.01,
"Missouri Taxes",MIN(R164,13500)*0.027,
"Montana Taxes",MIN(R164,34500)*0.0013,
"Nebraska Taxes",MIN(R164,9000)*0.0125,
"Nevada Taxes",MIN(R164,33100)*0.0295,
"New Hampshire Taxes",MIN(R164,14000)*0.027,
"New Jersey Taxes",MIN(R164,35700)*0.031,
"New Mexico Taxes",MIN(R164,25400)*0.01,
"New York Taxes",MIN(R164,11500)*0.026,
"North Carolina Taxes",MIN(R164,25400)*0.01,
"North Dakota Taxes",MIN(R164,39200)*0.0113,
"Ohio Taxes",MIN(R164,9000)*0.027,
"Oklahoma Taxes",MIN(R164,17500)*0.015,
"Oregon Taxes",MIN(R164,43000)*0.021,
"Pennsylvania Taxes",MIN(R164,10000)*0.03822,
"Rhode Island Taxes",MIN(R164,24000)*0.0109,
"South Carolina Taxes",MIN(R164,14000)*0.0045,
"South Dakota Taxes",MIN(R164,15000)*0.012,
"Tennessee Taxes",MIN(R164,7000)*0.027,
"Texas Taxes",MIN(R164,9000)*0.027,
"Utah Taxes",MIN(R164,35700)*0.003,
"Vermont Taxes",MIN(R164,16000)*0.01,
"Virginia Taxes",MIN(R164,8000)*0.025,
"Washington Taxes",MIN(R164,56200)*0.0125,
"West Virginia Taxes",MIN(R164,12000)*0.027,
"Wisconsin Taxes",MIN(R164,14000)*0.0305,
"Wyoming Taxes",MIN(R164,25800)*0.018
),
D$1=2024,
_xlfn.SWITCH(
R169,
"Alabama Taxes",MIN(R164,8000)*0.027,
"Alaska Taxes",MIN(R164,41500)*0.0237,
"Arizona Taxes",MIN(R164,7000)*0.02,
"Arkansas Taxes",MIN(R164,12000)*0.031,
"California Taxes",MIN(R164,7000)*0.034,
"Colorado Taxes",MIN(R164,13800)*0.017,
"Connecticut Taxes",MIN(R164,15000)*0.028,
"Delaware Taxes",MIN(R164,8500)*0.001,
"District of Columbia Taxes",MIN(R164,9000)*0.027,
"Florida Taxes",MIN(R164,7000)*0.027,
"Georgia Taxes",MIN(R164,9500)*0.027,
"Hawaii Taxes",MIN(R164,46800)*0.04,
"Idaho Taxes",MIN(R164,41500)*0.01071,
"Illinois Taxes",MIN(R164,12900)*0.0395,
"Indiana Taxes",MIN(R164,9500)*0.025,
"Iowa Taxes",MIN(R164,29500)*0.01,
"Kansas Taxes",MIN(R164,14000)*0.027,
"Kentucky Taxes",MIN(R164,11000)*0.027,
"Louisiana Taxes",MIN(R164,7500)*0.0009,
"Maine Taxes",MIN(R164,12000)*0.0219,
"Maryland Taxes",MIN(R164,8500)*0.023,
"Massachusetts Taxes",MIN(R164,15000)*0.0143,
"Michigan Taxes",MIN(R164,9500)*0.027,
"Minnesota Taxes",MIN(R164,35000)*0.001,
"Mississippi Taxes",MIN(R164,14000)*0.01,
"Missouri Taxes",MIN(R164,13500)*0.027,
"Montana Taxes",MIN(R164,34500)*0.0013,
"Nebraska Taxes",MIN(R164,9000)*0.0125,
"Nevada Taxes",MIN(R164,33100)*0.0295,
"New Hampshire Taxes",MIN(R164,14000)*0.027,
"New Jersey Taxes",MIN(R164,35700)*0.031,
"New Mexico Taxes",MIN(R164,25400)*0.01,
"New York Taxes",MIN(R164,11500)*0.026,
"North Carolina Taxes",MIN(R164,25400)*0.01,
"North Dakota Taxes",MIN(R164,39200)*0.0113,
"Ohio Taxes",MIN(R164,9000)*0.027,
"Oklahoma Taxes",MIN(R164,17500)*0.015,
"Oregon Taxes",MIN(R164,43000)*0.021,
"Pennsylvania Taxes",MIN(R164,10000)*0.03822,
"Rhode Island Taxes",MIN(R164,24000)*0.0109,
"South Carolina Taxes",MIN(R164,14000)*0.0045,
"South Dakota Taxes",MIN(R164,15000)*0.012,
"Tennessee Taxes",MIN(R164,7000)*0.027,
"Texas Taxes",MIN(R164,9000)*0.027,
"Utah Taxes",MIN(R164,35700)*0.003,
"Vermont Taxes",MIN(R164,16000)*0.01,
"Virginia Taxes",MIN(R164,8000)*0.025,
"Washington Taxes",MIN(R164,56200)*0.0125,
"West Virginia Taxes",MIN(R164,12000)*0.027,
"Wisconsin Taxes",MIN(R164,14000)*0.0305,
"Wyoming Taxes",MIN(R164,25800)*0.018
)
),0))</f>
        <v>0</v>
      </c>
      <c r="S172" s="102" cm="1">
        <f t="array" ref="S172">IF(S163="W-2",0,_xlfn.IFNA(_xlfn.IFS(
E$1=2022,
_xlfn.SWITCH(
S169,
"Alabama Taxes",MIN(S164,8000)*0.027,
"Alaska Taxes",MIN(S164,45200)*0.0237,
"Arizona Taxes",MIN(S164,7000)*0.02,
"Arkansas Taxes",MIN(S164,10000)*0.031,
"California Taxes",MIN(S164,7000)*0.034,
"Colorado Taxes",MIN(S164,17000)*0.017,
"Connecticut Taxes",MIN(S164,15000)*0.03,
"Delaware Taxes",MIN(S164,16500)*0.018,
"District of Columbia Taxes",MIN(S164,9000)*0.027,
"Florida Taxes",MIN(S164,7000)*0.027,
"Georgia Taxes",MIN(S164,9500)*0.0264,
"Hawaii Taxes",MIN(S164,51600)*0.03,
"Idaho Taxes",MIN(S164,46500)*0.0097,
"Illinois Taxes",MIN(S164,12960)*0.03525,
"Indiana Taxes",MIN(S164,9500)*0.025,
"Iowa Taxes",MIN(S164,34800)*0.01,
"Kansas Taxes",MIN(S164,14000)*0.027,
"Kentucky Taxes",MIN(S164,11100)*0.027,
"Louisiana Taxes",MIN(S164,7700)*0.027,
"Maine Taxes",MIN(S164,12000)*0.0224,
"Maryland Taxes",MIN(S164,8500)*0.026,
"Massachusetts Taxes",MIN(S164,15000)*0.0242,
"Michigan Taxes",MIN(S164,9500)*0.027,
"Minnesota Taxes",MIN(S164,38000)*0.027,
"Mississippi Taxes",MIN(S164,14000)*0.01,
"Missouri Taxes",MIN(S164,11000)*0.02376,
"Montana Taxes",MIN(S164,38100)*0.027,
"Nebraska Taxes",MIN(S164,24000)*0.0125,
"Nevada Taxes",MIN(S164,36600)*0.0295,
"New Hampshire Taxes",MIN(S164,14000)*0.027,
"New Jersey Taxes",MIN(S164,39800)*0.028,
"New Mexico Taxes",MIN(S164,28700)*0.01,
"New York Taxes",MIN(S164,12000)*0.03125,
"North Carolina Taxes",MIN(S164,28000)*0.01,
"North Dakota Taxes",MIN(S164,38400)*0.0102,
"Ohio Taxes",MIN(S164,9000)*0.027,
"Oklahoma Taxes",MIN(S164,24800)*0.015,
"Oregon Taxes",MIN(S164,47700)*0.024,
"Pennsylvania Taxes",MIN(S164,10000)*0.03689,
"Rhode Island Taxes",MIN(S164,24600)*0.0098,
"South Carolina Taxes",MIN(S164,14000)*0.0049,
"South Dakota Taxes",MIN(S164,15000)*0.012,
"Tennessee Taxes",MIN(S164,7000)*0.027,
"Texas Taxes",MIN(S164,9000)*0.027,
"Utah Taxes",MIN(S164,41600)*0.027,
"Vermont Taxes",MIN(S164,15500)*0.01,
"Virginia Taxes",MIN(S164,8000)*0.0273,
"Washington Taxes",MIN(S164,62500)*0.027,
"West Virginia Taxes",MIN(S164,12000)*0.027,
"Wisconsin Taxes",MIN(S164,14000)*0.0305,
"Wyoming Taxes",MIN(S164,27700)*0.027
),
E$1=2023,
_xlfn.SWITCH(
S169,
"Alabama Taxes",MIN(S164,8000)*0.027,
"Alaska Taxes",MIN(S164,41500)*0.0237,
"Arizona Taxes",MIN(S164,7000)*0.02,
"Arkansas Taxes",MIN(S164,12000)*0.031,
"California Taxes",MIN(S164,7000)*0.034,
"Colorado Taxes",MIN(S164,13800)*0.017,
"Connecticut Taxes",MIN(S164,15000)*0.028,
"Delaware Taxes",MIN(S164,8500)*0.001,
"District of Columbia Taxes",MIN(S164,9000)*0.027,
"Florida Taxes",MIN(S164,7000)*0.027,
"Georgia Taxes",MIN(S164,9500)*0.027,
"Hawaii Taxes",MIN(S164,46800)*0.04,
"Idaho Taxes",MIN(S164,41500)*0.01071,
"Illinois Taxes",MIN(S164,12900)*0.0395,
"Indiana Taxes",MIN(S164,9500)*0.025,
"Iowa Taxes",MIN(S164,29500)*0.01,
"Kansas Taxes",MIN(S164,14000)*0.027,
"Kentucky Taxes",MIN(S164,11000)*0.027,
"Louisiana Taxes",MIN(S164,7500)*0.0009,
"Maine Taxes",MIN(S164,12000)*0.0219,
"Maryland Taxes",MIN(S164,8500)*0.023,
"Massachusetts Taxes",MIN(S164,15000)*0.0143,
"Michigan Taxes",MIN(S164,9500)*0.027,
"Minnesota Taxes",MIN(S164,35000)*0.001,
"Mississippi Taxes",MIN(S164,14000)*0.01,
"Missouri Taxes",MIN(S164,13500)*0.027,
"Montana Taxes",MIN(S164,34500)*0.0013,
"Nebraska Taxes",MIN(S164,9000)*0.0125,
"Nevada Taxes",MIN(S164,33100)*0.0295,
"New Hampshire Taxes",MIN(S164,14000)*0.027,
"New Jersey Taxes",MIN(S164,35700)*0.031,
"New Mexico Taxes",MIN(S164,25400)*0.01,
"New York Taxes",MIN(S164,11500)*0.026,
"North Carolina Taxes",MIN(S164,25400)*0.01,
"North Dakota Taxes",MIN(S164,39200)*0.0113,
"Ohio Taxes",MIN(S164,9000)*0.027,
"Oklahoma Taxes",MIN(S164,17500)*0.015,
"Oregon Taxes",MIN(S164,43000)*0.021,
"Pennsylvania Taxes",MIN(S164,10000)*0.03822,
"Rhode Island Taxes",MIN(S164,24000)*0.0109,
"South Carolina Taxes",MIN(S164,14000)*0.0045,
"South Dakota Taxes",MIN(S164,15000)*0.012,
"Tennessee Taxes",MIN(S164,7000)*0.027,
"Texas Taxes",MIN(S164,9000)*0.027,
"Utah Taxes",MIN(S164,35700)*0.003,
"Vermont Taxes",MIN(S164,16000)*0.01,
"Virginia Taxes",MIN(S164,8000)*0.025,
"Washington Taxes",MIN(S164,56200)*0.0125,
"West Virginia Taxes",MIN(S164,12000)*0.027,
"Wisconsin Taxes",MIN(S164,14000)*0.0305,
"Wyoming Taxes",MIN(S164,25800)*0.018
),
E$1=2024,
_xlfn.SWITCH(
S169,
"Alabama Taxes",MIN(S164,8000)*0.027,
"Alaska Taxes",MIN(S164,41500)*0.0237,
"Arizona Taxes",MIN(S164,7000)*0.02,
"Arkansas Taxes",MIN(S164,12000)*0.031,
"California Taxes",MIN(S164,7000)*0.034,
"Colorado Taxes",MIN(S164,13800)*0.017,
"Connecticut Taxes",MIN(S164,15000)*0.028,
"Delaware Taxes",MIN(S164,8500)*0.001,
"District of Columbia Taxes",MIN(S164,9000)*0.027,
"Florida Taxes",MIN(S164,7000)*0.027,
"Georgia Taxes",MIN(S164,9500)*0.027,
"Hawaii Taxes",MIN(S164,46800)*0.04,
"Idaho Taxes",MIN(S164,41500)*0.01071,
"Illinois Taxes",MIN(S164,12900)*0.0395,
"Indiana Taxes",MIN(S164,9500)*0.025,
"Iowa Taxes",MIN(S164,29500)*0.01,
"Kansas Taxes",MIN(S164,14000)*0.027,
"Kentucky Taxes",MIN(S164,11000)*0.027,
"Louisiana Taxes",MIN(S164,7500)*0.0009,
"Maine Taxes",MIN(S164,12000)*0.0219,
"Maryland Taxes",MIN(S164,8500)*0.023,
"Massachusetts Taxes",MIN(S164,15000)*0.0143,
"Michigan Taxes",MIN(S164,9500)*0.027,
"Minnesota Taxes",MIN(S164,35000)*0.001,
"Mississippi Taxes",MIN(S164,14000)*0.01,
"Missouri Taxes",MIN(S164,13500)*0.027,
"Montana Taxes",MIN(S164,34500)*0.0013,
"Nebraska Taxes",MIN(S164,9000)*0.0125,
"Nevada Taxes",MIN(S164,33100)*0.0295,
"New Hampshire Taxes",MIN(S164,14000)*0.027,
"New Jersey Taxes",MIN(S164,35700)*0.031,
"New Mexico Taxes",MIN(S164,25400)*0.01,
"New York Taxes",MIN(S164,11500)*0.026,
"North Carolina Taxes",MIN(S164,25400)*0.01,
"North Dakota Taxes",MIN(S164,39200)*0.0113,
"Ohio Taxes",MIN(S164,9000)*0.027,
"Oklahoma Taxes",MIN(S164,17500)*0.015,
"Oregon Taxes",MIN(S164,43000)*0.021,
"Pennsylvania Taxes",MIN(S164,10000)*0.03822,
"Rhode Island Taxes",MIN(S164,24000)*0.0109,
"South Carolina Taxes",MIN(S164,14000)*0.0045,
"South Dakota Taxes",MIN(S164,15000)*0.012,
"Tennessee Taxes",MIN(S164,7000)*0.027,
"Texas Taxes",MIN(S164,9000)*0.027,
"Utah Taxes",MIN(S164,35700)*0.003,
"Vermont Taxes",MIN(S164,16000)*0.01,
"Virginia Taxes",MIN(S164,8000)*0.025,
"Washington Taxes",MIN(S164,56200)*0.0125,
"West Virginia Taxes",MIN(S164,12000)*0.027,
"Wisconsin Taxes",MIN(S164,14000)*0.0305,
"Wyoming Taxes",MIN(S164,25800)*0.018
)
),0))</f>
        <v>0</v>
      </c>
      <c r="T172" s="102" cm="1">
        <f t="array" ref="T172">IF(T163="W-2",0,_xlfn.IFNA(_xlfn.IFS(
F$1=2022,
_xlfn.SWITCH(
T169,
"Alabama Taxes",MIN(T164,8000)*0.027,
"Alaska Taxes",MIN(T164,45200)*0.0237,
"Arizona Taxes",MIN(T164,7000)*0.02,
"Arkansas Taxes",MIN(T164,10000)*0.031,
"California Taxes",MIN(T164,7000)*0.034,
"Colorado Taxes",MIN(T164,17000)*0.017,
"Connecticut Taxes",MIN(T164,15000)*0.03,
"Delaware Taxes",MIN(T164,16500)*0.018,
"District of Columbia Taxes",MIN(T164,9000)*0.027,
"Florida Taxes",MIN(T164,7000)*0.027,
"Georgia Taxes",MIN(T164,9500)*0.0264,
"Hawaii Taxes",MIN(T164,51600)*0.03,
"Idaho Taxes",MIN(T164,46500)*0.0097,
"Illinois Taxes",MIN(T164,12960)*0.03525,
"Indiana Taxes",MIN(T164,9500)*0.025,
"Iowa Taxes",MIN(T164,34800)*0.01,
"Kansas Taxes",MIN(T164,14000)*0.027,
"Kentucky Taxes",MIN(T164,11100)*0.027,
"Louisiana Taxes",MIN(T164,7700)*0.027,
"Maine Taxes",MIN(T164,12000)*0.0224,
"Maryland Taxes",MIN(T164,8500)*0.026,
"Massachusetts Taxes",MIN(T164,15000)*0.0242,
"Michigan Taxes",MIN(T164,9500)*0.027,
"Minnesota Taxes",MIN(T164,38000)*0.027,
"Mississippi Taxes",MIN(T164,14000)*0.01,
"Missouri Taxes",MIN(T164,11000)*0.02376,
"Montana Taxes",MIN(T164,38100)*0.027,
"Nebraska Taxes",MIN(T164,24000)*0.0125,
"Nevada Taxes",MIN(T164,36600)*0.0295,
"New Hampshire Taxes",MIN(T164,14000)*0.027,
"New Jersey Taxes",MIN(T164,39800)*0.028,
"New Mexico Taxes",MIN(T164,28700)*0.01,
"New York Taxes",MIN(T164,12000)*0.03125,
"North Carolina Taxes",MIN(T164,28000)*0.01,
"North Dakota Taxes",MIN(T164,38400)*0.0102,
"Ohio Taxes",MIN(T164,9000)*0.027,
"Oklahoma Taxes",MIN(T164,24800)*0.015,
"Oregon Taxes",MIN(T164,47700)*0.024,
"Pennsylvania Taxes",MIN(T164,10000)*0.03689,
"Rhode Island Taxes",MIN(T164,24600)*0.0098,
"South Carolina Taxes",MIN(T164,14000)*0.0049,
"South Dakota Taxes",MIN(T164,15000)*0.012,
"Tennessee Taxes",MIN(T164,7000)*0.027,
"Texas Taxes",MIN(T164,9000)*0.027,
"Utah Taxes",MIN(T164,41600)*0.027,
"Vermont Taxes",MIN(T164,15500)*0.01,
"Virginia Taxes",MIN(T164,8000)*0.0273,
"Washington Taxes",MIN(T164,62500)*0.027,
"West Virginia Taxes",MIN(T164,12000)*0.027,
"Wisconsin Taxes",MIN(T164,14000)*0.0305,
"Wyoming Taxes",MIN(T164,27700)*0.027
),
F$1=2023,
_xlfn.SWITCH(
T169,
"Alabama Taxes",MIN(T164,8000)*0.027,
"Alaska Taxes",MIN(T164,41500)*0.0237,
"Arizona Taxes",MIN(T164,7000)*0.02,
"Arkansas Taxes",MIN(T164,12000)*0.031,
"California Taxes",MIN(T164,7000)*0.034,
"Colorado Taxes",MIN(T164,13800)*0.017,
"Connecticut Taxes",MIN(T164,15000)*0.028,
"Delaware Taxes",MIN(T164,8500)*0.001,
"District of Columbia Taxes",MIN(T164,9000)*0.027,
"Florida Taxes",MIN(T164,7000)*0.027,
"Georgia Taxes",MIN(T164,9500)*0.027,
"Hawaii Taxes",MIN(T164,46800)*0.04,
"Idaho Taxes",MIN(T164,41500)*0.01071,
"Illinois Taxes",MIN(T164,12900)*0.0395,
"Indiana Taxes",MIN(T164,9500)*0.025,
"Iowa Taxes",MIN(T164,29500)*0.01,
"Kansas Taxes",MIN(T164,14000)*0.027,
"Kentucky Taxes",MIN(T164,11000)*0.027,
"Louisiana Taxes",MIN(T164,7500)*0.0009,
"Maine Taxes",MIN(T164,12000)*0.0219,
"Maryland Taxes",MIN(T164,8500)*0.023,
"Massachusetts Taxes",MIN(T164,15000)*0.0143,
"Michigan Taxes",MIN(T164,9500)*0.027,
"Minnesota Taxes",MIN(T164,35000)*0.001,
"Mississippi Taxes",MIN(T164,14000)*0.01,
"Missouri Taxes",MIN(T164,13500)*0.027,
"Montana Taxes",MIN(T164,34500)*0.0013,
"Nebraska Taxes",MIN(T164,9000)*0.0125,
"Nevada Taxes",MIN(T164,33100)*0.0295,
"New Hampshire Taxes",MIN(T164,14000)*0.027,
"New Jersey Taxes",MIN(T164,35700)*0.031,
"New Mexico Taxes",MIN(T164,25400)*0.01,
"New York Taxes",MIN(T164,11500)*0.026,
"North Carolina Taxes",MIN(T164,25400)*0.01,
"North Dakota Taxes",MIN(T164,39200)*0.0113,
"Ohio Taxes",MIN(T164,9000)*0.027,
"Oklahoma Taxes",MIN(T164,17500)*0.015,
"Oregon Taxes",MIN(T164,43000)*0.021,
"Pennsylvania Taxes",MIN(T164,10000)*0.03822,
"Rhode Island Taxes",MIN(T164,24000)*0.0109,
"South Carolina Taxes",MIN(T164,14000)*0.0045,
"South Dakota Taxes",MIN(T164,15000)*0.012,
"Tennessee Taxes",MIN(T164,7000)*0.027,
"Texas Taxes",MIN(T164,9000)*0.027,
"Utah Taxes",MIN(T164,35700)*0.003,
"Vermont Taxes",MIN(T164,16000)*0.01,
"Virginia Taxes",MIN(T164,8000)*0.025,
"Washington Taxes",MIN(T164,56200)*0.0125,
"West Virginia Taxes",MIN(T164,12000)*0.027,
"Wisconsin Taxes",MIN(T164,14000)*0.0305,
"Wyoming Taxes",MIN(T164,25800)*0.018
),
F$1=2024,
_xlfn.SWITCH(
T169,
"Alabama Taxes",MIN(T164,8000)*0.027,
"Alaska Taxes",MIN(T164,41500)*0.0237,
"Arizona Taxes",MIN(T164,7000)*0.02,
"Arkansas Taxes",MIN(T164,12000)*0.031,
"California Taxes",MIN(T164,7000)*0.034,
"Colorado Taxes",MIN(T164,13800)*0.017,
"Connecticut Taxes",MIN(T164,15000)*0.028,
"Delaware Taxes",MIN(T164,8500)*0.001,
"District of Columbia Taxes",MIN(T164,9000)*0.027,
"Florida Taxes",MIN(T164,7000)*0.027,
"Georgia Taxes",MIN(T164,9500)*0.027,
"Hawaii Taxes",MIN(T164,46800)*0.04,
"Idaho Taxes",MIN(T164,41500)*0.01071,
"Illinois Taxes",MIN(T164,12900)*0.0395,
"Indiana Taxes",MIN(T164,9500)*0.025,
"Iowa Taxes",MIN(T164,29500)*0.01,
"Kansas Taxes",MIN(T164,14000)*0.027,
"Kentucky Taxes",MIN(T164,11000)*0.027,
"Louisiana Taxes",MIN(T164,7500)*0.0009,
"Maine Taxes",MIN(T164,12000)*0.0219,
"Maryland Taxes",MIN(T164,8500)*0.023,
"Massachusetts Taxes",MIN(T164,15000)*0.0143,
"Michigan Taxes",MIN(T164,9500)*0.027,
"Minnesota Taxes",MIN(T164,35000)*0.001,
"Mississippi Taxes",MIN(T164,14000)*0.01,
"Missouri Taxes",MIN(T164,13500)*0.027,
"Montana Taxes",MIN(T164,34500)*0.0013,
"Nebraska Taxes",MIN(T164,9000)*0.0125,
"Nevada Taxes",MIN(T164,33100)*0.0295,
"New Hampshire Taxes",MIN(T164,14000)*0.027,
"New Jersey Taxes",MIN(T164,35700)*0.031,
"New Mexico Taxes",MIN(T164,25400)*0.01,
"New York Taxes",MIN(T164,11500)*0.026,
"North Carolina Taxes",MIN(T164,25400)*0.01,
"North Dakota Taxes",MIN(T164,39200)*0.0113,
"Ohio Taxes",MIN(T164,9000)*0.027,
"Oklahoma Taxes",MIN(T164,17500)*0.015,
"Oregon Taxes",MIN(T164,43000)*0.021,
"Pennsylvania Taxes",MIN(T164,10000)*0.03822,
"Rhode Island Taxes",MIN(T164,24000)*0.0109,
"South Carolina Taxes",MIN(T164,14000)*0.0045,
"South Dakota Taxes",MIN(T164,15000)*0.012,
"Tennessee Taxes",MIN(T164,7000)*0.027,
"Texas Taxes",MIN(T164,9000)*0.027,
"Utah Taxes",MIN(T164,35700)*0.003,
"Vermont Taxes",MIN(T164,16000)*0.01,
"Virginia Taxes",MIN(T164,8000)*0.025,
"Washington Taxes",MIN(T164,56200)*0.0125,
"West Virginia Taxes",MIN(T164,12000)*0.027,
"Wisconsin Taxes",MIN(T164,14000)*0.0305,
"Wyoming Taxes",MIN(T164,25800)*0.018
)
),0))</f>
        <v>0</v>
      </c>
      <c r="U172" s="102" cm="1">
        <f t="array" ref="U172">IF(U163="W-2",0,_xlfn.IFNA(_xlfn.IFS(
G$1=2022,
_xlfn.SWITCH(
U169,
"Alabama Taxes",MIN(U164,8000)*0.027,
"Alaska Taxes",MIN(U164,45200)*0.0237,
"Arizona Taxes",MIN(U164,7000)*0.02,
"Arkansas Taxes",MIN(U164,10000)*0.031,
"California Taxes",MIN(U164,7000)*0.034,
"Colorado Taxes",MIN(U164,17000)*0.017,
"Connecticut Taxes",MIN(U164,15000)*0.03,
"Delaware Taxes",MIN(U164,16500)*0.018,
"District of Columbia Taxes",MIN(U164,9000)*0.027,
"Florida Taxes",MIN(U164,7000)*0.027,
"Georgia Taxes",MIN(U164,9500)*0.0264,
"Hawaii Taxes",MIN(U164,51600)*0.03,
"Idaho Taxes",MIN(U164,46500)*0.0097,
"Illinois Taxes",MIN(U164,12960)*0.03525,
"Indiana Taxes",MIN(U164,9500)*0.025,
"Iowa Taxes",MIN(U164,34800)*0.01,
"Kansas Taxes",MIN(U164,14000)*0.027,
"Kentucky Taxes",MIN(U164,11100)*0.027,
"Louisiana Taxes",MIN(U164,7700)*0.027,
"Maine Taxes",MIN(U164,12000)*0.0224,
"Maryland Taxes",MIN(U164,8500)*0.026,
"Massachusetts Taxes",MIN(U164,15000)*0.0242,
"Michigan Taxes",MIN(U164,9500)*0.027,
"Minnesota Taxes",MIN(U164,38000)*0.027,
"Mississippi Taxes",MIN(U164,14000)*0.01,
"Missouri Taxes",MIN(U164,11000)*0.02376,
"Montana Taxes",MIN(U164,38100)*0.027,
"Nebraska Taxes",MIN(U164,24000)*0.0125,
"Nevada Taxes",MIN(U164,36600)*0.0295,
"New Hampshire Taxes",MIN(U164,14000)*0.027,
"New Jersey Taxes",MIN(U164,39800)*0.028,
"New Mexico Taxes",MIN(U164,28700)*0.01,
"New York Taxes",MIN(U164,12000)*0.03125,
"North Carolina Taxes",MIN(U164,28000)*0.01,
"North Dakota Taxes",MIN(U164,38400)*0.0102,
"Ohio Taxes",MIN(U164,9000)*0.027,
"Oklahoma Taxes",MIN(U164,24800)*0.015,
"Oregon Taxes",MIN(U164,47700)*0.024,
"Pennsylvania Taxes",MIN(U164,10000)*0.03689,
"Rhode Island Taxes",MIN(U164,24600)*0.0098,
"South Carolina Taxes",MIN(U164,14000)*0.0049,
"South Dakota Taxes",MIN(U164,15000)*0.012,
"Tennessee Taxes",MIN(U164,7000)*0.027,
"Texas Taxes",MIN(U164,9000)*0.027,
"Utah Taxes",MIN(U164,41600)*0.027,
"Vermont Taxes",MIN(U164,15500)*0.01,
"Virginia Taxes",MIN(U164,8000)*0.0273,
"Washington Taxes",MIN(U164,62500)*0.027,
"West Virginia Taxes",MIN(U164,12000)*0.027,
"Wisconsin Taxes",MIN(U164,14000)*0.0305,
"Wyoming Taxes",MIN(U164,27700)*0.027
),
G$1=2023,
_xlfn.SWITCH(
U169,
"Alabama Taxes",MIN(U164,8000)*0.027,
"Alaska Taxes",MIN(U164,41500)*0.0237,
"Arizona Taxes",MIN(U164,7000)*0.02,
"Arkansas Taxes",MIN(U164,12000)*0.031,
"California Taxes",MIN(U164,7000)*0.034,
"Colorado Taxes",MIN(U164,13800)*0.017,
"Connecticut Taxes",MIN(U164,15000)*0.028,
"Delaware Taxes",MIN(U164,8500)*0.001,
"District of Columbia Taxes",MIN(U164,9000)*0.027,
"Florida Taxes",MIN(U164,7000)*0.027,
"Georgia Taxes",MIN(U164,9500)*0.027,
"Hawaii Taxes",MIN(U164,46800)*0.04,
"Idaho Taxes",MIN(U164,41500)*0.01071,
"Illinois Taxes",MIN(U164,12900)*0.0395,
"Indiana Taxes",MIN(U164,9500)*0.025,
"Iowa Taxes",MIN(U164,29500)*0.01,
"Kansas Taxes",MIN(U164,14000)*0.027,
"Kentucky Taxes",MIN(U164,11000)*0.027,
"Louisiana Taxes",MIN(U164,7500)*0.0009,
"Maine Taxes",MIN(U164,12000)*0.0219,
"Maryland Taxes",MIN(U164,8500)*0.023,
"Massachusetts Taxes",MIN(U164,15000)*0.0143,
"Michigan Taxes",MIN(U164,9500)*0.027,
"Minnesota Taxes",MIN(U164,35000)*0.001,
"Mississippi Taxes",MIN(U164,14000)*0.01,
"Missouri Taxes",MIN(U164,13500)*0.027,
"Montana Taxes",MIN(U164,34500)*0.0013,
"Nebraska Taxes",MIN(U164,9000)*0.0125,
"Nevada Taxes",MIN(U164,33100)*0.0295,
"New Hampshire Taxes",MIN(U164,14000)*0.027,
"New Jersey Taxes",MIN(U164,35700)*0.031,
"New Mexico Taxes",MIN(U164,25400)*0.01,
"New York Taxes",MIN(U164,11500)*0.026,
"North Carolina Taxes",MIN(U164,25400)*0.01,
"North Dakota Taxes",MIN(U164,39200)*0.0113,
"Ohio Taxes",MIN(U164,9000)*0.027,
"Oklahoma Taxes",MIN(U164,17500)*0.015,
"Oregon Taxes",MIN(U164,43000)*0.021,
"Pennsylvania Taxes",MIN(U164,10000)*0.03822,
"Rhode Island Taxes",MIN(U164,24000)*0.0109,
"South Carolina Taxes",MIN(U164,14000)*0.0045,
"South Dakota Taxes",MIN(U164,15000)*0.012,
"Tennessee Taxes",MIN(U164,7000)*0.027,
"Texas Taxes",MIN(U164,9000)*0.027,
"Utah Taxes",MIN(U164,35700)*0.003,
"Vermont Taxes",MIN(U164,16000)*0.01,
"Virginia Taxes",MIN(U164,8000)*0.025,
"Washington Taxes",MIN(U164,56200)*0.0125,
"West Virginia Taxes",MIN(U164,12000)*0.027,
"Wisconsin Taxes",MIN(U164,14000)*0.0305,
"Wyoming Taxes",MIN(U164,25800)*0.018
),
G$1=2024,
_xlfn.SWITCH(
U169,
"Alabama Taxes",MIN(U164,8000)*0.027,
"Alaska Taxes",MIN(U164,41500)*0.0237,
"Arizona Taxes",MIN(U164,7000)*0.02,
"Arkansas Taxes",MIN(U164,12000)*0.031,
"California Taxes",MIN(U164,7000)*0.034,
"Colorado Taxes",MIN(U164,13800)*0.017,
"Connecticut Taxes",MIN(U164,15000)*0.028,
"Delaware Taxes",MIN(U164,8500)*0.001,
"District of Columbia Taxes",MIN(U164,9000)*0.027,
"Florida Taxes",MIN(U164,7000)*0.027,
"Georgia Taxes",MIN(U164,9500)*0.027,
"Hawaii Taxes",MIN(U164,46800)*0.04,
"Idaho Taxes",MIN(U164,41500)*0.01071,
"Illinois Taxes",MIN(U164,12900)*0.0395,
"Indiana Taxes",MIN(U164,9500)*0.025,
"Iowa Taxes",MIN(U164,29500)*0.01,
"Kansas Taxes",MIN(U164,14000)*0.027,
"Kentucky Taxes",MIN(U164,11000)*0.027,
"Louisiana Taxes",MIN(U164,7500)*0.0009,
"Maine Taxes",MIN(U164,12000)*0.0219,
"Maryland Taxes",MIN(U164,8500)*0.023,
"Massachusetts Taxes",MIN(U164,15000)*0.0143,
"Michigan Taxes",MIN(U164,9500)*0.027,
"Minnesota Taxes",MIN(U164,35000)*0.001,
"Mississippi Taxes",MIN(U164,14000)*0.01,
"Missouri Taxes",MIN(U164,13500)*0.027,
"Montana Taxes",MIN(U164,34500)*0.0013,
"Nebraska Taxes",MIN(U164,9000)*0.0125,
"Nevada Taxes",MIN(U164,33100)*0.0295,
"New Hampshire Taxes",MIN(U164,14000)*0.027,
"New Jersey Taxes",MIN(U164,35700)*0.031,
"New Mexico Taxes",MIN(U164,25400)*0.01,
"New York Taxes",MIN(U164,11500)*0.026,
"North Carolina Taxes",MIN(U164,25400)*0.01,
"North Dakota Taxes",MIN(U164,39200)*0.0113,
"Ohio Taxes",MIN(U164,9000)*0.027,
"Oklahoma Taxes",MIN(U164,17500)*0.015,
"Oregon Taxes",MIN(U164,43000)*0.021,
"Pennsylvania Taxes",MIN(U164,10000)*0.03822,
"Rhode Island Taxes",MIN(U164,24000)*0.0109,
"South Carolina Taxes",MIN(U164,14000)*0.0045,
"South Dakota Taxes",MIN(U164,15000)*0.012,
"Tennessee Taxes",MIN(U164,7000)*0.027,
"Texas Taxes",MIN(U164,9000)*0.027,
"Utah Taxes",MIN(U164,35700)*0.003,
"Vermont Taxes",MIN(U164,16000)*0.01,
"Virginia Taxes",MIN(U164,8000)*0.025,
"Washington Taxes",MIN(U164,56200)*0.0125,
"West Virginia Taxes",MIN(U164,12000)*0.027,
"Wisconsin Taxes",MIN(U164,14000)*0.0305,
"Wyoming Taxes",MIN(U164,25800)*0.018
)
),0))</f>
        <v>0</v>
      </c>
      <c r="V172" s="102" cm="1">
        <f t="array" ref="V172">IF(V163="W-2",0,_xlfn.IFNA(_xlfn.IFS(
H$1=2022,
_xlfn.SWITCH(
V169,
"Alabama Taxes",MIN(V164,8000)*0.027,
"Alaska Taxes",MIN(V164,45200)*0.0237,
"Arizona Taxes",MIN(V164,7000)*0.02,
"Arkansas Taxes",MIN(V164,10000)*0.031,
"California Taxes",MIN(V164,7000)*0.034,
"Colorado Taxes",MIN(V164,17000)*0.017,
"Connecticut Taxes",MIN(V164,15000)*0.03,
"Delaware Taxes",MIN(V164,16500)*0.018,
"District of Columbia Taxes",MIN(V164,9000)*0.027,
"Florida Taxes",MIN(V164,7000)*0.027,
"Georgia Taxes",MIN(V164,9500)*0.0264,
"Hawaii Taxes",MIN(V164,51600)*0.03,
"Idaho Taxes",MIN(V164,46500)*0.0097,
"Illinois Taxes",MIN(V164,12960)*0.03525,
"Indiana Taxes",MIN(V164,9500)*0.025,
"Iowa Taxes",MIN(V164,34800)*0.01,
"Kansas Taxes",MIN(V164,14000)*0.027,
"Kentucky Taxes",MIN(V164,11100)*0.027,
"Louisiana Taxes",MIN(V164,7700)*0.027,
"Maine Taxes",MIN(V164,12000)*0.0224,
"Maryland Taxes",MIN(V164,8500)*0.026,
"Massachusetts Taxes",MIN(V164,15000)*0.0242,
"Michigan Taxes",MIN(V164,9500)*0.027,
"Minnesota Taxes",MIN(V164,38000)*0.027,
"Mississippi Taxes",MIN(V164,14000)*0.01,
"Missouri Taxes",MIN(V164,11000)*0.02376,
"Montana Taxes",MIN(V164,38100)*0.027,
"Nebraska Taxes",MIN(V164,24000)*0.0125,
"Nevada Taxes",MIN(V164,36600)*0.0295,
"New Hampshire Taxes",MIN(V164,14000)*0.027,
"New Jersey Taxes",MIN(V164,39800)*0.028,
"New Mexico Taxes",MIN(V164,28700)*0.01,
"New York Taxes",MIN(V164,12000)*0.03125,
"North Carolina Taxes",MIN(V164,28000)*0.01,
"North Dakota Taxes",MIN(V164,38400)*0.0102,
"Ohio Taxes",MIN(V164,9000)*0.027,
"Oklahoma Taxes",MIN(V164,24800)*0.015,
"Oregon Taxes",MIN(V164,47700)*0.024,
"Pennsylvania Taxes",MIN(V164,10000)*0.03689,
"Rhode Island Taxes",MIN(V164,24600)*0.0098,
"South Carolina Taxes",MIN(V164,14000)*0.0049,
"South Dakota Taxes",MIN(V164,15000)*0.012,
"Tennessee Taxes",MIN(V164,7000)*0.027,
"Texas Taxes",MIN(V164,9000)*0.027,
"Utah Taxes",MIN(V164,41600)*0.027,
"Vermont Taxes",MIN(V164,15500)*0.01,
"Virginia Taxes",MIN(V164,8000)*0.0273,
"Washington Taxes",MIN(V164,62500)*0.027,
"West Virginia Taxes",MIN(V164,12000)*0.027,
"Wisconsin Taxes",MIN(V164,14000)*0.0305,
"Wyoming Taxes",MIN(V164,27700)*0.027
),
H$1=2023,
_xlfn.SWITCH(
V169,
"Alabama Taxes",MIN(V164,8000)*0.027,
"Alaska Taxes",MIN(V164,41500)*0.0237,
"Arizona Taxes",MIN(V164,7000)*0.02,
"Arkansas Taxes",MIN(V164,12000)*0.031,
"California Taxes",MIN(V164,7000)*0.034,
"Colorado Taxes",MIN(V164,13800)*0.017,
"Connecticut Taxes",MIN(V164,15000)*0.028,
"Delaware Taxes",MIN(V164,8500)*0.001,
"District of Columbia Taxes",MIN(V164,9000)*0.027,
"Florida Taxes",MIN(V164,7000)*0.027,
"Georgia Taxes",MIN(V164,9500)*0.027,
"Hawaii Taxes",MIN(V164,46800)*0.04,
"Idaho Taxes",MIN(V164,41500)*0.01071,
"Illinois Taxes",MIN(V164,12900)*0.0395,
"Indiana Taxes",MIN(V164,9500)*0.025,
"Iowa Taxes",MIN(V164,29500)*0.01,
"Kansas Taxes",MIN(V164,14000)*0.027,
"Kentucky Taxes",MIN(V164,11000)*0.027,
"Louisiana Taxes",MIN(V164,7500)*0.0009,
"Maine Taxes",MIN(V164,12000)*0.0219,
"Maryland Taxes",MIN(V164,8500)*0.023,
"Massachusetts Taxes",MIN(V164,15000)*0.0143,
"Michigan Taxes",MIN(V164,9500)*0.027,
"Minnesota Taxes",MIN(V164,35000)*0.001,
"Mississippi Taxes",MIN(V164,14000)*0.01,
"Missouri Taxes",MIN(V164,13500)*0.027,
"Montana Taxes",MIN(V164,34500)*0.0013,
"Nebraska Taxes",MIN(V164,9000)*0.0125,
"Nevada Taxes",MIN(V164,33100)*0.0295,
"New Hampshire Taxes",MIN(V164,14000)*0.027,
"New Jersey Taxes",MIN(V164,35700)*0.031,
"New Mexico Taxes",MIN(V164,25400)*0.01,
"New York Taxes",MIN(V164,11500)*0.026,
"North Carolina Taxes",MIN(V164,25400)*0.01,
"North Dakota Taxes",MIN(V164,39200)*0.0113,
"Ohio Taxes",MIN(V164,9000)*0.027,
"Oklahoma Taxes",MIN(V164,17500)*0.015,
"Oregon Taxes",MIN(V164,43000)*0.021,
"Pennsylvania Taxes",MIN(V164,10000)*0.03822,
"Rhode Island Taxes",MIN(V164,24000)*0.0109,
"South Carolina Taxes",MIN(V164,14000)*0.0045,
"South Dakota Taxes",MIN(V164,15000)*0.012,
"Tennessee Taxes",MIN(V164,7000)*0.027,
"Texas Taxes",MIN(V164,9000)*0.027,
"Utah Taxes",MIN(V164,35700)*0.003,
"Vermont Taxes",MIN(V164,16000)*0.01,
"Virginia Taxes",MIN(V164,8000)*0.025,
"Washington Taxes",MIN(V164,56200)*0.0125,
"West Virginia Taxes",MIN(V164,12000)*0.027,
"Wisconsin Taxes",MIN(V164,14000)*0.0305,
"Wyoming Taxes",MIN(V164,25800)*0.018
),
H$1=2024,
_xlfn.SWITCH(
V169,
"Alabama Taxes",MIN(V164,8000)*0.027,
"Alaska Taxes",MIN(V164,41500)*0.0237,
"Arizona Taxes",MIN(V164,7000)*0.02,
"Arkansas Taxes",MIN(V164,12000)*0.031,
"California Taxes",MIN(V164,7000)*0.034,
"Colorado Taxes",MIN(V164,13800)*0.017,
"Connecticut Taxes",MIN(V164,15000)*0.028,
"Delaware Taxes",MIN(V164,8500)*0.001,
"District of Columbia Taxes",MIN(V164,9000)*0.027,
"Florida Taxes",MIN(V164,7000)*0.027,
"Georgia Taxes",MIN(V164,9500)*0.027,
"Hawaii Taxes",MIN(V164,46800)*0.04,
"Idaho Taxes",MIN(V164,41500)*0.01071,
"Illinois Taxes",MIN(V164,12900)*0.0395,
"Indiana Taxes",MIN(V164,9500)*0.025,
"Iowa Taxes",MIN(V164,29500)*0.01,
"Kansas Taxes",MIN(V164,14000)*0.027,
"Kentucky Taxes",MIN(V164,11000)*0.027,
"Louisiana Taxes",MIN(V164,7500)*0.0009,
"Maine Taxes",MIN(V164,12000)*0.0219,
"Maryland Taxes",MIN(V164,8500)*0.023,
"Massachusetts Taxes",MIN(V164,15000)*0.0143,
"Michigan Taxes",MIN(V164,9500)*0.027,
"Minnesota Taxes",MIN(V164,35000)*0.001,
"Mississippi Taxes",MIN(V164,14000)*0.01,
"Missouri Taxes",MIN(V164,13500)*0.027,
"Montana Taxes",MIN(V164,34500)*0.0013,
"Nebraska Taxes",MIN(V164,9000)*0.0125,
"Nevada Taxes",MIN(V164,33100)*0.0295,
"New Hampshire Taxes",MIN(V164,14000)*0.027,
"New Jersey Taxes",MIN(V164,35700)*0.031,
"New Mexico Taxes",MIN(V164,25400)*0.01,
"New York Taxes",MIN(V164,11500)*0.026,
"North Carolina Taxes",MIN(V164,25400)*0.01,
"North Dakota Taxes",MIN(V164,39200)*0.0113,
"Ohio Taxes",MIN(V164,9000)*0.027,
"Oklahoma Taxes",MIN(V164,17500)*0.015,
"Oregon Taxes",MIN(V164,43000)*0.021,
"Pennsylvania Taxes",MIN(V164,10000)*0.03822,
"Rhode Island Taxes",MIN(V164,24000)*0.0109,
"South Carolina Taxes",MIN(V164,14000)*0.0045,
"South Dakota Taxes",MIN(V164,15000)*0.012,
"Tennessee Taxes",MIN(V164,7000)*0.027,
"Texas Taxes",MIN(V164,9000)*0.027,
"Utah Taxes",MIN(V164,35700)*0.003,
"Vermont Taxes",MIN(V164,16000)*0.01,
"Virginia Taxes",MIN(V164,8000)*0.025,
"Washington Taxes",MIN(V164,56200)*0.0125,
"West Virginia Taxes",MIN(V164,12000)*0.027,
"Wisconsin Taxes",MIN(V164,14000)*0.0305,
"Wyoming Taxes",MIN(V164,25800)*0.018
)
),0))</f>
        <v>0</v>
      </c>
      <c r="W172" s="102" cm="1">
        <f t="array" ref="W172">IF(W163="W-2",0,_xlfn.IFNA(_xlfn.IFS(
I$1=2022,
_xlfn.SWITCH(
W169,
"Alabama Taxes",MIN(W164,8000)*0.027,
"Alaska Taxes",MIN(W164,45200)*0.0237,
"Arizona Taxes",MIN(W164,7000)*0.02,
"Arkansas Taxes",MIN(W164,10000)*0.031,
"California Taxes",MIN(W164,7000)*0.034,
"Colorado Taxes",MIN(W164,17000)*0.017,
"Connecticut Taxes",MIN(W164,15000)*0.03,
"Delaware Taxes",MIN(W164,16500)*0.018,
"District of Columbia Taxes",MIN(W164,9000)*0.027,
"Florida Taxes",MIN(W164,7000)*0.027,
"Georgia Taxes",MIN(W164,9500)*0.0264,
"Hawaii Taxes",MIN(W164,51600)*0.03,
"Idaho Taxes",MIN(W164,46500)*0.0097,
"Illinois Taxes",MIN(W164,12960)*0.03525,
"Indiana Taxes",MIN(W164,9500)*0.025,
"Iowa Taxes",MIN(W164,34800)*0.01,
"Kansas Taxes",MIN(W164,14000)*0.027,
"Kentucky Taxes",MIN(W164,11100)*0.027,
"Louisiana Taxes",MIN(W164,7700)*0.027,
"Maine Taxes",MIN(W164,12000)*0.0224,
"Maryland Taxes",MIN(W164,8500)*0.026,
"Massachusetts Taxes",MIN(W164,15000)*0.0242,
"Michigan Taxes",MIN(W164,9500)*0.027,
"Minnesota Taxes",MIN(W164,38000)*0.027,
"Mississippi Taxes",MIN(W164,14000)*0.01,
"Missouri Taxes",MIN(W164,11000)*0.02376,
"Montana Taxes",MIN(W164,38100)*0.027,
"Nebraska Taxes",MIN(W164,24000)*0.0125,
"Nevada Taxes",MIN(W164,36600)*0.0295,
"New Hampshire Taxes",MIN(W164,14000)*0.027,
"New Jersey Taxes",MIN(W164,39800)*0.028,
"New Mexico Taxes",MIN(W164,28700)*0.01,
"New York Taxes",MIN(W164,12000)*0.03125,
"North Carolina Taxes",MIN(W164,28000)*0.01,
"North Dakota Taxes",MIN(W164,38400)*0.0102,
"Ohio Taxes",MIN(W164,9000)*0.027,
"Oklahoma Taxes",MIN(W164,24800)*0.015,
"Oregon Taxes",MIN(W164,47700)*0.024,
"Pennsylvania Taxes",MIN(W164,10000)*0.03689,
"Rhode Island Taxes",MIN(W164,24600)*0.0098,
"South Carolina Taxes",MIN(W164,14000)*0.0049,
"South Dakota Taxes",MIN(W164,15000)*0.012,
"Tennessee Taxes",MIN(W164,7000)*0.027,
"Texas Taxes",MIN(W164,9000)*0.027,
"Utah Taxes",MIN(W164,41600)*0.027,
"Vermont Taxes",MIN(W164,15500)*0.01,
"Virginia Taxes",MIN(W164,8000)*0.0273,
"Washington Taxes",MIN(W164,62500)*0.027,
"West Virginia Taxes",MIN(W164,12000)*0.027,
"Wisconsin Taxes",MIN(W164,14000)*0.0305,
"Wyoming Taxes",MIN(W164,27700)*0.027
),
I$1=2023,
_xlfn.SWITCH(
W169,
"Alabama Taxes",MIN(W164,8000)*0.027,
"Alaska Taxes",MIN(W164,41500)*0.0237,
"Arizona Taxes",MIN(W164,7000)*0.02,
"Arkansas Taxes",MIN(W164,12000)*0.031,
"California Taxes",MIN(W164,7000)*0.034,
"Colorado Taxes",MIN(W164,13800)*0.017,
"Connecticut Taxes",MIN(W164,15000)*0.028,
"Delaware Taxes",MIN(W164,8500)*0.001,
"District of Columbia Taxes",MIN(W164,9000)*0.027,
"Florida Taxes",MIN(W164,7000)*0.027,
"Georgia Taxes",MIN(W164,9500)*0.027,
"Hawaii Taxes",MIN(W164,46800)*0.04,
"Idaho Taxes",MIN(W164,41500)*0.01071,
"Illinois Taxes",MIN(W164,12900)*0.0395,
"Indiana Taxes",MIN(W164,9500)*0.025,
"Iowa Taxes",MIN(W164,29500)*0.01,
"Kansas Taxes",MIN(W164,14000)*0.027,
"Kentucky Taxes",MIN(W164,11000)*0.027,
"Louisiana Taxes",MIN(W164,7500)*0.0009,
"Maine Taxes",MIN(W164,12000)*0.0219,
"Maryland Taxes",MIN(W164,8500)*0.023,
"Massachusetts Taxes",MIN(W164,15000)*0.0143,
"Michigan Taxes",MIN(W164,9500)*0.027,
"Minnesota Taxes",MIN(W164,35000)*0.001,
"Mississippi Taxes",MIN(W164,14000)*0.01,
"Missouri Taxes",MIN(W164,13500)*0.027,
"Montana Taxes",MIN(W164,34500)*0.0013,
"Nebraska Taxes",MIN(W164,9000)*0.0125,
"Nevada Taxes",MIN(W164,33100)*0.0295,
"New Hampshire Taxes",MIN(W164,14000)*0.027,
"New Jersey Taxes",MIN(W164,35700)*0.031,
"New Mexico Taxes",MIN(W164,25400)*0.01,
"New York Taxes",MIN(W164,11500)*0.026,
"North Carolina Taxes",MIN(W164,25400)*0.01,
"North Dakota Taxes",MIN(W164,39200)*0.0113,
"Ohio Taxes",MIN(W164,9000)*0.027,
"Oklahoma Taxes",MIN(W164,17500)*0.015,
"Oregon Taxes",MIN(W164,43000)*0.021,
"Pennsylvania Taxes",MIN(W164,10000)*0.03822,
"Rhode Island Taxes",MIN(W164,24000)*0.0109,
"South Carolina Taxes",MIN(W164,14000)*0.0045,
"South Dakota Taxes",MIN(W164,15000)*0.012,
"Tennessee Taxes",MIN(W164,7000)*0.027,
"Texas Taxes",MIN(W164,9000)*0.027,
"Utah Taxes",MIN(W164,35700)*0.003,
"Vermont Taxes",MIN(W164,16000)*0.01,
"Virginia Taxes",MIN(W164,8000)*0.025,
"Washington Taxes",MIN(W164,56200)*0.0125,
"West Virginia Taxes",MIN(W164,12000)*0.027,
"Wisconsin Taxes",MIN(W164,14000)*0.0305,
"Wyoming Taxes",MIN(W164,25800)*0.018
),
I$1=2024,
_xlfn.SWITCH(
W169,
"Alabama Taxes",MIN(W164,8000)*0.027,
"Alaska Taxes",MIN(W164,41500)*0.0237,
"Arizona Taxes",MIN(W164,7000)*0.02,
"Arkansas Taxes",MIN(W164,12000)*0.031,
"California Taxes",MIN(W164,7000)*0.034,
"Colorado Taxes",MIN(W164,13800)*0.017,
"Connecticut Taxes",MIN(W164,15000)*0.028,
"Delaware Taxes",MIN(W164,8500)*0.001,
"District of Columbia Taxes",MIN(W164,9000)*0.027,
"Florida Taxes",MIN(W164,7000)*0.027,
"Georgia Taxes",MIN(W164,9500)*0.027,
"Hawaii Taxes",MIN(W164,46800)*0.04,
"Idaho Taxes",MIN(W164,41500)*0.01071,
"Illinois Taxes",MIN(W164,12900)*0.0395,
"Indiana Taxes",MIN(W164,9500)*0.025,
"Iowa Taxes",MIN(W164,29500)*0.01,
"Kansas Taxes",MIN(W164,14000)*0.027,
"Kentucky Taxes",MIN(W164,11000)*0.027,
"Louisiana Taxes",MIN(W164,7500)*0.0009,
"Maine Taxes",MIN(W164,12000)*0.0219,
"Maryland Taxes",MIN(W164,8500)*0.023,
"Massachusetts Taxes",MIN(W164,15000)*0.0143,
"Michigan Taxes",MIN(W164,9500)*0.027,
"Minnesota Taxes",MIN(W164,35000)*0.001,
"Mississippi Taxes",MIN(W164,14000)*0.01,
"Missouri Taxes",MIN(W164,13500)*0.027,
"Montana Taxes",MIN(W164,34500)*0.0013,
"Nebraska Taxes",MIN(W164,9000)*0.0125,
"Nevada Taxes",MIN(W164,33100)*0.0295,
"New Hampshire Taxes",MIN(W164,14000)*0.027,
"New Jersey Taxes",MIN(W164,35700)*0.031,
"New Mexico Taxes",MIN(W164,25400)*0.01,
"New York Taxes",MIN(W164,11500)*0.026,
"North Carolina Taxes",MIN(W164,25400)*0.01,
"North Dakota Taxes",MIN(W164,39200)*0.0113,
"Ohio Taxes",MIN(W164,9000)*0.027,
"Oklahoma Taxes",MIN(W164,17500)*0.015,
"Oregon Taxes",MIN(W164,43000)*0.021,
"Pennsylvania Taxes",MIN(W164,10000)*0.03822,
"Rhode Island Taxes",MIN(W164,24000)*0.0109,
"South Carolina Taxes",MIN(W164,14000)*0.0045,
"South Dakota Taxes",MIN(W164,15000)*0.012,
"Tennessee Taxes",MIN(W164,7000)*0.027,
"Texas Taxes",MIN(W164,9000)*0.027,
"Utah Taxes",MIN(W164,35700)*0.003,
"Vermont Taxes",MIN(W164,16000)*0.01,
"Virginia Taxes",MIN(W164,8000)*0.025,
"Washington Taxes",MIN(W164,56200)*0.0125,
"West Virginia Taxes",MIN(W164,12000)*0.027,
"Wisconsin Taxes",MIN(W164,14000)*0.0305,
"Wyoming Taxes",MIN(W164,25800)*0.018
)
),0))</f>
        <v>0</v>
      </c>
      <c r="X172" s="102" cm="1">
        <f t="array" ref="X172">IF(X163="W-2",0,_xlfn.IFNA(_xlfn.IFS(
J$1=2022,
_xlfn.SWITCH(
X169,
"Alabama Taxes",MIN(X164,8000)*0.027,
"Alaska Taxes",MIN(X164,45200)*0.0237,
"Arizona Taxes",MIN(X164,7000)*0.02,
"Arkansas Taxes",MIN(X164,10000)*0.031,
"California Taxes",MIN(X164,7000)*0.034,
"Colorado Taxes",MIN(X164,17000)*0.017,
"Connecticut Taxes",MIN(X164,15000)*0.03,
"Delaware Taxes",MIN(X164,16500)*0.018,
"District of Columbia Taxes",MIN(X164,9000)*0.027,
"Florida Taxes",MIN(X164,7000)*0.027,
"Georgia Taxes",MIN(X164,9500)*0.0264,
"Hawaii Taxes",MIN(X164,51600)*0.03,
"Idaho Taxes",MIN(X164,46500)*0.0097,
"Illinois Taxes",MIN(X164,12960)*0.03525,
"Indiana Taxes",MIN(X164,9500)*0.025,
"Iowa Taxes",MIN(X164,34800)*0.01,
"Kansas Taxes",MIN(X164,14000)*0.027,
"Kentucky Taxes",MIN(X164,11100)*0.027,
"Louisiana Taxes",MIN(X164,7700)*0.027,
"Maine Taxes",MIN(X164,12000)*0.0224,
"Maryland Taxes",MIN(X164,8500)*0.026,
"Massachusetts Taxes",MIN(X164,15000)*0.0242,
"Michigan Taxes",MIN(X164,9500)*0.027,
"Minnesota Taxes",MIN(X164,38000)*0.027,
"Mississippi Taxes",MIN(X164,14000)*0.01,
"Missouri Taxes",MIN(X164,11000)*0.02376,
"Montana Taxes",MIN(X164,38100)*0.027,
"Nebraska Taxes",MIN(X164,24000)*0.0125,
"Nevada Taxes",MIN(X164,36600)*0.0295,
"New Hampshire Taxes",MIN(X164,14000)*0.027,
"New Jersey Taxes",MIN(X164,39800)*0.028,
"New Mexico Taxes",MIN(X164,28700)*0.01,
"New York Taxes",MIN(X164,12000)*0.03125,
"North Carolina Taxes",MIN(X164,28000)*0.01,
"North Dakota Taxes",MIN(X164,38400)*0.0102,
"Ohio Taxes",MIN(X164,9000)*0.027,
"Oklahoma Taxes",MIN(X164,24800)*0.015,
"Oregon Taxes",MIN(X164,47700)*0.024,
"Pennsylvania Taxes",MIN(X164,10000)*0.03689,
"Rhode Island Taxes",MIN(X164,24600)*0.0098,
"South Carolina Taxes",MIN(X164,14000)*0.0049,
"South Dakota Taxes",MIN(X164,15000)*0.012,
"Tennessee Taxes",MIN(X164,7000)*0.027,
"Texas Taxes",MIN(X164,9000)*0.027,
"Utah Taxes",MIN(X164,41600)*0.027,
"Vermont Taxes",MIN(X164,15500)*0.01,
"Virginia Taxes",MIN(X164,8000)*0.0273,
"Washington Taxes",MIN(X164,62500)*0.027,
"West Virginia Taxes",MIN(X164,12000)*0.027,
"Wisconsin Taxes",MIN(X164,14000)*0.0305,
"Wyoming Taxes",MIN(X164,27700)*0.027
),
J$1=2023,
_xlfn.SWITCH(
X169,
"Alabama Taxes",MIN(X164,8000)*0.027,
"Alaska Taxes",MIN(X164,41500)*0.0237,
"Arizona Taxes",MIN(X164,7000)*0.02,
"Arkansas Taxes",MIN(X164,12000)*0.031,
"California Taxes",MIN(X164,7000)*0.034,
"Colorado Taxes",MIN(X164,13800)*0.017,
"Connecticut Taxes",MIN(X164,15000)*0.028,
"Delaware Taxes",MIN(X164,8500)*0.001,
"District of Columbia Taxes",MIN(X164,9000)*0.027,
"Florida Taxes",MIN(X164,7000)*0.027,
"Georgia Taxes",MIN(X164,9500)*0.027,
"Hawaii Taxes",MIN(X164,46800)*0.04,
"Idaho Taxes",MIN(X164,41500)*0.01071,
"Illinois Taxes",MIN(X164,12900)*0.0395,
"Indiana Taxes",MIN(X164,9500)*0.025,
"Iowa Taxes",MIN(X164,29500)*0.01,
"Kansas Taxes",MIN(X164,14000)*0.027,
"Kentucky Taxes",MIN(X164,11000)*0.027,
"Louisiana Taxes",MIN(X164,7500)*0.0009,
"Maine Taxes",MIN(X164,12000)*0.0219,
"Maryland Taxes",MIN(X164,8500)*0.023,
"Massachusetts Taxes",MIN(X164,15000)*0.0143,
"Michigan Taxes",MIN(X164,9500)*0.027,
"Minnesota Taxes",MIN(X164,35000)*0.001,
"Mississippi Taxes",MIN(X164,14000)*0.01,
"Missouri Taxes",MIN(X164,13500)*0.027,
"Montana Taxes",MIN(X164,34500)*0.0013,
"Nebraska Taxes",MIN(X164,9000)*0.0125,
"Nevada Taxes",MIN(X164,33100)*0.0295,
"New Hampshire Taxes",MIN(X164,14000)*0.027,
"New Jersey Taxes",MIN(X164,35700)*0.031,
"New Mexico Taxes",MIN(X164,25400)*0.01,
"New York Taxes",MIN(X164,11500)*0.026,
"North Carolina Taxes",MIN(X164,25400)*0.01,
"North Dakota Taxes",MIN(X164,39200)*0.0113,
"Ohio Taxes",MIN(X164,9000)*0.027,
"Oklahoma Taxes",MIN(X164,17500)*0.015,
"Oregon Taxes",MIN(X164,43000)*0.021,
"Pennsylvania Taxes",MIN(X164,10000)*0.03822,
"Rhode Island Taxes",MIN(X164,24000)*0.0109,
"South Carolina Taxes",MIN(X164,14000)*0.0045,
"South Dakota Taxes",MIN(X164,15000)*0.012,
"Tennessee Taxes",MIN(X164,7000)*0.027,
"Texas Taxes",MIN(X164,9000)*0.027,
"Utah Taxes",MIN(X164,35700)*0.003,
"Vermont Taxes",MIN(X164,16000)*0.01,
"Virginia Taxes",MIN(X164,8000)*0.025,
"Washington Taxes",MIN(X164,56200)*0.0125,
"West Virginia Taxes",MIN(X164,12000)*0.027,
"Wisconsin Taxes",MIN(X164,14000)*0.0305,
"Wyoming Taxes",MIN(X164,25800)*0.018
),
J$1=2024,
_xlfn.SWITCH(
X169,
"Alabama Taxes",MIN(X164,8000)*0.027,
"Alaska Taxes",MIN(X164,41500)*0.0237,
"Arizona Taxes",MIN(X164,7000)*0.02,
"Arkansas Taxes",MIN(X164,12000)*0.031,
"California Taxes",MIN(X164,7000)*0.034,
"Colorado Taxes",MIN(X164,13800)*0.017,
"Connecticut Taxes",MIN(X164,15000)*0.028,
"Delaware Taxes",MIN(X164,8500)*0.001,
"District of Columbia Taxes",MIN(X164,9000)*0.027,
"Florida Taxes",MIN(X164,7000)*0.027,
"Georgia Taxes",MIN(X164,9500)*0.027,
"Hawaii Taxes",MIN(X164,46800)*0.04,
"Idaho Taxes",MIN(X164,41500)*0.01071,
"Illinois Taxes",MIN(X164,12900)*0.0395,
"Indiana Taxes",MIN(X164,9500)*0.025,
"Iowa Taxes",MIN(X164,29500)*0.01,
"Kansas Taxes",MIN(X164,14000)*0.027,
"Kentucky Taxes",MIN(X164,11000)*0.027,
"Louisiana Taxes",MIN(X164,7500)*0.0009,
"Maine Taxes",MIN(X164,12000)*0.0219,
"Maryland Taxes",MIN(X164,8500)*0.023,
"Massachusetts Taxes",MIN(X164,15000)*0.0143,
"Michigan Taxes",MIN(X164,9500)*0.027,
"Minnesota Taxes",MIN(X164,35000)*0.001,
"Mississippi Taxes",MIN(X164,14000)*0.01,
"Missouri Taxes",MIN(X164,13500)*0.027,
"Montana Taxes",MIN(X164,34500)*0.0013,
"Nebraska Taxes",MIN(X164,9000)*0.0125,
"Nevada Taxes",MIN(X164,33100)*0.0295,
"New Hampshire Taxes",MIN(X164,14000)*0.027,
"New Jersey Taxes",MIN(X164,35700)*0.031,
"New Mexico Taxes",MIN(X164,25400)*0.01,
"New York Taxes",MIN(X164,11500)*0.026,
"North Carolina Taxes",MIN(X164,25400)*0.01,
"North Dakota Taxes",MIN(X164,39200)*0.0113,
"Ohio Taxes",MIN(X164,9000)*0.027,
"Oklahoma Taxes",MIN(X164,17500)*0.015,
"Oregon Taxes",MIN(X164,43000)*0.021,
"Pennsylvania Taxes",MIN(X164,10000)*0.03822,
"Rhode Island Taxes",MIN(X164,24000)*0.0109,
"South Carolina Taxes",MIN(X164,14000)*0.0045,
"South Dakota Taxes",MIN(X164,15000)*0.012,
"Tennessee Taxes",MIN(X164,7000)*0.027,
"Texas Taxes",MIN(X164,9000)*0.027,
"Utah Taxes",MIN(X164,35700)*0.003,
"Vermont Taxes",MIN(X164,16000)*0.01,
"Virginia Taxes",MIN(X164,8000)*0.025,
"Washington Taxes",MIN(X164,56200)*0.0125,
"West Virginia Taxes",MIN(X164,12000)*0.027,
"Wisconsin Taxes",MIN(X164,14000)*0.0305,
"Wyoming Taxes",MIN(X164,25800)*0.018
)
),0))</f>
        <v>0</v>
      </c>
      <c r="Y172" s="102" cm="1">
        <f t="array" ref="Y172">IF(Y163="W-2",0,_xlfn.IFNA(_xlfn.IFS(
Y$156=2022,
_xlfn.SWITCH(
Y169,
"Alabama Taxes",MIN(Y164,8000)*0.027,
"Alaska Taxes",MIN(Y164,45200)*0.0237,
"Arizona Taxes",MIN(Y164,7000)*0.02,
"Arkansas Taxes",MIN(Y164,10000)*0.031,
"California Taxes",MIN(Y164,7000)*0.034,
"Colorado Taxes",MIN(Y164,17000)*0.017,
"Connecticut Taxes",MIN(Y164,15000)*0.03,
"Delaware Taxes",MIN(Y164,16500)*0.018,
"District of Columbia Taxes",MIN(Y164,9000)*0.027,
"Florida Taxes",MIN(Y164,7000)*0.027,
"Georgia Taxes",MIN(Y164,9500)*0.0264,
"Hawaii Taxes",MIN(Y164,51600)*0.03,
"Idaho Taxes",MIN(Y164,46500)*0.0097,
"Illinois Taxes",MIN(Y164,12960)*0.03525,
"Indiana Taxes",MIN(Y164,9500)*0.025,
"Iowa Taxes",MIN(Y164,34800)*0.01,
"Kansas Taxes",MIN(Y164,14000)*0.027,
"Kentucky Taxes",MIN(Y164,11100)*0.027,
"Louisiana Taxes",MIN(Y164,7700)*0.027,
"Maine Taxes",MIN(Y164,12000)*0.0224,
"Maryland Taxes",MIN(Y164,8500)*0.026,
"Massachusetts Taxes",MIN(Y164,15000)*0.0242,
"Michigan Taxes",MIN(Y164,9500)*0.027,
"Minnesota Taxes",MIN(Y164,38000)*0.027,
"Mississippi Taxes",MIN(Y164,14000)*0.01,
"Missouri Taxes",MIN(Y164,11000)*0.02376,
"Montana Taxes",MIN(Y164,38100)*0.027,
"Nebraska Taxes",MIN(Y164,24000)*0.0125,
"Nevada Taxes",MIN(Y164,36600)*0.0295,
"New Hampshire Taxes",MIN(Y164,14000)*0.027,
"New Jersey Taxes",MIN(Y164,39800)*0.028,
"New Mexico Taxes",MIN(Y164,28700)*0.01,
"New York Taxes",MIN(Y164,12000)*0.03125,
"North Carolina Taxes",MIN(Y164,28000)*0.01,
"North Dakota Taxes",MIN(Y164,38400)*0.0102,
"Ohio Taxes",MIN(Y164,9000)*0.027,
"Oklahoma Taxes",MIN(Y164,24800)*0.015,
"Oregon Taxes",MIN(Y164,47700)*0.024,
"Pennsylvania Taxes",MIN(Y164,10000)*0.03689,
"Rhode Island Taxes",MIN(Y164,24600)*0.0098,
"South Carolina Taxes",MIN(Y164,14000)*0.0049,
"South Dakota Taxes",MIN(Y164,15000)*0.012,
"Tennessee Taxes",MIN(Y164,7000)*0.027,
"Texas Taxes",MIN(Y164,9000)*0.027,
"Utah Taxes",MIN(Y164,41600)*0.027,
"Vermont Taxes",MIN(Y164,15500)*0.01,
"Virginia Taxes",MIN(Y164,8000)*0.0273,
"Washington Taxes",MIN(Y164,62500)*0.027,
"West Virginia Taxes",MIN(Y164,12000)*0.027,
"Wisconsin Taxes",MIN(Y164,14000)*0.0305,
"Wyoming Taxes",MIN(Y164,27700)*0.027
),
Y$156=2023,
_xlfn.SWITCH(
Y169,
"Alabama Taxes",MIN(Y164,8000)*0.027,
"Alaska Taxes",MIN(Y164,41500)*0.0237,
"Arizona Taxes",MIN(Y164,7000)*0.02,
"Arkansas Taxes",MIN(Y164,12000)*0.031,
"California Taxes",MIN(Y164,7000)*0.034,
"Colorado Taxes",MIN(Y164,13800)*0.017,
"Connecticut Taxes",MIN(Y164,15000)*0.028,
"Delaware Taxes",MIN(Y164,8500)*0.001,
"District of Columbia Taxes",MIN(Y164,9000)*0.027,
"Florida Taxes",MIN(Y164,7000)*0.027,
"Georgia Taxes",MIN(Y164,9500)*0.027,
"Hawaii Taxes",MIN(Y164,46800)*0.04,
"Idaho Taxes",MIN(Y164,41500)*0.01071,
"Illinois Taxes",MIN(Y164,12900)*0.0395,
"Indiana Taxes",MIN(Y164,9500)*0.025,
"Iowa Taxes",MIN(Y164,29500)*0.01,
"Kansas Taxes",MIN(Y164,14000)*0.027,
"Kentucky Taxes",MIN(Y164,11000)*0.027,
"Louisiana Taxes",MIN(Y164,7500)*0.0009,
"Maine Taxes",MIN(Y164,12000)*0.0219,
"Maryland Taxes",MIN(Y164,8500)*0.023,
"Massachusetts Taxes",MIN(Y164,15000)*0.0143,
"Michigan Taxes",MIN(Y164,9500)*0.027,
"Minnesota Taxes",MIN(Y164,35000)*0.001,
"Mississippi Taxes",MIN(Y164,14000)*0.01,
"Missouri Taxes",MIN(Y164,13500)*0.027,
"Montana Taxes",MIN(Y164,34500)*0.0013,
"Nebraska Taxes",MIN(Y164,9000)*0.0125,
"Nevada Taxes",MIN(Y164,33100)*0.0295,
"New Hampshire Taxes",MIN(Y164,14000)*0.027,
"New Jersey Taxes",MIN(Y164,35700)*0.031,
"New Mexico Taxes",MIN(Y164,25400)*0.01,
"New York Taxes",MIN(Y164,11500)*0.026,
"North Carolina Taxes",MIN(Y164,25400)*0.01,
"North Dakota Taxes",MIN(Y164,39200)*0.0113,
"Ohio Taxes",MIN(Y164,9000)*0.027,
"Oklahoma Taxes",MIN(Y164,17500)*0.015,
"Oregon Taxes",MIN(Y164,43000)*0.021,
"Pennsylvania Taxes",MIN(Y164,10000)*0.03822,
"Rhode Island Taxes",MIN(Y164,24000)*0.0109,
"South Carolina Taxes",MIN(Y164,14000)*0.0045,
"South Dakota Taxes",MIN(Y164,15000)*0.012,
"Tennessee Taxes",MIN(Y164,7000)*0.027,
"Texas Taxes",MIN(Y164,9000)*0.027,
"Utah Taxes",MIN(Y164,35700)*0.003,
"Vermont Taxes",MIN(Y164,16000)*0.01,
"Virginia Taxes",MIN(Y164,8000)*0.025,
"Washington Taxes",MIN(Y164,56200)*0.0125,
"West Virginia Taxes",MIN(Y164,12000)*0.027,
"Wisconsin Taxes",MIN(Y164,14000)*0.0305,
"Wyoming Taxes",MIN(Y164,25800)*0.018
),
Y$156=2024,
_xlfn.SWITCH(
Y169,
"Alabama Taxes",MIN(Y164,8000)*0.027,
"Alaska Taxes",MIN(Y164,41500)*0.0237,
"Arizona Taxes",MIN(Y164,7000)*0.02,
"Arkansas Taxes",MIN(Y164,12000)*0.031,
"California Taxes",MIN(Y164,7000)*0.034,
"Colorado Taxes",MIN(Y164,13800)*0.017,
"Connecticut Taxes",MIN(Y164,15000)*0.028,
"Delaware Taxes",MIN(Y164,8500)*0.001,
"District of Columbia Taxes",MIN(Y164,9000)*0.027,
"Florida Taxes",MIN(Y164,7000)*0.027,
"Georgia Taxes",MIN(Y164,9500)*0.027,
"Hawaii Taxes",MIN(Y164,46800)*0.04,
"Idaho Taxes",MIN(Y164,41500)*0.01071,
"Illinois Taxes",MIN(Y164,12900)*0.0395,
"Indiana Taxes",MIN(Y164,9500)*0.025,
"Iowa Taxes",MIN(Y164,29500)*0.01,
"Kansas Taxes",MIN(Y164,14000)*0.027,
"Kentucky Taxes",MIN(Y164,11000)*0.027,
"Louisiana Taxes",MIN(Y164,7500)*0.0009,
"Maine Taxes",MIN(Y164,12000)*0.0219,
"Maryland Taxes",MIN(Y164,8500)*0.023,
"Massachusetts Taxes",MIN(Y164,15000)*0.0143,
"Michigan Taxes",MIN(Y164,9500)*0.027,
"Minnesota Taxes",MIN(Y164,35000)*0.001,
"Mississippi Taxes",MIN(Y164,14000)*0.01,
"Missouri Taxes",MIN(Y164,13500)*0.027,
"Montana Taxes",MIN(Y164,34500)*0.0013,
"Nebraska Taxes",MIN(Y164,9000)*0.0125,
"Nevada Taxes",MIN(Y164,33100)*0.0295,
"New Hampshire Taxes",MIN(Y164,14000)*0.027,
"New Jersey Taxes",MIN(Y164,35700)*0.031,
"New Mexico Taxes",MIN(Y164,25400)*0.01,
"New York Taxes",MIN(Y164,11500)*0.026,
"North Carolina Taxes",MIN(Y164,25400)*0.01,
"North Dakota Taxes",MIN(Y164,39200)*0.0113,
"Ohio Taxes",MIN(Y164,9000)*0.027,
"Oklahoma Taxes",MIN(Y164,17500)*0.015,
"Oregon Taxes",MIN(Y164,43000)*0.021,
"Pennsylvania Taxes",MIN(Y164,10000)*0.03822,
"Rhode Island Taxes",MIN(Y164,24000)*0.0109,
"South Carolina Taxes",MIN(Y164,14000)*0.0045,
"South Dakota Taxes",MIN(Y164,15000)*0.012,
"Tennessee Taxes",MIN(Y164,7000)*0.027,
"Texas Taxes",MIN(Y164,9000)*0.027,
"Utah Taxes",MIN(Y164,35700)*0.003,
"Vermont Taxes",MIN(Y164,16000)*0.01,
"Virginia Taxes",MIN(Y164,8000)*0.025,
"Washington Taxes",MIN(Y164,56200)*0.0125,
"West Virginia Taxes",MIN(Y164,12000)*0.027,
"Wisconsin Taxes",MIN(Y164,14000)*0.0305,
"Wyoming Taxes",MIN(Y164,25800)*0.018
)
),0))</f>
        <v>0</v>
      </c>
      <c r="Z172" s="102" cm="1">
        <f t="array" ref="Z172">IF(Z163="W-2",0,_xlfn.IFNA(_xlfn.IFS(
Z$156=2022,
_xlfn.SWITCH(
Z169,
"Alabama Taxes",MIN(Z164,8000)*0.027,
"Alaska Taxes",MIN(Z164,45200)*0.0237,
"Arizona Taxes",MIN(Z164,7000)*0.02,
"Arkansas Taxes",MIN(Z164,10000)*0.031,
"California Taxes",MIN(Z164,7000)*0.034,
"Colorado Taxes",MIN(Z164,17000)*0.017,
"Connecticut Taxes",MIN(Z164,15000)*0.03,
"Delaware Taxes",MIN(Z164,16500)*0.018,
"District of Columbia Taxes",MIN(Z164,9000)*0.027,
"Florida Taxes",MIN(Z164,7000)*0.027,
"Georgia Taxes",MIN(Z164,9500)*0.0264,
"Hawaii Taxes",MIN(Z164,51600)*0.03,
"Idaho Taxes",MIN(Z164,46500)*0.0097,
"Illinois Taxes",MIN(Z164,12960)*0.03525,
"Indiana Taxes",MIN(Z164,9500)*0.025,
"Iowa Taxes",MIN(Z164,34800)*0.01,
"Kansas Taxes",MIN(Z164,14000)*0.027,
"Kentucky Taxes",MIN(Z164,11100)*0.027,
"Louisiana Taxes",MIN(Z164,7700)*0.027,
"Maine Taxes",MIN(Z164,12000)*0.0224,
"Maryland Taxes",MIN(Z164,8500)*0.026,
"Massachusetts Taxes",MIN(Z164,15000)*0.0242,
"Michigan Taxes",MIN(Z164,9500)*0.027,
"Minnesota Taxes",MIN(Z164,38000)*0.027,
"Mississippi Taxes",MIN(Z164,14000)*0.01,
"Missouri Taxes",MIN(Z164,11000)*0.02376,
"Montana Taxes",MIN(Z164,38100)*0.027,
"Nebraska Taxes",MIN(Z164,24000)*0.0125,
"Nevada Taxes",MIN(Z164,36600)*0.0295,
"New Hampshire Taxes",MIN(Z164,14000)*0.027,
"New Jersey Taxes",MIN(Z164,39800)*0.028,
"New Mexico Taxes",MIN(Z164,28700)*0.01,
"New York Taxes",MIN(Z164,12000)*0.03125,
"North Carolina Taxes",MIN(Z164,28000)*0.01,
"North Dakota Taxes",MIN(Z164,38400)*0.0102,
"Ohio Taxes",MIN(Z164,9000)*0.027,
"Oklahoma Taxes",MIN(Z164,24800)*0.015,
"Oregon Taxes",MIN(Z164,47700)*0.024,
"Pennsylvania Taxes",MIN(Z164,10000)*0.03689,
"Rhode Island Taxes",MIN(Z164,24600)*0.0098,
"South Carolina Taxes",MIN(Z164,14000)*0.0049,
"South Dakota Taxes",MIN(Z164,15000)*0.012,
"Tennessee Taxes",MIN(Z164,7000)*0.027,
"Texas Taxes",MIN(Z164,9000)*0.027,
"Utah Taxes",MIN(Z164,41600)*0.027,
"Vermont Taxes",MIN(Z164,15500)*0.01,
"Virginia Taxes",MIN(Z164,8000)*0.0273,
"Washington Taxes",MIN(Z164,62500)*0.027,
"West Virginia Taxes",MIN(Z164,12000)*0.027,
"Wisconsin Taxes",MIN(Z164,14000)*0.0305,
"Wyoming Taxes",MIN(Z164,27700)*0.027
),
Z$156=2023,
_xlfn.SWITCH(
Z169,
"Alabama Taxes",MIN(Z164,8000)*0.027,
"Alaska Taxes",MIN(Z164,41500)*0.0237,
"Arizona Taxes",MIN(Z164,7000)*0.02,
"Arkansas Taxes",MIN(Z164,12000)*0.031,
"California Taxes",MIN(Z164,7000)*0.034,
"Colorado Taxes",MIN(Z164,13800)*0.017,
"Connecticut Taxes",MIN(Z164,15000)*0.028,
"Delaware Taxes",MIN(Z164,8500)*0.001,
"District of Columbia Taxes",MIN(Z164,9000)*0.027,
"Florida Taxes",MIN(Z164,7000)*0.027,
"Georgia Taxes",MIN(Z164,9500)*0.027,
"Hawaii Taxes",MIN(Z164,46800)*0.04,
"Idaho Taxes",MIN(Z164,41500)*0.01071,
"Illinois Taxes",MIN(Z164,12900)*0.0395,
"Indiana Taxes",MIN(Z164,9500)*0.025,
"Iowa Taxes",MIN(Z164,29500)*0.01,
"Kansas Taxes",MIN(Z164,14000)*0.027,
"Kentucky Taxes",MIN(Z164,11000)*0.027,
"Louisiana Taxes",MIN(Z164,7500)*0.0009,
"Maine Taxes",MIN(Z164,12000)*0.0219,
"Maryland Taxes",MIN(Z164,8500)*0.023,
"Massachusetts Taxes",MIN(Z164,15000)*0.0143,
"Michigan Taxes",MIN(Z164,9500)*0.027,
"Minnesota Taxes",MIN(Z164,35000)*0.001,
"Mississippi Taxes",MIN(Z164,14000)*0.01,
"Missouri Taxes",MIN(Z164,13500)*0.027,
"Montana Taxes",MIN(Z164,34500)*0.0013,
"Nebraska Taxes",MIN(Z164,9000)*0.0125,
"Nevada Taxes",MIN(Z164,33100)*0.0295,
"New Hampshire Taxes",MIN(Z164,14000)*0.027,
"New Jersey Taxes",MIN(Z164,35700)*0.031,
"New Mexico Taxes",MIN(Z164,25400)*0.01,
"New York Taxes",MIN(Z164,11500)*0.026,
"North Carolina Taxes",MIN(Z164,25400)*0.01,
"North Dakota Taxes",MIN(Z164,39200)*0.0113,
"Ohio Taxes",MIN(Z164,9000)*0.027,
"Oklahoma Taxes",MIN(Z164,17500)*0.015,
"Oregon Taxes",MIN(Z164,43000)*0.021,
"Pennsylvania Taxes",MIN(Z164,10000)*0.03822,
"Rhode Island Taxes",MIN(Z164,24000)*0.0109,
"South Carolina Taxes",MIN(Z164,14000)*0.0045,
"South Dakota Taxes",MIN(Z164,15000)*0.012,
"Tennessee Taxes",MIN(Z164,7000)*0.027,
"Texas Taxes",MIN(Z164,9000)*0.027,
"Utah Taxes",MIN(Z164,35700)*0.003,
"Vermont Taxes",MIN(Z164,16000)*0.01,
"Virginia Taxes",MIN(Z164,8000)*0.025,
"Washington Taxes",MIN(Z164,56200)*0.0125,
"West Virginia Taxes",MIN(Z164,12000)*0.027,
"Wisconsin Taxes",MIN(Z164,14000)*0.0305,
"Wyoming Taxes",MIN(Z164,25800)*0.018
),
Z$156=2024,
_xlfn.SWITCH(
Z169,
"Alabama Taxes",MIN(Z164,8000)*0.027,
"Alaska Taxes",MIN(Z164,41500)*0.0237,
"Arizona Taxes",MIN(Z164,7000)*0.02,
"Arkansas Taxes",MIN(Z164,12000)*0.031,
"California Taxes",MIN(Z164,7000)*0.034,
"Colorado Taxes",MIN(Z164,13800)*0.017,
"Connecticut Taxes",MIN(Z164,15000)*0.028,
"Delaware Taxes",MIN(Z164,8500)*0.001,
"District of Columbia Taxes",MIN(Z164,9000)*0.027,
"Florida Taxes",MIN(Z164,7000)*0.027,
"Georgia Taxes",MIN(Z164,9500)*0.027,
"Hawaii Taxes",MIN(Z164,46800)*0.04,
"Idaho Taxes",MIN(Z164,41500)*0.01071,
"Illinois Taxes",MIN(Z164,12900)*0.0395,
"Indiana Taxes",MIN(Z164,9500)*0.025,
"Iowa Taxes",MIN(Z164,29500)*0.01,
"Kansas Taxes",MIN(Z164,14000)*0.027,
"Kentucky Taxes",MIN(Z164,11000)*0.027,
"Louisiana Taxes",MIN(Z164,7500)*0.0009,
"Maine Taxes",MIN(Z164,12000)*0.0219,
"Maryland Taxes",MIN(Z164,8500)*0.023,
"Massachusetts Taxes",MIN(Z164,15000)*0.0143,
"Michigan Taxes",MIN(Z164,9500)*0.027,
"Minnesota Taxes",MIN(Z164,35000)*0.001,
"Mississippi Taxes",MIN(Z164,14000)*0.01,
"Missouri Taxes",MIN(Z164,13500)*0.027,
"Montana Taxes",MIN(Z164,34500)*0.0013,
"Nebraska Taxes",MIN(Z164,9000)*0.0125,
"Nevada Taxes",MIN(Z164,33100)*0.0295,
"New Hampshire Taxes",MIN(Z164,14000)*0.027,
"New Jersey Taxes",MIN(Z164,35700)*0.031,
"New Mexico Taxes",MIN(Z164,25400)*0.01,
"New York Taxes",MIN(Z164,11500)*0.026,
"North Carolina Taxes",MIN(Z164,25400)*0.01,
"North Dakota Taxes",MIN(Z164,39200)*0.0113,
"Ohio Taxes",MIN(Z164,9000)*0.027,
"Oklahoma Taxes",MIN(Z164,17500)*0.015,
"Oregon Taxes",MIN(Z164,43000)*0.021,
"Pennsylvania Taxes",MIN(Z164,10000)*0.03822,
"Rhode Island Taxes",MIN(Z164,24000)*0.0109,
"South Carolina Taxes",MIN(Z164,14000)*0.0045,
"South Dakota Taxes",MIN(Z164,15000)*0.012,
"Tennessee Taxes",MIN(Z164,7000)*0.027,
"Texas Taxes",MIN(Z164,9000)*0.027,
"Utah Taxes",MIN(Z164,35700)*0.003,
"Vermont Taxes",MIN(Z164,16000)*0.01,
"Virginia Taxes",MIN(Z164,8000)*0.025,
"Washington Taxes",MIN(Z164,56200)*0.0125,
"West Virginia Taxes",MIN(Z164,12000)*0.027,
"Wisconsin Taxes",MIN(Z164,14000)*0.0305,
"Wyoming Taxes",MIN(Z164,25800)*0.018
)
),0))</f>
        <v>0</v>
      </c>
      <c r="AA172" s="102" cm="1">
        <f t="array" ref="AA172">IF(AA163="W-2",0,_xlfn.IFNA(_xlfn.IFS(
AA$156=2022,
_xlfn.SWITCH(
AA169,
"Alabama Taxes",MIN(AA164,8000)*0.027,
"Alaska Taxes",MIN(AA164,45200)*0.0237,
"Arizona Taxes",MIN(AA164,7000)*0.02,
"Arkansas Taxes",MIN(AA164,10000)*0.031,
"California Taxes",MIN(AA164,7000)*0.034,
"Colorado Taxes",MIN(AA164,17000)*0.017,
"Connecticut Taxes",MIN(AA164,15000)*0.03,
"Delaware Taxes",MIN(AA164,16500)*0.018,
"District of Columbia Taxes",MIN(AA164,9000)*0.027,
"Florida Taxes",MIN(AA164,7000)*0.027,
"Georgia Taxes",MIN(AA164,9500)*0.0264,
"Hawaii Taxes",MIN(AA164,51600)*0.03,
"Idaho Taxes",MIN(AA164,46500)*0.0097,
"Illinois Taxes",MIN(AA164,12960)*0.03525,
"Indiana Taxes",MIN(AA164,9500)*0.025,
"Iowa Taxes",MIN(AA164,34800)*0.01,
"Kansas Taxes",MIN(AA164,14000)*0.027,
"Kentucky Taxes",MIN(AA164,11100)*0.027,
"Louisiana Taxes",MIN(AA164,7700)*0.027,
"Maine Taxes",MIN(AA164,12000)*0.0224,
"Maryland Taxes",MIN(AA164,8500)*0.026,
"Massachusetts Taxes",MIN(AA164,15000)*0.0242,
"Michigan Taxes",MIN(AA164,9500)*0.027,
"Minnesota Taxes",MIN(AA164,38000)*0.027,
"Mississippi Taxes",MIN(AA164,14000)*0.01,
"Missouri Taxes",MIN(AA164,11000)*0.02376,
"Montana Taxes",MIN(AA164,38100)*0.027,
"Nebraska Taxes",MIN(AA164,24000)*0.0125,
"Nevada Taxes",MIN(AA164,36600)*0.0295,
"New Hampshire Taxes",MIN(AA164,14000)*0.027,
"New Jersey Taxes",MIN(AA164,39800)*0.028,
"New Mexico Taxes",MIN(AA164,28700)*0.01,
"New York Taxes",MIN(AA164,12000)*0.03125,
"North Carolina Taxes",MIN(AA164,28000)*0.01,
"North Dakota Taxes",MIN(AA164,38400)*0.0102,
"Ohio Taxes",MIN(AA164,9000)*0.027,
"Oklahoma Taxes",MIN(AA164,24800)*0.015,
"Oregon Taxes",MIN(AA164,47700)*0.024,
"Pennsylvania Taxes",MIN(AA164,10000)*0.03689,
"Rhode Island Taxes",MIN(AA164,24600)*0.0098,
"South Carolina Taxes",MIN(AA164,14000)*0.0049,
"South Dakota Taxes",MIN(AA164,15000)*0.012,
"Tennessee Taxes",MIN(AA164,7000)*0.027,
"Texas Taxes",MIN(AA164,9000)*0.027,
"Utah Taxes",MIN(AA164,41600)*0.027,
"Vermont Taxes",MIN(AA164,15500)*0.01,
"Virginia Taxes",MIN(AA164,8000)*0.0273,
"Washington Taxes",MIN(AA164,62500)*0.027,
"West Virginia Taxes",MIN(AA164,12000)*0.027,
"Wisconsin Taxes",MIN(AA164,14000)*0.0305,
"Wyoming Taxes",MIN(AA164,27700)*0.027
),
AA$156=2023,
_xlfn.SWITCH(
AA169,
"Alabama Taxes",MIN(AA164,8000)*0.027,
"Alaska Taxes",MIN(AA164,41500)*0.0237,
"Arizona Taxes",MIN(AA164,7000)*0.02,
"Arkansas Taxes",MIN(AA164,12000)*0.031,
"California Taxes",MIN(AA164,7000)*0.034,
"Colorado Taxes",MIN(AA164,13800)*0.017,
"Connecticut Taxes",MIN(AA164,15000)*0.028,
"Delaware Taxes",MIN(AA164,8500)*0.001,
"District of Columbia Taxes",MIN(AA164,9000)*0.027,
"Florida Taxes",MIN(AA164,7000)*0.027,
"Georgia Taxes",MIN(AA164,9500)*0.027,
"Hawaii Taxes",MIN(AA164,46800)*0.04,
"Idaho Taxes",MIN(AA164,41500)*0.01071,
"Illinois Taxes",MIN(AA164,12900)*0.0395,
"Indiana Taxes",MIN(AA164,9500)*0.025,
"Iowa Taxes",MIN(AA164,29500)*0.01,
"Kansas Taxes",MIN(AA164,14000)*0.027,
"Kentucky Taxes",MIN(AA164,11000)*0.027,
"Louisiana Taxes",MIN(AA164,7500)*0.0009,
"Maine Taxes",MIN(AA164,12000)*0.0219,
"Maryland Taxes",MIN(AA164,8500)*0.023,
"Massachusetts Taxes",MIN(AA164,15000)*0.0143,
"Michigan Taxes",MIN(AA164,9500)*0.027,
"Minnesota Taxes",MIN(AA164,35000)*0.001,
"Mississippi Taxes",MIN(AA164,14000)*0.01,
"Missouri Taxes",MIN(AA164,13500)*0.027,
"Montana Taxes",MIN(AA164,34500)*0.0013,
"Nebraska Taxes",MIN(AA164,9000)*0.0125,
"Nevada Taxes",MIN(AA164,33100)*0.0295,
"New Hampshire Taxes",MIN(AA164,14000)*0.027,
"New Jersey Taxes",MIN(AA164,35700)*0.031,
"New Mexico Taxes",MIN(AA164,25400)*0.01,
"New York Taxes",MIN(AA164,11500)*0.026,
"North Carolina Taxes",MIN(AA164,25400)*0.01,
"North Dakota Taxes",MIN(AA164,39200)*0.0113,
"Ohio Taxes",MIN(AA164,9000)*0.027,
"Oklahoma Taxes",MIN(AA164,17500)*0.015,
"Oregon Taxes",MIN(AA164,43000)*0.021,
"Pennsylvania Taxes",MIN(AA164,10000)*0.03822,
"Rhode Island Taxes",MIN(AA164,24000)*0.0109,
"South Carolina Taxes",MIN(AA164,14000)*0.0045,
"South Dakota Taxes",MIN(AA164,15000)*0.012,
"Tennessee Taxes",MIN(AA164,7000)*0.027,
"Texas Taxes",MIN(AA164,9000)*0.027,
"Utah Taxes",MIN(AA164,35700)*0.003,
"Vermont Taxes",MIN(AA164,16000)*0.01,
"Virginia Taxes",MIN(AA164,8000)*0.025,
"Washington Taxes",MIN(AA164,56200)*0.0125,
"West Virginia Taxes",MIN(AA164,12000)*0.027,
"Wisconsin Taxes",MIN(AA164,14000)*0.0305,
"Wyoming Taxes",MIN(AA164,25800)*0.018
),
AA$156=2024,
_xlfn.SWITCH(
AA169,
"Alabama Taxes",MIN(AA164,8000)*0.027,
"Alaska Taxes",MIN(AA164,41500)*0.0237,
"Arizona Taxes",MIN(AA164,7000)*0.02,
"Arkansas Taxes",MIN(AA164,12000)*0.031,
"California Taxes",MIN(AA164,7000)*0.034,
"Colorado Taxes",MIN(AA164,13800)*0.017,
"Connecticut Taxes",MIN(AA164,15000)*0.028,
"Delaware Taxes",MIN(AA164,8500)*0.001,
"District of Columbia Taxes",MIN(AA164,9000)*0.027,
"Florida Taxes",MIN(AA164,7000)*0.027,
"Georgia Taxes",MIN(AA164,9500)*0.027,
"Hawaii Taxes",MIN(AA164,46800)*0.04,
"Idaho Taxes",MIN(AA164,41500)*0.01071,
"Illinois Taxes",MIN(AA164,12900)*0.0395,
"Indiana Taxes",MIN(AA164,9500)*0.025,
"Iowa Taxes",MIN(AA164,29500)*0.01,
"Kansas Taxes",MIN(AA164,14000)*0.027,
"Kentucky Taxes",MIN(AA164,11000)*0.027,
"Louisiana Taxes",MIN(AA164,7500)*0.0009,
"Maine Taxes",MIN(AA164,12000)*0.0219,
"Maryland Taxes",MIN(AA164,8500)*0.023,
"Massachusetts Taxes",MIN(AA164,15000)*0.0143,
"Michigan Taxes",MIN(AA164,9500)*0.027,
"Minnesota Taxes",MIN(AA164,35000)*0.001,
"Mississippi Taxes",MIN(AA164,14000)*0.01,
"Missouri Taxes",MIN(AA164,13500)*0.027,
"Montana Taxes",MIN(AA164,34500)*0.0013,
"Nebraska Taxes",MIN(AA164,9000)*0.0125,
"Nevada Taxes",MIN(AA164,33100)*0.0295,
"New Hampshire Taxes",MIN(AA164,14000)*0.027,
"New Jersey Taxes",MIN(AA164,35700)*0.031,
"New Mexico Taxes",MIN(AA164,25400)*0.01,
"New York Taxes",MIN(AA164,11500)*0.026,
"North Carolina Taxes",MIN(AA164,25400)*0.01,
"North Dakota Taxes",MIN(AA164,39200)*0.0113,
"Ohio Taxes",MIN(AA164,9000)*0.027,
"Oklahoma Taxes",MIN(AA164,17500)*0.015,
"Oregon Taxes",MIN(AA164,43000)*0.021,
"Pennsylvania Taxes",MIN(AA164,10000)*0.03822,
"Rhode Island Taxes",MIN(AA164,24000)*0.0109,
"South Carolina Taxes",MIN(AA164,14000)*0.0045,
"South Dakota Taxes",MIN(AA164,15000)*0.012,
"Tennessee Taxes",MIN(AA164,7000)*0.027,
"Texas Taxes",MIN(AA164,9000)*0.027,
"Utah Taxes",MIN(AA164,35700)*0.003,
"Vermont Taxes",MIN(AA164,16000)*0.01,
"Virginia Taxes",MIN(AA164,8000)*0.025,
"Washington Taxes",MIN(AA164,56200)*0.0125,
"West Virginia Taxes",MIN(AA164,12000)*0.027,
"Wisconsin Taxes",MIN(AA164,14000)*0.0305,
"Wyoming Taxes",MIN(AA164,25800)*0.018
)
),0))</f>
        <v>0</v>
      </c>
      <c r="AB172" s="102" cm="1">
        <f t="array" ref="AB172">IF(AB163="W-2",0,_xlfn.IFNA(_xlfn.IFS(
AB$156=2022,
_xlfn.SWITCH(
AB169,
"Alabama Taxes",MIN(AB164,8000)*0.027,
"Alaska Taxes",MIN(AB164,45200)*0.0237,
"Arizona Taxes",MIN(AB164,7000)*0.02,
"Arkansas Taxes",MIN(AB164,10000)*0.031,
"California Taxes",MIN(AB164,7000)*0.034,
"Colorado Taxes",MIN(AB164,17000)*0.017,
"Connecticut Taxes",MIN(AB164,15000)*0.03,
"Delaware Taxes",MIN(AB164,16500)*0.018,
"District of Columbia Taxes",MIN(AB164,9000)*0.027,
"Florida Taxes",MIN(AB164,7000)*0.027,
"Georgia Taxes",MIN(AB164,9500)*0.0264,
"Hawaii Taxes",MIN(AB164,51600)*0.03,
"Idaho Taxes",MIN(AB164,46500)*0.0097,
"Illinois Taxes",MIN(AB164,12960)*0.03525,
"Indiana Taxes",MIN(AB164,9500)*0.025,
"Iowa Taxes",MIN(AB164,34800)*0.01,
"Kansas Taxes",MIN(AB164,14000)*0.027,
"Kentucky Taxes",MIN(AB164,11100)*0.027,
"Louisiana Taxes",MIN(AB164,7700)*0.027,
"Maine Taxes",MIN(AB164,12000)*0.0224,
"Maryland Taxes",MIN(AB164,8500)*0.026,
"Massachusetts Taxes",MIN(AB164,15000)*0.0242,
"Michigan Taxes",MIN(AB164,9500)*0.027,
"Minnesota Taxes",MIN(AB164,38000)*0.027,
"Mississippi Taxes",MIN(AB164,14000)*0.01,
"Missouri Taxes",MIN(AB164,11000)*0.02376,
"Montana Taxes",MIN(AB164,38100)*0.027,
"Nebraska Taxes",MIN(AB164,24000)*0.0125,
"Nevada Taxes",MIN(AB164,36600)*0.0295,
"New Hampshire Taxes",MIN(AB164,14000)*0.027,
"New Jersey Taxes",MIN(AB164,39800)*0.028,
"New Mexico Taxes",MIN(AB164,28700)*0.01,
"New York Taxes",MIN(AB164,12000)*0.03125,
"North Carolina Taxes",MIN(AB164,28000)*0.01,
"North Dakota Taxes",MIN(AB164,38400)*0.0102,
"Ohio Taxes",MIN(AB164,9000)*0.027,
"Oklahoma Taxes",MIN(AB164,24800)*0.015,
"Oregon Taxes",MIN(AB164,47700)*0.024,
"Pennsylvania Taxes",MIN(AB164,10000)*0.03689,
"Rhode Island Taxes",MIN(AB164,24600)*0.0098,
"South Carolina Taxes",MIN(AB164,14000)*0.0049,
"South Dakota Taxes",MIN(AB164,15000)*0.012,
"Tennessee Taxes",MIN(AB164,7000)*0.027,
"Texas Taxes",MIN(AB164,9000)*0.027,
"Utah Taxes",MIN(AB164,41600)*0.027,
"Vermont Taxes",MIN(AB164,15500)*0.01,
"Virginia Taxes",MIN(AB164,8000)*0.0273,
"Washington Taxes",MIN(AB164,62500)*0.027,
"West Virginia Taxes",MIN(AB164,12000)*0.027,
"Wisconsin Taxes",MIN(AB164,14000)*0.0305,
"Wyoming Taxes",MIN(AB164,27700)*0.027
),
AB$156=2023,
_xlfn.SWITCH(
AB169,
"Alabama Taxes",MIN(AB164,8000)*0.027,
"Alaska Taxes",MIN(AB164,41500)*0.0237,
"Arizona Taxes",MIN(AB164,7000)*0.02,
"Arkansas Taxes",MIN(AB164,12000)*0.031,
"California Taxes",MIN(AB164,7000)*0.034,
"Colorado Taxes",MIN(AB164,13800)*0.017,
"Connecticut Taxes",MIN(AB164,15000)*0.028,
"Delaware Taxes",MIN(AB164,8500)*0.001,
"District of Columbia Taxes",MIN(AB164,9000)*0.027,
"Florida Taxes",MIN(AB164,7000)*0.027,
"Georgia Taxes",MIN(AB164,9500)*0.027,
"Hawaii Taxes",MIN(AB164,46800)*0.04,
"Idaho Taxes",MIN(AB164,41500)*0.01071,
"Illinois Taxes",MIN(AB164,12900)*0.0395,
"Indiana Taxes",MIN(AB164,9500)*0.025,
"Iowa Taxes",MIN(AB164,29500)*0.01,
"Kansas Taxes",MIN(AB164,14000)*0.027,
"Kentucky Taxes",MIN(AB164,11000)*0.027,
"Louisiana Taxes",MIN(AB164,7500)*0.0009,
"Maine Taxes",MIN(AB164,12000)*0.0219,
"Maryland Taxes",MIN(AB164,8500)*0.023,
"Massachusetts Taxes",MIN(AB164,15000)*0.0143,
"Michigan Taxes",MIN(AB164,9500)*0.027,
"Minnesota Taxes",MIN(AB164,35000)*0.001,
"Mississippi Taxes",MIN(AB164,14000)*0.01,
"Missouri Taxes",MIN(AB164,13500)*0.027,
"Montana Taxes",MIN(AB164,34500)*0.0013,
"Nebraska Taxes",MIN(AB164,9000)*0.0125,
"Nevada Taxes",MIN(AB164,33100)*0.0295,
"New Hampshire Taxes",MIN(AB164,14000)*0.027,
"New Jersey Taxes",MIN(AB164,35700)*0.031,
"New Mexico Taxes",MIN(AB164,25400)*0.01,
"New York Taxes",MIN(AB164,11500)*0.026,
"North Carolina Taxes",MIN(AB164,25400)*0.01,
"North Dakota Taxes",MIN(AB164,39200)*0.0113,
"Ohio Taxes",MIN(AB164,9000)*0.027,
"Oklahoma Taxes",MIN(AB164,17500)*0.015,
"Oregon Taxes",MIN(AB164,43000)*0.021,
"Pennsylvania Taxes",MIN(AB164,10000)*0.03822,
"Rhode Island Taxes",MIN(AB164,24000)*0.0109,
"South Carolina Taxes",MIN(AB164,14000)*0.0045,
"South Dakota Taxes",MIN(AB164,15000)*0.012,
"Tennessee Taxes",MIN(AB164,7000)*0.027,
"Texas Taxes",MIN(AB164,9000)*0.027,
"Utah Taxes",MIN(AB164,35700)*0.003,
"Vermont Taxes",MIN(AB164,16000)*0.01,
"Virginia Taxes",MIN(AB164,8000)*0.025,
"Washington Taxes",MIN(AB164,56200)*0.0125,
"West Virginia Taxes",MIN(AB164,12000)*0.027,
"Wisconsin Taxes",MIN(AB164,14000)*0.0305,
"Wyoming Taxes",MIN(AB164,25800)*0.018
),
AB$156=2024,
_xlfn.SWITCH(
AB169,
"Alabama Taxes",MIN(AB164,8000)*0.027,
"Alaska Taxes",MIN(AB164,41500)*0.0237,
"Arizona Taxes",MIN(AB164,7000)*0.02,
"Arkansas Taxes",MIN(AB164,12000)*0.031,
"California Taxes",MIN(AB164,7000)*0.034,
"Colorado Taxes",MIN(AB164,13800)*0.017,
"Connecticut Taxes",MIN(AB164,15000)*0.028,
"Delaware Taxes",MIN(AB164,8500)*0.001,
"District of Columbia Taxes",MIN(AB164,9000)*0.027,
"Florida Taxes",MIN(AB164,7000)*0.027,
"Georgia Taxes",MIN(AB164,9500)*0.027,
"Hawaii Taxes",MIN(AB164,46800)*0.04,
"Idaho Taxes",MIN(AB164,41500)*0.01071,
"Illinois Taxes",MIN(AB164,12900)*0.0395,
"Indiana Taxes",MIN(AB164,9500)*0.025,
"Iowa Taxes",MIN(AB164,29500)*0.01,
"Kansas Taxes",MIN(AB164,14000)*0.027,
"Kentucky Taxes",MIN(AB164,11000)*0.027,
"Louisiana Taxes",MIN(AB164,7500)*0.0009,
"Maine Taxes",MIN(AB164,12000)*0.0219,
"Maryland Taxes",MIN(AB164,8500)*0.023,
"Massachusetts Taxes",MIN(AB164,15000)*0.0143,
"Michigan Taxes",MIN(AB164,9500)*0.027,
"Minnesota Taxes",MIN(AB164,35000)*0.001,
"Mississippi Taxes",MIN(AB164,14000)*0.01,
"Missouri Taxes",MIN(AB164,13500)*0.027,
"Montana Taxes",MIN(AB164,34500)*0.0013,
"Nebraska Taxes",MIN(AB164,9000)*0.0125,
"Nevada Taxes",MIN(AB164,33100)*0.0295,
"New Hampshire Taxes",MIN(AB164,14000)*0.027,
"New Jersey Taxes",MIN(AB164,35700)*0.031,
"New Mexico Taxes",MIN(AB164,25400)*0.01,
"New York Taxes",MIN(AB164,11500)*0.026,
"North Carolina Taxes",MIN(AB164,25400)*0.01,
"North Dakota Taxes",MIN(AB164,39200)*0.0113,
"Ohio Taxes",MIN(AB164,9000)*0.027,
"Oklahoma Taxes",MIN(AB164,17500)*0.015,
"Oregon Taxes",MIN(AB164,43000)*0.021,
"Pennsylvania Taxes",MIN(AB164,10000)*0.03822,
"Rhode Island Taxes",MIN(AB164,24000)*0.0109,
"South Carolina Taxes",MIN(AB164,14000)*0.0045,
"South Dakota Taxes",MIN(AB164,15000)*0.012,
"Tennessee Taxes",MIN(AB164,7000)*0.027,
"Texas Taxes",MIN(AB164,9000)*0.027,
"Utah Taxes",MIN(AB164,35700)*0.003,
"Vermont Taxes",MIN(AB164,16000)*0.01,
"Virginia Taxes",MIN(AB164,8000)*0.025,
"Washington Taxes",MIN(AB164,56200)*0.0125,
"West Virginia Taxes",MIN(AB164,12000)*0.027,
"Wisconsin Taxes",MIN(AB164,14000)*0.0305,
"Wyoming Taxes",MIN(AB164,25800)*0.018
)
),0))</f>
        <v>0</v>
      </c>
      <c r="AC172" s="102" cm="1">
        <f t="array" ref="AC172">IF(AC163="W-2",0,_xlfn.IFNA(_xlfn.IFS(
AC$156=2022,
_xlfn.SWITCH(
AC169,
"Alabama Taxes",MIN(AC164,8000)*0.027,
"Alaska Taxes",MIN(AC164,45200)*0.0237,
"Arizona Taxes",MIN(AC164,7000)*0.02,
"Arkansas Taxes",MIN(AC164,10000)*0.031,
"California Taxes",MIN(AC164,7000)*0.034,
"Colorado Taxes",MIN(AC164,17000)*0.017,
"Connecticut Taxes",MIN(AC164,15000)*0.03,
"Delaware Taxes",MIN(AC164,16500)*0.018,
"District of Columbia Taxes",MIN(AC164,9000)*0.027,
"Florida Taxes",MIN(AC164,7000)*0.027,
"Georgia Taxes",MIN(AC164,9500)*0.0264,
"Hawaii Taxes",MIN(AC164,51600)*0.03,
"Idaho Taxes",MIN(AC164,46500)*0.0097,
"Illinois Taxes",MIN(AC164,12960)*0.03525,
"Indiana Taxes",MIN(AC164,9500)*0.025,
"Iowa Taxes",MIN(AC164,34800)*0.01,
"Kansas Taxes",MIN(AC164,14000)*0.027,
"Kentucky Taxes",MIN(AC164,11100)*0.027,
"Louisiana Taxes",MIN(AC164,7700)*0.027,
"Maine Taxes",MIN(AC164,12000)*0.0224,
"Maryland Taxes",MIN(AC164,8500)*0.026,
"Massachusetts Taxes",MIN(AC164,15000)*0.0242,
"Michigan Taxes",MIN(AC164,9500)*0.027,
"Minnesota Taxes",MIN(AC164,38000)*0.027,
"Mississippi Taxes",MIN(AC164,14000)*0.01,
"Missouri Taxes",MIN(AC164,11000)*0.02376,
"Montana Taxes",MIN(AC164,38100)*0.027,
"Nebraska Taxes",MIN(AC164,24000)*0.0125,
"Nevada Taxes",MIN(AC164,36600)*0.0295,
"New Hampshire Taxes",MIN(AC164,14000)*0.027,
"New Jersey Taxes",MIN(AC164,39800)*0.028,
"New Mexico Taxes",MIN(AC164,28700)*0.01,
"New York Taxes",MIN(AC164,12000)*0.03125,
"North Carolina Taxes",MIN(AC164,28000)*0.01,
"North Dakota Taxes",MIN(AC164,38400)*0.0102,
"Ohio Taxes",MIN(AC164,9000)*0.027,
"Oklahoma Taxes",MIN(AC164,24800)*0.015,
"Oregon Taxes",MIN(AC164,47700)*0.024,
"Pennsylvania Taxes",MIN(AC164,10000)*0.03689,
"Rhode Island Taxes",MIN(AC164,24600)*0.0098,
"South Carolina Taxes",MIN(AC164,14000)*0.0049,
"South Dakota Taxes",MIN(AC164,15000)*0.012,
"Tennessee Taxes",MIN(AC164,7000)*0.027,
"Texas Taxes",MIN(AC164,9000)*0.027,
"Utah Taxes",MIN(AC164,41600)*0.027,
"Vermont Taxes",MIN(AC164,15500)*0.01,
"Virginia Taxes",MIN(AC164,8000)*0.0273,
"Washington Taxes",MIN(AC164,62500)*0.027,
"West Virginia Taxes",MIN(AC164,12000)*0.027,
"Wisconsin Taxes",MIN(AC164,14000)*0.0305,
"Wyoming Taxes",MIN(AC164,27700)*0.027
),
AC$156=2023,
_xlfn.SWITCH(
AC169,
"Alabama Taxes",MIN(AC164,8000)*0.027,
"Alaska Taxes",MIN(AC164,41500)*0.0237,
"Arizona Taxes",MIN(AC164,7000)*0.02,
"Arkansas Taxes",MIN(AC164,12000)*0.031,
"California Taxes",MIN(AC164,7000)*0.034,
"Colorado Taxes",MIN(AC164,13800)*0.017,
"Connecticut Taxes",MIN(AC164,15000)*0.028,
"Delaware Taxes",MIN(AC164,8500)*0.001,
"District of Columbia Taxes",MIN(AC164,9000)*0.027,
"Florida Taxes",MIN(AC164,7000)*0.027,
"Georgia Taxes",MIN(AC164,9500)*0.027,
"Hawaii Taxes",MIN(AC164,46800)*0.04,
"Idaho Taxes",MIN(AC164,41500)*0.01071,
"Illinois Taxes",MIN(AC164,12900)*0.0395,
"Indiana Taxes",MIN(AC164,9500)*0.025,
"Iowa Taxes",MIN(AC164,29500)*0.01,
"Kansas Taxes",MIN(AC164,14000)*0.027,
"Kentucky Taxes",MIN(AC164,11000)*0.027,
"Louisiana Taxes",MIN(AC164,7500)*0.0009,
"Maine Taxes",MIN(AC164,12000)*0.0219,
"Maryland Taxes",MIN(AC164,8500)*0.023,
"Massachusetts Taxes",MIN(AC164,15000)*0.0143,
"Michigan Taxes",MIN(AC164,9500)*0.027,
"Minnesota Taxes",MIN(AC164,35000)*0.001,
"Mississippi Taxes",MIN(AC164,14000)*0.01,
"Missouri Taxes",MIN(AC164,13500)*0.027,
"Montana Taxes",MIN(AC164,34500)*0.0013,
"Nebraska Taxes",MIN(AC164,9000)*0.0125,
"Nevada Taxes",MIN(AC164,33100)*0.0295,
"New Hampshire Taxes",MIN(AC164,14000)*0.027,
"New Jersey Taxes",MIN(AC164,35700)*0.031,
"New Mexico Taxes",MIN(AC164,25400)*0.01,
"New York Taxes",MIN(AC164,11500)*0.026,
"North Carolina Taxes",MIN(AC164,25400)*0.01,
"North Dakota Taxes",MIN(AC164,39200)*0.0113,
"Ohio Taxes",MIN(AC164,9000)*0.027,
"Oklahoma Taxes",MIN(AC164,17500)*0.015,
"Oregon Taxes",MIN(AC164,43000)*0.021,
"Pennsylvania Taxes",MIN(AC164,10000)*0.03822,
"Rhode Island Taxes",MIN(AC164,24000)*0.0109,
"South Carolina Taxes",MIN(AC164,14000)*0.0045,
"South Dakota Taxes",MIN(AC164,15000)*0.012,
"Tennessee Taxes",MIN(AC164,7000)*0.027,
"Texas Taxes",MIN(AC164,9000)*0.027,
"Utah Taxes",MIN(AC164,35700)*0.003,
"Vermont Taxes",MIN(AC164,16000)*0.01,
"Virginia Taxes",MIN(AC164,8000)*0.025,
"Washington Taxes",MIN(AC164,56200)*0.0125,
"West Virginia Taxes",MIN(AC164,12000)*0.027,
"Wisconsin Taxes",MIN(AC164,14000)*0.0305,
"Wyoming Taxes",MIN(AC164,25800)*0.018
),
AC$156=2024,
_xlfn.SWITCH(
AC169,
"Alabama Taxes",MIN(AC164,8000)*0.027,
"Alaska Taxes",MIN(AC164,41500)*0.0237,
"Arizona Taxes",MIN(AC164,7000)*0.02,
"Arkansas Taxes",MIN(AC164,12000)*0.031,
"California Taxes",MIN(AC164,7000)*0.034,
"Colorado Taxes",MIN(AC164,13800)*0.017,
"Connecticut Taxes",MIN(AC164,15000)*0.028,
"Delaware Taxes",MIN(AC164,8500)*0.001,
"District of Columbia Taxes",MIN(AC164,9000)*0.027,
"Florida Taxes",MIN(AC164,7000)*0.027,
"Georgia Taxes",MIN(AC164,9500)*0.027,
"Hawaii Taxes",MIN(AC164,46800)*0.04,
"Idaho Taxes",MIN(AC164,41500)*0.01071,
"Illinois Taxes",MIN(AC164,12900)*0.0395,
"Indiana Taxes",MIN(AC164,9500)*0.025,
"Iowa Taxes",MIN(AC164,29500)*0.01,
"Kansas Taxes",MIN(AC164,14000)*0.027,
"Kentucky Taxes",MIN(AC164,11000)*0.027,
"Louisiana Taxes",MIN(AC164,7500)*0.0009,
"Maine Taxes",MIN(AC164,12000)*0.0219,
"Maryland Taxes",MIN(AC164,8500)*0.023,
"Massachusetts Taxes",MIN(AC164,15000)*0.0143,
"Michigan Taxes",MIN(AC164,9500)*0.027,
"Minnesota Taxes",MIN(AC164,35000)*0.001,
"Mississippi Taxes",MIN(AC164,14000)*0.01,
"Missouri Taxes",MIN(AC164,13500)*0.027,
"Montana Taxes",MIN(AC164,34500)*0.0013,
"Nebraska Taxes",MIN(AC164,9000)*0.0125,
"Nevada Taxes",MIN(AC164,33100)*0.0295,
"New Hampshire Taxes",MIN(AC164,14000)*0.027,
"New Jersey Taxes",MIN(AC164,35700)*0.031,
"New Mexico Taxes",MIN(AC164,25400)*0.01,
"New York Taxes",MIN(AC164,11500)*0.026,
"North Carolina Taxes",MIN(AC164,25400)*0.01,
"North Dakota Taxes",MIN(AC164,39200)*0.0113,
"Ohio Taxes",MIN(AC164,9000)*0.027,
"Oklahoma Taxes",MIN(AC164,17500)*0.015,
"Oregon Taxes",MIN(AC164,43000)*0.021,
"Pennsylvania Taxes",MIN(AC164,10000)*0.03822,
"Rhode Island Taxes",MIN(AC164,24000)*0.0109,
"South Carolina Taxes",MIN(AC164,14000)*0.0045,
"South Dakota Taxes",MIN(AC164,15000)*0.012,
"Tennessee Taxes",MIN(AC164,7000)*0.027,
"Texas Taxes",MIN(AC164,9000)*0.027,
"Utah Taxes",MIN(AC164,35700)*0.003,
"Vermont Taxes",MIN(AC164,16000)*0.01,
"Virginia Taxes",MIN(AC164,8000)*0.025,
"Washington Taxes",MIN(AC164,56200)*0.0125,
"West Virginia Taxes",MIN(AC164,12000)*0.027,
"Wisconsin Taxes",MIN(AC164,14000)*0.0305,
"Wyoming Taxes",MIN(AC164,25800)*0.018
)
),0))</f>
        <v>0</v>
      </c>
      <c r="AE172" s="93"/>
      <c r="AF172" s="93"/>
      <c r="AG172" s="93"/>
      <c r="AH172" s="93"/>
      <c r="AI172" s="93"/>
      <c r="AJ172" s="93"/>
      <c r="AK172" s="93"/>
      <c r="AL172" s="93"/>
      <c r="AM172" s="93"/>
      <c r="AN172" s="93"/>
      <c r="AO172" s="93"/>
      <c r="AP172" s="93"/>
      <c r="AQ172" s="93"/>
      <c r="AR172" s="93"/>
      <c r="AS172" s="93"/>
    </row>
    <row r="173" spans="2:45" ht="15.75" thickBot="1" x14ac:dyDescent="0.3">
      <c r="B173" s="214" t="s">
        <v>122</v>
      </c>
      <c r="D173" s="32">
        <v>14</v>
      </c>
      <c r="E173" s="33">
        <f t="shared" si="715"/>
        <v>7.6399999999999996E-2</v>
      </c>
      <c r="F173" s="34" t="e">
        <f t="shared" si="716"/>
        <v>#VALUE!</v>
      </c>
      <c r="G173" t="e">
        <f t="shared" si="713"/>
        <v>#VALUE!</v>
      </c>
      <c r="H173" s="34" t="e">
        <f t="shared" si="714"/>
        <v>#VALUE!</v>
      </c>
      <c r="O173" t="s">
        <v>222</v>
      </c>
      <c r="P173" s="102">
        <f>IF(P163="W-2", 0, IF($U$157="Yes", MIN(P164,7000)*(0.06-0.054), IF($U$157="No", MIN(P164,7000)*0.06, 0)))</f>
        <v>0</v>
      </c>
      <c r="Q173" s="102">
        <f>IF(Q163="W-2", 0, IF($U$157="Yes", MIN(Q164,7000)*(0.06-0.054), IF($U$157="No", MIN(Q164,7000)*0.06, 0)))</f>
        <v>0</v>
      </c>
      <c r="R173" s="102">
        <f>IF(R163="W-2", 0, IF($U$157="Yes", MIN(R164,7000)*(0.06-0.054), IF($U$157="No", MIN(R164,7000)*0.06, 0)))</f>
        <v>0</v>
      </c>
      <c r="S173" s="102">
        <f t="shared" ref="S173:U173" si="735">IF(S163="W-2", 0, IF($U$157="Yes", MIN(S164,7000)*(0.06-0.054), IF($U$157="No", MIN(S164,7000)*0.06, 0)))</f>
        <v>0</v>
      </c>
      <c r="T173" s="102">
        <f t="shared" si="735"/>
        <v>0</v>
      </c>
      <c r="U173" s="102">
        <f t="shared" si="735"/>
        <v>0</v>
      </c>
      <c r="V173" s="102">
        <f>IF(V163="W-2", 0, IF($U$157="Yes", MIN(V164,7000)*(0.06-0.054), IF($U$157="No", MIN(V164,7000)*0.06, 0)))</f>
        <v>0</v>
      </c>
      <c r="W173" s="102">
        <f>IF(W163="W-2", 0, IF($U$157="Yes", MIN(W164,7000)*(0.06-0.054), IF($U$157="No", MIN(W164,7000)*0.06, 0)))</f>
        <v>0</v>
      </c>
      <c r="X173" s="102">
        <f t="shared" ref="X173" si="736">IF(X163="W-2", 0, IF($U$157="Yes", MIN(X164,7000)*(0.06-0.054), IF($U$157="No", MIN(X164,7000)*0.06, 0)))</f>
        <v>0</v>
      </c>
      <c r="Y173" s="102">
        <f>IF(Y163="W-2", 0, IF($U$157="Yes", MIN(Y164,7000)*(0.06-0.054), IF($U$157="No", MIN(Y164,7000)*0.06, 0)))</f>
        <v>0</v>
      </c>
      <c r="Z173" s="102">
        <f t="shared" ref="Z173:AC173" si="737">IF(Z163="W-2", 0, IF($U$157="Yes", MIN(Z164,7000)*(0.06-0.054), IF($U$157="No", MIN(Z164,7000)*0.06, 0)))</f>
        <v>0</v>
      </c>
      <c r="AA173" s="102">
        <f t="shared" si="737"/>
        <v>0</v>
      </c>
      <c r="AB173" s="102">
        <f t="shared" si="737"/>
        <v>0</v>
      </c>
      <c r="AC173" s="102">
        <f t="shared" si="737"/>
        <v>0</v>
      </c>
      <c r="AE173" s="93"/>
      <c r="AF173" s="93"/>
      <c r="AG173" s="93"/>
      <c r="AH173" s="93"/>
      <c r="AI173" s="93"/>
      <c r="AJ173" s="93"/>
      <c r="AK173" s="93"/>
      <c r="AL173" s="93"/>
      <c r="AM173" s="93"/>
      <c r="AN173" s="93"/>
      <c r="AO173" s="93"/>
      <c r="AP173" s="93"/>
      <c r="AQ173" s="93"/>
      <c r="AR173" s="93"/>
      <c r="AS173" s="93"/>
    </row>
    <row r="174" spans="2:45" ht="15.75" thickBot="1" x14ac:dyDescent="0.3">
      <c r="B174" s="214" t="s">
        <v>123</v>
      </c>
      <c r="D174" s="32">
        <v>15</v>
      </c>
      <c r="E174" s="33">
        <f t="shared" si="715"/>
        <v>7.6399999999999996E-2</v>
      </c>
      <c r="F174" s="34" t="e">
        <f t="shared" si="716"/>
        <v>#VALUE!</v>
      </c>
      <c r="G174" t="e">
        <f t="shared" si="713"/>
        <v>#VALUE!</v>
      </c>
      <c r="H174" s="34" t="e">
        <f t="shared" si="714"/>
        <v>#VALUE!</v>
      </c>
      <c r="P174" s="110"/>
      <c r="Q174" s="110"/>
      <c r="R174" s="110"/>
      <c r="S174" s="110"/>
      <c r="T174" s="110"/>
      <c r="U174" s="110"/>
      <c r="V174" s="110"/>
      <c r="W174" s="110"/>
      <c r="X174" s="110"/>
      <c r="Y174" s="110"/>
      <c r="Z174" s="110"/>
      <c r="AA174" s="110"/>
      <c r="AB174" s="110"/>
      <c r="AC174" s="110"/>
      <c r="AE174" s="93"/>
      <c r="AF174" s="93"/>
      <c r="AG174" s="93"/>
      <c r="AH174" s="93"/>
      <c r="AI174" s="93"/>
      <c r="AJ174" s="93"/>
      <c r="AK174" s="93"/>
      <c r="AL174" s="93"/>
      <c r="AM174" s="93"/>
      <c r="AN174" s="93"/>
      <c r="AO174" s="93"/>
      <c r="AP174" s="93"/>
      <c r="AQ174" s="93"/>
      <c r="AR174" s="93"/>
      <c r="AS174" s="93"/>
    </row>
    <row r="175" spans="2:45" x14ac:dyDescent="0.25">
      <c r="B175" s="214" t="s">
        <v>124</v>
      </c>
      <c r="D175" s="32">
        <v>16</v>
      </c>
      <c r="E175" s="33">
        <f t="shared" si="715"/>
        <v>7.6399999999999996E-2</v>
      </c>
      <c r="F175" s="34" t="e">
        <f t="shared" si="716"/>
        <v>#VALUE!</v>
      </c>
      <c r="G175" t="e">
        <f t="shared" si="713"/>
        <v>#VALUE!</v>
      </c>
      <c r="H175" s="34" t="e">
        <f t="shared" si="714"/>
        <v>#VALUE!</v>
      </c>
      <c r="P175" s="254" t="s">
        <v>519</v>
      </c>
      <c r="Q175" s="254" t="s">
        <v>519</v>
      </c>
      <c r="R175" s="254" t="s">
        <v>519</v>
      </c>
      <c r="S175" s="254" t="s">
        <v>519</v>
      </c>
      <c r="T175" s="254" t="s">
        <v>519</v>
      </c>
      <c r="U175" s="254" t="s">
        <v>519</v>
      </c>
      <c r="V175" s="254" t="s">
        <v>519</v>
      </c>
      <c r="W175" s="254" t="s">
        <v>519</v>
      </c>
      <c r="X175" s="254" t="s">
        <v>519</v>
      </c>
      <c r="Y175" s="254" t="s">
        <v>410</v>
      </c>
      <c r="Z175" s="254" t="s">
        <v>410</v>
      </c>
      <c r="AA175" s="254" t="s">
        <v>410</v>
      </c>
      <c r="AB175" s="254" t="s">
        <v>410</v>
      </c>
      <c r="AC175" s="254" t="s">
        <v>410</v>
      </c>
      <c r="AE175" s="93"/>
      <c r="AF175" s="93"/>
      <c r="AG175" s="93"/>
      <c r="AH175" s="93"/>
      <c r="AI175" s="93"/>
      <c r="AJ175" s="93"/>
      <c r="AK175" s="93"/>
      <c r="AL175" s="93"/>
      <c r="AM175" s="93"/>
      <c r="AN175" s="93"/>
      <c r="AO175" s="93"/>
      <c r="AP175" s="93"/>
      <c r="AQ175" s="93"/>
      <c r="AR175" s="93"/>
      <c r="AS175" s="93"/>
    </row>
    <row r="176" spans="2:45" x14ac:dyDescent="0.25">
      <c r="B176" s="214" t="s">
        <v>125</v>
      </c>
      <c r="D176" s="32">
        <v>17</v>
      </c>
      <c r="E176" s="33">
        <f t="shared" si="715"/>
        <v>7.6399999999999996E-2</v>
      </c>
      <c r="F176" s="34" t="e">
        <f t="shared" si="716"/>
        <v>#VALUE!</v>
      </c>
      <c r="G176" t="e">
        <f t="shared" si="713"/>
        <v>#VALUE!</v>
      </c>
      <c r="H176" s="34" t="e">
        <f t="shared" si="714"/>
        <v>#VALUE!</v>
      </c>
      <c r="P176" s="256" t="s">
        <v>344</v>
      </c>
      <c r="Q176" s="256" t="s">
        <v>344</v>
      </c>
      <c r="R176" s="256" t="s">
        <v>344</v>
      </c>
      <c r="S176" s="256" t="s">
        <v>344</v>
      </c>
      <c r="T176" s="256" t="s">
        <v>344</v>
      </c>
      <c r="U176" s="256" t="s">
        <v>344</v>
      </c>
      <c r="V176" s="256" t="s">
        <v>344</v>
      </c>
      <c r="W176" s="256" t="s">
        <v>344</v>
      </c>
      <c r="X176" s="256" t="s">
        <v>344</v>
      </c>
      <c r="Y176" s="256" t="s">
        <v>344</v>
      </c>
      <c r="Z176" s="256" t="s">
        <v>344</v>
      </c>
      <c r="AA176" s="256" t="s">
        <v>344</v>
      </c>
      <c r="AB176" s="256" t="s">
        <v>344</v>
      </c>
      <c r="AC176" s="256" t="s">
        <v>344</v>
      </c>
      <c r="AE176" s="92">
        <v>2022</v>
      </c>
      <c r="AF176" s="93">
        <f t="shared" ref="AF176:AN176" si="738">IF(AND(B$1=2022, B$2="MFJ", $R$157="-"),
    IF(P177&lt;13000, 0,
        IF(P177&lt;33550, 0.1*(P177-13000),
            IF(P177&lt;96550, 2055+0.12*(P177-33550),
                IF(P177&lt;191150, 9615+0.22*(P177-96550),
                    IF(P177&lt;353100, 30427+0.24*(P177-191150),
                        IF(P177&lt;444900, 69295+0.32*(P177-353100),
                            IF(P177&lt;660850, 98671+0.35*(P177-444900),
                                174253.5+0.37*(P177-660850)
                            )
                        )
                    )
                )
            )
        )
    ),
    IF(OR(AND(B$1=2022, B$2="Single", $R$157="-"), AND(B$1=2022, B$2="MFS", $R$157="-")),
        IF(P177&lt;4350, 0,
            IF(P177&lt;14625, 0.1*(P177-4350),
                IF(P177&lt;46125, 1027.5+0.12*(P177-14625),
                    IF(P177&lt;93425, 4807.5+0.22*(P177-46125),
                        IF(P177&lt;174400, 15213.5+0.24*(P177-93425),
                            IF(P177&lt;220300, 34647.5+0.32*(P177-174400),
                                IF(P177&lt;544250, 49335.5+0.35*(P177-220300),
                                    162718+0.37*(P177-544250)
                                )
                            )
                        )
                    )
                )
            )
        ),
        IF(AND(B$1=2022, B$2="HOH", $R$157="-"),
            IF(P177&lt;10800, 0,
                IF(P177&lt;25450, 0.1*(P177-10800),
                    IF(P177&lt;66700, 1465+0.12*(P177-25450),
                        IF(P177&lt;99850, 6415+0.22*(P177-66700),
                            IF(P177&lt;180850, 13708+0.24*(P177-99850),
                                IF(P177&lt;226750, 33148+0.32*(P177-180850),
                                    IF(P177&lt;550700, 47836+0.35*(P177-226750),
                                        161218.5+0.37*(P177-550700)
                                    )
                                )
                            )
                        )
                    )
                )
            ),
            IF(AND(B$1=2022, B$2="MFJ", $R$157="X"),
                IF(P177&lt;12950, 0,
                    IF(P177&lt;23225, 0.1*(P177-12950),
                        IF(P177&lt;54725, 1027.5+0.12*(P177-23225),
                            IF(P177&lt;102025, 4807.5+0.22*(P177-54725),
                                IF(P177&lt;183000, 15213.5+0.24*(P177-102025),
                                    IF(P177&lt;228900, 34647.5+0.32*(P177-183000),
                                        IF(P177&lt;336875, 49335.5+0.35*(P177-228900),
                                            87126.75+0.37*(P177-336875)
                                        )
                                    )
                                )
                            )
                        )
                    )
                ),
                IF(OR(AND(B$1=2022, B$2="Single", $R$157="X"), AND(B$1=2022, B$2="MFS", $R$157="X")),
                    IF(P177&lt;6475, 0,
                        IF(P177&lt;11613, 0.1*(P177-6475),
                            IF(P177&lt;27363, 513.75+0.12*(P177-11613),
                                IF(P177&lt;51013, 2403.75+0.22*(P177-27363),
                                    IF(P177&lt;91500, 7606.75+0.24*(P177-51013),
                                        IF(P177&lt;114450, 17323.75+0.32*(P177-91500),
                                            IF(P177&lt;276425, 24667.75+0.35*(P177-114450),
                                                81359+0.37*(P177-276425)
                                            )
                                        )
                                    )
                                )
                            )
                        )
                    ),
                    IF(AND(B$1=2022, B$2="HOH", $R$157="X"),
                        IF(P177&lt;9700, 0,
                            IF(P177&lt;17025, 0.1*(P177-9700),
                                IF(P177&lt;37650, 732.5+0.12*(P177-17025),
                                    IF(P177&lt;54225, 3207.5+0.22*(P177-37650),
                                        IF(P177&lt;94725, 6854+0.24*(P177-54225),
                                            IF(P177&lt;117675, 16574+0.32*(P177-94725),
                                                IF(P177&lt;279650, 23918+0.35*(P177-117675),
                                                    80609.25+0.37*(P177-279650)
                                                )
                                            )
                                        )
                                    )
                                )
                            )
                        ),
                        0
                    )
                )
            )
        )
    )
)</f>
        <v>0</v>
      </c>
      <c r="AG176" s="93">
        <f t="shared" si="738"/>
        <v>0</v>
      </c>
      <c r="AH176" s="93">
        <f t="shared" si="738"/>
        <v>0</v>
      </c>
      <c r="AI176" s="93">
        <f t="shared" si="738"/>
        <v>0</v>
      </c>
      <c r="AJ176" s="93">
        <f t="shared" si="738"/>
        <v>0</v>
      </c>
      <c r="AK176" s="93">
        <f t="shared" si="738"/>
        <v>0</v>
      </c>
      <c r="AL176" s="93">
        <f t="shared" si="738"/>
        <v>0</v>
      </c>
      <c r="AM176" s="93">
        <f t="shared" si="738"/>
        <v>0</v>
      </c>
      <c r="AN176" s="93">
        <f t="shared" si="738"/>
        <v>0</v>
      </c>
      <c r="AO176" s="93">
        <f>IF(AND(Y$156=2022, Y$157="MFJ", $R$157="-"),
    IF(Y177&lt;13000, 0,
        IF(Y177&lt;33550, 0.1*(Y177-13000),
            IF(Y177&lt;96550, 2055+0.12*(Y177-33550),
                IF(Y177&lt;191150, 9615+0.22*(Y177-96550),
                    IF(Y177&lt;353100, 30427+0.24*(Y177-191150),
                        IF(Y177&lt;444900, 69295+0.32*(Y177-353100),
                            IF(Y177&lt;660850, 98671+0.35*(Y177-444900),
                                174253.5+0.37*(Y177-660850)
                            )
                        )
                    )
                )
            )
        )
    ),
    IF(OR(AND(Y$156=2022, Y$157="Single", $R$157="-"), AND(Y$156=2022, Y$157="MFS", $R$157="-")),
        IF(Y177&lt;4350, 0,
            IF(Y177&lt;14625, 0.1*(Y177-4350),
                IF(Y177&lt;46125, 1027.5+0.12*(Y177-14625),
                    IF(Y177&lt;93425, 4807.5+0.22*(Y177-46125),
                        IF(Y177&lt;174400, 15213.5+0.24*(Y177-93425),
                            IF(Y177&lt;220300, 34647.5+0.32*(Y177-174400),
                                IF(Y177&lt;544250, 49335.5+0.35*(Y177-220300),
                                    162718+0.37*(Y177-544250)
                                )
                            )
                        )
                    )
                )
            )
        ),
        IF(AND(Y$156=2022, Y$157="HOH", $R$157="-"),
            IF(Y177&lt;10800, 0,
                IF(Y177&lt;25450, 0.1*(Y177-10800),
                    IF(Y177&lt;66700, 1465+0.12*(Y177-25450),
                        IF(Y177&lt;99850, 6415+0.22*(Y177-66700),
                            IF(Y177&lt;180850, 13708+0.24*(Y177-99850),
                                IF(Y177&lt;226750, 33148+0.32*(Y177-180850),
                                    IF(Y177&lt;550700, 47836+0.35*(Y177-226750),
                                        161218.5+0.37*(Y177-550700)
                                    )
                                )
                            )
                        )
                    )
                )
            ),
            IF(AND(Y$156=2022, Y$157="MFJ", $R$157="X"),
                IF(Y177&lt;12950, 0,
                    IF(Y177&lt;23225, 0.1*(Y177-12950),
                        IF(Y177&lt;54725, 1027.5+0.12*(Y177-23225),
                            IF(Y177&lt;102025, 4807.5+0.22*(Y177-54725),
                                IF(Y177&lt;183000, 15213.5+0.24*(Y177-102025),
                                    IF(Y177&lt;228900, 34647.5+0.32*(Y177-183000),
                                        IF(Y177&lt;336875, 49335.5+0.35*(Y177-228900),
                                            87126.75+0.37*(Y177-336875)
                                        )
                                    )
                                )
                            )
                        )
                    )
                ),
                IF(OR(AND(Y$156=2022, Y$157="Single", $R$157="X"), AND(Y$156=2022, Y$157="MFS", $R$157="X")),
                    IF(Y177&lt;6475, 0,
                        IF(Y177&lt;11613, 0.1*(Y177-6475),
                            IF(Y177&lt;27363, 513.75+0.12*(Y177-11613),
                                IF(Y177&lt;51013, 2403.75+0.22*(Y177-27363),
                                    IF(Y177&lt;91500, 7606.75+0.24*(Y177-51013),
                                        IF(Y177&lt;114450, 17323.75+0.32*(Y177-91500),
                                            IF(Y177&lt;276425, 24667.75+0.35*(Y177-114450),
                                                81359+0.37*(Y177-276425)
                                            )
                                        )
                                    )
                                )
                            )
                        )
                    ),
                    IF(AND(Y$156=2022, Y$157="HOH", $R$157="X"),
                        IF(Y177&lt;9700, 0,
                            IF(Y177&lt;17025, 0.1*(Y177-9700),
                                IF(Y177&lt;37650, 732.5+0.12*(Y177-17025),
                                    IF(Y177&lt;54225, 3207.5+0.22*(Y177-37650),
                                        IF(Y177&lt;94725, 6854+0.24*(Y177-54225),
                                            IF(Y177&lt;117675, 16574+0.32*(Y177-94725),
                                                IF(Y177&lt;279650, 23918+0.35*(Y177-117675),
                                                    80609.25+0.37*(Y177-279650)
                                                )
                                            )
                                        )
                                    )
                                )
                            )
                        ),
                        0
                    )
                )
            )
        )
    )
)</f>
        <v>0</v>
      </c>
      <c r="AP176" s="93">
        <f>IF(AND(Z$156=2022, Z$157="MFJ", $R$157="-"),
    IF(Z177&lt;13000, 0,
        IF(Z177&lt;33550, 0.1*(Z177-13000),
            IF(Z177&lt;96550, 2055+0.12*(Z177-33550),
                IF(Z177&lt;191150, 9615+0.22*(Z177-96550),
                    IF(Z177&lt;353100, 30427+0.24*(Z177-191150),
                        IF(Z177&lt;444900, 69295+0.32*(Z177-353100),
                            IF(Z177&lt;660850, 98671+0.35*(Z177-444900),
                                174253.5+0.37*(Z177-660850)
                            )
                        )
                    )
                )
            )
        )
    ),
    IF(OR(AND(Z$156=2022, Z$157="Single", $R$157="-"), AND(Z$156=2022, Z$157="MFS", $R$157="-")),
        IF(Z177&lt;4350, 0,
            IF(Z177&lt;14625, 0.1*(Z177-4350),
                IF(Z177&lt;46125, 1027.5+0.12*(Z177-14625),
                    IF(Z177&lt;93425, 4807.5+0.22*(Z177-46125),
                        IF(Z177&lt;174400, 15213.5+0.24*(Z177-93425),
                            IF(Z177&lt;220300, 34647.5+0.32*(Z177-174400),
                                IF(Z177&lt;544250, 49335.5+0.35*(Z177-220300),
                                    162718+0.37*(Z177-544250)
                                )
                            )
                        )
                    )
                )
            )
        ),
        IF(AND(Z$156=2022, Z$157="HOH", $R$157="-"),
            IF(Z177&lt;10800, 0,
                IF(Z177&lt;25450, 0.1*(Z177-10800),
                    IF(Z177&lt;66700, 1465+0.12*(Z177-25450),
                        IF(Z177&lt;99850, 6415+0.22*(Z177-66700),
                            IF(Z177&lt;180850, 13708+0.24*(Z177-99850),
                                IF(Z177&lt;226750, 33148+0.32*(Z177-180850),
                                    IF(Z177&lt;550700, 47836+0.35*(Z177-226750),
                                        161218.5+0.37*(Z177-550700)
                                    )
                                )
                            )
                        )
                    )
                )
            ),
            IF(AND(Z$156=2022, Z$157="MFJ", $R$157="X"),
                IF(Z177&lt;12950, 0,
                    IF(Z177&lt;23225, 0.1*(Z177-12950),
                        IF(Z177&lt;54725, 1027.5+0.12*(Z177-23225),
                            IF(Z177&lt;102025, 4807.5+0.22*(Z177-54725),
                                IF(Z177&lt;183000, 15213.5+0.24*(Z177-102025),
                                    IF(Z177&lt;228900, 34647.5+0.32*(Z177-183000),
                                        IF(Z177&lt;336875, 49335.5+0.35*(Z177-228900),
                                            87126.75+0.37*(Z177-336875)
                                        )
                                    )
                                )
                            )
                        )
                    )
                ),
                IF(OR(AND(Z$156=2022, Z$157="Single", $R$157="X"), AND(Z$156=2022, Z$157="MFS", $R$157="X")),
                    IF(Z177&lt;6475, 0,
                        IF(Z177&lt;11613, 0.1*(Z177-6475),
                            IF(Z177&lt;27363, 513.75+0.12*(Z177-11613),
                                IF(Z177&lt;51013, 2403.75+0.22*(Z177-27363),
                                    IF(Z177&lt;91500, 7606.75+0.24*(Z177-51013),
                                        IF(Z177&lt;114450, 17323.75+0.32*(Z177-91500),
                                            IF(Z177&lt;276425, 24667.75+0.35*(Z177-114450),
                                                81359+0.37*(Z177-276425)
                                            )
                                        )
                                    )
                                )
                            )
                        )
                    ),
                    IF(AND(Z$156=2022, Z$157="HOH", $R$157="X"),
                        IF(Z177&lt;9700, 0,
                            IF(Z177&lt;17025, 0.1*(Z177-9700),
                                IF(Z177&lt;37650, 732.5+0.12*(Z177-17025),
                                    IF(Z177&lt;54225, 3207.5+0.22*(Z177-37650),
                                        IF(Z177&lt;94725, 6854+0.24*(Z177-54225),
                                            IF(Z177&lt;117675, 16574+0.32*(Z177-94725),
                                                IF(Z177&lt;279650, 23918+0.35*(Z177-117675),
                                                    80609.25+0.37*(Z177-279650)
                                                )
                                            )
                                        )
                                    )
                                )
                            )
                        ),
                        0
                    )
                )
            )
        )
    )
)</f>
        <v>0</v>
      </c>
      <c r="AQ176" s="93">
        <f>IF(AND(AA$156=2022, AA$157="MFJ", $R$157="-"),
    IF(AA177&lt;13000, 0,
        IF(AA177&lt;33550, 0.1*(AA177-13000),
            IF(AA177&lt;96550, 2055+0.12*(AA177-33550),
                IF(AA177&lt;191150, 9615+0.22*(AA177-96550),
                    IF(AA177&lt;353100, 30427+0.24*(AA177-191150),
                        IF(AA177&lt;444900, 69295+0.32*(AA177-353100),
                            IF(AA177&lt;660850, 98671+0.35*(AA177-444900),
                                174253.5+0.37*(AA177-660850)
                            )
                        )
                    )
                )
            )
        )
    ),
    IF(OR(AND(AA$156=2022, AA$157="Single", $R$157="-"), AND(AA$156=2022, AA$157="MFS", $R$157="-")),
        IF(AA177&lt;4350, 0,
            IF(AA177&lt;14625, 0.1*(AA177-4350),
                IF(AA177&lt;46125, 1027.5+0.12*(AA177-14625),
                    IF(AA177&lt;93425, 4807.5+0.22*(AA177-46125),
                        IF(AA177&lt;174400, 15213.5+0.24*(AA177-93425),
                            IF(AA177&lt;220300, 34647.5+0.32*(AA177-174400),
                                IF(AA177&lt;544250, 49335.5+0.35*(AA177-220300),
                                    162718+0.37*(AA177-544250)
                                )
                            )
                        )
                    )
                )
            )
        ),
        IF(AND(AA$156=2022, AA$157="HOH", $R$157="-"),
            IF(AA177&lt;10800, 0,
                IF(AA177&lt;25450, 0.1*(AA177-10800),
                    IF(AA177&lt;66700, 1465+0.12*(AA177-25450),
                        IF(AA177&lt;99850, 6415+0.22*(AA177-66700),
                            IF(AA177&lt;180850, 13708+0.24*(AA177-99850),
                                IF(AA177&lt;226750, 33148+0.32*(AA177-180850),
                                    IF(AA177&lt;550700, 47836+0.35*(AA177-226750),
                                        161218.5+0.37*(AA177-550700)
                                    )
                                )
                            )
                        )
                    )
                )
            ),
            IF(AND(AA$156=2022, AA$157="MFJ", $R$157="X"),
                IF(AA177&lt;12950, 0,
                    IF(AA177&lt;23225, 0.1*(AA177-12950),
                        IF(AA177&lt;54725, 1027.5+0.12*(AA177-23225),
                            IF(AA177&lt;102025, 4807.5+0.22*(AA177-54725),
                                IF(AA177&lt;183000, 15213.5+0.24*(AA177-102025),
                                    IF(AA177&lt;228900, 34647.5+0.32*(AA177-183000),
                                        IF(AA177&lt;336875, 49335.5+0.35*(AA177-228900),
                                            87126.75+0.37*(AA177-336875)
                                        )
                                    )
                                )
                            )
                        )
                    )
                ),
                IF(OR(AND(AA$156=2022, AA$157="Single", $R$157="X"), AND(AA$156=2022, AA$157="MFS", $R$157="X")),
                    IF(AA177&lt;6475, 0,
                        IF(AA177&lt;11613, 0.1*(AA177-6475),
                            IF(AA177&lt;27363, 513.75+0.12*(AA177-11613),
                                IF(AA177&lt;51013, 2403.75+0.22*(AA177-27363),
                                    IF(AA177&lt;91500, 7606.75+0.24*(AA177-51013),
                                        IF(AA177&lt;114450, 17323.75+0.32*(AA177-91500),
                                            IF(AA177&lt;276425, 24667.75+0.35*(AA177-114450),
                                                81359+0.37*(AA177-276425)
                                            )
                                        )
                                    )
                                )
                            )
                        )
                    ),
                    IF(AND(AA$156=2022, AA$157="HOH", $R$157="X"),
                        IF(AA177&lt;9700, 0,
                            IF(AA177&lt;17025, 0.1*(AA177-9700),
                                IF(AA177&lt;37650, 732.5+0.12*(AA177-17025),
                                    IF(AA177&lt;54225, 3207.5+0.22*(AA177-37650),
                                        IF(AA177&lt;94725, 6854+0.24*(AA177-54225),
                                            IF(AA177&lt;117675, 16574+0.32*(AA177-94725),
                                                IF(AA177&lt;279650, 23918+0.35*(AA177-117675),
                                                    80609.25+0.37*(AA177-279650)
                                                )
                                            )
                                        )
                                    )
                                )
                            )
                        ),
                        0
                    )
                )
            )
        )
    )
)</f>
        <v>0</v>
      </c>
      <c r="AR176" s="93">
        <f>IF(AND(AB$156=2022, AB$157="MFJ", $R$157="-"),
    IF(AB177&lt;13000, 0,
        IF(AB177&lt;33550, 0.1*(AB177-13000),
            IF(AB177&lt;96550, 2055+0.12*(AB177-33550),
                IF(AB177&lt;191150, 9615+0.22*(AB177-96550),
                    IF(AB177&lt;353100, 30427+0.24*(AB177-191150),
                        IF(AB177&lt;444900, 69295+0.32*(AB177-353100),
                            IF(AB177&lt;660850, 98671+0.35*(AB177-444900),
                                174253.5+0.37*(AB177-660850)
                            )
                        )
                    )
                )
            )
        )
    ),
    IF(OR(AND(AB$156=2022, AB$157="Single", $R$157="-"), AND(AB$156=2022, AB$157="MFS", $R$157="-")),
        IF(AB177&lt;4350, 0,
            IF(AB177&lt;14625, 0.1*(AB177-4350),
                IF(AB177&lt;46125, 1027.5+0.12*(AB177-14625),
                    IF(AB177&lt;93425, 4807.5+0.22*(AB177-46125),
                        IF(AB177&lt;174400, 15213.5+0.24*(AB177-93425),
                            IF(AB177&lt;220300, 34647.5+0.32*(AB177-174400),
                                IF(AB177&lt;544250, 49335.5+0.35*(AB177-220300),
                                    162718+0.37*(AB177-544250)
                                )
                            )
                        )
                    )
                )
            )
        ),
        IF(AND(AB$156=2022, AB$157="HOH", $R$157="-"),
            IF(AB177&lt;10800, 0,
                IF(AB177&lt;25450, 0.1*(AB177-10800),
                    IF(AB177&lt;66700, 1465+0.12*(AB177-25450),
                        IF(AB177&lt;99850, 6415+0.22*(AB177-66700),
                            IF(AB177&lt;180850, 13708+0.24*(AB177-99850),
                                IF(AB177&lt;226750, 33148+0.32*(AB177-180850),
                                    IF(AB177&lt;550700, 47836+0.35*(AB177-226750),
                                        161218.5+0.37*(AB177-550700)
                                    )
                                )
                            )
                        )
                    )
                )
            ),
            IF(AND(AB$156=2022, AB$157="MFJ", $R$157="X"),
                IF(AB177&lt;12950, 0,
                    IF(AB177&lt;23225, 0.1*(AB177-12950),
                        IF(AB177&lt;54725, 1027.5+0.12*(AB177-23225),
                            IF(AB177&lt;102025, 4807.5+0.22*(AB177-54725),
                                IF(AB177&lt;183000, 15213.5+0.24*(AB177-102025),
                                    IF(AB177&lt;228900, 34647.5+0.32*(AB177-183000),
                                        IF(AB177&lt;336875, 49335.5+0.35*(AB177-228900),
                                            87126.75+0.37*(AB177-336875)
                                        )
                                    )
                                )
                            )
                        )
                    )
                ),
                IF(OR(AND(AB$156=2022, AB$157="Single", $R$157="X"), AND(AB$156=2022, AB$157="MFS", $R$157="X")),
                    IF(AB177&lt;6475, 0,
                        IF(AB177&lt;11613, 0.1*(AB177-6475),
                            IF(AB177&lt;27363, 513.75+0.12*(AB177-11613),
                                IF(AB177&lt;51013, 2403.75+0.22*(AB177-27363),
                                    IF(AB177&lt;91500, 7606.75+0.24*(AB177-51013),
                                        IF(AB177&lt;114450, 17323.75+0.32*(AB177-91500),
                                            IF(AB177&lt;276425, 24667.75+0.35*(AB177-114450),
                                                81359+0.37*(AB177-276425)
                                            )
                                        )
                                    )
                                )
                            )
                        )
                    ),
                    IF(AND(AB$156=2022, AB$157="HOH", $R$157="X"),
                        IF(AB177&lt;9700, 0,
                            IF(AB177&lt;17025, 0.1*(AB177-9700),
                                IF(AB177&lt;37650, 732.5+0.12*(AB177-17025),
                                    IF(AB177&lt;54225, 3207.5+0.22*(AB177-37650),
                                        IF(AB177&lt;94725, 6854+0.24*(AB177-54225),
                                            IF(AB177&lt;117675, 16574+0.32*(AB177-94725),
                                                IF(AB177&lt;279650, 23918+0.35*(AB177-117675),
                                                    80609.25+0.37*(AB177-279650)
                                                )
                                            )
                                        )
                                    )
                                )
                            )
                        ),
                        0
                    )
                )
            )
        )
    )
)</f>
        <v>0</v>
      </c>
      <c r="AS176" s="93">
        <f>IF(AND(AC$156=2022, AC$157="MFJ", $R$157="-"),
    IF(AC177&lt;13000, 0,
        IF(AC177&lt;33550, 0.1*(AC177-13000),
            IF(AC177&lt;96550, 2055+0.12*(AC177-33550),
                IF(AC177&lt;191150, 9615+0.22*(AC177-96550),
                    IF(AC177&lt;353100, 30427+0.24*(AC177-191150),
                        IF(AC177&lt;444900, 69295+0.32*(AC177-353100),
                            IF(AC177&lt;660850, 98671+0.35*(AC177-444900),
                                174253.5+0.37*(AC177-660850)
                            )
                        )
                    )
                )
            )
        )
    ),
    IF(OR(AND(AC$156=2022, AC$157="Single", $R$157="-"), AND(AC$156=2022, AC$157="MFS", $R$157="-")),
        IF(AC177&lt;4350, 0,
            IF(AC177&lt;14625, 0.1*(AC177-4350),
                IF(AC177&lt;46125, 1027.5+0.12*(AC177-14625),
                    IF(AC177&lt;93425, 4807.5+0.22*(AC177-46125),
                        IF(AC177&lt;174400, 15213.5+0.24*(AC177-93425),
                            IF(AC177&lt;220300, 34647.5+0.32*(AC177-174400),
                                IF(AC177&lt;544250, 49335.5+0.35*(AC177-220300),
                                    162718+0.37*(AC177-544250)
                                )
                            )
                        )
                    )
                )
            )
        ),
        IF(AND(AC$156=2022, AC$157="HOH", $R$157="-"),
            IF(AC177&lt;10800, 0,
                IF(AC177&lt;25450, 0.1*(AC177-10800),
                    IF(AC177&lt;66700, 1465+0.12*(AC177-25450),
                        IF(AC177&lt;99850, 6415+0.22*(AC177-66700),
                            IF(AC177&lt;180850, 13708+0.24*(AC177-99850),
                                IF(AC177&lt;226750, 33148+0.32*(AC177-180850),
                                    IF(AC177&lt;550700, 47836+0.35*(AC177-226750),
                                        161218.5+0.37*(AC177-550700)
                                    )
                                )
                            )
                        )
                    )
                )
            ),
            IF(AND(AC$156=2022, AC$157="MFJ", $R$157="X"),
                IF(AC177&lt;12950, 0,
                    IF(AC177&lt;23225, 0.1*(AC177-12950),
                        IF(AC177&lt;54725, 1027.5+0.12*(AC177-23225),
                            IF(AC177&lt;102025, 4807.5+0.22*(AC177-54725),
                                IF(AC177&lt;183000, 15213.5+0.24*(AC177-102025),
                                    IF(AC177&lt;228900, 34647.5+0.32*(AC177-183000),
                                        IF(AC177&lt;336875, 49335.5+0.35*(AC177-228900),
                                            87126.75+0.37*(AC177-336875)
                                        )
                                    )
                                )
                            )
                        )
                    )
                ),
                IF(OR(AND(AC$156=2022, AC$157="Single", $R$157="X"), AND(AC$156=2022, AC$157="MFS", $R$157="X")),
                    IF(AC177&lt;6475, 0,
                        IF(AC177&lt;11613, 0.1*(AC177-6475),
                            IF(AC177&lt;27363, 513.75+0.12*(AC177-11613),
                                IF(AC177&lt;51013, 2403.75+0.22*(AC177-27363),
                                    IF(AC177&lt;91500, 7606.75+0.24*(AC177-51013),
                                        IF(AC177&lt;114450, 17323.75+0.32*(AC177-91500),
                                            IF(AC177&lt;276425, 24667.75+0.35*(AC177-114450),
                                                81359+0.37*(AC177-276425)
                                            )
                                        )
                                    )
                                )
                            )
                        )
                    ),
                    IF(AND(AC$156=2022, AC$157="HOH", $R$157="X"),
                        IF(AC177&lt;9700, 0,
                            IF(AC177&lt;17025, 0.1*(AC177-9700),
                                IF(AC177&lt;37650, 732.5+0.12*(AC177-17025),
                                    IF(AC177&lt;54225, 3207.5+0.22*(AC177-37650),
                                        IF(AC177&lt;94725, 6854+0.24*(AC177-54225),
                                            IF(AC177&lt;117675, 16574+0.32*(AC177-94725),
                                                IF(AC177&lt;279650, 23918+0.35*(AC177-117675),
                                                    80609.25+0.37*(AC177-279650)
                                                )
                                            )
                                        )
                                    )
                                )
                            )
                        ),
                        0
                    )
                )
            )
        )
    )
)</f>
        <v>0</v>
      </c>
    </row>
    <row r="177" spans="2:45" x14ac:dyDescent="0.25">
      <c r="B177" s="214" t="s">
        <v>126</v>
      </c>
      <c r="D177" s="32">
        <v>18</v>
      </c>
      <c r="E177" s="33">
        <f t="shared" si="715"/>
        <v>7.6399999999999996E-2</v>
      </c>
      <c r="F177" s="34" t="e">
        <f t="shared" si="716"/>
        <v>#VALUE!</v>
      </c>
      <c r="G177" t="e">
        <f t="shared" si="713"/>
        <v>#VALUE!</v>
      </c>
      <c r="H177" s="34" t="e">
        <f t="shared" si="714"/>
        <v>#VALUE!</v>
      </c>
      <c r="O177" t="s">
        <v>236</v>
      </c>
      <c r="P177" s="101">
        <f>B27</f>
        <v>0</v>
      </c>
      <c r="Q177" s="101">
        <f>C27</f>
        <v>0</v>
      </c>
      <c r="R177" s="101">
        <f>D27</f>
        <v>0</v>
      </c>
      <c r="S177" s="101">
        <f t="shared" ref="S177:U177" si="739">E27</f>
        <v>0</v>
      </c>
      <c r="T177" s="101">
        <f t="shared" si="739"/>
        <v>0</v>
      </c>
      <c r="U177" s="101">
        <f t="shared" si="739"/>
        <v>0</v>
      </c>
      <c r="V177" s="101">
        <f>H27</f>
        <v>0</v>
      </c>
      <c r="W177" s="101">
        <f>I27</f>
        <v>0</v>
      </c>
      <c r="X177" s="101">
        <f>J27</f>
        <v>0</v>
      </c>
      <c r="Y177" s="101">
        <v>0</v>
      </c>
      <c r="Z177" s="101">
        <v>0</v>
      </c>
      <c r="AA177" s="101">
        <v>0</v>
      </c>
      <c r="AB177" s="101">
        <v>0</v>
      </c>
      <c r="AC177" s="101">
        <v>0</v>
      </c>
      <c r="AE177" s="92">
        <v>2023</v>
      </c>
      <c r="AF177" s="93">
        <f t="shared" ref="AF177:AN177" si="740">IF(AND(B$1=2023, B$2="MFJ", $R$157="-"),
    IF(P177&lt;14800, 0,
        IF(P177&lt;36800, 0.1*(P177-14800),
            IF(P177&lt;104250, 2200+0.12*(P177-36800),
                IF(P177&lt;205550, 10294+0.22*(P177-104250),
                    IF(P177&lt;379000, 32580+0.24*(P177-205550),
                        IF(P177&lt;477300, 74208+0.32*(P177-379000),
                            IF(P177&lt;708550, 105664+0.35*(P177-477300),
                                186601.5+0.37*(P177-708550)
                            )
                        )
                    )
                )
            )
        )
    ),
    IF(OR(AND(B$1=2023, B$2="Single", $R$157="-"), AND(B$1=2023, B$2="MFS", $R$157="-")),
        IF(P177&lt;5250, 0,
            IF(P177&lt;16250, 0.1*(P177-5250),
                IF(P177&lt;49975, 1100+0.12*(P177-16250),
                    IF(P177&lt;100625, 5147+0.22*(P177-49975),
                        IF(P177&lt;187350, 16290+0.24*(P177-100625),
                            IF(P177&lt;236500, 37104+0.32*(P177-187350),
                                IF(P177&lt;583375, 52832+0.35*(P177-236500),
                                    174238.25+0.37*(P177-583375)
                                )
                            )
                        )
                    )
                )
            )
        ),
        IF(AND(B$1=2023, B$2="HOH", $R$157="-"),
            IF(P177&lt;12200, 0,
                IF(P177&lt;27900, 0.1*(P177-12200),
                    IF(P177&lt;72050, 1570+0.12*(P177-27900),
                        IF(P177&lt;107550, 6868+0.22*(P177-72050),
                            IF(P177&lt;194300, 14678+0.24*(P177-107550),
                                IF(P177&lt;243450, 35498+0.32*(P177-194300),
                                    IF(P177&lt;590300, 51226+0.35*(P177-243450),
                                        172623.5+0.37*(P177-590300)
                                    )
                                )
                            )
                        )
                    )
                )
            ),
            IF(AND(B$1=2023, B$2="MFJ", $R$157="X"),
                IF(P177&lt;13850, 0,
                    IF(P177&lt;24850, 0.1*(P177-13850),
                        IF(P177&lt;58575, 1100+0.12*(P177-36800),
                            IF(P177&lt;109225, 5147+0.22*(P177-58575),
                                IF(P177&lt;195950, 16290+0.24*(P177-109225),
                                    IF(P177&lt;245100, 37104+0.32*(P177-195950),
                                        IF(P177&lt;360725, 52832+0.35*(P177-245100),
                                            93300.75+0.37*(P177-360725)
                                        )
                                    )
                                )
                            )
                        )
                    )
                ),
                IF(OR(AND(B$1=2023, B$2="Single", $R$157="X"), AND(B$1=2023, B$2="MFS", $R$157="X")),
                    IF(P177&lt;6925, 0,
                        IF(P177&lt;12425, 0.1*(P177-6925),
                            IF(P177&lt;29288, 550+0.12*(P177-12425),
                                IF(P177&lt;54613, 2573.5+0.22*(P177-29288),
                                    IF(P177&lt;97975, 8145+0.24*(P177-54613),
                                        IF(P177&lt;122550, 18552+0.32*(P177-97975),
                                            IF(P177&lt;295988, 26416+0.35*(P177-122550),
                                                87119.13+0.37*(P177-295988)
                                            )
                                        )
                                    )
                                )
                            )
                        )
                    ),
                    IF(AND(B$1=2023, B$2="HOH", $R$157="X"),
                        IF(P177&lt;10400, 0,
                            IF(P177&lt;18250, 0.1*(P177-10400),
                                IF(P177&lt;40325, 785+0.12*(P177-18250),
                                    IF(P177&lt;58075, 34334+0.22*(P177-40325),
                                        IF(P177&lt;101450, 7339+0.24*(P177-58075),
                                            IF(P177&lt;126025, 17749+0.32*(P177-101450),
                                                IF(P177&lt;299450, 25613+0.35*(P177-126025),
                                                    86311.75+0.37*(P177-299450)
                                                )
                                            )
                                        )
                                    )
                                )
                            )
                        ),
                        0
                    )
                )
            )
        )
    )
)</f>
        <v>0</v>
      </c>
      <c r="AG177" s="93">
        <f t="shared" si="740"/>
        <v>0</v>
      </c>
      <c r="AH177" s="93">
        <f t="shared" si="740"/>
        <v>0</v>
      </c>
      <c r="AI177" s="93">
        <f t="shared" si="740"/>
        <v>0</v>
      </c>
      <c r="AJ177" s="93">
        <f t="shared" si="740"/>
        <v>0</v>
      </c>
      <c r="AK177" s="93">
        <f t="shared" si="740"/>
        <v>0</v>
      </c>
      <c r="AL177" s="93">
        <f t="shared" si="740"/>
        <v>0</v>
      </c>
      <c r="AM177" s="93">
        <f t="shared" si="740"/>
        <v>0</v>
      </c>
      <c r="AN177" s="93">
        <f t="shared" si="740"/>
        <v>0</v>
      </c>
      <c r="AO177" s="93">
        <f>IF(AND(Y$156=2023, Y$157="MFJ", $R$157="-"),
    IF(Y177&lt;14800, 0,
        IF(Y177&lt;36800, 0.1*(Y177-14800),
            IF(Y177&lt;104250, 2200+0.12*(Y177-36800),
                IF(Y177&lt;205550, 10294+0.22*(Y177-104250),
                    IF(Y177&lt;379000, 32580+0.24*(Y177-205550),
                        IF(Y177&lt;477300, 74208+0.32*(Y177-379000),
                            IF(Y177&lt;708550, 105664+0.35*(Y177-477300),
                                186601.5+0.37*(Y177-708550)
                            )
                        )
                    )
                )
            )
        )
    ),
    IF(OR(AND(Y$156=2023, Y$157="Single", $R$157="-"), AND(Y$156=2023, Y$157="MFS", $R$157="-")),
        IF(Y177&lt;5250, 0,
            IF(Y177&lt;16250, 0.1*(Y177-5250),
                IF(Y177&lt;49975, 1100+0.12*(Y177-16250),
                    IF(Y177&lt;100625, 5147+0.22*(Y177-49975),
                        IF(Y177&lt;187350, 16290+0.24*(Y177-100625),
                            IF(Y177&lt;236500, 37104+0.32*(Y177-187350),
                                IF(Y177&lt;583375, 52832+0.35*(Y177-236500),
                                    174238.25+0.37*(Y177-583375)
                                )
                            )
                        )
                    )
                )
            )
        ),
        IF(AND(Y$156=2023, Y$157="HOH", $R$157="-"),
            IF(Y177&lt;12200, 0,
                IF(Y177&lt;27900, 0.1*(Y177-12200),
                    IF(Y177&lt;72050, 1570+0.12*(Y177-27900),
                        IF(Y177&lt;107550, 6868+0.22*(Y177-72050),
                            IF(Y177&lt;194300, 14678+0.24*(Y177-107550),
                                IF(Y177&lt;243450, 35498+0.32*(Y177-194300),
                                    IF(Y177&lt;590300, 51226+0.35*(Y177-243450),
                                        172623.5+0.37*(Y177-590300)
                                    )
                                )
                            )
                        )
                    )
                )
            ),
            IF(AND(Y$156=2023, Y$157="MFJ", $R$157="X"),
                IF(Y177&lt;13850, 0,
                    IF(Y177&lt;24850, 0.1*(Y177-13850),
                        IF(Y177&lt;58575, 1100+0.12*(Y177-36800),
                            IF(Y177&lt;109225, 5147+0.22*(Y177-58575),
                                IF(Y177&lt;195950, 16290+0.24*(Y177-109225),
                                    IF(Y177&lt;245100, 37104+0.32*(Y177-195950),
                                        IF(Y177&lt;360725, 52832+0.35*(Y177-245100),
                                            93300.75+0.37*(Y177-360725)
                                        )
                                    )
                                )
                            )
                        )
                    )
                ),
                IF(OR(AND(Y$156=2023, Y$157="Single", $R$157="X"), AND(Y$156=2023, Y$157="MFS", $R$157="X")),
                    IF(Y177&lt;6925, 0,
                        IF(Y177&lt;12425, 0.1*(Y177-6925),
                            IF(Y177&lt;29288, 550+0.12*(Y177-12425),
                                IF(Y177&lt;54613, 2573.5+0.22*(Y177-29288),
                                    IF(Y177&lt;97975, 8145+0.24*(Y177-54613),
                                        IF(Y177&lt;122550, 18552+0.32*(Y177-97975),
                                            IF(Y177&lt;295988, 26416+0.35*(Y177-122550),
                                                87119.13+0.37*(Y177-295988)
                                            )
                                        )
                                    )
                                )
                            )
                        )
                    ),
                    IF(AND(Y$156=2023, Y$157="HOH", $R$157="X"),
                        IF(Y177&lt;10400, 0,
                            IF(Y177&lt;18250, 0.1*(Y177-10400),
                                IF(Y177&lt;40325, 785+0.12*(Y177-18250),
                                    IF(Y177&lt;58075, 34334+0.22*(Y177-40325),
                                        IF(Y177&lt;101450, 7339+0.24*(Y177-58075),
                                            IF(Y177&lt;126025, 17749+0.32*(Y177-101450),
                                                IF(Y177&lt;299450, 25613+0.35*(Y177-126025),
                                                    86311.75+0.37*(Y177-299450)
                                                )
                                            )
                                        )
                                    )
                                )
                            )
                        ),
                        0
                    )
                )
            )
        )
    )
)</f>
        <v>0</v>
      </c>
      <c r="AP177" s="93">
        <f>IF(AND(Z$156=2023, Z$157="MFJ", $R$157="-"),
    IF(Z177&lt;14800, 0,
        IF(Z177&lt;36800, 0.1*(Z177-14800),
            IF(Z177&lt;104250, 2200+0.12*(Z177-36800),
                IF(Z177&lt;205550, 10294+0.22*(Z177-104250),
                    IF(Z177&lt;379000, 32580+0.24*(Z177-205550),
                        IF(Z177&lt;477300, 74208+0.32*(Z177-379000),
                            IF(Z177&lt;708550, 105664+0.35*(Z177-477300),
                                186601.5+0.37*(Z177-708550)
                            )
                        )
                    )
                )
            )
        )
    ),
    IF(OR(AND(Z$156=2023, Z$157="Single", $R$157="-"), AND(Z$156=2023, Z$157="MFS", $R$157="-")),
        IF(Z177&lt;5250, 0,
            IF(Z177&lt;16250, 0.1*(Z177-5250),
                IF(Z177&lt;49975, 1100+0.12*(Z177-16250),
                    IF(Z177&lt;100625, 5147+0.22*(Z177-49975),
                        IF(Z177&lt;187350, 16290+0.24*(Z177-100625),
                            IF(Z177&lt;236500, 37104+0.32*(Z177-187350),
                                IF(Z177&lt;583375, 52832+0.35*(Z177-236500),
                                    174238.25+0.37*(Z177-583375)
                                )
                            )
                        )
                    )
                )
            )
        ),
        IF(AND(Z$156=2023, Z$157="HOH", $R$157="-"),
            IF(Z177&lt;12200, 0,
                IF(Z177&lt;27900, 0.1*(Z177-12200),
                    IF(Z177&lt;72050, 1570+0.12*(Z177-27900),
                        IF(Z177&lt;107550, 6868+0.22*(Z177-72050),
                            IF(Z177&lt;194300, 14678+0.24*(Z177-107550),
                                IF(Z177&lt;243450, 35498+0.32*(Z177-194300),
                                    IF(Z177&lt;590300, 51226+0.35*(Z177-243450),
                                        172623.5+0.37*(Z177-590300)
                                    )
                                )
                            )
                        )
                    )
                )
            ),
            IF(AND(Z$156=2023, Z$157="MFJ", $R$157="X"),
                IF(Z177&lt;13850, 0,
                    IF(Z177&lt;24850, 0.1*(Z177-13850),
                        IF(Z177&lt;58575, 1100+0.12*(Z177-36800),
                            IF(Z177&lt;109225, 5147+0.22*(Z177-58575),
                                IF(Z177&lt;195950, 16290+0.24*(Z177-109225),
                                    IF(Z177&lt;245100, 37104+0.32*(Z177-195950),
                                        IF(Z177&lt;360725, 52832+0.35*(Z177-245100),
                                            93300.75+0.37*(Z177-360725)
                                        )
                                    )
                                )
                            )
                        )
                    )
                ),
                IF(OR(AND(Z$156=2023, Z$157="Single", $R$157="X"), AND(Z$156=2023, Z$157="MFS", $R$157="X")),
                    IF(Z177&lt;6925, 0,
                        IF(Z177&lt;12425, 0.1*(Z177-6925),
                            IF(Z177&lt;29288, 550+0.12*(Z177-12425),
                                IF(Z177&lt;54613, 2573.5+0.22*(Z177-29288),
                                    IF(Z177&lt;97975, 8145+0.24*(Z177-54613),
                                        IF(Z177&lt;122550, 18552+0.32*(Z177-97975),
                                            IF(Z177&lt;295988, 26416+0.35*(Z177-122550),
                                                87119.13+0.37*(Z177-295988)
                                            )
                                        )
                                    )
                                )
                            )
                        )
                    ),
                    IF(AND(Z$156=2023, Z$157="HOH", $R$157="X"),
                        IF(Z177&lt;10400, 0,
                            IF(Z177&lt;18250, 0.1*(Z177-10400),
                                IF(Z177&lt;40325, 785+0.12*(Z177-18250),
                                    IF(Z177&lt;58075, 34334+0.22*(Z177-40325),
                                        IF(Z177&lt;101450, 7339+0.24*(Z177-58075),
                                            IF(Z177&lt;126025, 17749+0.32*(Z177-101450),
                                                IF(Z177&lt;299450, 25613+0.35*(Z177-126025),
                                                    86311.75+0.37*(Z177-299450)
                                                )
                                            )
                                        )
                                    )
                                )
                            )
                        ),
                        0
                    )
                )
            )
        )
    )
)</f>
        <v>0</v>
      </c>
      <c r="AQ177" s="93">
        <f>IF(AND(AA$156=2023, AA$157="MFJ", $R$157="-"),
    IF(AA177&lt;14800, 0,
        IF(AA177&lt;36800, 0.1*(AA177-14800),
            IF(AA177&lt;104250, 2200+0.12*(AA177-36800),
                IF(AA177&lt;205550, 10294+0.22*(AA177-104250),
                    IF(AA177&lt;379000, 32580+0.24*(AA177-205550),
                        IF(AA177&lt;477300, 74208+0.32*(AA177-379000),
                            IF(AA177&lt;708550, 105664+0.35*(AA177-477300),
                                186601.5+0.37*(AA177-708550)
                            )
                        )
                    )
                )
            )
        )
    ),
    IF(OR(AND(AA$156=2023, AA$157="Single", $R$157="-"), AND(AA$156=2023, AA$157="MFS", $R$157="-")),
        IF(AA177&lt;5250, 0,
            IF(AA177&lt;16250, 0.1*(AA177-5250),
                IF(AA177&lt;49975, 1100+0.12*(AA177-16250),
                    IF(AA177&lt;100625, 5147+0.22*(AA177-49975),
                        IF(AA177&lt;187350, 16290+0.24*(AA177-100625),
                            IF(AA177&lt;236500, 37104+0.32*(AA177-187350),
                                IF(AA177&lt;583375, 52832+0.35*(AA177-236500),
                                    174238.25+0.37*(AA177-583375)
                                )
                            )
                        )
                    )
                )
            )
        ),
        IF(AND(AA$156=2023, AA$157="HOH", $R$157="-"),
            IF(AA177&lt;12200, 0,
                IF(AA177&lt;27900, 0.1*(AA177-12200),
                    IF(AA177&lt;72050, 1570+0.12*(AA177-27900),
                        IF(AA177&lt;107550, 6868+0.22*(AA177-72050),
                            IF(AA177&lt;194300, 14678+0.24*(AA177-107550),
                                IF(AA177&lt;243450, 35498+0.32*(AA177-194300),
                                    IF(AA177&lt;590300, 51226+0.35*(AA177-243450),
                                        172623.5+0.37*(AA177-590300)
                                    )
                                )
                            )
                        )
                    )
                )
            ),
            IF(AND(AA$156=2023, AA$157="MFJ", $R$157="X"),
                IF(AA177&lt;13850, 0,
                    IF(AA177&lt;24850, 0.1*(AA177-13850),
                        IF(AA177&lt;58575, 1100+0.12*(AA177-36800),
                            IF(AA177&lt;109225, 5147+0.22*(AA177-58575),
                                IF(AA177&lt;195950, 16290+0.24*(AA177-109225),
                                    IF(AA177&lt;245100, 37104+0.32*(AA177-195950),
                                        IF(AA177&lt;360725, 52832+0.35*(AA177-245100),
                                            93300.75+0.37*(AA177-360725)
                                        )
                                    )
                                )
                            )
                        )
                    )
                ),
                IF(OR(AND(AA$156=2023, AA$157="Single", $R$157="X"), AND(AA$156=2023, AA$157="MFS", $R$157="X")),
                    IF(AA177&lt;6925, 0,
                        IF(AA177&lt;12425, 0.1*(AA177-6925),
                            IF(AA177&lt;29288, 550+0.12*(AA177-12425),
                                IF(AA177&lt;54613, 2573.5+0.22*(AA177-29288),
                                    IF(AA177&lt;97975, 8145+0.24*(AA177-54613),
                                        IF(AA177&lt;122550, 18552+0.32*(AA177-97975),
                                            IF(AA177&lt;295988, 26416+0.35*(AA177-122550),
                                                87119.13+0.37*(AA177-295988)
                                            )
                                        )
                                    )
                                )
                            )
                        )
                    ),
                    IF(AND(AA$156=2023, AA$157="HOH", $R$157="X"),
                        IF(AA177&lt;10400, 0,
                            IF(AA177&lt;18250, 0.1*(AA177-10400),
                                IF(AA177&lt;40325, 785+0.12*(AA177-18250),
                                    IF(AA177&lt;58075, 34334+0.22*(AA177-40325),
                                        IF(AA177&lt;101450, 7339+0.24*(AA177-58075),
                                            IF(AA177&lt;126025, 17749+0.32*(AA177-101450),
                                                IF(AA177&lt;299450, 25613+0.35*(AA177-126025),
                                                    86311.75+0.37*(AA177-299450)
                                                )
                                            )
                                        )
                                    )
                                )
                            )
                        ),
                        0
                    )
                )
            )
        )
    )
)</f>
        <v>0</v>
      </c>
      <c r="AR177" s="93">
        <f>IF(AND(AB$156=2023, AB$157="MFJ", $R$157="-"),
    IF(AB177&lt;14800, 0,
        IF(AB177&lt;36800, 0.1*(AB177-14800),
            IF(AB177&lt;104250, 2200+0.12*(AB177-36800),
                IF(AB177&lt;205550, 10294+0.22*(AB177-104250),
                    IF(AB177&lt;379000, 32580+0.24*(AB177-205550),
                        IF(AB177&lt;477300, 74208+0.32*(AB177-379000),
                            IF(AB177&lt;708550, 105664+0.35*(AB177-477300),
                                186601.5+0.37*(AB177-708550)
                            )
                        )
                    )
                )
            )
        )
    ),
    IF(OR(AND(AB$156=2023, AB$157="Single", $R$157="-"), AND(AB$156=2023, AB$157="MFS", $R$157="-")),
        IF(AB177&lt;5250, 0,
            IF(AB177&lt;16250, 0.1*(AB177-5250),
                IF(AB177&lt;49975, 1100+0.12*(AB177-16250),
                    IF(AB177&lt;100625, 5147+0.22*(AB177-49975),
                        IF(AB177&lt;187350, 16290+0.24*(AB177-100625),
                            IF(AB177&lt;236500, 37104+0.32*(AB177-187350),
                                IF(AB177&lt;583375, 52832+0.35*(AB177-236500),
                                    174238.25+0.37*(AB177-583375)
                                )
                            )
                        )
                    )
                )
            )
        ),
        IF(AND(AB$156=2023, AB$157="HOH", $R$157="-"),
            IF(AB177&lt;12200, 0,
                IF(AB177&lt;27900, 0.1*(AB177-12200),
                    IF(AB177&lt;72050, 1570+0.12*(AB177-27900),
                        IF(AB177&lt;107550, 6868+0.22*(AB177-72050),
                            IF(AB177&lt;194300, 14678+0.24*(AB177-107550),
                                IF(AB177&lt;243450, 35498+0.32*(AB177-194300),
                                    IF(AB177&lt;590300, 51226+0.35*(AB177-243450),
                                        172623.5+0.37*(AB177-590300)
                                    )
                                )
                            )
                        )
                    )
                )
            ),
            IF(AND(AB$156=2023, AB$157="MFJ", $R$157="X"),
                IF(AB177&lt;13850, 0,
                    IF(AB177&lt;24850, 0.1*(AB177-13850),
                        IF(AB177&lt;58575, 1100+0.12*(AB177-36800),
                            IF(AB177&lt;109225, 5147+0.22*(AB177-58575),
                                IF(AB177&lt;195950, 16290+0.24*(AB177-109225),
                                    IF(AB177&lt;245100, 37104+0.32*(AB177-195950),
                                        IF(AB177&lt;360725, 52832+0.35*(AB177-245100),
                                            93300.75+0.37*(AB177-360725)
                                        )
                                    )
                                )
                            )
                        )
                    )
                ),
                IF(OR(AND(AB$156=2023, AB$157="Single", $R$157="X"), AND(AB$156=2023, AB$157="MFS", $R$157="X")),
                    IF(AB177&lt;6925, 0,
                        IF(AB177&lt;12425, 0.1*(AB177-6925),
                            IF(AB177&lt;29288, 550+0.12*(AB177-12425),
                                IF(AB177&lt;54613, 2573.5+0.22*(AB177-29288),
                                    IF(AB177&lt;97975, 8145+0.24*(AB177-54613),
                                        IF(AB177&lt;122550, 18552+0.32*(AB177-97975),
                                            IF(AB177&lt;295988, 26416+0.35*(AB177-122550),
                                                87119.13+0.37*(AB177-295988)
                                            )
                                        )
                                    )
                                )
                            )
                        )
                    ),
                    IF(AND(AB$156=2023, AB$157="HOH", $R$157="X"),
                        IF(AB177&lt;10400, 0,
                            IF(AB177&lt;18250, 0.1*(AB177-10400),
                                IF(AB177&lt;40325, 785+0.12*(AB177-18250),
                                    IF(AB177&lt;58075, 34334+0.22*(AB177-40325),
                                        IF(AB177&lt;101450, 7339+0.24*(AB177-58075),
                                            IF(AB177&lt;126025, 17749+0.32*(AB177-101450),
                                                IF(AB177&lt;299450, 25613+0.35*(AB177-126025),
                                                    86311.75+0.37*(AB177-299450)
                                                )
                                            )
                                        )
                                    )
                                )
                            )
                        ),
                        0
                    )
                )
            )
        )
    )
)</f>
        <v>0</v>
      </c>
      <c r="AS177" s="93">
        <f>IF(AND(AC$156=2023, AC$157="MFJ", $R$157="-"),
    IF(AC177&lt;14800, 0,
        IF(AC177&lt;36800, 0.1*(AC177-14800),
            IF(AC177&lt;104250, 2200+0.12*(AC177-36800),
                IF(AC177&lt;205550, 10294+0.22*(AC177-104250),
                    IF(AC177&lt;379000, 32580+0.24*(AC177-205550),
                        IF(AC177&lt;477300, 74208+0.32*(AC177-379000),
                            IF(AC177&lt;708550, 105664+0.35*(AC177-477300),
                                186601.5+0.37*(AC177-708550)
                            )
                        )
                    )
                )
            )
        )
    ),
    IF(OR(AND(AC$156=2023, AC$157="Single", $R$157="-"), AND(AC$156=2023, AC$157="MFS", $R$157="-")),
        IF(AC177&lt;5250, 0,
            IF(AC177&lt;16250, 0.1*(AC177-5250),
                IF(AC177&lt;49975, 1100+0.12*(AC177-16250),
                    IF(AC177&lt;100625, 5147+0.22*(AC177-49975),
                        IF(AC177&lt;187350, 16290+0.24*(AC177-100625),
                            IF(AC177&lt;236500, 37104+0.32*(AC177-187350),
                                IF(AC177&lt;583375, 52832+0.35*(AC177-236500),
                                    174238.25+0.37*(AC177-583375)
                                )
                            )
                        )
                    )
                )
            )
        ),
        IF(AND(AC$156=2023, AC$157="HOH", $R$157="-"),
            IF(AC177&lt;12200, 0,
                IF(AC177&lt;27900, 0.1*(AC177-12200),
                    IF(AC177&lt;72050, 1570+0.12*(AC177-27900),
                        IF(AC177&lt;107550, 6868+0.22*(AC177-72050),
                            IF(AC177&lt;194300, 14678+0.24*(AC177-107550),
                                IF(AC177&lt;243450, 35498+0.32*(AC177-194300),
                                    IF(AC177&lt;590300, 51226+0.35*(AC177-243450),
                                        172623.5+0.37*(AC177-590300)
                                    )
                                )
                            )
                        )
                    )
                )
            ),
            IF(AND(AC$156=2023, AC$157="MFJ", $R$157="X"),
                IF(AC177&lt;13850, 0,
                    IF(AC177&lt;24850, 0.1*(AC177-13850),
                        IF(AC177&lt;58575, 1100+0.12*(AC177-36800),
                            IF(AC177&lt;109225, 5147+0.22*(AC177-58575),
                                IF(AC177&lt;195950, 16290+0.24*(AC177-109225),
                                    IF(AC177&lt;245100, 37104+0.32*(AC177-195950),
                                        IF(AC177&lt;360725, 52832+0.35*(AC177-245100),
                                            93300.75+0.37*(AC177-360725)
                                        )
                                    )
                                )
                            )
                        )
                    )
                ),
                IF(OR(AND(AC$156=2023, AC$157="Single", $R$157="X"), AND(AC$156=2023, AC$157="MFS", $R$157="X")),
                    IF(AC177&lt;6925, 0,
                        IF(AC177&lt;12425, 0.1*(AC177-6925),
                            IF(AC177&lt;29288, 550+0.12*(AC177-12425),
                                IF(AC177&lt;54613, 2573.5+0.22*(AC177-29288),
                                    IF(AC177&lt;97975, 8145+0.24*(AC177-54613),
                                        IF(AC177&lt;122550, 18552+0.32*(AC177-97975),
                                            IF(AC177&lt;295988, 26416+0.35*(AC177-122550),
                                                87119.13+0.37*(AC177-295988)
                                            )
                                        )
                                    )
                                )
                            )
                        )
                    ),
                    IF(AND(AC$156=2023, AC$157="HOH", $R$157="X"),
                        IF(AC177&lt;10400, 0,
                            IF(AC177&lt;18250, 0.1*(AC177-10400),
                                IF(AC177&lt;40325, 785+0.12*(AC177-18250),
                                    IF(AC177&lt;58075, 34334+0.22*(AC177-40325),
                                        IF(AC177&lt;101450, 7339+0.24*(AC177-58075),
                                            IF(AC177&lt;126025, 17749+0.32*(AC177-101450),
                                                IF(AC177&lt;299450, 25613+0.35*(AC177-126025),
                                                    86311.75+0.37*(AC177-299450)
                                                )
                                            )
                                        )
                                    )
                                )
                            )
                        ),
                        0
                    )
                )
            )
        )
    )
)</f>
        <v>0</v>
      </c>
    </row>
    <row r="178" spans="2:45" x14ac:dyDescent="0.25">
      <c r="B178" s="214" t="s">
        <v>127</v>
      </c>
      <c r="D178" s="32">
        <v>19</v>
      </c>
      <c r="E178" s="33">
        <f t="shared" si="715"/>
        <v>7.6399999999999996E-2</v>
      </c>
      <c r="F178" s="34" t="e">
        <f t="shared" si="716"/>
        <v>#VALUE!</v>
      </c>
      <c r="G178" t="e">
        <f t="shared" si="713"/>
        <v>#VALUE!</v>
      </c>
      <c r="H178" s="34" t="e">
        <f t="shared" si="714"/>
        <v>#VALUE!</v>
      </c>
      <c r="N178" t="s">
        <v>230</v>
      </c>
      <c r="P178" s="106">
        <f t="shared" ref="P178:X178" si="741">IF(ISNUMBER(B$1), CHOOSE(B$1-2021, AF176, AF177, AF178), 0)</f>
        <v>0</v>
      </c>
      <c r="Q178" s="106">
        <f t="shared" si="741"/>
        <v>0</v>
      </c>
      <c r="R178" s="106">
        <f t="shared" si="741"/>
        <v>0</v>
      </c>
      <c r="S178" s="106">
        <f t="shared" si="741"/>
        <v>0</v>
      </c>
      <c r="T178" s="106">
        <f t="shared" si="741"/>
        <v>0</v>
      </c>
      <c r="U178" s="106">
        <f t="shared" si="741"/>
        <v>0</v>
      </c>
      <c r="V178" s="106">
        <f t="shared" si="741"/>
        <v>0</v>
      </c>
      <c r="W178" s="106">
        <f t="shared" si="741"/>
        <v>0</v>
      </c>
      <c r="X178" s="106">
        <f t="shared" si="741"/>
        <v>0</v>
      </c>
      <c r="Y178" s="106">
        <f>IF(ISNUMBER(Y$156), CHOOSE(Y$156-2021, AO176, AO177, AO178), 0)</f>
        <v>0</v>
      </c>
      <c r="Z178" s="106">
        <f>IF(ISNUMBER(Z$156), CHOOSE(Z$156-2021, AP176, AP177, AP178), 0)</f>
        <v>0</v>
      </c>
      <c r="AA178" s="106">
        <f>IF(ISNUMBER(AA$156), CHOOSE(AA$156-2021, AQ176, AQ177, AQ178), 0)</f>
        <v>0</v>
      </c>
      <c r="AB178" s="106">
        <f>IF(ISNUMBER(AB$156), CHOOSE(AB$156-2021, AR176, AR177, AR178), 0)</f>
        <v>0</v>
      </c>
      <c r="AC178" s="106">
        <f>IF(ISNUMBER(AC$156), CHOOSE(AC$156-2021, AS176, AS177, AS178), 0)</f>
        <v>0</v>
      </c>
      <c r="AE178" s="92">
        <v>2024</v>
      </c>
      <c r="AF178" s="107" t="b">
        <f t="shared" ref="AF178:AN178" si="742">IF(B$1=2024,
    IF($R$157="-",
        IF(B$2="MFJ",
            IF(P177&lt;16300, 0,
                IF(P177&lt;39500, 0.1*(P177-16300),
                    IF(P177&lt;110600, 2320+0.12*(P177-39500),
                        IF(P177&lt;217350, 10852+0.22*(P177-110600),
                            IF(P177&lt;400200, 34337+0.24*(P177-217350),
                                IF(P177&lt;503750, 78221+0.32*(P177-400200),
                                    IF(P177&lt;747500, 111357+0.35*(P177-503750),
                                        IF(P177&gt;747500, 196669.5+0.37*(P177-747500)
                                        )
                                    )
                                )
                            )
                        )
                    )
                )
            ),
            IF(OR(B$2="Single", B$2="MFS"),
                IF(P177&lt;6000, 0,
                    IF(P177&lt;17600, 0.1*(P177-6000),
                        IF(P177&lt;53150, 1160+0.12*(P177-17600),
                            IF(P177&lt;106525, 5426+0.22*(P177-53150),
                                IF(P177&lt;197950, 17168.5+0.24*(P177-106525),
                                    IF(P177&lt;249725, 39110.5+0.32*(P177-197950),
                                        IF(P177&lt;615350, 55678.5+0.35*(P177-249725),
                                            IF(P177&gt;615350, 183647.25+0.37*(P177-615350)
                                            )
                                        )
                                    )
                                )
                            )
                        )
                    )
                ),
                IF(B$2="HOH",
                    IF(P177&lt;13300, 0,
                        IF(P177&lt;29850, 0.1*(P177-13300),
                            IF(P177&lt;76400, 1655+0.12*(P177-29850),
                                IF(P177&lt;113800, 7241+0.22*(P177-76400),
                                    IF(P177&lt;205250, 15469+0.24*(P177-113800),
                                        IF(P177&lt;257000, 37417+0.32*(P177-205250),
                                            IF(P177&lt;622650, 53977+0.35*(P177-257000),
                                                IF(P177&gt;622650, 181954.5+0.37*(P177-622650),
                                                    "Invalid Filing Status or Q148 Value"
                                                )
                                            )
                                        )
                                    )
                                )
                            )
                        )
                    )
                )
            )
        ),
        IF($R$157="X",
            IF(B$2="MFJ",
                IF(P177&lt;14600, 0,
                    IF(P177&lt;26200, 0.1*(P177-14600),
                        IF(P177&lt;61750, 1160+0.12*(P177-26200),
                            IF(P177&lt;115125, 5426+0.22*(P177-61750),
                                IF(P177&lt;206550, 17168.5+0.24*(P177-115125),
                                    IF(P177&lt;258325, 39110.5+0.32*(P177-206550),
                                        IF(P177&lt;380200, 55678.5+0.35*(P177-258325),
                                            IF(P177&gt;380200, 98334.75+0.37*(P177-380200)
                                            )
                                        )
                                    )
                                )
                            )
                        )
                    )
                ),
                IF(OR(B$2="Single", B$2="MFS"),
                    IF(P177&lt;7300, 0,
                        IF(P177&lt;13100, 0.1*(P177-7300),
                            IF(P177&lt;30875, 580+0.12*(P177-13100),
                                IF(P177&lt;57563, 2713+0.22*(P177-30875),
                                    IF(P177&lt;103275, 8584.25+0.24*(P177-57563),
                                        IF(P177&lt;129163, 19555.25+0.32*(P177-103275),
                                            IF(P177&lt;311975, 27839.25+0.35*(P177-129163),
                                                IF(P177&gt;311975, 91823.63+0.37*(P177-311975)
                                                )
                                            )
                                        )
                                    )
                                )
                            )
                        )
                    ),
                    IF(B$2="HOH",
                        IF(P177&lt;10950, 0,
                            IF(P177&lt;19225, 0.1*(P177-10950),
                                IF(P177&lt;42500, 827.5+0.12*(P177-19225),
                                    IF(P177&lt;61200, 3620.5+0.22*(P177-42500),
                                        IF(P177&lt;106925, 7734.5+0.24*(P177-61200),
                                            IF(P177&lt;132800, 18708.5+0.32*(P177-106925),
                                                IF(P177&lt;315625, 26988.5+0.35*(P177-132800),
                                                    IF(P177&gt;315625, 90977.25+0.37*(P177-315625),
                                                        "Invalid Input"
                                                    )
                                                )
                                            )
                                        )
                                    )
                                )
                            )
                        )
                    )
                )
            )
        )
    )
)</f>
        <v>0</v>
      </c>
      <c r="AG178" s="107" t="b">
        <f t="shared" si="742"/>
        <v>0</v>
      </c>
      <c r="AH178" s="107" t="b">
        <f t="shared" si="742"/>
        <v>0</v>
      </c>
      <c r="AI178" s="107" t="b">
        <f t="shared" si="742"/>
        <v>0</v>
      </c>
      <c r="AJ178" s="107" t="b">
        <f t="shared" si="742"/>
        <v>0</v>
      </c>
      <c r="AK178" s="107" t="b">
        <f t="shared" si="742"/>
        <v>0</v>
      </c>
      <c r="AL178" s="107" t="b">
        <f t="shared" si="742"/>
        <v>0</v>
      </c>
      <c r="AM178" s="107" t="b">
        <f t="shared" si="742"/>
        <v>0</v>
      </c>
      <c r="AN178" s="107" t="b">
        <f t="shared" si="742"/>
        <v>0</v>
      </c>
      <c r="AO178" s="107" t="b">
        <f>IF(Y$156=2024,
    IF($R$157="-",
        IF(Y$157="MFJ",
            IF(Y177&lt;16300, 0,
                IF(Y177&lt;39500, 0.1*(Y177-16300),
                    IF(Y177&lt;110600, 2320+0.12*(Y177-39500),
                        IF(Y177&lt;217350, 10852+0.22*(Y177-110600),
                            IF(Y177&lt;400200, 34337+0.24*(Y177-217350),
                                IF(Y177&lt;503750, 78221+0.32*(Y177-400200),
                                    IF(Y177&lt;747500, 111357+0.35*(Y177-503750),
                                        IF(Y177&gt;747500, 196669.5+0.37*(Y177-747500)
                                        )
                                    )
                                )
                            )
                        )
                    )
                )
            ),
            IF(OR(Y$157="Single", Y$157="MFS"),
                IF(Y177&lt;6000, 0,
                    IF(Y177&lt;17600, 0.1*(Y177-6000),
                        IF(Y177&lt;53150, 1160+0.12*(Y177-17600),
                            IF(Y177&lt;106525, 5426+0.22*(Y177-53150),
                                IF(Y177&lt;197950, 17168.5+0.24*(Y177-106525),
                                    IF(Y177&lt;249725, 39110.5+0.32*(Y177-197950),
                                        IF(Y177&lt;615350, 55678.5+0.35*(Y177-249725),
                                            IF(Y177&gt;615350, 183647.25+0.37*(Y177-615350)
                                            )
                                        )
                                    )
                                )
                            )
                        )
                    )
                ),
                IF(Y$157="HOH",
                    IF(Y177&lt;13300, 0,
                        IF(Y177&lt;29850, 0.1*(Y177-13300),
                            IF(Y177&lt;76400, 1655+0.12*(Y177-29850),
                                IF(Y177&lt;113800, 7241+0.22*(Y177-76400),
                                    IF(Y177&lt;205250, 15469+0.24*(Y177-113800),
                                        IF(Y177&lt;257000, 37417+0.32*(Y177-205250),
                                            IF(Y177&lt;622650, 53977+0.35*(Y177-257000),
                                                IF(Y177&gt;622650, 181954.5+0.37*(Y177-622650),
                                                    "Invalid Filing Status or Q148 Value"
                                                )
                                            )
                                        )
                                    )
                                )
                            )
                        )
                    )
                )
            )
        ),
        IF($R$157="X",
            IF(Y$157="MFJ",
                IF(Y177&lt;14600, 0,
                    IF(Y177&lt;26200, 0.1*(Y177-14600),
                        IF(Y177&lt;61750, 1160+0.12*(Y177-26200),
                            IF(Y177&lt;115125, 5426+0.22*(Y177-61750),
                                IF(Y177&lt;206550, 17168.5+0.24*(Y177-115125),
                                    IF(Y177&lt;258325, 39110.5+0.32*(Y177-206550),
                                        IF(Y177&lt;380200, 55678.5+0.35*(Y177-258325),
                                            IF(Y177&gt;380200, 98334.75+0.37*(Y177-380200)
                                            )
                                        )
                                    )
                                )
                            )
                        )
                    )
                ),
                IF(OR(Y$157="Single", Y$157="MFS"),
                    IF(Y177&lt;7300, 0,
                        IF(Y177&lt;13100, 0.1*(Y177-7300),
                            IF(Y177&lt;30875, 580+0.12*(Y177-13100),
                                IF(Y177&lt;57563, 2713+0.22*(Y177-30875),
                                    IF(Y177&lt;103275, 8584.25+0.24*(Y177-57563),
                                        IF(Y177&lt;129163, 19555.25+0.32*(Y177-103275),
                                            IF(Y177&lt;311975, 27839.25+0.35*(Y177-129163),
                                                IF(Y177&gt;311975, 91823.63+0.37*(Y177-311975)
                                                )
                                            )
                                        )
                                    )
                                )
                            )
                        )
                    ),
                    IF(Y$157="HOH",
                        IF(Y177&lt;10950, 0,
                            IF(Y177&lt;19225, 0.1*(Y177-10950),
                                IF(Y177&lt;42500, 827.5+0.12*(Y177-19225),
                                    IF(Y177&lt;61200, 3620.5+0.22*(Y177-42500),
                                        IF(Y177&lt;106925, 7734.5+0.24*(Y177-61200),
                                            IF(Y177&lt;132800, 18708.5+0.32*(Y177-106925),
                                                IF(Y177&lt;315625, 26988.5+0.35*(Y177-132800),
                                                    IF(Y177&gt;315625, 90977.25+0.37*(Y177-315625),
                                                        "Invalid Input"
                                                    )
                                                )
                                            )
                                        )
                                    )
                                )
                            )
                        )
                    )
                )
            )
        )
    )
)</f>
        <v>0</v>
      </c>
      <c r="AP178" s="107" t="b">
        <f>IF(Z$156=2024,
    IF($R$157="-",
        IF(Z$157="MFJ",
            IF(Z177&lt;16300, 0,
                IF(Z177&lt;39500, 0.1*(Z177-16300),
                    IF(Z177&lt;110600, 2320+0.12*(Z177-39500),
                        IF(Z177&lt;217350, 10852+0.22*(Z177-110600),
                            IF(Z177&lt;400200, 34337+0.24*(Z177-217350),
                                IF(Z177&lt;503750, 78221+0.32*(Z177-400200),
                                    IF(Z177&lt;747500, 111357+0.35*(Z177-503750),
                                        IF(Z177&gt;747500, 196669.5+0.37*(Z177-747500)
                                        )
                                    )
                                )
                            )
                        )
                    )
                )
            ),
            IF(OR(Z$157="Single", Z$157="MFS"),
                IF(Z177&lt;6000, 0,
                    IF(Z177&lt;17600, 0.1*(Z177-6000),
                        IF(Z177&lt;53150, 1160+0.12*(Z177-17600),
                            IF(Z177&lt;106525, 5426+0.22*(Z177-53150),
                                IF(Z177&lt;197950, 17168.5+0.24*(Z177-106525),
                                    IF(Z177&lt;249725, 39110.5+0.32*(Z177-197950),
                                        IF(Z177&lt;615350, 55678.5+0.35*(Z177-249725),
                                            IF(Z177&gt;615350, 183647.25+0.37*(Z177-615350)
                                            )
                                        )
                                    )
                                )
                            )
                        )
                    )
                ),
                IF(Z$157="HOH",
                    IF(Z177&lt;13300, 0,
                        IF(Z177&lt;29850, 0.1*(Z177-13300),
                            IF(Z177&lt;76400, 1655+0.12*(Z177-29850),
                                IF(Z177&lt;113800, 7241+0.22*(Z177-76400),
                                    IF(Z177&lt;205250, 15469+0.24*(Z177-113800),
                                        IF(Z177&lt;257000, 37417+0.32*(Z177-205250),
                                            IF(Z177&lt;622650, 53977+0.35*(Z177-257000),
                                                IF(Z177&gt;622650, 181954.5+0.37*(Z177-622650),
                                                    "Invalid Filing Status or Q148 Value"
                                                )
                                            )
                                        )
                                    )
                                )
                            )
                        )
                    )
                )
            )
        ),
        IF($R$157="X",
            IF(Z$157="MFJ",
                IF(Z177&lt;14600, 0,
                    IF(Z177&lt;26200, 0.1*(Z177-14600),
                        IF(Z177&lt;61750, 1160+0.12*(Z177-26200),
                            IF(Z177&lt;115125, 5426+0.22*(Z177-61750),
                                IF(Z177&lt;206550, 17168.5+0.24*(Z177-115125),
                                    IF(Z177&lt;258325, 39110.5+0.32*(Z177-206550),
                                        IF(Z177&lt;380200, 55678.5+0.35*(Z177-258325),
                                            IF(Z177&gt;380200, 98334.75+0.37*(Z177-380200)
                                            )
                                        )
                                    )
                                )
                            )
                        )
                    )
                ),
                IF(OR(Z$157="Single", Z$157="MFS"),
                    IF(Z177&lt;7300, 0,
                        IF(Z177&lt;13100, 0.1*(Z177-7300),
                            IF(Z177&lt;30875, 580+0.12*(Z177-13100),
                                IF(Z177&lt;57563, 2713+0.22*(Z177-30875),
                                    IF(Z177&lt;103275, 8584.25+0.24*(Z177-57563),
                                        IF(Z177&lt;129163, 19555.25+0.32*(Z177-103275),
                                            IF(Z177&lt;311975, 27839.25+0.35*(Z177-129163),
                                                IF(Z177&gt;311975, 91823.63+0.37*(Z177-311975)
                                                )
                                            )
                                        )
                                    )
                                )
                            )
                        )
                    ),
                    IF(Z$157="HOH",
                        IF(Z177&lt;10950, 0,
                            IF(Z177&lt;19225, 0.1*(Z177-10950),
                                IF(Z177&lt;42500, 827.5+0.12*(Z177-19225),
                                    IF(Z177&lt;61200, 3620.5+0.22*(Z177-42500),
                                        IF(Z177&lt;106925, 7734.5+0.24*(Z177-61200),
                                            IF(Z177&lt;132800, 18708.5+0.32*(Z177-106925),
                                                IF(Z177&lt;315625, 26988.5+0.35*(Z177-132800),
                                                    IF(Z177&gt;315625, 90977.25+0.37*(Z177-315625),
                                                        "Invalid Input"
                                                    )
                                                )
                                            )
                                        )
                                    )
                                )
                            )
                        )
                    )
                )
            )
        )
    )
)</f>
        <v>0</v>
      </c>
      <c r="AQ178" s="107" t="b">
        <f>IF(AA$156=2024,
    IF($R$157="-",
        IF(AA$157="MFJ",
            IF(AA177&lt;16300, 0,
                IF(AA177&lt;39500, 0.1*(AA177-16300),
                    IF(AA177&lt;110600, 2320+0.12*(AA177-39500),
                        IF(AA177&lt;217350, 10852+0.22*(AA177-110600),
                            IF(AA177&lt;400200, 34337+0.24*(AA177-217350),
                                IF(AA177&lt;503750, 78221+0.32*(AA177-400200),
                                    IF(AA177&lt;747500, 111357+0.35*(AA177-503750),
                                        IF(AA177&gt;747500, 196669.5+0.37*(AA177-747500)
                                        )
                                    )
                                )
                            )
                        )
                    )
                )
            ),
            IF(OR(AA$157="Single", AA$157="MFS"),
                IF(AA177&lt;6000, 0,
                    IF(AA177&lt;17600, 0.1*(AA177-6000),
                        IF(AA177&lt;53150, 1160+0.12*(AA177-17600),
                            IF(AA177&lt;106525, 5426+0.22*(AA177-53150),
                                IF(AA177&lt;197950, 17168.5+0.24*(AA177-106525),
                                    IF(AA177&lt;249725, 39110.5+0.32*(AA177-197950),
                                        IF(AA177&lt;615350, 55678.5+0.35*(AA177-249725),
                                            IF(AA177&gt;615350, 183647.25+0.37*(AA177-615350)
                                            )
                                        )
                                    )
                                )
                            )
                        )
                    )
                ),
                IF(AA$157="HOH",
                    IF(AA177&lt;13300, 0,
                        IF(AA177&lt;29850, 0.1*(AA177-13300),
                            IF(AA177&lt;76400, 1655+0.12*(AA177-29850),
                                IF(AA177&lt;113800, 7241+0.22*(AA177-76400),
                                    IF(AA177&lt;205250, 15469+0.24*(AA177-113800),
                                        IF(AA177&lt;257000, 37417+0.32*(AA177-205250),
                                            IF(AA177&lt;622650, 53977+0.35*(AA177-257000),
                                                IF(AA177&gt;622650, 181954.5+0.37*(AA177-622650),
                                                    "Invalid Filing Status or Q148 Value"
                                                )
                                            )
                                        )
                                    )
                                )
                            )
                        )
                    )
                )
            )
        ),
        IF($R$157="X",
            IF(AA$157="MFJ",
                IF(AA177&lt;14600, 0,
                    IF(AA177&lt;26200, 0.1*(AA177-14600),
                        IF(AA177&lt;61750, 1160+0.12*(AA177-26200),
                            IF(AA177&lt;115125, 5426+0.22*(AA177-61750),
                                IF(AA177&lt;206550, 17168.5+0.24*(AA177-115125),
                                    IF(AA177&lt;258325, 39110.5+0.32*(AA177-206550),
                                        IF(AA177&lt;380200, 55678.5+0.35*(AA177-258325),
                                            IF(AA177&gt;380200, 98334.75+0.37*(AA177-380200)
                                            )
                                        )
                                    )
                                )
                            )
                        )
                    )
                ),
                IF(OR(AA$157="Single", AA$157="MFS"),
                    IF(AA177&lt;7300, 0,
                        IF(AA177&lt;13100, 0.1*(AA177-7300),
                            IF(AA177&lt;30875, 580+0.12*(AA177-13100),
                                IF(AA177&lt;57563, 2713+0.22*(AA177-30875),
                                    IF(AA177&lt;103275, 8584.25+0.24*(AA177-57563),
                                        IF(AA177&lt;129163, 19555.25+0.32*(AA177-103275),
                                            IF(AA177&lt;311975, 27839.25+0.35*(AA177-129163),
                                                IF(AA177&gt;311975, 91823.63+0.37*(AA177-311975)
                                                )
                                            )
                                        )
                                    )
                                )
                            )
                        )
                    ),
                    IF(AA$157="HOH",
                        IF(AA177&lt;10950, 0,
                            IF(AA177&lt;19225, 0.1*(AA177-10950),
                                IF(AA177&lt;42500, 827.5+0.12*(AA177-19225),
                                    IF(AA177&lt;61200, 3620.5+0.22*(AA177-42500),
                                        IF(AA177&lt;106925, 7734.5+0.24*(AA177-61200),
                                            IF(AA177&lt;132800, 18708.5+0.32*(AA177-106925),
                                                IF(AA177&lt;315625, 26988.5+0.35*(AA177-132800),
                                                    IF(AA177&gt;315625, 90977.25+0.37*(AA177-315625),
                                                        "Invalid Input"
                                                    )
                                                )
                                            )
                                        )
                                    )
                                )
                            )
                        )
                    )
                )
            )
        )
    )
)</f>
        <v>0</v>
      </c>
      <c r="AR178" s="107" t="b">
        <f>IF(AB$156=2024,
    IF($R$157="-",
        IF(AB$157="MFJ",
            IF(AB177&lt;16300, 0,
                IF(AB177&lt;39500, 0.1*(AB177-16300),
                    IF(AB177&lt;110600, 2320+0.12*(AB177-39500),
                        IF(AB177&lt;217350, 10852+0.22*(AB177-110600),
                            IF(AB177&lt;400200, 34337+0.24*(AB177-217350),
                                IF(AB177&lt;503750, 78221+0.32*(AB177-400200),
                                    IF(AB177&lt;747500, 111357+0.35*(AB177-503750),
                                        IF(AB177&gt;747500, 196669.5+0.37*(AB177-747500)
                                        )
                                    )
                                )
                            )
                        )
                    )
                )
            ),
            IF(OR(AB$157="Single", AB$157="MFS"),
                IF(AB177&lt;6000, 0,
                    IF(AB177&lt;17600, 0.1*(AB177-6000),
                        IF(AB177&lt;53150, 1160+0.12*(AB177-17600),
                            IF(AB177&lt;106525, 5426+0.22*(AB177-53150),
                                IF(AB177&lt;197950, 17168.5+0.24*(AB177-106525),
                                    IF(AB177&lt;249725, 39110.5+0.32*(AB177-197950),
                                        IF(AB177&lt;615350, 55678.5+0.35*(AB177-249725),
                                            IF(AB177&gt;615350, 183647.25+0.37*(AB177-615350)
                                            )
                                        )
                                    )
                                )
                            )
                        )
                    )
                ),
                IF(AB$157="HOH",
                    IF(AB177&lt;13300, 0,
                        IF(AB177&lt;29850, 0.1*(AB177-13300),
                            IF(AB177&lt;76400, 1655+0.12*(AB177-29850),
                                IF(AB177&lt;113800, 7241+0.22*(AB177-76400),
                                    IF(AB177&lt;205250, 15469+0.24*(AB177-113800),
                                        IF(AB177&lt;257000, 37417+0.32*(AB177-205250),
                                            IF(AB177&lt;622650, 53977+0.35*(AB177-257000),
                                                IF(AB177&gt;622650, 181954.5+0.37*(AB177-622650),
                                                    "Invalid Filing Status or Q148 Value"
                                                )
                                            )
                                        )
                                    )
                                )
                            )
                        )
                    )
                )
            )
        ),
        IF($R$157="X",
            IF(AB$157="MFJ",
                IF(AB177&lt;14600, 0,
                    IF(AB177&lt;26200, 0.1*(AB177-14600),
                        IF(AB177&lt;61750, 1160+0.12*(AB177-26200),
                            IF(AB177&lt;115125, 5426+0.22*(AB177-61750),
                                IF(AB177&lt;206550, 17168.5+0.24*(AB177-115125),
                                    IF(AB177&lt;258325, 39110.5+0.32*(AB177-206550),
                                        IF(AB177&lt;380200, 55678.5+0.35*(AB177-258325),
                                            IF(AB177&gt;380200, 98334.75+0.37*(AB177-380200)
                                            )
                                        )
                                    )
                                )
                            )
                        )
                    )
                ),
                IF(OR(AB$157="Single", AB$157="MFS"),
                    IF(AB177&lt;7300, 0,
                        IF(AB177&lt;13100, 0.1*(AB177-7300),
                            IF(AB177&lt;30875, 580+0.12*(AB177-13100),
                                IF(AB177&lt;57563, 2713+0.22*(AB177-30875),
                                    IF(AB177&lt;103275, 8584.25+0.24*(AB177-57563),
                                        IF(AB177&lt;129163, 19555.25+0.32*(AB177-103275),
                                            IF(AB177&lt;311975, 27839.25+0.35*(AB177-129163),
                                                IF(AB177&gt;311975, 91823.63+0.37*(AB177-311975)
                                                )
                                            )
                                        )
                                    )
                                )
                            )
                        )
                    ),
                    IF(AB$157="HOH",
                        IF(AB177&lt;10950, 0,
                            IF(AB177&lt;19225, 0.1*(AB177-10950),
                                IF(AB177&lt;42500, 827.5+0.12*(AB177-19225),
                                    IF(AB177&lt;61200, 3620.5+0.22*(AB177-42500),
                                        IF(AB177&lt;106925, 7734.5+0.24*(AB177-61200),
                                            IF(AB177&lt;132800, 18708.5+0.32*(AB177-106925),
                                                IF(AB177&lt;315625, 26988.5+0.35*(AB177-132800),
                                                    IF(AB177&gt;315625, 90977.25+0.37*(AB177-315625),
                                                        "Invalid Input"
                                                    )
                                                )
                                            )
                                        )
                                    )
                                )
                            )
                        )
                    )
                )
            )
        )
    )
)</f>
        <v>0</v>
      </c>
      <c r="AS178" s="107" t="b">
        <f>IF(AC$156=2024,
    IF($R$157="-",
        IF(AC$157="MFJ",
            IF(AC177&lt;16300, 0,
                IF(AC177&lt;39500, 0.1*(AC177-16300),
                    IF(AC177&lt;110600, 2320+0.12*(AC177-39500),
                        IF(AC177&lt;217350, 10852+0.22*(AC177-110600),
                            IF(AC177&lt;400200, 34337+0.24*(AC177-217350),
                                IF(AC177&lt;503750, 78221+0.32*(AC177-400200),
                                    IF(AC177&lt;747500, 111357+0.35*(AC177-503750),
                                        IF(AC177&gt;747500, 196669.5+0.37*(AC177-747500)
                                        )
                                    )
                                )
                            )
                        )
                    )
                )
            ),
            IF(OR(AC$157="Single", AC$157="MFS"),
                IF(AC177&lt;6000, 0,
                    IF(AC177&lt;17600, 0.1*(AC177-6000),
                        IF(AC177&lt;53150, 1160+0.12*(AC177-17600),
                            IF(AC177&lt;106525, 5426+0.22*(AC177-53150),
                                IF(AC177&lt;197950, 17168.5+0.24*(AC177-106525),
                                    IF(AC177&lt;249725, 39110.5+0.32*(AC177-197950),
                                        IF(AC177&lt;615350, 55678.5+0.35*(AC177-249725),
                                            IF(AC177&gt;615350, 183647.25+0.37*(AC177-615350)
                                            )
                                        )
                                    )
                                )
                            )
                        )
                    )
                ),
                IF(AC$157="HOH",
                    IF(AC177&lt;13300, 0,
                        IF(AC177&lt;29850, 0.1*(AC177-13300),
                            IF(AC177&lt;76400, 1655+0.12*(AC177-29850),
                                IF(AC177&lt;113800, 7241+0.22*(AC177-76400),
                                    IF(AC177&lt;205250, 15469+0.24*(AC177-113800),
                                        IF(AC177&lt;257000, 37417+0.32*(AC177-205250),
                                            IF(AC177&lt;622650, 53977+0.35*(AC177-257000),
                                                IF(AC177&gt;622650, 181954.5+0.37*(AC177-622650),
                                                    "Invalid Filing Status or Q148 Value"
                                                )
                                            )
                                        )
                                    )
                                )
                            )
                        )
                    )
                )
            )
        ),
        IF($R$157="X",
            IF(AC$157="MFJ",
                IF(AC177&lt;14600, 0,
                    IF(AC177&lt;26200, 0.1*(AC177-14600),
                        IF(AC177&lt;61750, 1160+0.12*(AC177-26200),
                            IF(AC177&lt;115125, 5426+0.22*(AC177-61750),
                                IF(AC177&lt;206550, 17168.5+0.24*(AC177-115125),
                                    IF(AC177&lt;258325, 39110.5+0.32*(AC177-206550),
                                        IF(AC177&lt;380200, 55678.5+0.35*(AC177-258325),
                                            IF(AC177&gt;380200, 98334.75+0.37*(AC177-380200)
                                            )
                                        )
                                    )
                                )
                            )
                        )
                    )
                ),
                IF(OR(AC$157="Single", AC$157="MFS"),
                    IF(AC177&lt;7300, 0,
                        IF(AC177&lt;13100, 0.1*(AC177-7300),
                            IF(AC177&lt;30875, 580+0.12*(AC177-13100),
                                IF(AC177&lt;57563, 2713+0.22*(AC177-30875),
                                    IF(AC177&lt;103275, 8584.25+0.24*(AC177-57563),
                                        IF(AC177&lt;129163, 19555.25+0.32*(AC177-103275),
                                            IF(AC177&lt;311975, 27839.25+0.35*(AC177-129163),
                                                IF(AC177&gt;311975, 91823.63+0.37*(AC177-311975)
                                                )
                                            )
                                        )
                                    )
                                )
                            )
                        )
                    ),
                    IF(AC$157="HOH",
                        IF(AC177&lt;10950, 0,
                            IF(AC177&lt;19225, 0.1*(AC177-10950),
                                IF(AC177&lt;42500, 827.5+0.12*(AC177-19225),
                                    IF(AC177&lt;61200, 3620.5+0.22*(AC177-42500),
                                        IF(AC177&lt;106925, 7734.5+0.24*(AC177-61200),
                                            IF(AC177&lt;132800, 18708.5+0.32*(AC177-106925),
                                                IF(AC177&lt;315625, 26988.5+0.35*(AC177-132800),
                                                    IF(AC177&gt;315625, 90977.25+0.37*(AC177-315625),
                                                        "Invalid Input"
                                                    )
                                                )
                                            )
                                        )
                                    )
                                )
                            )
                        )
                    )
                )
            )
        )
    )
)</f>
        <v>0</v>
      </c>
    </row>
    <row r="179" spans="2:45" x14ac:dyDescent="0.25">
      <c r="B179" s="214" t="s">
        <v>128</v>
      </c>
      <c r="D179" s="32">
        <v>20</v>
      </c>
      <c r="E179" s="33">
        <f t="shared" si="715"/>
        <v>7.6399999999999996E-2</v>
      </c>
      <c r="F179" s="34" t="e">
        <f t="shared" si="716"/>
        <v>#VALUE!</v>
      </c>
      <c r="G179" t="e">
        <f t="shared" si="713"/>
        <v>#VALUE!</v>
      </c>
      <c r="H179" s="34" t="e">
        <f>F179+G179</f>
        <v>#VALUE!</v>
      </c>
      <c r="N179" t="s">
        <v>235</v>
      </c>
      <c r="P179" s="106">
        <f>IF(P182="[Select State]", 0, INDEX(B$366:B$415, MATCH(P182, $A$366:$A$415, 0)))</f>
        <v>0</v>
      </c>
      <c r="Q179" s="106">
        <f>IF(Q182="[Select State]", 0, INDEX(C$366:C$415, MATCH(Q182, $A$366:$A$415, 0)))</f>
        <v>0</v>
      </c>
      <c r="R179" s="106">
        <f>IF(R182="[Select State]", 0, INDEX(D$366:D$415, MATCH(R182, $A$366:$A$415, 0)))</f>
        <v>0</v>
      </c>
      <c r="S179" s="106">
        <f t="shared" ref="S179:U179" si="743">IF(S182="[Select State]", 0, INDEX(E$366:E$415, MATCH(S182, $A$366:$A$415, 0)))</f>
        <v>0</v>
      </c>
      <c r="T179" s="106">
        <f t="shared" si="743"/>
        <v>0</v>
      </c>
      <c r="U179" s="106">
        <f t="shared" si="743"/>
        <v>0</v>
      </c>
      <c r="V179" s="106">
        <f>IF(V182="[Select State]", 0, INDEX(H$366:H$415, MATCH(V182, $A$366:$A$415, 0)))</f>
        <v>0</v>
      </c>
      <c r="W179" s="106">
        <f>IF(W182="[Select State]", 0, INDEX(I$366:I$415, MATCH(W182, $A$366:$A$415, 0)))</f>
        <v>0</v>
      </c>
      <c r="X179" s="106">
        <f>IF(X182="[Select State]", 0, INDEX(J$366:J$415, MATCH(X182, $A$366:$A$415, 0)))</f>
        <v>0</v>
      </c>
      <c r="Y179" s="106">
        <f>IF(Y182="[Select State]", 0, INDEX(K$366:K$414, MATCH(Y182, $A$366:$A$415, 0)))</f>
        <v>0</v>
      </c>
      <c r="Z179" s="106">
        <f>IF(Z182="[Select State]", 0, INDEX(L$349:L$416, MATCH(Z182, $A$366:$A$415, 0)))</f>
        <v>0</v>
      </c>
      <c r="AA179" s="106">
        <f>IF(AA182="[Select State]", 0, INDEX(M$352:M$419, MATCH(AA182, $A$366:$A$415, 0)))</f>
        <v>0</v>
      </c>
      <c r="AB179" s="106">
        <f>IF(AB182="[Select State]", 0, INDEX(N$352:N$419, MATCH(AB182, $A$366:$A$415, 0)))</f>
        <v>0</v>
      </c>
      <c r="AC179" s="106">
        <f>IF(AC182="[Select State]", 0, INDEX(O$352:O$419, MATCH(AC182, $A$366:$A$415, 0)))</f>
        <v>0</v>
      </c>
      <c r="AE179" s="93"/>
      <c r="AF179" s="93"/>
      <c r="AG179" s="93"/>
      <c r="AH179" s="93"/>
      <c r="AI179" s="93"/>
      <c r="AJ179" s="93"/>
      <c r="AK179" s="93"/>
      <c r="AL179" s="93"/>
      <c r="AM179" s="93"/>
      <c r="AN179" s="93"/>
      <c r="AO179" s="93"/>
      <c r="AP179" s="93"/>
      <c r="AQ179" s="93"/>
      <c r="AR179" s="93"/>
      <c r="AS179" s="93"/>
    </row>
    <row r="180" spans="2:45" x14ac:dyDescent="0.25">
      <c r="B180" s="214" t="s">
        <v>129</v>
      </c>
      <c r="O180" t="s">
        <v>208</v>
      </c>
      <c r="P180" s="102" t="str">
        <f>IF(B$1=2022, MIN(P177,147000)*0.062,
   IF(B$1=2023, MIN(P177,160200)*0.062,
      IF(B$1=2024, MIN(P177,168600)*0.062,
         "-"
      )
   )
)</f>
        <v>-</v>
      </c>
      <c r="Q180" s="102" t="str">
        <f>IF(C$1=2022, MIN(Q177,147000)*0.062,
   IF(C$1=2023, MIN(Q177,160200)*0.062,
      IF(C$1=2024, MIN(Q177,168600)*0.062,
         "-"
      )
   )
)</f>
        <v>-</v>
      </c>
      <c r="R180" s="102" t="str">
        <f>IF(D$1=2022, MIN(R177,147000)*0.062,
   IF(D$1=2023, MIN(R177,160200)*0.062,
      IF(D$1=2024, MIN(R177,168600)*0.062,
         "-"
      )
   )
)</f>
        <v>-</v>
      </c>
      <c r="S180" s="102" t="str">
        <f t="shared" ref="S180:U180" si="744">IF(E$1=2022, MIN(S177,147000)*0.062,
   IF(E$1=2023, MIN(S177,160200)*0.062,
      IF(E$1=2024, MIN(S177,168600)*0.062,
         "-"
      )
   )
)</f>
        <v>-</v>
      </c>
      <c r="T180" s="102" t="str">
        <f t="shared" si="744"/>
        <v>-</v>
      </c>
      <c r="U180" s="102" t="str">
        <f t="shared" si="744"/>
        <v>-</v>
      </c>
      <c r="V180" s="102" t="str">
        <f>IF(H$1=2022, MIN(V177,147000)*0.062,
   IF(H$1=2023, MIN(V177,160200)*0.062,
      IF(H$1=2024, MIN(V177,168600)*0.062,
         "-"
      )
   )
)</f>
        <v>-</v>
      </c>
      <c r="W180" s="102" t="str">
        <f>IF(I$1=2022, MIN(W177,147000)*0.062,
   IF(I$1=2023, MIN(W177,160200)*0.062,
      IF(I$1=2024, MIN(W177,168600)*0.062,
         "-"
      )
   )
)</f>
        <v>-</v>
      </c>
      <c r="X180" s="102" t="str">
        <f>IF(J$1=2022, MIN(X177,147000)*0.062,
   IF(J$1=2023, MIN(X177,160200)*0.062,
      IF(J$1=2024, MIN(X177,168600)*0.062,
         "-"
      )
   )
)</f>
        <v>-</v>
      </c>
      <c r="Y180" s="102" t="str">
        <f>IF(Y$156=2022, MIN(Y177,147000)*0.062,
   IF(Y$156=2023, MIN(Y177,160200)*0.062,
      IF(Y$156=2024, MIN(Y177,168600)*0.062,
         "-"
      )
   )
)</f>
        <v>-</v>
      </c>
      <c r="Z180" s="102" t="str">
        <f>IF(Z$156=2022, MIN(Z177,147000)*0.062,
   IF(Z$156=2023, MIN(Z177,160200)*0.062,
      IF(Z$156=2024, MIN(Z177,168600)*0.062,
         "-"
      )
   )
)</f>
        <v>-</v>
      </c>
      <c r="AA180" s="102" t="str">
        <f>IF(AA$156=2022, MIN(AA177,147000)*0.062,
   IF(AA$156=2023, MIN(AA177,160200)*0.062,
      IF(AA$156=2024, MIN(AA177,168600)*0.062,
         "-"
      )
   )
)</f>
        <v>-</v>
      </c>
      <c r="AB180" s="102" t="str">
        <f>IF(AB$156=2022, MIN(AB177,147000)*0.062,
   IF(AB$156=2023, MIN(AB177,160200)*0.062,
      IF(AB$156=2024, MIN(AB177,168600)*0.062,
         "-"
      )
   )
)</f>
        <v>-</v>
      </c>
      <c r="AC180" s="102" t="str">
        <f>IF(AC$156=2022, MIN(AC177,147000)*0.062,
   IF(AC$156=2023, MIN(AC177,160200)*0.062,
      IF(AC$156=2024, MIN(AC177,168600)*0.062,
         "-"
      )
   )
)</f>
        <v>-</v>
      </c>
      <c r="AE180" s="93"/>
      <c r="AF180" s="93"/>
      <c r="AG180" s="93"/>
      <c r="AH180" s="93"/>
      <c r="AI180" s="93"/>
      <c r="AJ180" s="93"/>
      <c r="AK180" s="93"/>
      <c r="AL180" s="93"/>
      <c r="AM180" s="93"/>
      <c r="AN180" s="93"/>
      <c r="AO180" s="93"/>
      <c r="AP180" s="93"/>
      <c r="AQ180" s="93"/>
      <c r="AR180" s="93"/>
      <c r="AS180" s="93"/>
    </row>
    <row r="181" spans="2:45" x14ac:dyDescent="0.25">
      <c r="B181" s="214" t="s">
        <v>130</v>
      </c>
      <c r="N181" s="125" t="s">
        <v>210</v>
      </c>
      <c r="O181" t="s">
        <v>207</v>
      </c>
      <c r="P181" s="102">
        <f>P177*0.0145</f>
        <v>0</v>
      </c>
      <c r="Q181" s="102">
        <f>Q177*0.0145</f>
        <v>0</v>
      </c>
      <c r="R181" s="102">
        <f>R177*0.0145</f>
        <v>0</v>
      </c>
      <c r="S181" s="102">
        <f t="shared" ref="S181:U181" si="745">S177*0.0145</f>
        <v>0</v>
      </c>
      <c r="T181" s="102">
        <f t="shared" si="745"/>
        <v>0</v>
      </c>
      <c r="U181" s="102">
        <f t="shared" si="745"/>
        <v>0</v>
      </c>
      <c r="V181" s="102">
        <f>V177*0.0145</f>
        <v>0</v>
      </c>
      <c r="W181" s="102">
        <f>W177*0.0145</f>
        <v>0</v>
      </c>
      <c r="X181" s="102">
        <f t="shared" ref="X181" si="746">X177*0.0145</f>
        <v>0</v>
      </c>
      <c r="Y181" s="102">
        <f>Y177*0.0145</f>
        <v>0</v>
      </c>
      <c r="Z181" s="102">
        <f>Z177*0.0145</f>
        <v>0</v>
      </c>
      <c r="AA181" s="102">
        <f>AA177*0.0145</f>
        <v>0</v>
      </c>
      <c r="AB181" s="102">
        <f>AB177*0.0145</f>
        <v>0</v>
      </c>
      <c r="AC181" s="102">
        <f>AC177*0.0145</f>
        <v>0</v>
      </c>
      <c r="AE181" s="93"/>
      <c r="AF181" s="93"/>
      <c r="AG181" s="93"/>
      <c r="AH181" s="93"/>
      <c r="AI181" s="93"/>
      <c r="AJ181" s="93"/>
      <c r="AK181" s="93"/>
      <c r="AL181" s="93"/>
      <c r="AM181" s="93"/>
      <c r="AN181" s="93"/>
      <c r="AO181" s="93"/>
      <c r="AP181" s="93"/>
      <c r="AQ181" s="93"/>
      <c r="AR181" s="93"/>
      <c r="AS181" s="93"/>
    </row>
    <row r="182" spans="2:45" x14ac:dyDescent="0.25">
      <c r="B182" s="214" t="s">
        <v>131</v>
      </c>
      <c r="P182" s="89" t="str">
        <f>B3</f>
        <v>[Select State]</v>
      </c>
      <c r="Q182" s="89" t="str">
        <f>C3</f>
        <v>[Select State]</v>
      </c>
      <c r="R182" s="89" t="str">
        <f>D3</f>
        <v>[Select State]</v>
      </c>
      <c r="S182" s="89" t="str">
        <f t="shared" ref="S182:U182" si="747">E3</f>
        <v>[Select State]</v>
      </c>
      <c r="T182" s="89" t="str">
        <f t="shared" si="747"/>
        <v>[Select State]</v>
      </c>
      <c r="U182" s="89" t="str">
        <f t="shared" si="747"/>
        <v>[Select State]</v>
      </c>
      <c r="V182" s="89" t="str">
        <f>H3</f>
        <v>[Select State]</v>
      </c>
      <c r="W182" s="89" t="str">
        <f>I3</f>
        <v>[Select State]</v>
      </c>
      <c r="X182" s="89" t="str">
        <f>J3</f>
        <v>[Select State]</v>
      </c>
      <c r="Y182" s="89" t="s">
        <v>62</v>
      </c>
      <c r="Z182" s="89" t="s">
        <v>62</v>
      </c>
      <c r="AA182" s="89" t="s">
        <v>62</v>
      </c>
      <c r="AB182" s="89" t="s">
        <v>62</v>
      </c>
      <c r="AC182" s="89" t="s">
        <v>62</v>
      </c>
      <c r="AE182" s="93"/>
      <c r="AF182" s="93"/>
      <c r="AG182" s="93"/>
      <c r="AH182" s="93"/>
      <c r="AI182" s="93"/>
      <c r="AJ182" s="93"/>
      <c r="AK182" s="93"/>
      <c r="AL182" s="93"/>
      <c r="AM182" s="93"/>
      <c r="AN182" s="93"/>
      <c r="AO182" s="93"/>
      <c r="AP182" s="93"/>
      <c r="AQ182" s="93"/>
      <c r="AR182" s="93"/>
      <c r="AS182" s="93"/>
    </row>
    <row r="183" spans="2:45" ht="16.5" customHeight="1" x14ac:dyDescent="0.25">
      <c r="B183" s="214" t="s">
        <v>132</v>
      </c>
      <c r="O183" t="s">
        <v>209</v>
      </c>
      <c r="P183" s="102">
        <f>IF(P176="W-2", 0, IF(B$1=2022, MIN(P177,147000)*0.062, IF(B$1=2023, MIN(P177,160200)*0.062, IF(B$1=2024, MIN(P177,168600)*0.062, "-"))))</f>
        <v>0</v>
      </c>
      <c r="Q183" s="102">
        <f>IF(Q176="W-2", 0, IF(C$1=2022, MIN(Q177,147000)*0.062, IF(C$1=2023, MIN(Q177,160200)*0.062, IF(C$1=2024, MIN(Q177,168600)*0.062, "-"))))</f>
        <v>0</v>
      </c>
      <c r="R183" s="102">
        <f>IF(R176="W-2", 0, IF(D$1=2022, MIN(R177,147000)*0.062, IF(D$1=2023, MIN(R177,160200)*0.062, IF(D$1=2024, MIN(R177,168600)*0.062, "-"))))</f>
        <v>0</v>
      </c>
      <c r="S183" s="102">
        <f t="shared" ref="S183:U183" si="748">IF(S176="W-2", 0, IF(E$1=2022, MIN(S177,147000)*0.062, IF(E$1=2023, MIN(S177,160200)*0.062, IF(E$1=2024, MIN(S177,168600)*0.062, "-"))))</f>
        <v>0</v>
      </c>
      <c r="T183" s="102">
        <f t="shared" si="748"/>
        <v>0</v>
      </c>
      <c r="U183" s="102">
        <f t="shared" si="748"/>
        <v>0</v>
      </c>
      <c r="V183" s="102">
        <f>IF(V176="W-2", 0, IF(H$1=2022, MIN(V177,147000)*0.062, IF(H$1=2023, MIN(V177,160200)*0.062, IF(H$1=2024, MIN(V177,168600)*0.062, "-"))))</f>
        <v>0</v>
      </c>
      <c r="W183" s="102">
        <f>IF(W176="W-2", 0, IF(I$1=2022, MIN(W177,147000)*0.062, IF(I$1=2023, MIN(W177,160200)*0.062, IF(I$1=2024, MIN(W177,168600)*0.062, "-"))))</f>
        <v>0</v>
      </c>
      <c r="X183" s="102">
        <f>IF(X176="W-2", 0, IF(J$1=2022, MIN(X177,147000)*0.062, IF(J$1=2023, MIN(X177,160200)*0.062, IF(J$1=2024, MIN(X177,168600)*0.062, "-"))))</f>
        <v>0</v>
      </c>
      <c r="Y183" s="102">
        <f>IF(Y176="W-2", 0, IF(Y$156=2022, MIN(Y177,147000)*0.062, IF(Y$156=2023, MIN(Y177,160200)*0.062, IF(Y$156=2024, MIN(Y177,168600)*0.062, "-"))))</f>
        <v>0</v>
      </c>
      <c r="Z183" s="102">
        <f>IF(Z176="W-2", 0, IF(Z$156=2022, MIN(Z177,147000)*0.062, IF(Z$156=2023, MIN(Z177,160200)*0.062, IF(Z$156=2024, MIN(Z177,168600)*0.062, "-"))))</f>
        <v>0</v>
      </c>
      <c r="AA183" s="102">
        <f>IF(AA176="W-2", 0, IF(AA$156=2022, MIN(AA177,147000)*0.062, IF(AA$156=2023, MIN(AA177,160200)*0.062, IF(AA$156=2024, MIN(AA177,168600)*0.062, "-"))))</f>
        <v>0</v>
      </c>
      <c r="AB183" s="102">
        <f>IF(AB176="W-2", 0, IF(AB$156=2022, MIN(AB177,147000)*0.062, IF(AB$156=2023, MIN(AB177,160200)*0.062, IF(AB$156=2024, MIN(AB177,168600)*0.062, "-"))))</f>
        <v>0</v>
      </c>
      <c r="AC183" s="102">
        <f>IF(AC176="W-2", 0, IF(AC$156=2022, MIN(AC177,147000)*0.062, IF(AC$156=2023, MIN(AC177,160200)*0.062, IF(AC$156=2024, MIN(AC177,168600)*0.062, "-"))))</f>
        <v>0</v>
      </c>
      <c r="AE183" s="93"/>
      <c r="AF183" s="93"/>
      <c r="AG183" s="93"/>
      <c r="AH183" s="93"/>
      <c r="AI183" s="93"/>
      <c r="AJ183" s="93"/>
      <c r="AK183" s="93"/>
      <c r="AL183" s="93"/>
      <c r="AM183" s="93"/>
      <c r="AN183" s="93"/>
      <c r="AO183" s="93"/>
      <c r="AP183" s="93"/>
      <c r="AQ183" s="93"/>
      <c r="AR183" s="93"/>
      <c r="AS183" s="93"/>
    </row>
    <row r="184" spans="2:45" x14ac:dyDescent="0.25">
      <c r="B184" s="214" t="s">
        <v>133</v>
      </c>
      <c r="N184" s="125" t="s">
        <v>211</v>
      </c>
      <c r="O184" t="s">
        <v>207</v>
      </c>
      <c r="P184" s="102">
        <f>IF(P176="W-2", 0, P177*0.0145)</f>
        <v>0</v>
      </c>
      <c r="Q184" s="102">
        <f>IF(Q176="W-2", 0, Q177*0.0145)</f>
        <v>0</v>
      </c>
      <c r="R184" s="102">
        <f>IF(R176="W-2", 0, R177*0.0145)</f>
        <v>0</v>
      </c>
      <c r="S184" s="102">
        <f t="shared" ref="S184:U184" si="749">IF(S176="W-2", 0, S177*0.0145)</f>
        <v>0</v>
      </c>
      <c r="T184" s="102">
        <f t="shared" si="749"/>
        <v>0</v>
      </c>
      <c r="U184" s="102">
        <f t="shared" si="749"/>
        <v>0</v>
      </c>
      <c r="V184" s="102">
        <f>IF(V176="W-2", 0, V177*0.0145)</f>
        <v>0</v>
      </c>
      <c r="W184" s="102">
        <f>IF(W176="W-2", 0, W177*0.0145)</f>
        <v>0</v>
      </c>
      <c r="X184" s="102">
        <f t="shared" ref="X184" si="750">IF(X176="W-2", 0, X177*0.0145)</f>
        <v>0</v>
      </c>
      <c r="Y184" s="102">
        <f>IF(Y176="W-2", 0, Y177*0.0145)</f>
        <v>0</v>
      </c>
      <c r="Z184" s="102">
        <f>IF(Z176="W-2", 0, Z177*0.0145)</f>
        <v>0</v>
      </c>
      <c r="AA184" s="102">
        <f>IF(AA176="W-2", 0, AA177*0.0145)</f>
        <v>0</v>
      </c>
      <c r="AB184" s="102">
        <f>IF(AB176="W-2", 0, AB177*0.0145)</f>
        <v>0</v>
      </c>
      <c r="AC184" s="102">
        <f>IF(AC176="W-2", 0, AC177*0.0145)</f>
        <v>0</v>
      </c>
      <c r="AE184" s="93"/>
      <c r="AF184" s="93"/>
      <c r="AG184" s="93"/>
      <c r="AH184" s="93"/>
      <c r="AI184" s="93"/>
      <c r="AJ184" s="93"/>
      <c r="AK184" s="93"/>
      <c r="AL184" s="93"/>
      <c r="AM184" s="93"/>
      <c r="AN184" s="93"/>
      <c r="AO184" s="93"/>
      <c r="AP184" s="93"/>
      <c r="AQ184" s="93"/>
      <c r="AR184" s="93"/>
      <c r="AS184" s="93"/>
    </row>
    <row r="185" spans="2:45" x14ac:dyDescent="0.25">
      <c r="B185" s="214" t="s">
        <v>134</v>
      </c>
      <c r="D185" s="30" t="s">
        <v>57</v>
      </c>
      <c r="E185" s="31" t="s">
        <v>58</v>
      </c>
      <c r="F185" s="31" t="s">
        <v>59</v>
      </c>
      <c r="G185" s="31" t="s">
        <v>60</v>
      </c>
      <c r="H185" s="31" t="s">
        <v>70</v>
      </c>
      <c r="I185" s="48" t="str">
        <f>P28</f>
        <v/>
      </c>
      <c r="O185" t="s">
        <v>223</v>
      </c>
      <c r="P185" s="102" cm="1">
        <f t="array" ref="P185">IF(P176="W-2",0,_xlfn.IFNA(_xlfn.IFS(
B$1=2022,
_xlfn.SWITCH(
P182,
"Alabama Taxes",MIN(P177,8000)*0.027,
"Alaska Taxes",MIN(P177,45200)*0.0237,
"Arizona Taxes",MIN(P177,7000)*0.02,
"Arkansas Taxes",MIN(P177,10000)*0.031,
"California Taxes",MIN(P177,7000)*0.034,
"Colorado Taxes",MIN(P177,17000)*0.017,
"Connecticut Taxes",MIN(P177,15000)*0.03,
"Delaware Taxes",MIN(P177,16500)*0.018,
"District of Columbia Taxes",MIN(P177,9000)*0.027,
"Florida Taxes",MIN(P177,7000)*0.027,
"Georgia Taxes",MIN(P177,9500)*0.0264,
"Hawaii Taxes",MIN(P177,51600)*0.03,
"Idaho Taxes",MIN(P177,46500)*0.0097,
"Illinois Taxes",MIN(P177,12960)*0.03525,
"Indiana Taxes",MIN(P177,9500)*0.025,
"Iowa Taxes",MIN(P177,34800)*0.01,
"Kansas Taxes",MIN(P177,14000)*0.027,
"Kentucky Taxes",MIN(P177,11100)*0.027,
"Louisiana Taxes",MIN(P177,7700)*0.027,
"Maine Taxes",MIN(P177,12000)*0.0224,
"Maryland Taxes",MIN(P177,8500)*0.026,
"Massachusetts Taxes",MIN(P177,15000)*0.0242,
"Michigan Taxes",MIN(P177,9500)*0.027,
"Minnesota Taxes",MIN(P177,38000)*0.027,
"Mississippi Taxes",MIN(P177,14000)*0.01,
"Missouri Taxes",MIN(P177,11000)*0.02376,
"Montana Taxes",MIN(P177,38100)*0.027,
"Nebraska Taxes",MIN(P177,24000)*0.0125,
"Nevada Taxes",MIN(P177,36600)*0.0295,
"New Hampshire Taxes",MIN(P177,14000)*0.027,
"New Jersey Taxes",MIN(P177,39800)*0.028,
"New Mexico Taxes",MIN(P177,28700)*0.01,
"New York Taxes",MIN(P177,12000)*0.03125,
"North Carolina Taxes",MIN(P177,28000)*0.01,
"North Dakota Taxes",MIN(P177,38400)*0.0102,
"Ohio Taxes",MIN(P177,9000)*0.027,
"Oklahoma Taxes",MIN(P177,24800)*0.015,
"Oregon Taxes",MIN(P177,47700)*0.024,
"Pennsylvania Taxes",MIN(P177,10000)*0.03689,
"Rhode Island Taxes",MIN(P177,24600)*0.0098,
"South Carolina Taxes",MIN(P177,14000)*0.0049,
"South Dakota Taxes",MIN(P177,15000)*0.012,
"Tennessee Taxes",MIN(P177,7000)*0.027,
"Texas Taxes",MIN(P177,9000)*0.027,
"Utah Taxes",MIN(P177,41600)*0.027,
"Vermont Taxes",MIN(P177,15500)*0.01,
"Virginia Taxes",MIN(P177,8000)*0.0273,
"Washington Taxes",MIN(P177,62500)*0.027,
"West Virginia Taxes",MIN(P177,12000)*0.027,
"Wisconsin Taxes",MIN(P177,14000)*0.0305,
"Wyoming Taxes",MIN(P177,27700)*0.027
),
B$1=2023,
_xlfn.SWITCH(
P182,
"Alabama Taxes",MIN(P177,8000)*0.027,
"Alaska Taxes",MIN(P177,41500)*0.0237,
"Arizona Taxes",MIN(P177,7000)*0.02,
"Arkansas Taxes",MIN(P177,12000)*0.031,
"California Taxes",MIN(P177,7000)*0.034,
"Colorado Taxes",MIN(P177,13800)*0.017,
"Connecticut Taxes",MIN(P177,15000)*0.028,
"Delaware Taxes",MIN(P177,8500)*0.001,
"District of Columbia Taxes",MIN(P177,9000)*0.027,
"Florida Taxes",MIN(P177,7000)*0.027,
"Georgia Taxes",MIN(P177,9500)*0.027,
"Hawaii Taxes",MIN(P177,46800)*0.04,
"Idaho Taxes",MIN(P177,41500)*0.01071,
"Illinois Taxes",MIN(P177,12900)*0.0395,
"Indiana Taxes",MIN(P177,9500)*0.025,
"Iowa Taxes",MIN(P177,29500)*0.01,
"Kansas Taxes",MIN(P177,14000)*0.027,
"Kentucky Taxes",MIN(P177,11000)*0.027,
"Louisiana Taxes",MIN(P177,7500)*0.0009,
"Maine Taxes",MIN(P177,12000)*0.0219,
"Maryland Taxes",MIN(P177,8500)*0.023,
"Massachusetts Taxes",MIN(P177,15000)*0.0143,
"Michigan Taxes",MIN(P177,9500)*0.027,
"Minnesota Taxes",MIN(P177,35000)*0.001,
"Mississippi Taxes",MIN(P177,14000)*0.01,
"Missouri Taxes",MIN(P177,13500)*0.027,
"Montana Taxes",MIN(P177,34500)*0.0013,
"Nebraska Taxes",MIN(P177,9000)*0.0125,
"Nevada Taxes",MIN(P177,33100)*0.0295,
"New Hampshire Taxes",MIN(P177,14000)*0.027,
"New Jersey Taxes",MIN(P177,35700)*0.031,
"New Mexico Taxes",MIN(P177,25400)*0.01,
"New York Taxes",MIN(P177,11500)*0.026,
"North Carolina Taxes",MIN(P177,25400)*0.01,
"North Dakota Taxes",MIN(P177,39200)*0.0113,
"Ohio Taxes",MIN(P177,9000)*0.027,
"Oklahoma Taxes",MIN(P177,17500)*0.015,
"Oregon Taxes",MIN(P177,43000)*0.021,
"Pennsylvania Taxes",MIN(P177,10000)*0.03822,
"Rhode Island Taxes",MIN(P177,24000)*0.0109,
"South Carolina Taxes",MIN(P177,14000)*0.0045,
"South Dakota Taxes",MIN(P177,15000)*0.012,
"Tennessee Taxes",MIN(P177,7000)*0.027,
"Texas Taxes",MIN(P177,9000)*0.027,
"Utah Taxes",MIN(P177,35700)*0.003,
"Vermont Taxes",MIN(P177,16000)*0.01,
"Virginia Taxes",MIN(P177,8000)*0.025,
"Washington Taxes",MIN(P177,56200)*0.0125,
"West Virginia Taxes",MIN(P177,12000)*0.027,
"Wisconsin Taxes",MIN(P177,14000)*0.0305,
"Wyoming Taxes",MIN(P177,25800)*0.018
),
B$1=2024,
_xlfn.SWITCH(
P182,
"Alabama Taxes",MIN(P177,8000)*0.027,
"Alaska Taxes",MIN(P177,41500)*0.0237,
"Arizona Taxes",MIN(P177,7000)*0.02,
"Arkansas Taxes",MIN(P177,12000)*0.031,
"California Taxes",MIN(P177,7000)*0.034,
"Colorado Taxes",MIN(P177,13800)*0.017,
"Connecticut Taxes",MIN(P177,15000)*0.028,
"Delaware Taxes",MIN(P177,8500)*0.001,
"District of Columbia Taxes",MIN(P177,9000)*0.027,
"Florida Taxes",MIN(P177,7000)*0.027,
"Georgia Taxes",MIN(P177,9500)*0.027,
"Hawaii Taxes",MIN(P177,46800)*0.04,
"Idaho Taxes",MIN(P177,41500)*0.01071,
"Illinois Taxes",MIN(P177,12900)*0.0395,
"Indiana Taxes",MIN(P177,9500)*0.025,
"Iowa Taxes",MIN(P177,29500)*0.01,
"Kansas Taxes",MIN(P177,14000)*0.027,
"Kentucky Taxes",MIN(P177,11000)*0.027,
"Louisiana Taxes",MIN(P177,7500)*0.0009,
"Maine Taxes",MIN(P177,12000)*0.0219,
"Maryland Taxes",MIN(P177,8500)*0.023,
"Massachusetts Taxes",MIN(P177,15000)*0.0143,
"Michigan Taxes",MIN(P177,9500)*0.027,
"Minnesota Taxes",MIN(P177,35000)*0.001,
"Mississippi Taxes",MIN(P177,14000)*0.01,
"Missouri Taxes",MIN(P177,13500)*0.027,
"Montana Taxes",MIN(P177,34500)*0.0013,
"Nebraska Taxes",MIN(P177,9000)*0.0125,
"Nevada Taxes",MIN(P177,33100)*0.0295,
"New Hampshire Taxes",MIN(P177,14000)*0.027,
"New Jersey Taxes",MIN(P177,35700)*0.031,
"New Mexico Taxes",MIN(P177,25400)*0.01,
"New York Taxes",MIN(P177,11500)*0.026,
"North Carolina Taxes",MIN(P177,25400)*0.01,
"North Dakota Taxes",MIN(P177,39200)*0.0113,
"Ohio Taxes",MIN(P177,9000)*0.027,
"Oklahoma Taxes",MIN(P177,17500)*0.015,
"Oregon Taxes",MIN(P177,43000)*0.021,
"Pennsylvania Taxes",MIN(P177,10000)*0.03822,
"Rhode Island Taxes",MIN(P177,24000)*0.0109,
"South Carolina Taxes",MIN(P177,14000)*0.0045,
"South Dakota Taxes",MIN(P177,15000)*0.012,
"Tennessee Taxes",MIN(P177,7000)*0.027,
"Texas Taxes",MIN(P177,9000)*0.027,
"Utah Taxes",MIN(P177,35700)*0.003,
"Vermont Taxes",MIN(P177,16000)*0.01,
"Virginia Taxes",MIN(P177,8000)*0.025,
"Washington Taxes",MIN(P177,56200)*0.0125,
"West Virginia Taxes",MIN(P177,12000)*0.027,
"Wisconsin Taxes",MIN(P177,14000)*0.0305,
"Wyoming Taxes",MIN(P177,25800)*0.018
)
),0))</f>
        <v>0</v>
      </c>
      <c r="Q185" s="102" cm="1">
        <f t="array" ref="Q185">IF(Q176="W-2",0,_xlfn.IFNA(_xlfn.IFS(
C$1=2022,
_xlfn.SWITCH(
Q182,
"Alabama Taxes",MIN(Q177,8000)*0.027,
"Alaska Taxes",MIN(Q177,45200)*0.0237,
"Arizona Taxes",MIN(Q177,7000)*0.02,
"Arkansas Taxes",MIN(Q177,10000)*0.031,
"California Taxes",MIN(Q177,7000)*0.034,
"Colorado Taxes",MIN(Q177,17000)*0.017,
"Connecticut Taxes",MIN(Q177,15000)*0.03,
"Delaware Taxes",MIN(Q177,16500)*0.018,
"District of Columbia Taxes",MIN(Q177,9000)*0.027,
"Florida Taxes",MIN(Q177,7000)*0.027,
"Georgia Taxes",MIN(Q177,9500)*0.0264,
"Hawaii Taxes",MIN(Q177,51600)*0.03,
"Idaho Taxes",MIN(Q177,46500)*0.0097,
"Illinois Taxes",MIN(Q177,12960)*0.03525,
"Indiana Taxes",MIN(Q177,9500)*0.025,
"Iowa Taxes",MIN(Q177,34800)*0.01,
"Kansas Taxes",MIN(Q177,14000)*0.027,
"Kentucky Taxes",MIN(Q177,11100)*0.027,
"Louisiana Taxes",MIN(Q177,7700)*0.027,
"Maine Taxes",MIN(Q177,12000)*0.0224,
"Maryland Taxes",MIN(Q177,8500)*0.026,
"Massachusetts Taxes",MIN(Q177,15000)*0.0242,
"Michigan Taxes",MIN(Q177,9500)*0.027,
"Minnesota Taxes",MIN(Q177,38000)*0.027,
"Mississippi Taxes",MIN(Q177,14000)*0.01,
"Missouri Taxes",MIN(Q177,11000)*0.02376,
"Montana Taxes",MIN(Q177,38100)*0.027,
"Nebraska Taxes",MIN(Q177,24000)*0.0125,
"Nevada Taxes",MIN(Q177,36600)*0.0295,
"New Hampshire Taxes",MIN(Q177,14000)*0.027,
"New Jersey Taxes",MIN(Q177,39800)*0.028,
"New Mexico Taxes",MIN(Q177,28700)*0.01,
"New York Taxes",MIN(Q177,12000)*0.03125,
"North Carolina Taxes",MIN(Q177,28000)*0.01,
"North Dakota Taxes",MIN(Q177,38400)*0.0102,
"Ohio Taxes",MIN(Q177,9000)*0.027,
"Oklahoma Taxes",MIN(Q177,24800)*0.015,
"Oregon Taxes",MIN(Q177,47700)*0.024,
"Pennsylvania Taxes",MIN(Q177,10000)*0.03689,
"Rhode Island Taxes",MIN(Q177,24600)*0.0098,
"South Carolina Taxes",MIN(Q177,14000)*0.0049,
"South Dakota Taxes",MIN(Q177,15000)*0.012,
"Tennessee Taxes",MIN(Q177,7000)*0.027,
"Texas Taxes",MIN(Q177,9000)*0.027,
"Utah Taxes",MIN(Q177,41600)*0.027,
"Vermont Taxes",MIN(Q177,15500)*0.01,
"Virginia Taxes",MIN(Q177,8000)*0.0273,
"Washington Taxes",MIN(Q177,62500)*0.027,
"West Virginia Taxes",MIN(Q177,12000)*0.027,
"Wisconsin Taxes",MIN(Q177,14000)*0.0305,
"Wyoming Taxes",MIN(Q177,27700)*0.027
),
C$1=2023,
_xlfn.SWITCH(
Q182,
"Alabama Taxes",MIN(Q177,8000)*0.027,
"Alaska Taxes",MIN(Q177,41500)*0.0237,
"Arizona Taxes",MIN(Q177,7000)*0.02,
"Arkansas Taxes",MIN(Q177,12000)*0.031,
"California Taxes",MIN(Q177,7000)*0.034,
"Colorado Taxes",MIN(Q177,13800)*0.017,
"Connecticut Taxes",MIN(Q177,15000)*0.028,
"Delaware Taxes",MIN(Q177,8500)*0.001,
"District of Columbia Taxes",MIN(Q177,9000)*0.027,
"Florida Taxes",MIN(Q177,7000)*0.027,
"Georgia Taxes",MIN(Q177,9500)*0.027,
"Hawaii Taxes",MIN(Q177,46800)*0.04,
"Idaho Taxes",MIN(Q177,41500)*0.01071,
"Illinois Taxes",MIN(Q177,12900)*0.0395,
"Indiana Taxes",MIN(Q177,9500)*0.025,
"Iowa Taxes",MIN(Q177,29500)*0.01,
"Kansas Taxes",MIN(Q177,14000)*0.027,
"Kentucky Taxes",MIN(Q177,11000)*0.027,
"Louisiana Taxes",MIN(Q177,7500)*0.0009,
"Maine Taxes",MIN(Q177,12000)*0.0219,
"Maryland Taxes",MIN(Q177,8500)*0.023,
"Massachusetts Taxes",MIN(Q177,15000)*0.0143,
"Michigan Taxes",MIN(Q177,9500)*0.027,
"Minnesota Taxes",MIN(Q177,35000)*0.001,
"Mississippi Taxes",MIN(Q177,14000)*0.01,
"Missouri Taxes",MIN(Q177,13500)*0.027,
"Montana Taxes",MIN(Q177,34500)*0.0013,
"Nebraska Taxes",MIN(Q177,9000)*0.0125,
"Nevada Taxes",MIN(Q177,33100)*0.0295,
"New Hampshire Taxes",MIN(Q177,14000)*0.027,
"New Jersey Taxes",MIN(Q177,35700)*0.031,
"New Mexico Taxes",MIN(Q177,25400)*0.01,
"New York Taxes",MIN(Q177,11500)*0.026,
"North Carolina Taxes",MIN(Q177,25400)*0.01,
"North Dakota Taxes",MIN(Q177,39200)*0.0113,
"Ohio Taxes",MIN(Q177,9000)*0.027,
"Oklahoma Taxes",MIN(Q177,17500)*0.015,
"Oregon Taxes",MIN(Q177,43000)*0.021,
"Pennsylvania Taxes",MIN(Q177,10000)*0.03822,
"Rhode Island Taxes",MIN(Q177,24000)*0.0109,
"South Carolina Taxes",MIN(Q177,14000)*0.0045,
"South Dakota Taxes",MIN(Q177,15000)*0.012,
"Tennessee Taxes",MIN(Q177,7000)*0.027,
"Texas Taxes",MIN(Q177,9000)*0.027,
"Utah Taxes",MIN(Q177,35700)*0.003,
"Vermont Taxes",MIN(Q177,16000)*0.01,
"Virginia Taxes",MIN(Q177,8000)*0.025,
"Washington Taxes",MIN(Q177,56200)*0.0125,
"West Virginia Taxes",MIN(Q177,12000)*0.027,
"Wisconsin Taxes",MIN(Q177,14000)*0.0305,
"Wyoming Taxes",MIN(Q177,25800)*0.018
),
C$1=2024,
_xlfn.SWITCH(
Q182,
"Alabama Taxes",MIN(Q177,8000)*0.027,
"Alaska Taxes",MIN(Q177,41500)*0.0237,
"Arizona Taxes",MIN(Q177,7000)*0.02,
"Arkansas Taxes",MIN(Q177,12000)*0.031,
"California Taxes",MIN(Q177,7000)*0.034,
"Colorado Taxes",MIN(Q177,13800)*0.017,
"Connecticut Taxes",MIN(Q177,15000)*0.028,
"Delaware Taxes",MIN(Q177,8500)*0.001,
"District of Columbia Taxes",MIN(Q177,9000)*0.027,
"Florida Taxes",MIN(Q177,7000)*0.027,
"Georgia Taxes",MIN(Q177,9500)*0.027,
"Hawaii Taxes",MIN(Q177,46800)*0.04,
"Idaho Taxes",MIN(Q177,41500)*0.01071,
"Illinois Taxes",MIN(Q177,12900)*0.0395,
"Indiana Taxes",MIN(Q177,9500)*0.025,
"Iowa Taxes",MIN(Q177,29500)*0.01,
"Kansas Taxes",MIN(Q177,14000)*0.027,
"Kentucky Taxes",MIN(Q177,11000)*0.027,
"Louisiana Taxes",MIN(Q177,7500)*0.0009,
"Maine Taxes",MIN(Q177,12000)*0.0219,
"Maryland Taxes",MIN(Q177,8500)*0.023,
"Massachusetts Taxes",MIN(Q177,15000)*0.0143,
"Michigan Taxes",MIN(Q177,9500)*0.027,
"Minnesota Taxes",MIN(Q177,35000)*0.001,
"Mississippi Taxes",MIN(Q177,14000)*0.01,
"Missouri Taxes",MIN(Q177,13500)*0.027,
"Montana Taxes",MIN(Q177,34500)*0.0013,
"Nebraska Taxes",MIN(Q177,9000)*0.0125,
"Nevada Taxes",MIN(Q177,33100)*0.0295,
"New Hampshire Taxes",MIN(Q177,14000)*0.027,
"New Jersey Taxes",MIN(Q177,35700)*0.031,
"New Mexico Taxes",MIN(Q177,25400)*0.01,
"New York Taxes",MIN(Q177,11500)*0.026,
"North Carolina Taxes",MIN(Q177,25400)*0.01,
"North Dakota Taxes",MIN(Q177,39200)*0.0113,
"Ohio Taxes",MIN(Q177,9000)*0.027,
"Oklahoma Taxes",MIN(Q177,17500)*0.015,
"Oregon Taxes",MIN(Q177,43000)*0.021,
"Pennsylvania Taxes",MIN(Q177,10000)*0.03822,
"Rhode Island Taxes",MIN(Q177,24000)*0.0109,
"South Carolina Taxes",MIN(Q177,14000)*0.0045,
"South Dakota Taxes",MIN(Q177,15000)*0.012,
"Tennessee Taxes",MIN(Q177,7000)*0.027,
"Texas Taxes",MIN(Q177,9000)*0.027,
"Utah Taxes",MIN(Q177,35700)*0.003,
"Vermont Taxes",MIN(Q177,16000)*0.01,
"Virginia Taxes",MIN(Q177,8000)*0.025,
"Washington Taxes",MIN(Q177,56200)*0.0125,
"West Virginia Taxes",MIN(Q177,12000)*0.027,
"Wisconsin Taxes",MIN(Q177,14000)*0.0305,
"Wyoming Taxes",MIN(Q177,25800)*0.018
)
),0))</f>
        <v>0</v>
      </c>
      <c r="R185" s="102" cm="1">
        <f t="array" ref="R185">IF(R176="W-2",0,_xlfn.IFNA(_xlfn.IFS(
D$1=2022,
_xlfn.SWITCH(
R182,
"Alabama Taxes",MIN(R177,8000)*0.027,
"Alaska Taxes",MIN(R177,45200)*0.0237,
"Arizona Taxes",MIN(R177,7000)*0.02,
"Arkansas Taxes",MIN(R177,10000)*0.031,
"California Taxes",MIN(R177,7000)*0.034,
"Colorado Taxes",MIN(R177,17000)*0.017,
"Connecticut Taxes",MIN(R177,15000)*0.03,
"Delaware Taxes",MIN(R177,16500)*0.018,
"District of Columbia Taxes",MIN(R177,9000)*0.027,
"Florida Taxes",MIN(R177,7000)*0.027,
"Georgia Taxes",MIN(R177,9500)*0.0264,
"Hawaii Taxes",MIN(R177,51600)*0.03,
"Idaho Taxes",MIN(R177,46500)*0.0097,
"Illinois Taxes",MIN(R177,12960)*0.03525,
"Indiana Taxes",MIN(R177,9500)*0.025,
"Iowa Taxes",MIN(R177,34800)*0.01,
"Kansas Taxes",MIN(R177,14000)*0.027,
"Kentucky Taxes",MIN(R177,11100)*0.027,
"Louisiana Taxes",MIN(R177,7700)*0.027,
"Maine Taxes",MIN(R177,12000)*0.0224,
"Maryland Taxes",MIN(R177,8500)*0.026,
"Massachusetts Taxes",MIN(R177,15000)*0.0242,
"Michigan Taxes",MIN(R177,9500)*0.027,
"Minnesota Taxes",MIN(R177,38000)*0.027,
"Mississippi Taxes",MIN(R177,14000)*0.01,
"Missouri Taxes",MIN(R177,11000)*0.02376,
"Montana Taxes",MIN(R177,38100)*0.027,
"Nebraska Taxes",MIN(R177,24000)*0.0125,
"Nevada Taxes",MIN(R177,36600)*0.0295,
"New Hampshire Taxes",MIN(R177,14000)*0.027,
"New Jersey Taxes",MIN(R177,39800)*0.028,
"New Mexico Taxes",MIN(R177,28700)*0.01,
"New York Taxes",MIN(R177,12000)*0.03125,
"North Carolina Taxes",MIN(R177,28000)*0.01,
"North Dakota Taxes",MIN(R177,38400)*0.0102,
"Ohio Taxes",MIN(R177,9000)*0.027,
"Oklahoma Taxes",MIN(R177,24800)*0.015,
"Oregon Taxes",MIN(R177,47700)*0.024,
"Pennsylvania Taxes",MIN(R177,10000)*0.03689,
"Rhode Island Taxes",MIN(R177,24600)*0.0098,
"South Carolina Taxes",MIN(R177,14000)*0.0049,
"South Dakota Taxes",MIN(R177,15000)*0.012,
"Tennessee Taxes",MIN(R177,7000)*0.027,
"Texas Taxes",MIN(R177,9000)*0.027,
"Utah Taxes",MIN(R177,41600)*0.027,
"Vermont Taxes",MIN(R177,15500)*0.01,
"Virginia Taxes",MIN(R177,8000)*0.0273,
"Washington Taxes",MIN(R177,62500)*0.027,
"West Virginia Taxes",MIN(R177,12000)*0.027,
"Wisconsin Taxes",MIN(R177,14000)*0.0305,
"Wyoming Taxes",MIN(R177,27700)*0.027
),
D$1=2023,
_xlfn.SWITCH(
R182,
"Alabama Taxes",MIN(R177,8000)*0.027,
"Alaska Taxes",MIN(R177,41500)*0.0237,
"Arizona Taxes",MIN(R177,7000)*0.02,
"Arkansas Taxes",MIN(R177,12000)*0.031,
"California Taxes",MIN(R177,7000)*0.034,
"Colorado Taxes",MIN(R177,13800)*0.017,
"Connecticut Taxes",MIN(R177,15000)*0.028,
"Delaware Taxes",MIN(R177,8500)*0.001,
"District of Columbia Taxes",MIN(R177,9000)*0.027,
"Florida Taxes",MIN(R177,7000)*0.027,
"Georgia Taxes",MIN(R177,9500)*0.027,
"Hawaii Taxes",MIN(R177,46800)*0.04,
"Idaho Taxes",MIN(R177,41500)*0.01071,
"Illinois Taxes",MIN(R177,12900)*0.0395,
"Indiana Taxes",MIN(R177,9500)*0.025,
"Iowa Taxes",MIN(R177,29500)*0.01,
"Kansas Taxes",MIN(R177,14000)*0.027,
"Kentucky Taxes",MIN(R177,11000)*0.027,
"Louisiana Taxes",MIN(R177,7500)*0.0009,
"Maine Taxes",MIN(R177,12000)*0.0219,
"Maryland Taxes",MIN(R177,8500)*0.023,
"Massachusetts Taxes",MIN(R177,15000)*0.0143,
"Michigan Taxes",MIN(R177,9500)*0.027,
"Minnesota Taxes",MIN(R177,35000)*0.001,
"Mississippi Taxes",MIN(R177,14000)*0.01,
"Missouri Taxes",MIN(R177,13500)*0.027,
"Montana Taxes",MIN(R177,34500)*0.0013,
"Nebraska Taxes",MIN(R177,9000)*0.0125,
"Nevada Taxes",MIN(R177,33100)*0.0295,
"New Hampshire Taxes",MIN(R177,14000)*0.027,
"New Jersey Taxes",MIN(R177,35700)*0.031,
"New Mexico Taxes",MIN(R177,25400)*0.01,
"New York Taxes",MIN(R177,11500)*0.026,
"North Carolina Taxes",MIN(R177,25400)*0.01,
"North Dakota Taxes",MIN(R177,39200)*0.0113,
"Ohio Taxes",MIN(R177,9000)*0.027,
"Oklahoma Taxes",MIN(R177,17500)*0.015,
"Oregon Taxes",MIN(R177,43000)*0.021,
"Pennsylvania Taxes",MIN(R177,10000)*0.03822,
"Rhode Island Taxes",MIN(R177,24000)*0.0109,
"South Carolina Taxes",MIN(R177,14000)*0.0045,
"South Dakota Taxes",MIN(R177,15000)*0.012,
"Tennessee Taxes",MIN(R177,7000)*0.027,
"Texas Taxes",MIN(R177,9000)*0.027,
"Utah Taxes",MIN(R177,35700)*0.003,
"Vermont Taxes",MIN(R177,16000)*0.01,
"Virginia Taxes",MIN(R177,8000)*0.025,
"Washington Taxes",MIN(R177,56200)*0.0125,
"West Virginia Taxes",MIN(R177,12000)*0.027,
"Wisconsin Taxes",MIN(R177,14000)*0.0305,
"Wyoming Taxes",MIN(R177,25800)*0.018
),
D$1=2024,
_xlfn.SWITCH(
R182,
"Alabama Taxes",MIN(R177,8000)*0.027,
"Alaska Taxes",MIN(R177,41500)*0.0237,
"Arizona Taxes",MIN(R177,7000)*0.02,
"Arkansas Taxes",MIN(R177,12000)*0.031,
"California Taxes",MIN(R177,7000)*0.034,
"Colorado Taxes",MIN(R177,13800)*0.017,
"Connecticut Taxes",MIN(R177,15000)*0.028,
"Delaware Taxes",MIN(R177,8500)*0.001,
"District of Columbia Taxes",MIN(R177,9000)*0.027,
"Florida Taxes",MIN(R177,7000)*0.027,
"Georgia Taxes",MIN(R177,9500)*0.027,
"Hawaii Taxes",MIN(R177,46800)*0.04,
"Idaho Taxes",MIN(R177,41500)*0.01071,
"Illinois Taxes",MIN(R177,12900)*0.0395,
"Indiana Taxes",MIN(R177,9500)*0.025,
"Iowa Taxes",MIN(R177,29500)*0.01,
"Kansas Taxes",MIN(R177,14000)*0.027,
"Kentucky Taxes",MIN(R177,11000)*0.027,
"Louisiana Taxes",MIN(R177,7500)*0.0009,
"Maine Taxes",MIN(R177,12000)*0.0219,
"Maryland Taxes",MIN(R177,8500)*0.023,
"Massachusetts Taxes",MIN(R177,15000)*0.0143,
"Michigan Taxes",MIN(R177,9500)*0.027,
"Minnesota Taxes",MIN(R177,35000)*0.001,
"Mississippi Taxes",MIN(R177,14000)*0.01,
"Missouri Taxes",MIN(R177,13500)*0.027,
"Montana Taxes",MIN(R177,34500)*0.0013,
"Nebraska Taxes",MIN(R177,9000)*0.0125,
"Nevada Taxes",MIN(R177,33100)*0.0295,
"New Hampshire Taxes",MIN(R177,14000)*0.027,
"New Jersey Taxes",MIN(R177,35700)*0.031,
"New Mexico Taxes",MIN(R177,25400)*0.01,
"New York Taxes",MIN(R177,11500)*0.026,
"North Carolina Taxes",MIN(R177,25400)*0.01,
"North Dakota Taxes",MIN(R177,39200)*0.0113,
"Ohio Taxes",MIN(R177,9000)*0.027,
"Oklahoma Taxes",MIN(R177,17500)*0.015,
"Oregon Taxes",MIN(R177,43000)*0.021,
"Pennsylvania Taxes",MIN(R177,10000)*0.03822,
"Rhode Island Taxes",MIN(R177,24000)*0.0109,
"South Carolina Taxes",MIN(R177,14000)*0.0045,
"South Dakota Taxes",MIN(R177,15000)*0.012,
"Tennessee Taxes",MIN(R177,7000)*0.027,
"Texas Taxes",MIN(R177,9000)*0.027,
"Utah Taxes",MIN(R177,35700)*0.003,
"Vermont Taxes",MIN(R177,16000)*0.01,
"Virginia Taxes",MIN(R177,8000)*0.025,
"Washington Taxes",MIN(R177,56200)*0.0125,
"West Virginia Taxes",MIN(R177,12000)*0.027,
"Wisconsin Taxes",MIN(R177,14000)*0.0305,
"Wyoming Taxes",MIN(R177,25800)*0.018
)
),0))</f>
        <v>0</v>
      </c>
      <c r="S185" s="102" cm="1">
        <f t="array" ref="S185">IF(S176="W-2",0,_xlfn.IFNA(_xlfn.IFS(
E$1=2022,
_xlfn.SWITCH(
S182,
"Alabama Taxes",MIN(S177,8000)*0.027,
"Alaska Taxes",MIN(S177,45200)*0.0237,
"Arizona Taxes",MIN(S177,7000)*0.02,
"Arkansas Taxes",MIN(S177,10000)*0.031,
"California Taxes",MIN(S177,7000)*0.034,
"Colorado Taxes",MIN(S177,17000)*0.017,
"Connecticut Taxes",MIN(S177,15000)*0.03,
"Delaware Taxes",MIN(S177,16500)*0.018,
"District of Columbia Taxes",MIN(S177,9000)*0.027,
"Florida Taxes",MIN(S177,7000)*0.027,
"Georgia Taxes",MIN(S177,9500)*0.0264,
"Hawaii Taxes",MIN(S177,51600)*0.03,
"Idaho Taxes",MIN(S177,46500)*0.0097,
"Illinois Taxes",MIN(S177,12960)*0.03525,
"Indiana Taxes",MIN(S177,9500)*0.025,
"Iowa Taxes",MIN(S177,34800)*0.01,
"Kansas Taxes",MIN(S177,14000)*0.027,
"Kentucky Taxes",MIN(S177,11100)*0.027,
"Louisiana Taxes",MIN(S177,7700)*0.027,
"Maine Taxes",MIN(S177,12000)*0.0224,
"Maryland Taxes",MIN(S177,8500)*0.026,
"Massachusetts Taxes",MIN(S177,15000)*0.0242,
"Michigan Taxes",MIN(S177,9500)*0.027,
"Minnesota Taxes",MIN(S177,38000)*0.027,
"Mississippi Taxes",MIN(S177,14000)*0.01,
"Missouri Taxes",MIN(S177,11000)*0.02376,
"Montana Taxes",MIN(S177,38100)*0.027,
"Nebraska Taxes",MIN(S177,24000)*0.0125,
"Nevada Taxes",MIN(S177,36600)*0.0295,
"New Hampshire Taxes",MIN(S177,14000)*0.027,
"New Jersey Taxes",MIN(S177,39800)*0.028,
"New Mexico Taxes",MIN(S177,28700)*0.01,
"New York Taxes",MIN(S177,12000)*0.03125,
"North Carolina Taxes",MIN(S177,28000)*0.01,
"North Dakota Taxes",MIN(S177,38400)*0.0102,
"Ohio Taxes",MIN(S177,9000)*0.027,
"Oklahoma Taxes",MIN(S177,24800)*0.015,
"Oregon Taxes",MIN(S177,47700)*0.024,
"Pennsylvania Taxes",MIN(S177,10000)*0.03689,
"Rhode Island Taxes",MIN(S177,24600)*0.0098,
"South Carolina Taxes",MIN(S177,14000)*0.0049,
"South Dakota Taxes",MIN(S177,15000)*0.012,
"Tennessee Taxes",MIN(S177,7000)*0.027,
"Texas Taxes",MIN(S177,9000)*0.027,
"Utah Taxes",MIN(S177,41600)*0.027,
"Vermont Taxes",MIN(S177,15500)*0.01,
"Virginia Taxes",MIN(S177,8000)*0.0273,
"Washington Taxes",MIN(S177,62500)*0.027,
"West Virginia Taxes",MIN(S177,12000)*0.027,
"Wisconsin Taxes",MIN(S177,14000)*0.0305,
"Wyoming Taxes",MIN(S177,27700)*0.027
),
E$1=2023,
_xlfn.SWITCH(
S182,
"Alabama Taxes",MIN(S177,8000)*0.027,
"Alaska Taxes",MIN(S177,41500)*0.0237,
"Arizona Taxes",MIN(S177,7000)*0.02,
"Arkansas Taxes",MIN(S177,12000)*0.031,
"California Taxes",MIN(S177,7000)*0.034,
"Colorado Taxes",MIN(S177,13800)*0.017,
"Connecticut Taxes",MIN(S177,15000)*0.028,
"Delaware Taxes",MIN(S177,8500)*0.001,
"District of Columbia Taxes",MIN(S177,9000)*0.027,
"Florida Taxes",MIN(S177,7000)*0.027,
"Georgia Taxes",MIN(S177,9500)*0.027,
"Hawaii Taxes",MIN(S177,46800)*0.04,
"Idaho Taxes",MIN(S177,41500)*0.01071,
"Illinois Taxes",MIN(S177,12900)*0.0395,
"Indiana Taxes",MIN(S177,9500)*0.025,
"Iowa Taxes",MIN(S177,29500)*0.01,
"Kansas Taxes",MIN(S177,14000)*0.027,
"Kentucky Taxes",MIN(S177,11000)*0.027,
"Louisiana Taxes",MIN(S177,7500)*0.0009,
"Maine Taxes",MIN(S177,12000)*0.0219,
"Maryland Taxes",MIN(S177,8500)*0.023,
"Massachusetts Taxes",MIN(S177,15000)*0.0143,
"Michigan Taxes",MIN(S177,9500)*0.027,
"Minnesota Taxes",MIN(S177,35000)*0.001,
"Mississippi Taxes",MIN(S177,14000)*0.01,
"Missouri Taxes",MIN(S177,13500)*0.027,
"Montana Taxes",MIN(S177,34500)*0.0013,
"Nebraska Taxes",MIN(S177,9000)*0.0125,
"Nevada Taxes",MIN(S177,33100)*0.0295,
"New Hampshire Taxes",MIN(S177,14000)*0.027,
"New Jersey Taxes",MIN(S177,35700)*0.031,
"New Mexico Taxes",MIN(S177,25400)*0.01,
"New York Taxes",MIN(S177,11500)*0.026,
"North Carolina Taxes",MIN(S177,25400)*0.01,
"North Dakota Taxes",MIN(S177,39200)*0.0113,
"Ohio Taxes",MIN(S177,9000)*0.027,
"Oklahoma Taxes",MIN(S177,17500)*0.015,
"Oregon Taxes",MIN(S177,43000)*0.021,
"Pennsylvania Taxes",MIN(S177,10000)*0.03822,
"Rhode Island Taxes",MIN(S177,24000)*0.0109,
"South Carolina Taxes",MIN(S177,14000)*0.0045,
"South Dakota Taxes",MIN(S177,15000)*0.012,
"Tennessee Taxes",MIN(S177,7000)*0.027,
"Texas Taxes",MIN(S177,9000)*0.027,
"Utah Taxes",MIN(S177,35700)*0.003,
"Vermont Taxes",MIN(S177,16000)*0.01,
"Virginia Taxes",MIN(S177,8000)*0.025,
"Washington Taxes",MIN(S177,56200)*0.0125,
"West Virginia Taxes",MIN(S177,12000)*0.027,
"Wisconsin Taxes",MIN(S177,14000)*0.0305,
"Wyoming Taxes",MIN(S177,25800)*0.018
),
E$1=2024,
_xlfn.SWITCH(
S182,
"Alabama Taxes",MIN(S177,8000)*0.027,
"Alaska Taxes",MIN(S177,41500)*0.0237,
"Arizona Taxes",MIN(S177,7000)*0.02,
"Arkansas Taxes",MIN(S177,12000)*0.031,
"California Taxes",MIN(S177,7000)*0.034,
"Colorado Taxes",MIN(S177,13800)*0.017,
"Connecticut Taxes",MIN(S177,15000)*0.028,
"Delaware Taxes",MIN(S177,8500)*0.001,
"District of Columbia Taxes",MIN(S177,9000)*0.027,
"Florida Taxes",MIN(S177,7000)*0.027,
"Georgia Taxes",MIN(S177,9500)*0.027,
"Hawaii Taxes",MIN(S177,46800)*0.04,
"Idaho Taxes",MIN(S177,41500)*0.01071,
"Illinois Taxes",MIN(S177,12900)*0.0395,
"Indiana Taxes",MIN(S177,9500)*0.025,
"Iowa Taxes",MIN(S177,29500)*0.01,
"Kansas Taxes",MIN(S177,14000)*0.027,
"Kentucky Taxes",MIN(S177,11000)*0.027,
"Louisiana Taxes",MIN(S177,7500)*0.0009,
"Maine Taxes",MIN(S177,12000)*0.0219,
"Maryland Taxes",MIN(S177,8500)*0.023,
"Massachusetts Taxes",MIN(S177,15000)*0.0143,
"Michigan Taxes",MIN(S177,9500)*0.027,
"Minnesota Taxes",MIN(S177,35000)*0.001,
"Mississippi Taxes",MIN(S177,14000)*0.01,
"Missouri Taxes",MIN(S177,13500)*0.027,
"Montana Taxes",MIN(S177,34500)*0.0013,
"Nebraska Taxes",MIN(S177,9000)*0.0125,
"Nevada Taxes",MIN(S177,33100)*0.0295,
"New Hampshire Taxes",MIN(S177,14000)*0.027,
"New Jersey Taxes",MIN(S177,35700)*0.031,
"New Mexico Taxes",MIN(S177,25400)*0.01,
"New York Taxes",MIN(S177,11500)*0.026,
"North Carolina Taxes",MIN(S177,25400)*0.01,
"North Dakota Taxes",MIN(S177,39200)*0.0113,
"Ohio Taxes",MIN(S177,9000)*0.027,
"Oklahoma Taxes",MIN(S177,17500)*0.015,
"Oregon Taxes",MIN(S177,43000)*0.021,
"Pennsylvania Taxes",MIN(S177,10000)*0.03822,
"Rhode Island Taxes",MIN(S177,24000)*0.0109,
"South Carolina Taxes",MIN(S177,14000)*0.0045,
"South Dakota Taxes",MIN(S177,15000)*0.012,
"Tennessee Taxes",MIN(S177,7000)*0.027,
"Texas Taxes",MIN(S177,9000)*0.027,
"Utah Taxes",MIN(S177,35700)*0.003,
"Vermont Taxes",MIN(S177,16000)*0.01,
"Virginia Taxes",MIN(S177,8000)*0.025,
"Washington Taxes",MIN(S177,56200)*0.0125,
"West Virginia Taxes",MIN(S177,12000)*0.027,
"Wisconsin Taxes",MIN(S177,14000)*0.0305,
"Wyoming Taxes",MIN(S177,25800)*0.018
)
),0))</f>
        <v>0</v>
      </c>
      <c r="T185" s="102" cm="1">
        <f t="array" ref="T185">IF(T176="W-2",0,_xlfn.IFNA(_xlfn.IFS(
F$1=2022,
_xlfn.SWITCH(
T182,
"Alabama Taxes",MIN(T177,8000)*0.027,
"Alaska Taxes",MIN(T177,45200)*0.0237,
"Arizona Taxes",MIN(T177,7000)*0.02,
"Arkansas Taxes",MIN(T177,10000)*0.031,
"California Taxes",MIN(T177,7000)*0.034,
"Colorado Taxes",MIN(T177,17000)*0.017,
"Connecticut Taxes",MIN(T177,15000)*0.03,
"Delaware Taxes",MIN(T177,16500)*0.018,
"District of Columbia Taxes",MIN(T177,9000)*0.027,
"Florida Taxes",MIN(T177,7000)*0.027,
"Georgia Taxes",MIN(T177,9500)*0.0264,
"Hawaii Taxes",MIN(T177,51600)*0.03,
"Idaho Taxes",MIN(T177,46500)*0.0097,
"Illinois Taxes",MIN(T177,12960)*0.03525,
"Indiana Taxes",MIN(T177,9500)*0.025,
"Iowa Taxes",MIN(T177,34800)*0.01,
"Kansas Taxes",MIN(T177,14000)*0.027,
"Kentucky Taxes",MIN(T177,11100)*0.027,
"Louisiana Taxes",MIN(T177,7700)*0.027,
"Maine Taxes",MIN(T177,12000)*0.0224,
"Maryland Taxes",MIN(T177,8500)*0.026,
"Massachusetts Taxes",MIN(T177,15000)*0.0242,
"Michigan Taxes",MIN(T177,9500)*0.027,
"Minnesota Taxes",MIN(T177,38000)*0.027,
"Mississippi Taxes",MIN(T177,14000)*0.01,
"Missouri Taxes",MIN(T177,11000)*0.02376,
"Montana Taxes",MIN(T177,38100)*0.027,
"Nebraska Taxes",MIN(T177,24000)*0.0125,
"Nevada Taxes",MIN(T177,36600)*0.0295,
"New Hampshire Taxes",MIN(T177,14000)*0.027,
"New Jersey Taxes",MIN(T177,39800)*0.028,
"New Mexico Taxes",MIN(T177,28700)*0.01,
"New York Taxes",MIN(T177,12000)*0.03125,
"North Carolina Taxes",MIN(T177,28000)*0.01,
"North Dakota Taxes",MIN(T177,38400)*0.0102,
"Ohio Taxes",MIN(T177,9000)*0.027,
"Oklahoma Taxes",MIN(T177,24800)*0.015,
"Oregon Taxes",MIN(T177,47700)*0.024,
"Pennsylvania Taxes",MIN(T177,10000)*0.03689,
"Rhode Island Taxes",MIN(T177,24600)*0.0098,
"South Carolina Taxes",MIN(T177,14000)*0.0049,
"South Dakota Taxes",MIN(T177,15000)*0.012,
"Tennessee Taxes",MIN(T177,7000)*0.027,
"Texas Taxes",MIN(T177,9000)*0.027,
"Utah Taxes",MIN(T177,41600)*0.027,
"Vermont Taxes",MIN(T177,15500)*0.01,
"Virginia Taxes",MIN(T177,8000)*0.0273,
"Washington Taxes",MIN(T177,62500)*0.027,
"West Virginia Taxes",MIN(T177,12000)*0.027,
"Wisconsin Taxes",MIN(T177,14000)*0.0305,
"Wyoming Taxes",MIN(T177,27700)*0.027
),
F$1=2023,
_xlfn.SWITCH(
T182,
"Alabama Taxes",MIN(T177,8000)*0.027,
"Alaska Taxes",MIN(T177,41500)*0.0237,
"Arizona Taxes",MIN(T177,7000)*0.02,
"Arkansas Taxes",MIN(T177,12000)*0.031,
"California Taxes",MIN(T177,7000)*0.034,
"Colorado Taxes",MIN(T177,13800)*0.017,
"Connecticut Taxes",MIN(T177,15000)*0.028,
"Delaware Taxes",MIN(T177,8500)*0.001,
"District of Columbia Taxes",MIN(T177,9000)*0.027,
"Florida Taxes",MIN(T177,7000)*0.027,
"Georgia Taxes",MIN(T177,9500)*0.027,
"Hawaii Taxes",MIN(T177,46800)*0.04,
"Idaho Taxes",MIN(T177,41500)*0.01071,
"Illinois Taxes",MIN(T177,12900)*0.0395,
"Indiana Taxes",MIN(T177,9500)*0.025,
"Iowa Taxes",MIN(T177,29500)*0.01,
"Kansas Taxes",MIN(T177,14000)*0.027,
"Kentucky Taxes",MIN(T177,11000)*0.027,
"Louisiana Taxes",MIN(T177,7500)*0.0009,
"Maine Taxes",MIN(T177,12000)*0.0219,
"Maryland Taxes",MIN(T177,8500)*0.023,
"Massachusetts Taxes",MIN(T177,15000)*0.0143,
"Michigan Taxes",MIN(T177,9500)*0.027,
"Minnesota Taxes",MIN(T177,35000)*0.001,
"Mississippi Taxes",MIN(T177,14000)*0.01,
"Missouri Taxes",MIN(T177,13500)*0.027,
"Montana Taxes",MIN(T177,34500)*0.0013,
"Nebraska Taxes",MIN(T177,9000)*0.0125,
"Nevada Taxes",MIN(T177,33100)*0.0295,
"New Hampshire Taxes",MIN(T177,14000)*0.027,
"New Jersey Taxes",MIN(T177,35700)*0.031,
"New Mexico Taxes",MIN(T177,25400)*0.01,
"New York Taxes",MIN(T177,11500)*0.026,
"North Carolina Taxes",MIN(T177,25400)*0.01,
"North Dakota Taxes",MIN(T177,39200)*0.0113,
"Ohio Taxes",MIN(T177,9000)*0.027,
"Oklahoma Taxes",MIN(T177,17500)*0.015,
"Oregon Taxes",MIN(T177,43000)*0.021,
"Pennsylvania Taxes",MIN(T177,10000)*0.03822,
"Rhode Island Taxes",MIN(T177,24000)*0.0109,
"South Carolina Taxes",MIN(T177,14000)*0.0045,
"South Dakota Taxes",MIN(T177,15000)*0.012,
"Tennessee Taxes",MIN(T177,7000)*0.027,
"Texas Taxes",MIN(T177,9000)*0.027,
"Utah Taxes",MIN(T177,35700)*0.003,
"Vermont Taxes",MIN(T177,16000)*0.01,
"Virginia Taxes",MIN(T177,8000)*0.025,
"Washington Taxes",MIN(T177,56200)*0.0125,
"West Virginia Taxes",MIN(T177,12000)*0.027,
"Wisconsin Taxes",MIN(T177,14000)*0.0305,
"Wyoming Taxes",MIN(T177,25800)*0.018
),
F$1=2024,
_xlfn.SWITCH(
T182,
"Alabama Taxes",MIN(T177,8000)*0.027,
"Alaska Taxes",MIN(T177,41500)*0.0237,
"Arizona Taxes",MIN(T177,7000)*0.02,
"Arkansas Taxes",MIN(T177,12000)*0.031,
"California Taxes",MIN(T177,7000)*0.034,
"Colorado Taxes",MIN(T177,13800)*0.017,
"Connecticut Taxes",MIN(T177,15000)*0.028,
"Delaware Taxes",MIN(T177,8500)*0.001,
"District of Columbia Taxes",MIN(T177,9000)*0.027,
"Florida Taxes",MIN(T177,7000)*0.027,
"Georgia Taxes",MIN(T177,9500)*0.027,
"Hawaii Taxes",MIN(T177,46800)*0.04,
"Idaho Taxes",MIN(T177,41500)*0.01071,
"Illinois Taxes",MIN(T177,12900)*0.0395,
"Indiana Taxes",MIN(T177,9500)*0.025,
"Iowa Taxes",MIN(T177,29500)*0.01,
"Kansas Taxes",MIN(T177,14000)*0.027,
"Kentucky Taxes",MIN(T177,11000)*0.027,
"Louisiana Taxes",MIN(T177,7500)*0.0009,
"Maine Taxes",MIN(T177,12000)*0.0219,
"Maryland Taxes",MIN(T177,8500)*0.023,
"Massachusetts Taxes",MIN(T177,15000)*0.0143,
"Michigan Taxes",MIN(T177,9500)*0.027,
"Minnesota Taxes",MIN(T177,35000)*0.001,
"Mississippi Taxes",MIN(T177,14000)*0.01,
"Missouri Taxes",MIN(T177,13500)*0.027,
"Montana Taxes",MIN(T177,34500)*0.0013,
"Nebraska Taxes",MIN(T177,9000)*0.0125,
"Nevada Taxes",MIN(T177,33100)*0.0295,
"New Hampshire Taxes",MIN(T177,14000)*0.027,
"New Jersey Taxes",MIN(T177,35700)*0.031,
"New Mexico Taxes",MIN(T177,25400)*0.01,
"New York Taxes",MIN(T177,11500)*0.026,
"North Carolina Taxes",MIN(T177,25400)*0.01,
"North Dakota Taxes",MIN(T177,39200)*0.0113,
"Ohio Taxes",MIN(T177,9000)*0.027,
"Oklahoma Taxes",MIN(T177,17500)*0.015,
"Oregon Taxes",MIN(T177,43000)*0.021,
"Pennsylvania Taxes",MIN(T177,10000)*0.03822,
"Rhode Island Taxes",MIN(T177,24000)*0.0109,
"South Carolina Taxes",MIN(T177,14000)*0.0045,
"South Dakota Taxes",MIN(T177,15000)*0.012,
"Tennessee Taxes",MIN(T177,7000)*0.027,
"Texas Taxes",MIN(T177,9000)*0.027,
"Utah Taxes",MIN(T177,35700)*0.003,
"Vermont Taxes",MIN(T177,16000)*0.01,
"Virginia Taxes",MIN(T177,8000)*0.025,
"Washington Taxes",MIN(T177,56200)*0.0125,
"West Virginia Taxes",MIN(T177,12000)*0.027,
"Wisconsin Taxes",MIN(T177,14000)*0.0305,
"Wyoming Taxes",MIN(T177,25800)*0.018
)
),0))</f>
        <v>0</v>
      </c>
      <c r="U185" s="102" cm="1">
        <f t="array" ref="U185">IF(U176="W-2",0,_xlfn.IFNA(_xlfn.IFS(
G$1=2022,
_xlfn.SWITCH(
U182,
"Alabama Taxes",MIN(U177,8000)*0.027,
"Alaska Taxes",MIN(U177,45200)*0.0237,
"Arizona Taxes",MIN(U177,7000)*0.02,
"Arkansas Taxes",MIN(U177,10000)*0.031,
"California Taxes",MIN(U177,7000)*0.034,
"Colorado Taxes",MIN(U177,17000)*0.017,
"Connecticut Taxes",MIN(U177,15000)*0.03,
"Delaware Taxes",MIN(U177,16500)*0.018,
"District of Columbia Taxes",MIN(U177,9000)*0.027,
"Florida Taxes",MIN(U177,7000)*0.027,
"Georgia Taxes",MIN(U177,9500)*0.0264,
"Hawaii Taxes",MIN(U177,51600)*0.03,
"Idaho Taxes",MIN(U177,46500)*0.0097,
"Illinois Taxes",MIN(U177,12960)*0.03525,
"Indiana Taxes",MIN(U177,9500)*0.025,
"Iowa Taxes",MIN(U177,34800)*0.01,
"Kansas Taxes",MIN(U177,14000)*0.027,
"Kentucky Taxes",MIN(U177,11100)*0.027,
"Louisiana Taxes",MIN(U177,7700)*0.027,
"Maine Taxes",MIN(U177,12000)*0.0224,
"Maryland Taxes",MIN(U177,8500)*0.026,
"Massachusetts Taxes",MIN(U177,15000)*0.0242,
"Michigan Taxes",MIN(U177,9500)*0.027,
"Minnesota Taxes",MIN(U177,38000)*0.027,
"Mississippi Taxes",MIN(U177,14000)*0.01,
"Missouri Taxes",MIN(U177,11000)*0.02376,
"Montana Taxes",MIN(U177,38100)*0.027,
"Nebraska Taxes",MIN(U177,24000)*0.0125,
"Nevada Taxes",MIN(U177,36600)*0.0295,
"New Hampshire Taxes",MIN(U177,14000)*0.027,
"New Jersey Taxes",MIN(U177,39800)*0.028,
"New Mexico Taxes",MIN(U177,28700)*0.01,
"New York Taxes",MIN(U177,12000)*0.03125,
"North Carolina Taxes",MIN(U177,28000)*0.01,
"North Dakota Taxes",MIN(U177,38400)*0.0102,
"Ohio Taxes",MIN(U177,9000)*0.027,
"Oklahoma Taxes",MIN(U177,24800)*0.015,
"Oregon Taxes",MIN(U177,47700)*0.024,
"Pennsylvania Taxes",MIN(U177,10000)*0.03689,
"Rhode Island Taxes",MIN(U177,24600)*0.0098,
"South Carolina Taxes",MIN(U177,14000)*0.0049,
"South Dakota Taxes",MIN(U177,15000)*0.012,
"Tennessee Taxes",MIN(U177,7000)*0.027,
"Texas Taxes",MIN(U177,9000)*0.027,
"Utah Taxes",MIN(U177,41600)*0.027,
"Vermont Taxes",MIN(U177,15500)*0.01,
"Virginia Taxes",MIN(U177,8000)*0.0273,
"Washington Taxes",MIN(U177,62500)*0.027,
"West Virginia Taxes",MIN(U177,12000)*0.027,
"Wisconsin Taxes",MIN(U177,14000)*0.0305,
"Wyoming Taxes",MIN(U177,27700)*0.027
),
G$1=2023,
_xlfn.SWITCH(
U182,
"Alabama Taxes",MIN(U177,8000)*0.027,
"Alaska Taxes",MIN(U177,41500)*0.0237,
"Arizona Taxes",MIN(U177,7000)*0.02,
"Arkansas Taxes",MIN(U177,12000)*0.031,
"California Taxes",MIN(U177,7000)*0.034,
"Colorado Taxes",MIN(U177,13800)*0.017,
"Connecticut Taxes",MIN(U177,15000)*0.028,
"Delaware Taxes",MIN(U177,8500)*0.001,
"District of Columbia Taxes",MIN(U177,9000)*0.027,
"Florida Taxes",MIN(U177,7000)*0.027,
"Georgia Taxes",MIN(U177,9500)*0.027,
"Hawaii Taxes",MIN(U177,46800)*0.04,
"Idaho Taxes",MIN(U177,41500)*0.01071,
"Illinois Taxes",MIN(U177,12900)*0.0395,
"Indiana Taxes",MIN(U177,9500)*0.025,
"Iowa Taxes",MIN(U177,29500)*0.01,
"Kansas Taxes",MIN(U177,14000)*0.027,
"Kentucky Taxes",MIN(U177,11000)*0.027,
"Louisiana Taxes",MIN(U177,7500)*0.0009,
"Maine Taxes",MIN(U177,12000)*0.0219,
"Maryland Taxes",MIN(U177,8500)*0.023,
"Massachusetts Taxes",MIN(U177,15000)*0.0143,
"Michigan Taxes",MIN(U177,9500)*0.027,
"Minnesota Taxes",MIN(U177,35000)*0.001,
"Mississippi Taxes",MIN(U177,14000)*0.01,
"Missouri Taxes",MIN(U177,13500)*0.027,
"Montana Taxes",MIN(U177,34500)*0.0013,
"Nebraska Taxes",MIN(U177,9000)*0.0125,
"Nevada Taxes",MIN(U177,33100)*0.0295,
"New Hampshire Taxes",MIN(U177,14000)*0.027,
"New Jersey Taxes",MIN(U177,35700)*0.031,
"New Mexico Taxes",MIN(U177,25400)*0.01,
"New York Taxes",MIN(U177,11500)*0.026,
"North Carolina Taxes",MIN(U177,25400)*0.01,
"North Dakota Taxes",MIN(U177,39200)*0.0113,
"Ohio Taxes",MIN(U177,9000)*0.027,
"Oklahoma Taxes",MIN(U177,17500)*0.015,
"Oregon Taxes",MIN(U177,43000)*0.021,
"Pennsylvania Taxes",MIN(U177,10000)*0.03822,
"Rhode Island Taxes",MIN(U177,24000)*0.0109,
"South Carolina Taxes",MIN(U177,14000)*0.0045,
"South Dakota Taxes",MIN(U177,15000)*0.012,
"Tennessee Taxes",MIN(U177,7000)*0.027,
"Texas Taxes",MIN(U177,9000)*0.027,
"Utah Taxes",MIN(U177,35700)*0.003,
"Vermont Taxes",MIN(U177,16000)*0.01,
"Virginia Taxes",MIN(U177,8000)*0.025,
"Washington Taxes",MIN(U177,56200)*0.0125,
"West Virginia Taxes",MIN(U177,12000)*0.027,
"Wisconsin Taxes",MIN(U177,14000)*0.0305,
"Wyoming Taxes",MIN(U177,25800)*0.018
),
G$1=2024,
_xlfn.SWITCH(
U182,
"Alabama Taxes",MIN(U177,8000)*0.027,
"Alaska Taxes",MIN(U177,41500)*0.0237,
"Arizona Taxes",MIN(U177,7000)*0.02,
"Arkansas Taxes",MIN(U177,12000)*0.031,
"California Taxes",MIN(U177,7000)*0.034,
"Colorado Taxes",MIN(U177,13800)*0.017,
"Connecticut Taxes",MIN(U177,15000)*0.028,
"Delaware Taxes",MIN(U177,8500)*0.001,
"District of Columbia Taxes",MIN(U177,9000)*0.027,
"Florida Taxes",MIN(U177,7000)*0.027,
"Georgia Taxes",MIN(U177,9500)*0.027,
"Hawaii Taxes",MIN(U177,46800)*0.04,
"Idaho Taxes",MIN(U177,41500)*0.01071,
"Illinois Taxes",MIN(U177,12900)*0.0395,
"Indiana Taxes",MIN(U177,9500)*0.025,
"Iowa Taxes",MIN(U177,29500)*0.01,
"Kansas Taxes",MIN(U177,14000)*0.027,
"Kentucky Taxes",MIN(U177,11000)*0.027,
"Louisiana Taxes",MIN(U177,7500)*0.0009,
"Maine Taxes",MIN(U177,12000)*0.0219,
"Maryland Taxes",MIN(U177,8500)*0.023,
"Massachusetts Taxes",MIN(U177,15000)*0.0143,
"Michigan Taxes",MIN(U177,9500)*0.027,
"Minnesota Taxes",MIN(U177,35000)*0.001,
"Mississippi Taxes",MIN(U177,14000)*0.01,
"Missouri Taxes",MIN(U177,13500)*0.027,
"Montana Taxes",MIN(U177,34500)*0.0013,
"Nebraska Taxes",MIN(U177,9000)*0.0125,
"Nevada Taxes",MIN(U177,33100)*0.0295,
"New Hampshire Taxes",MIN(U177,14000)*0.027,
"New Jersey Taxes",MIN(U177,35700)*0.031,
"New Mexico Taxes",MIN(U177,25400)*0.01,
"New York Taxes",MIN(U177,11500)*0.026,
"North Carolina Taxes",MIN(U177,25400)*0.01,
"North Dakota Taxes",MIN(U177,39200)*0.0113,
"Ohio Taxes",MIN(U177,9000)*0.027,
"Oklahoma Taxes",MIN(U177,17500)*0.015,
"Oregon Taxes",MIN(U177,43000)*0.021,
"Pennsylvania Taxes",MIN(U177,10000)*0.03822,
"Rhode Island Taxes",MIN(U177,24000)*0.0109,
"South Carolina Taxes",MIN(U177,14000)*0.0045,
"South Dakota Taxes",MIN(U177,15000)*0.012,
"Tennessee Taxes",MIN(U177,7000)*0.027,
"Texas Taxes",MIN(U177,9000)*0.027,
"Utah Taxes",MIN(U177,35700)*0.003,
"Vermont Taxes",MIN(U177,16000)*0.01,
"Virginia Taxes",MIN(U177,8000)*0.025,
"Washington Taxes",MIN(U177,56200)*0.0125,
"West Virginia Taxes",MIN(U177,12000)*0.027,
"Wisconsin Taxes",MIN(U177,14000)*0.0305,
"Wyoming Taxes",MIN(U177,25800)*0.018
)
),0))</f>
        <v>0</v>
      </c>
      <c r="V185" s="102" cm="1">
        <f t="array" ref="V185">IF(V176="W-2",0,_xlfn.IFNA(_xlfn.IFS(
H$1=2022,
_xlfn.SWITCH(
V182,
"Alabama Taxes",MIN(V177,8000)*0.027,
"Alaska Taxes",MIN(V177,45200)*0.0237,
"Arizona Taxes",MIN(V177,7000)*0.02,
"Arkansas Taxes",MIN(V177,10000)*0.031,
"California Taxes",MIN(V177,7000)*0.034,
"Colorado Taxes",MIN(V177,17000)*0.017,
"Connecticut Taxes",MIN(V177,15000)*0.03,
"Delaware Taxes",MIN(V177,16500)*0.018,
"District of Columbia Taxes",MIN(V177,9000)*0.027,
"Florida Taxes",MIN(V177,7000)*0.027,
"Georgia Taxes",MIN(V177,9500)*0.0264,
"Hawaii Taxes",MIN(V177,51600)*0.03,
"Idaho Taxes",MIN(V177,46500)*0.0097,
"Illinois Taxes",MIN(V177,12960)*0.03525,
"Indiana Taxes",MIN(V177,9500)*0.025,
"Iowa Taxes",MIN(V177,34800)*0.01,
"Kansas Taxes",MIN(V177,14000)*0.027,
"Kentucky Taxes",MIN(V177,11100)*0.027,
"Louisiana Taxes",MIN(V177,7700)*0.027,
"Maine Taxes",MIN(V177,12000)*0.0224,
"Maryland Taxes",MIN(V177,8500)*0.026,
"Massachusetts Taxes",MIN(V177,15000)*0.0242,
"Michigan Taxes",MIN(V177,9500)*0.027,
"Minnesota Taxes",MIN(V177,38000)*0.027,
"Mississippi Taxes",MIN(V177,14000)*0.01,
"Missouri Taxes",MIN(V177,11000)*0.02376,
"Montana Taxes",MIN(V177,38100)*0.027,
"Nebraska Taxes",MIN(V177,24000)*0.0125,
"Nevada Taxes",MIN(V177,36600)*0.0295,
"New Hampshire Taxes",MIN(V177,14000)*0.027,
"New Jersey Taxes",MIN(V177,39800)*0.028,
"New Mexico Taxes",MIN(V177,28700)*0.01,
"New York Taxes",MIN(V177,12000)*0.03125,
"North Carolina Taxes",MIN(V177,28000)*0.01,
"North Dakota Taxes",MIN(V177,38400)*0.0102,
"Ohio Taxes",MIN(V177,9000)*0.027,
"Oklahoma Taxes",MIN(V177,24800)*0.015,
"Oregon Taxes",MIN(V177,47700)*0.024,
"Pennsylvania Taxes",MIN(V177,10000)*0.03689,
"Rhode Island Taxes",MIN(V177,24600)*0.0098,
"South Carolina Taxes",MIN(V177,14000)*0.0049,
"South Dakota Taxes",MIN(V177,15000)*0.012,
"Tennessee Taxes",MIN(V177,7000)*0.027,
"Texas Taxes",MIN(V177,9000)*0.027,
"Utah Taxes",MIN(V177,41600)*0.027,
"Vermont Taxes",MIN(V177,15500)*0.01,
"Virginia Taxes",MIN(V177,8000)*0.0273,
"Washington Taxes",MIN(V177,62500)*0.027,
"West Virginia Taxes",MIN(V177,12000)*0.027,
"Wisconsin Taxes",MIN(V177,14000)*0.0305,
"Wyoming Taxes",MIN(V177,27700)*0.027
),
H$1=2023,
_xlfn.SWITCH(
V182,
"Alabama Taxes",MIN(V177,8000)*0.027,
"Alaska Taxes",MIN(V177,41500)*0.0237,
"Arizona Taxes",MIN(V177,7000)*0.02,
"Arkansas Taxes",MIN(V177,12000)*0.031,
"California Taxes",MIN(V177,7000)*0.034,
"Colorado Taxes",MIN(V177,13800)*0.017,
"Connecticut Taxes",MIN(V177,15000)*0.028,
"Delaware Taxes",MIN(V177,8500)*0.001,
"District of Columbia Taxes",MIN(V177,9000)*0.027,
"Florida Taxes",MIN(V177,7000)*0.027,
"Georgia Taxes",MIN(V177,9500)*0.027,
"Hawaii Taxes",MIN(V177,46800)*0.04,
"Idaho Taxes",MIN(V177,41500)*0.01071,
"Illinois Taxes",MIN(V177,12900)*0.0395,
"Indiana Taxes",MIN(V177,9500)*0.025,
"Iowa Taxes",MIN(V177,29500)*0.01,
"Kansas Taxes",MIN(V177,14000)*0.027,
"Kentucky Taxes",MIN(V177,11000)*0.027,
"Louisiana Taxes",MIN(V177,7500)*0.0009,
"Maine Taxes",MIN(V177,12000)*0.0219,
"Maryland Taxes",MIN(V177,8500)*0.023,
"Massachusetts Taxes",MIN(V177,15000)*0.0143,
"Michigan Taxes",MIN(V177,9500)*0.027,
"Minnesota Taxes",MIN(V177,35000)*0.001,
"Mississippi Taxes",MIN(V177,14000)*0.01,
"Missouri Taxes",MIN(V177,13500)*0.027,
"Montana Taxes",MIN(V177,34500)*0.0013,
"Nebraska Taxes",MIN(V177,9000)*0.0125,
"Nevada Taxes",MIN(V177,33100)*0.0295,
"New Hampshire Taxes",MIN(V177,14000)*0.027,
"New Jersey Taxes",MIN(V177,35700)*0.031,
"New Mexico Taxes",MIN(V177,25400)*0.01,
"New York Taxes",MIN(V177,11500)*0.026,
"North Carolina Taxes",MIN(V177,25400)*0.01,
"North Dakota Taxes",MIN(V177,39200)*0.0113,
"Ohio Taxes",MIN(V177,9000)*0.027,
"Oklahoma Taxes",MIN(V177,17500)*0.015,
"Oregon Taxes",MIN(V177,43000)*0.021,
"Pennsylvania Taxes",MIN(V177,10000)*0.03822,
"Rhode Island Taxes",MIN(V177,24000)*0.0109,
"South Carolina Taxes",MIN(V177,14000)*0.0045,
"South Dakota Taxes",MIN(V177,15000)*0.012,
"Tennessee Taxes",MIN(V177,7000)*0.027,
"Texas Taxes",MIN(V177,9000)*0.027,
"Utah Taxes",MIN(V177,35700)*0.003,
"Vermont Taxes",MIN(V177,16000)*0.01,
"Virginia Taxes",MIN(V177,8000)*0.025,
"Washington Taxes",MIN(V177,56200)*0.0125,
"West Virginia Taxes",MIN(V177,12000)*0.027,
"Wisconsin Taxes",MIN(V177,14000)*0.0305,
"Wyoming Taxes",MIN(V177,25800)*0.018
),
H$1=2024,
_xlfn.SWITCH(
V182,
"Alabama Taxes",MIN(V177,8000)*0.027,
"Alaska Taxes",MIN(V177,41500)*0.0237,
"Arizona Taxes",MIN(V177,7000)*0.02,
"Arkansas Taxes",MIN(V177,12000)*0.031,
"California Taxes",MIN(V177,7000)*0.034,
"Colorado Taxes",MIN(V177,13800)*0.017,
"Connecticut Taxes",MIN(V177,15000)*0.028,
"Delaware Taxes",MIN(V177,8500)*0.001,
"District of Columbia Taxes",MIN(V177,9000)*0.027,
"Florida Taxes",MIN(V177,7000)*0.027,
"Georgia Taxes",MIN(V177,9500)*0.027,
"Hawaii Taxes",MIN(V177,46800)*0.04,
"Idaho Taxes",MIN(V177,41500)*0.01071,
"Illinois Taxes",MIN(V177,12900)*0.0395,
"Indiana Taxes",MIN(V177,9500)*0.025,
"Iowa Taxes",MIN(V177,29500)*0.01,
"Kansas Taxes",MIN(V177,14000)*0.027,
"Kentucky Taxes",MIN(V177,11000)*0.027,
"Louisiana Taxes",MIN(V177,7500)*0.0009,
"Maine Taxes",MIN(V177,12000)*0.0219,
"Maryland Taxes",MIN(V177,8500)*0.023,
"Massachusetts Taxes",MIN(V177,15000)*0.0143,
"Michigan Taxes",MIN(V177,9500)*0.027,
"Minnesota Taxes",MIN(V177,35000)*0.001,
"Mississippi Taxes",MIN(V177,14000)*0.01,
"Missouri Taxes",MIN(V177,13500)*0.027,
"Montana Taxes",MIN(V177,34500)*0.0013,
"Nebraska Taxes",MIN(V177,9000)*0.0125,
"Nevada Taxes",MIN(V177,33100)*0.0295,
"New Hampshire Taxes",MIN(V177,14000)*0.027,
"New Jersey Taxes",MIN(V177,35700)*0.031,
"New Mexico Taxes",MIN(V177,25400)*0.01,
"New York Taxes",MIN(V177,11500)*0.026,
"North Carolina Taxes",MIN(V177,25400)*0.01,
"North Dakota Taxes",MIN(V177,39200)*0.0113,
"Ohio Taxes",MIN(V177,9000)*0.027,
"Oklahoma Taxes",MIN(V177,17500)*0.015,
"Oregon Taxes",MIN(V177,43000)*0.021,
"Pennsylvania Taxes",MIN(V177,10000)*0.03822,
"Rhode Island Taxes",MIN(V177,24000)*0.0109,
"South Carolina Taxes",MIN(V177,14000)*0.0045,
"South Dakota Taxes",MIN(V177,15000)*0.012,
"Tennessee Taxes",MIN(V177,7000)*0.027,
"Texas Taxes",MIN(V177,9000)*0.027,
"Utah Taxes",MIN(V177,35700)*0.003,
"Vermont Taxes",MIN(V177,16000)*0.01,
"Virginia Taxes",MIN(V177,8000)*0.025,
"Washington Taxes",MIN(V177,56200)*0.0125,
"West Virginia Taxes",MIN(V177,12000)*0.027,
"Wisconsin Taxes",MIN(V177,14000)*0.0305,
"Wyoming Taxes",MIN(V177,25800)*0.018
)
),0))</f>
        <v>0</v>
      </c>
      <c r="W185" s="102" cm="1">
        <f t="array" ref="W185">IF(W176="W-2",0,_xlfn.IFNA(_xlfn.IFS(
I$1=2022,
_xlfn.SWITCH(
W182,
"Alabama Taxes",MIN(W177,8000)*0.027,
"Alaska Taxes",MIN(W177,45200)*0.0237,
"Arizona Taxes",MIN(W177,7000)*0.02,
"Arkansas Taxes",MIN(W177,10000)*0.031,
"California Taxes",MIN(W177,7000)*0.034,
"Colorado Taxes",MIN(W177,17000)*0.017,
"Connecticut Taxes",MIN(W177,15000)*0.03,
"Delaware Taxes",MIN(W177,16500)*0.018,
"District of Columbia Taxes",MIN(W177,9000)*0.027,
"Florida Taxes",MIN(W177,7000)*0.027,
"Georgia Taxes",MIN(W177,9500)*0.0264,
"Hawaii Taxes",MIN(W177,51600)*0.03,
"Idaho Taxes",MIN(W177,46500)*0.0097,
"Illinois Taxes",MIN(W177,12960)*0.03525,
"Indiana Taxes",MIN(W177,9500)*0.025,
"Iowa Taxes",MIN(W177,34800)*0.01,
"Kansas Taxes",MIN(W177,14000)*0.027,
"Kentucky Taxes",MIN(W177,11100)*0.027,
"Louisiana Taxes",MIN(W177,7700)*0.027,
"Maine Taxes",MIN(W177,12000)*0.0224,
"Maryland Taxes",MIN(W177,8500)*0.026,
"Massachusetts Taxes",MIN(W177,15000)*0.0242,
"Michigan Taxes",MIN(W177,9500)*0.027,
"Minnesota Taxes",MIN(W177,38000)*0.027,
"Mississippi Taxes",MIN(W177,14000)*0.01,
"Missouri Taxes",MIN(W177,11000)*0.02376,
"Montana Taxes",MIN(W177,38100)*0.027,
"Nebraska Taxes",MIN(W177,24000)*0.0125,
"Nevada Taxes",MIN(W177,36600)*0.0295,
"New Hampshire Taxes",MIN(W177,14000)*0.027,
"New Jersey Taxes",MIN(W177,39800)*0.028,
"New Mexico Taxes",MIN(W177,28700)*0.01,
"New York Taxes",MIN(W177,12000)*0.03125,
"North Carolina Taxes",MIN(W177,28000)*0.01,
"North Dakota Taxes",MIN(W177,38400)*0.0102,
"Ohio Taxes",MIN(W177,9000)*0.027,
"Oklahoma Taxes",MIN(W177,24800)*0.015,
"Oregon Taxes",MIN(W177,47700)*0.024,
"Pennsylvania Taxes",MIN(W177,10000)*0.03689,
"Rhode Island Taxes",MIN(W177,24600)*0.0098,
"South Carolina Taxes",MIN(W177,14000)*0.0049,
"South Dakota Taxes",MIN(W177,15000)*0.012,
"Tennessee Taxes",MIN(W177,7000)*0.027,
"Texas Taxes",MIN(W177,9000)*0.027,
"Utah Taxes",MIN(W177,41600)*0.027,
"Vermont Taxes",MIN(W177,15500)*0.01,
"Virginia Taxes",MIN(W177,8000)*0.0273,
"Washington Taxes",MIN(W177,62500)*0.027,
"West Virginia Taxes",MIN(W177,12000)*0.027,
"Wisconsin Taxes",MIN(W177,14000)*0.0305,
"Wyoming Taxes",MIN(W177,27700)*0.027
),
I$1=2023,
_xlfn.SWITCH(
W182,
"Alabama Taxes",MIN(W177,8000)*0.027,
"Alaska Taxes",MIN(W177,41500)*0.0237,
"Arizona Taxes",MIN(W177,7000)*0.02,
"Arkansas Taxes",MIN(W177,12000)*0.031,
"California Taxes",MIN(W177,7000)*0.034,
"Colorado Taxes",MIN(W177,13800)*0.017,
"Connecticut Taxes",MIN(W177,15000)*0.028,
"Delaware Taxes",MIN(W177,8500)*0.001,
"District of Columbia Taxes",MIN(W177,9000)*0.027,
"Florida Taxes",MIN(W177,7000)*0.027,
"Georgia Taxes",MIN(W177,9500)*0.027,
"Hawaii Taxes",MIN(W177,46800)*0.04,
"Idaho Taxes",MIN(W177,41500)*0.01071,
"Illinois Taxes",MIN(W177,12900)*0.0395,
"Indiana Taxes",MIN(W177,9500)*0.025,
"Iowa Taxes",MIN(W177,29500)*0.01,
"Kansas Taxes",MIN(W177,14000)*0.027,
"Kentucky Taxes",MIN(W177,11000)*0.027,
"Louisiana Taxes",MIN(W177,7500)*0.0009,
"Maine Taxes",MIN(W177,12000)*0.0219,
"Maryland Taxes",MIN(W177,8500)*0.023,
"Massachusetts Taxes",MIN(W177,15000)*0.0143,
"Michigan Taxes",MIN(W177,9500)*0.027,
"Minnesota Taxes",MIN(W177,35000)*0.001,
"Mississippi Taxes",MIN(W177,14000)*0.01,
"Missouri Taxes",MIN(W177,13500)*0.027,
"Montana Taxes",MIN(W177,34500)*0.0013,
"Nebraska Taxes",MIN(W177,9000)*0.0125,
"Nevada Taxes",MIN(W177,33100)*0.0295,
"New Hampshire Taxes",MIN(W177,14000)*0.027,
"New Jersey Taxes",MIN(W177,35700)*0.031,
"New Mexico Taxes",MIN(W177,25400)*0.01,
"New York Taxes",MIN(W177,11500)*0.026,
"North Carolina Taxes",MIN(W177,25400)*0.01,
"North Dakota Taxes",MIN(W177,39200)*0.0113,
"Ohio Taxes",MIN(W177,9000)*0.027,
"Oklahoma Taxes",MIN(W177,17500)*0.015,
"Oregon Taxes",MIN(W177,43000)*0.021,
"Pennsylvania Taxes",MIN(W177,10000)*0.03822,
"Rhode Island Taxes",MIN(W177,24000)*0.0109,
"South Carolina Taxes",MIN(W177,14000)*0.0045,
"South Dakota Taxes",MIN(W177,15000)*0.012,
"Tennessee Taxes",MIN(W177,7000)*0.027,
"Texas Taxes",MIN(W177,9000)*0.027,
"Utah Taxes",MIN(W177,35700)*0.003,
"Vermont Taxes",MIN(W177,16000)*0.01,
"Virginia Taxes",MIN(W177,8000)*0.025,
"Washington Taxes",MIN(W177,56200)*0.0125,
"West Virginia Taxes",MIN(W177,12000)*0.027,
"Wisconsin Taxes",MIN(W177,14000)*0.0305,
"Wyoming Taxes",MIN(W177,25800)*0.018
),
I$1=2024,
_xlfn.SWITCH(
W182,
"Alabama Taxes",MIN(W177,8000)*0.027,
"Alaska Taxes",MIN(W177,41500)*0.0237,
"Arizona Taxes",MIN(W177,7000)*0.02,
"Arkansas Taxes",MIN(W177,12000)*0.031,
"California Taxes",MIN(W177,7000)*0.034,
"Colorado Taxes",MIN(W177,13800)*0.017,
"Connecticut Taxes",MIN(W177,15000)*0.028,
"Delaware Taxes",MIN(W177,8500)*0.001,
"District of Columbia Taxes",MIN(W177,9000)*0.027,
"Florida Taxes",MIN(W177,7000)*0.027,
"Georgia Taxes",MIN(W177,9500)*0.027,
"Hawaii Taxes",MIN(W177,46800)*0.04,
"Idaho Taxes",MIN(W177,41500)*0.01071,
"Illinois Taxes",MIN(W177,12900)*0.0395,
"Indiana Taxes",MIN(W177,9500)*0.025,
"Iowa Taxes",MIN(W177,29500)*0.01,
"Kansas Taxes",MIN(W177,14000)*0.027,
"Kentucky Taxes",MIN(W177,11000)*0.027,
"Louisiana Taxes",MIN(W177,7500)*0.0009,
"Maine Taxes",MIN(W177,12000)*0.0219,
"Maryland Taxes",MIN(W177,8500)*0.023,
"Massachusetts Taxes",MIN(W177,15000)*0.0143,
"Michigan Taxes",MIN(W177,9500)*0.027,
"Minnesota Taxes",MIN(W177,35000)*0.001,
"Mississippi Taxes",MIN(W177,14000)*0.01,
"Missouri Taxes",MIN(W177,13500)*0.027,
"Montana Taxes",MIN(W177,34500)*0.0013,
"Nebraska Taxes",MIN(W177,9000)*0.0125,
"Nevada Taxes",MIN(W177,33100)*0.0295,
"New Hampshire Taxes",MIN(W177,14000)*0.027,
"New Jersey Taxes",MIN(W177,35700)*0.031,
"New Mexico Taxes",MIN(W177,25400)*0.01,
"New York Taxes",MIN(W177,11500)*0.026,
"North Carolina Taxes",MIN(W177,25400)*0.01,
"North Dakota Taxes",MIN(W177,39200)*0.0113,
"Ohio Taxes",MIN(W177,9000)*0.027,
"Oklahoma Taxes",MIN(W177,17500)*0.015,
"Oregon Taxes",MIN(W177,43000)*0.021,
"Pennsylvania Taxes",MIN(W177,10000)*0.03822,
"Rhode Island Taxes",MIN(W177,24000)*0.0109,
"South Carolina Taxes",MIN(W177,14000)*0.0045,
"South Dakota Taxes",MIN(W177,15000)*0.012,
"Tennessee Taxes",MIN(W177,7000)*0.027,
"Texas Taxes",MIN(W177,9000)*0.027,
"Utah Taxes",MIN(W177,35700)*0.003,
"Vermont Taxes",MIN(W177,16000)*0.01,
"Virginia Taxes",MIN(W177,8000)*0.025,
"Washington Taxes",MIN(W177,56200)*0.0125,
"West Virginia Taxes",MIN(W177,12000)*0.027,
"Wisconsin Taxes",MIN(W177,14000)*0.0305,
"Wyoming Taxes",MIN(W177,25800)*0.018
)
),0))</f>
        <v>0</v>
      </c>
      <c r="X185" s="102" cm="1">
        <f t="array" ref="X185">IF(X176="W-2",0,_xlfn.IFNA(_xlfn.IFS(
J$1=2022,
_xlfn.SWITCH(
X182,
"Alabama Taxes",MIN(X177,8000)*0.027,
"Alaska Taxes",MIN(X177,45200)*0.0237,
"Arizona Taxes",MIN(X177,7000)*0.02,
"Arkansas Taxes",MIN(X177,10000)*0.031,
"California Taxes",MIN(X177,7000)*0.034,
"Colorado Taxes",MIN(X177,17000)*0.017,
"Connecticut Taxes",MIN(X177,15000)*0.03,
"Delaware Taxes",MIN(X177,16500)*0.018,
"District of Columbia Taxes",MIN(X177,9000)*0.027,
"Florida Taxes",MIN(X177,7000)*0.027,
"Georgia Taxes",MIN(X177,9500)*0.0264,
"Hawaii Taxes",MIN(X177,51600)*0.03,
"Idaho Taxes",MIN(X177,46500)*0.0097,
"Illinois Taxes",MIN(X177,12960)*0.03525,
"Indiana Taxes",MIN(X177,9500)*0.025,
"Iowa Taxes",MIN(X177,34800)*0.01,
"Kansas Taxes",MIN(X177,14000)*0.027,
"Kentucky Taxes",MIN(X177,11100)*0.027,
"Louisiana Taxes",MIN(X177,7700)*0.027,
"Maine Taxes",MIN(X177,12000)*0.0224,
"Maryland Taxes",MIN(X177,8500)*0.026,
"Massachusetts Taxes",MIN(X177,15000)*0.0242,
"Michigan Taxes",MIN(X177,9500)*0.027,
"Minnesota Taxes",MIN(X177,38000)*0.027,
"Mississippi Taxes",MIN(X177,14000)*0.01,
"Missouri Taxes",MIN(X177,11000)*0.02376,
"Montana Taxes",MIN(X177,38100)*0.027,
"Nebraska Taxes",MIN(X177,24000)*0.0125,
"Nevada Taxes",MIN(X177,36600)*0.0295,
"New Hampshire Taxes",MIN(X177,14000)*0.027,
"New Jersey Taxes",MIN(X177,39800)*0.028,
"New Mexico Taxes",MIN(X177,28700)*0.01,
"New York Taxes",MIN(X177,12000)*0.03125,
"North Carolina Taxes",MIN(X177,28000)*0.01,
"North Dakota Taxes",MIN(X177,38400)*0.0102,
"Ohio Taxes",MIN(X177,9000)*0.027,
"Oklahoma Taxes",MIN(X177,24800)*0.015,
"Oregon Taxes",MIN(X177,47700)*0.024,
"Pennsylvania Taxes",MIN(X177,10000)*0.03689,
"Rhode Island Taxes",MIN(X177,24600)*0.0098,
"South Carolina Taxes",MIN(X177,14000)*0.0049,
"South Dakota Taxes",MIN(X177,15000)*0.012,
"Tennessee Taxes",MIN(X177,7000)*0.027,
"Texas Taxes",MIN(X177,9000)*0.027,
"Utah Taxes",MIN(X177,41600)*0.027,
"Vermont Taxes",MIN(X177,15500)*0.01,
"Virginia Taxes",MIN(X177,8000)*0.0273,
"Washington Taxes",MIN(X177,62500)*0.027,
"West Virginia Taxes",MIN(X177,12000)*0.027,
"Wisconsin Taxes",MIN(X177,14000)*0.0305,
"Wyoming Taxes",MIN(X177,27700)*0.027
),
J$1=2023,
_xlfn.SWITCH(
X182,
"Alabama Taxes",MIN(X177,8000)*0.027,
"Alaska Taxes",MIN(X177,41500)*0.0237,
"Arizona Taxes",MIN(X177,7000)*0.02,
"Arkansas Taxes",MIN(X177,12000)*0.031,
"California Taxes",MIN(X177,7000)*0.034,
"Colorado Taxes",MIN(X177,13800)*0.017,
"Connecticut Taxes",MIN(X177,15000)*0.028,
"Delaware Taxes",MIN(X177,8500)*0.001,
"District of Columbia Taxes",MIN(X177,9000)*0.027,
"Florida Taxes",MIN(X177,7000)*0.027,
"Georgia Taxes",MIN(X177,9500)*0.027,
"Hawaii Taxes",MIN(X177,46800)*0.04,
"Idaho Taxes",MIN(X177,41500)*0.01071,
"Illinois Taxes",MIN(X177,12900)*0.0395,
"Indiana Taxes",MIN(X177,9500)*0.025,
"Iowa Taxes",MIN(X177,29500)*0.01,
"Kansas Taxes",MIN(X177,14000)*0.027,
"Kentucky Taxes",MIN(X177,11000)*0.027,
"Louisiana Taxes",MIN(X177,7500)*0.0009,
"Maine Taxes",MIN(X177,12000)*0.0219,
"Maryland Taxes",MIN(X177,8500)*0.023,
"Massachusetts Taxes",MIN(X177,15000)*0.0143,
"Michigan Taxes",MIN(X177,9500)*0.027,
"Minnesota Taxes",MIN(X177,35000)*0.001,
"Mississippi Taxes",MIN(X177,14000)*0.01,
"Missouri Taxes",MIN(X177,13500)*0.027,
"Montana Taxes",MIN(X177,34500)*0.0013,
"Nebraska Taxes",MIN(X177,9000)*0.0125,
"Nevada Taxes",MIN(X177,33100)*0.0295,
"New Hampshire Taxes",MIN(X177,14000)*0.027,
"New Jersey Taxes",MIN(X177,35700)*0.031,
"New Mexico Taxes",MIN(X177,25400)*0.01,
"New York Taxes",MIN(X177,11500)*0.026,
"North Carolina Taxes",MIN(X177,25400)*0.01,
"North Dakota Taxes",MIN(X177,39200)*0.0113,
"Ohio Taxes",MIN(X177,9000)*0.027,
"Oklahoma Taxes",MIN(X177,17500)*0.015,
"Oregon Taxes",MIN(X177,43000)*0.021,
"Pennsylvania Taxes",MIN(X177,10000)*0.03822,
"Rhode Island Taxes",MIN(X177,24000)*0.0109,
"South Carolina Taxes",MIN(X177,14000)*0.0045,
"South Dakota Taxes",MIN(X177,15000)*0.012,
"Tennessee Taxes",MIN(X177,7000)*0.027,
"Texas Taxes",MIN(X177,9000)*0.027,
"Utah Taxes",MIN(X177,35700)*0.003,
"Vermont Taxes",MIN(X177,16000)*0.01,
"Virginia Taxes",MIN(X177,8000)*0.025,
"Washington Taxes",MIN(X177,56200)*0.0125,
"West Virginia Taxes",MIN(X177,12000)*0.027,
"Wisconsin Taxes",MIN(X177,14000)*0.0305,
"Wyoming Taxes",MIN(X177,25800)*0.018
),
J$1=2024,
_xlfn.SWITCH(
X182,
"Alabama Taxes",MIN(X177,8000)*0.027,
"Alaska Taxes",MIN(X177,41500)*0.0237,
"Arizona Taxes",MIN(X177,7000)*0.02,
"Arkansas Taxes",MIN(X177,12000)*0.031,
"California Taxes",MIN(X177,7000)*0.034,
"Colorado Taxes",MIN(X177,13800)*0.017,
"Connecticut Taxes",MIN(X177,15000)*0.028,
"Delaware Taxes",MIN(X177,8500)*0.001,
"District of Columbia Taxes",MIN(X177,9000)*0.027,
"Florida Taxes",MIN(X177,7000)*0.027,
"Georgia Taxes",MIN(X177,9500)*0.027,
"Hawaii Taxes",MIN(X177,46800)*0.04,
"Idaho Taxes",MIN(X177,41500)*0.01071,
"Illinois Taxes",MIN(X177,12900)*0.0395,
"Indiana Taxes",MIN(X177,9500)*0.025,
"Iowa Taxes",MIN(X177,29500)*0.01,
"Kansas Taxes",MIN(X177,14000)*0.027,
"Kentucky Taxes",MIN(X177,11000)*0.027,
"Louisiana Taxes",MIN(X177,7500)*0.0009,
"Maine Taxes",MIN(X177,12000)*0.0219,
"Maryland Taxes",MIN(X177,8500)*0.023,
"Massachusetts Taxes",MIN(X177,15000)*0.0143,
"Michigan Taxes",MIN(X177,9500)*0.027,
"Minnesota Taxes",MIN(X177,35000)*0.001,
"Mississippi Taxes",MIN(X177,14000)*0.01,
"Missouri Taxes",MIN(X177,13500)*0.027,
"Montana Taxes",MIN(X177,34500)*0.0013,
"Nebraska Taxes",MIN(X177,9000)*0.0125,
"Nevada Taxes",MIN(X177,33100)*0.0295,
"New Hampshire Taxes",MIN(X177,14000)*0.027,
"New Jersey Taxes",MIN(X177,35700)*0.031,
"New Mexico Taxes",MIN(X177,25400)*0.01,
"New York Taxes",MIN(X177,11500)*0.026,
"North Carolina Taxes",MIN(X177,25400)*0.01,
"North Dakota Taxes",MIN(X177,39200)*0.0113,
"Ohio Taxes",MIN(X177,9000)*0.027,
"Oklahoma Taxes",MIN(X177,17500)*0.015,
"Oregon Taxes",MIN(X177,43000)*0.021,
"Pennsylvania Taxes",MIN(X177,10000)*0.03822,
"Rhode Island Taxes",MIN(X177,24000)*0.0109,
"South Carolina Taxes",MIN(X177,14000)*0.0045,
"South Dakota Taxes",MIN(X177,15000)*0.012,
"Tennessee Taxes",MIN(X177,7000)*0.027,
"Texas Taxes",MIN(X177,9000)*0.027,
"Utah Taxes",MIN(X177,35700)*0.003,
"Vermont Taxes",MIN(X177,16000)*0.01,
"Virginia Taxes",MIN(X177,8000)*0.025,
"Washington Taxes",MIN(X177,56200)*0.0125,
"West Virginia Taxes",MIN(X177,12000)*0.027,
"Wisconsin Taxes",MIN(X177,14000)*0.0305,
"Wyoming Taxes",MIN(X177,25800)*0.018
)
),0))</f>
        <v>0</v>
      </c>
      <c r="Y185" s="102" cm="1">
        <f t="array" ref="Y185">IF(Y176="W-2",0,_xlfn.IFNA(_xlfn.IFS(
Y$156=2022,
_xlfn.SWITCH(
Y182,
"Alabama Taxes",MIN(Y177,8000)*0.027,
"Alaska Taxes",MIN(Y177,45200)*0.0237,
"Arizona Taxes",MIN(Y177,7000)*0.02,
"Arkansas Taxes",MIN(Y177,10000)*0.031,
"California Taxes",MIN(Y177,7000)*0.034,
"Colorado Taxes",MIN(Y177,17000)*0.017,
"Connecticut Taxes",MIN(Y177,15000)*0.03,
"Delaware Taxes",MIN(Y177,16500)*0.018,
"District of Columbia Taxes",MIN(Y177,9000)*0.027,
"Florida Taxes",MIN(Y177,7000)*0.027,
"Georgia Taxes",MIN(Y177,9500)*0.0264,
"Hawaii Taxes",MIN(Y177,51600)*0.03,
"Idaho Taxes",MIN(Y177,46500)*0.0097,
"Illinois Taxes",MIN(Y177,12960)*0.03525,
"Indiana Taxes",MIN(Y177,9500)*0.025,
"Iowa Taxes",MIN(Y177,34800)*0.01,
"Kansas Taxes",MIN(Y177,14000)*0.027,
"Kentucky Taxes",MIN(Y177,11100)*0.027,
"Louisiana Taxes",MIN(Y177,7700)*0.027,
"Maine Taxes",MIN(Y177,12000)*0.0224,
"Maryland Taxes",MIN(Y177,8500)*0.026,
"Massachusetts Taxes",MIN(Y177,15000)*0.0242,
"Michigan Taxes",MIN(Y177,9500)*0.027,
"Minnesota Taxes",MIN(Y177,38000)*0.027,
"Mississippi Taxes",MIN(Y177,14000)*0.01,
"Missouri Taxes",MIN(Y177,11000)*0.02376,
"Montana Taxes",MIN(Y177,38100)*0.027,
"Nebraska Taxes",MIN(Y177,24000)*0.0125,
"Nevada Taxes",MIN(Y177,36600)*0.0295,
"New Hampshire Taxes",MIN(Y177,14000)*0.027,
"New Jersey Taxes",MIN(Y177,39800)*0.028,
"New Mexico Taxes",MIN(Y177,28700)*0.01,
"New York Taxes",MIN(Y177,12000)*0.03125,
"North Carolina Taxes",MIN(Y177,28000)*0.01,
"North Dakota Taxes",MIN(Y177,38400)*0.0102,
"Ohio Taxes",MIN(Y177,9000)*0.027,
"Oklahoma Taxes",MIN(Y177,24800)*0.015,
"Oregon Taxes",MIN(Y177,47700)*0.024,
"Pennsylvania Taxes",MIN(Y177,10000)*0.03689,
"Rhode Island Taxes",MIN(Y177,24600)*0.0098,
"South Carolina Taxes",MIN(Y177,14000)*0.0049,
"South Dakota Taxes",MIN(Y177,15000)*0.012,
"Tennessee Taxes",MIN(Y177,7000)*0.027,
"Texas Taxes",MIN(Y177,9000)*0.027,
"Utah Taxes",MIN(Y177,41600)*0.027,
"Vermont Taxes",MIN(Y177,15500)*0.01,
"Virginia Taxes",MIN(Y177,8000)*0.0273,
"Washington Taxes",MIN(Y177,62500)*0.027,
"West Virginia Taxes",MIN(Y177,12000)*0.027,
"Wisconsin Taxes",MIN(Y177,14000)*0.0305,
"Wyoming Taxes",MIN(Y177,27700)*0.027
),
Y$156=2023,
_xlfn.SWITCH(
Y182,
"Alabama Taxes",MIN(Y177,8000)*0.027,
"Alaska Taxes",MIN(Y177,41500)*0.0237,
"Arizona Taxes",MIN(Y177,7000)*0.02,
"Arkansas Taxes",MIN(Y177,12000)*0.031,
"California Taxes",MIN(Y177,7000)*0.034,
"Colorado Taxes",MIN(Y177,13800)*0.017,
"Connecticut Taxes",MIN(Y177,15000)*0.028,
"Delaware Taxes",MIN(Y177,8500)*0.001,
"District of Columbia Taxes",MIN(Y177,9000)*0.027,
"Florida Taxes",MIN(Y177,7000)*0.027,
"Georgia Taxes",MIN(Y177,9500)*0.027,
"Hawaii Taxes",MIN(Y177,46800)*0.04,
"Idaho Taxes",MIN(Y177,41500)*0.01071,
"Illinois Taxes",MIN(Y177,12900)*0.0395,
"Indiana Taxes",MIN(Y177,9500)*0.025,
"Iowa Taxes",MIN(Y177,29500)*0.01,
"Kansas Taxes",MIN(Y177,14000)*0.027,
"Kentucky Taxes",MIN(Y177,11000)*0.027,
"Louisiana Taxes",MIN(Y177,7500)*0.0009,
"Maine Taxes",MIN(Y177,12000)*0.0219,
"Maryland Taxes",MIN(Y177,8500)*0.023,
"Massachusetts Taxes",MIN(Y177,15000)*0.0143,
"Michigan Taxes",MIN(Y177,9500)*0.027,
"Minnesota Taxes",MIN(Y177,35000)*0.001,
"Mississippi Taxes",MIN(Y177,14000)*0.01,
"Missouri Taxes",MIN(Y177,13500)*0.027,
"Montana Taxes",MIN(Y177,34500)*0.0013,
"Nebraska Taxes",MIN(Y177,9000)*0.0125,
"Nevada Taxes",MIN(Y177,33100)*0.0295,
"New Hampshire Taxes",MIN(Y177,14000)*0.027,
"New Jersey Taxes",MIN(Y177,35700)*0.031,
"New Mexico Taxes",MIN(Y177,25400)*0.01,
"New York Taxes",MIN(Y177,11500)*0.026,
"North Carolina Taxes",MIN(Y177,25400)*0.01,
"North Dakota Taxes",MIN(Y177,39200)*0.0113,
"Ohio Taxes",MIN(Y177,9000)*0.027,
"Oklahoma Taxes",MIN(Y177,17500)*0.015,
"Oregon Taxes",MIN(Y177,43000)*0.021,
"Pennsylvania Taxes",MIN(Y177,10000)*0.03822,
"Rhode Island Taxes",MIN(Y177,24000)*0.0109,
"South Carolina Taxes",MIN(Y177,14000)*0.0045,
"South Dakota Taxes",MIN(Y177,15000)*0.012,
"Tennessee Taxes",MIN(Y177,7000)*0.027,
"Texas Taxes",MIN(Y177,9000)*0.027,
"Utah Taxes",MIN(Y177,35700)*0.003,
"Vermont Taxes",MIN(Y177,16000)*0.01,
"Virginia Taxes",MIN(Y177,8000)*0.025,
"Washington Taxes",MIN(Y177,56200)*0.0125,
"West Virginia Taxes",MIN(Y177,12000)*0.027,
"Wisconsin Taxes",MIN(Y177,14000)*0.0305,
"Wyoming Taxes",MIN(Y177,25800)*0.018
),
Y$156=2024,
_xlfn.SWITCH(
Y182,
"Alabama Taxes",MIN(Y177,8000)*0.027,
"Alaska Taxes",MIN(Y177,41500)*0.0237,
"Arizona Taxes",MIN(Y177,7000)*0.02,
"Arkansas Taxes",MIN(Y177,12000)*0.031,
"California Taxes",MIN(Y177,7000)*0.034,
"Colorado Taxes",MIN(Y177,13800)*0.017,
"Connecticut Taxes",MIN(Y177,15000)*0.028,
"Delaware Taxes",MIN(Y177,8500)*0.001,
"District of Columbia Taxes",MIN(Y177,9000)*0.027,
"Florida Taxes",MIN(Y177,7000)*0.027,
"Georgia Taxes",MIN(Y177,9500)*0.027,
"Hawaii Taxes",MIN(Y177,46800)*0.04,
"Idaho Taxes",MIN(Y177,41500)*0.01071,
"Illinois Taxes",MIN(Y177,12900)*0.0395,
"Indiana Taxes",MIN(Y177,9500)*0.025,
"Iowa Taxes",MIN(Y177,29500)*0.01,
"Kansas Taxes",MIN(Y177,14000)*0.027,
"Kentucky Taxes",MIN(Y177,11000)*0.027,
"Louisiana Taxes",MIN(Y177,7500)*0.0009,
"Maine Taxes",MIN(Y177,12000)*0.0219,
"Maryland Taxes",MIN(Y177,8500)*0.023,
"Massachusetts Taxes",MIN(Y177,15000)*0.0143,
"Michigan Taxes",MIN(Y177,9500)*0.027,
"Minnesota Taxes",MIN(Y177,35000)*0.001,
"Mississippi Taxes",MIN(Y177,14000)*0.01,
"Missouri Taxes",MIN(Y177,13500)*0.027,
"Montana Taxes",MIN(Y177,34500)*0.0013,
"Nebraska Taxes",MIN(Y177,9000)*0.0125,
"Nevada Taxes",MIN(Y177,33100)*0.0295,
"New Hampshire Taxes",MIN(Y177,14000)*0.027,
"New Jersey Taxes",MIN(Y177,35700)*0.031,
"New Mexico Taxes",MIN(Y177,25400)*0.01,
"New York Taxes",MIN(Y177,11500)*0.026,
"North Carolina Taxes",MIN(Y177,25400)*0.01,
"North Dakota Taxes",MIN(Y177,39200)*0.0113,
"Ohio Taxes",MIN(Y177,9000)*0.027,
"Oklahoma Taxes",MIN(Y177,17500)*0.015,
"Oregon Taxes",MIN(Y177,43000)*0.021,
"Pennsylvania Taxes",MIN(Y177,10000)*0.03822,
"Rhode Island Taxes",MIN(Y177,24000)*0.0109,
"South Carolina Taxes",MIN(Y177,14000)*0.0045,
"South Dakota Taxes",MIN(Y177,15000)*0.012,
"Tennessee Taxes",MIN(Y177,7000)*0.027,
"Texas Taxes",MIN(Y177,9000)*0.027,
"Utah Taxes",MIN(Y177,35700)*0.003,
"Vermont Taxes",MIN(Y177,16000)*0.01,
"Virginia Taxes",MIN(Y177,8000)*0.025,
"Washington Taxes",MIN(Y177,56200)*0.0125,
"West Virginia Taxes",MIN(Y177,12000)*0.027,
"Wisconsin Taxes",MIN(Y177,14000)*0.0305,
"Wyoming Taxes",MIN(Y177,25800)*0.018
)
),0))</f>
        <v>0</v>
      </c>
      <c r="Z185" s="102" cm="1">
        <f t="array" ref="Z185">IF(Z176="W-2",0,_xlfn.IFNA(_xlfn.IFS(
Z$156=2022,
_xlfn.SWITCH(
Z182,
"Alabama Taxes",MIN(Z177,8000)*0.027,
"Alaska Taxes",MIN(Z177,45200)*0.0237,
"Arizona Taxes",MIN(Z177,7000)*0.02,
"Arkansas Taxes",MIN(Z177,10000)*0.031,
"California Taxes",MIN(Z177,7000)*0.034,
"Colorado Taxes",MIN(Z177,17000)*0.017,
"Connecticut Taxes",MIN(Z177,15000)*0.03,
"Delaware Taxes",MIN(Z177,16500)*0.018,
"District of Columbia Taxes",MIN(Z177,9000)*0.027,
"Florida Taxes",MIN(Z177,7000)*0.027,
"Georgia Taxes",MIN(Z177,9500)*0.0264,
"Hawaii Taxes",MIN(Z177,51600)*0.03,
"Idaho Taxes",MIN(Z177,46500)*0.0097,
"Illinois Taxes",MIN(Z177,12960)*0.03525,
"Indiana Taxes",MIN(Z177,9500)*0.025,
"Iowa Taxes",MIN(Z177,34800)*0.01,
"Kansas Taxes",MIN(Z177,14000)*0.027,
"Kentucky Taxes",MIN(Z177,11100)*0.027,
"Louisiana Taxes",MIN(Z177,7700)*0.027,
"Maine Taxes",MIN(Z177,12000)*0.0224,
"Maryland Taxes",MIN(Z177,8500)*0.026,
"Massachusetts Taxes",MIN(Z177,15000)*0.0242,
"Michigan Taxes",MIN(Z177,9500)*0.027,
"Minnesota Taxes",MIN(Z177,38000)*0.027,
"Mississippi Taxes",MIN(Z177,14000)*0.01,
"Missouri Taxes",MIN(Z177,11000)*0.02376,
"Montana Taxes",MIN(Z177,38100)*0.027,
"Nebraska Taxes",MIN(Z177,24000)*0.0125,
"Nevada Taxes",MIN(Z177,36600)*0.0295,
"New Hampshire Taxes",MIN(Z177,14000)*0.027,
"New Jersey Taxes",MIN(Z177,39800)*0.028,
"New Mexico Taxes",MIN(Z177,28700)*0.01,
"New York Taxes",MIN(Z177,12000)*0.03125,
"North Carolina Taxes",MIN(Z177,28000)*0.01,
"North Dakota Taxes",MIN(Z177,38400)*0.0102,
"Ohio Taxes",MIN(Z177,9000)*0.027,
"Oklahoma Taxes",MIN(Z177,24800)*0.015,
"Oregon Taxes",MIN(Z177,47700)*0.024,
"Pennsylvania Taxes",MIN(Z177,10000)*0.03689,
"Rhode Island Taxes",MIN(Z177,24600)*0.0098,
"South Carolina Taxes",MIN(Z177,14000)*0.0049,
"South Dakota Taxes",MIN(Z177,15000)*0.012,
"Tennessee Taxes",MIN(Z177,7000)*0.027,
"Texas Taxes",MIN(Z177,9000)*0.027,
"Utah Taxes",MIN(Z177,41600)*0.027,
"Vermont Taxes",MIN(Z177,15500)*0.01,
"Virginia Taxes",MIN(Z177,8000)*0.0273,
"Washington Taxes",MIN(Z177,62500)*0.027,
"West Virginia Taxes",MIN(Z177,12000)*0.027,
"Wisconsin Taxes",MIN(Z177,14000)*0.0305,
"Wyoming Taxes",MIN(Z177,27700)*0.027
),
Z$156=2023,
_xlfn.SWITCH(
Z182,
"Alabama Taxes",MIN(Z177,8000)*0.027,
"Alaska Taxes",MIN(Z177,41500)*0.0237,
"Arizona Taxes",MIN(Z177,7000)*0.02,
"Arkansas Taxes",MIN(Z177,12000)*0.031,
"California Taxes",MIN(Z177,7000)*0.034,
"Colorado Taxes",MIN(Z177,13800)*0.017,
"Connecticut Taxes",MIN(Z177,15000)*0.028,
"Delaware Taxes",MIN(Z177,8500)*0.001,
"District of Columbia Taxes",MIN(Z177,9000)*0.027,
"Florida Taxes",MIN(Z177,7000)*0.027,
"Georgia Taxes",MIN(Z177,9500)*0.027,
"Hawaii Taxes",MIN(Z177,46800)*0.04,
"Idaho Taxes",MIN(Z177,41500)*0.01071,
"Illinois Taxes",MIN(Z177,12900)*0.0395,
"Indiana Taxes",MIN(Z177,9500)*0.025,
"Iowa Taxes",MIN(Z177,29500)*0.01,
"Kansas Taxes",MIN(Z177,14000)*0.027,
"Kentucky Taxes",MIN(Z177,11000)*0.027,
"Louisiana Taxes",MIN(Z177,7500)*0.0009,
"Maine Taxes",MIN(Z177,12000)*0.0219,
"Maryland Taxes",MIN(Z177,8500)*0.023,
"Massachusetts Taxes",MIN(Z177,15000)*0.0143,
"Michigan Taxes",MIN(Z177,9500)*0.027,
"Minnesota Taxes",MIN(Z177,35000)*0.001,
"Mississippi Taxes",MIN(Z177,14000)*0.01,
"Missouri Taxes",MIN(Z177,13500)*0.027,
"Montana Taxes",MIN(Z177,34500)*0.0013,
"Nebraska Taxes",MIN(Z177,9000)*0.0125,
"Nevada Taxes",MIN(Z177,33100)*0.0295,
"New Hampshire Taxes",MIN(Z177,14000)*0.027,
"New Jersey Taxes",MIN(Z177,35700)*0.031,
"New Mexico Taxes",MIN(Z177,25400)*0.01,
"New York Taxes",MIN(Z177,11500)*0.026,
"North Carolina Taxes",MIN(Z177,25400)*0.01,
"North Dakota Taxes",MIN(Z177,39200)*0.0113,
"Ohio Taxes",MIN(Z177,9000)*0.027,
"Oklahoma Taxes",MIN(Z177,17500)*0.015,
"Oregon Taxes",MIN(Z177,43000)*0.021,
"Pennsylvania Taxes",MIN(Z177,10000)*0.03822,
"Rhode Island Taxes",MIN(Z177,24000)*0.0109,
"South Carolina Taxes",MIN(Z177,14000)*0.0045,
"South Dakota Taxes",MIN(Z177,15000)*0.012,
"Tennessee Taxes",MIN(Z177,7000)*0.027,
"Texas Taxes",MIN(Z177,9000)*0.027,
"Utah Taxes",MIN(Z177,35700)*0.003,
"Vermont Taxes",MIN(Z177,16000)*0.01,
"Virginia Taxes",MIN(Z177,8000)*0.025,
"Washington Taxes",MIN(Z177,56200)*0.0125,
"West Virginia Taxes",MIN(Z177,12000)*0.027,
"Wisconsin Taxes",MIN(Z177,14000)*0.0305,
"Wyoming Taxes",MIN(Z177,25800)*0.018
),
Z$156=2024,
_xlfn.SWITCH(
Z182,
"Alabama Taxes",MIN(Z177,8000)*0.027,
"Alaska Taxes",MIN(Z177,41500)*0.0237,
"Arizona Taxes",MIN(Z177,7000)*0.02,
"Arkansas Taxes",MIN(Z177,12000)*0.031,
"California Taxes",MIN(Z177,7000)*0.034,
"Colorado Taxes",MIN(Z177,13800)*0.017,
"Connecticut Taxes",MIN(Z177,15000)*0.028,
"Delaware Taxes",MIN(Z177,8500)*0.001,
"District of Columbia Taxes",MIN(Z177,9000)*0.027,
"Florida Taxes",MIN(Z177,7000)*0.027,
"Georgia Taxes",MIN(Z177,9500)*0.027,
"Hawaii Taxes",MIN(Z177,46800)*0.04,
"Idaho Taxes",MIN(Z177,41500)*0.01071,
"Illinois Taxes",MIN(Z177,12900)*0.0395,
"Indiana Taxes",MIN(Z177,9500)*0.025,
"Iowa Taxes",MIN(Z177,29500)*0.01,
"Kansas Taxes",MIN(Z177,14000)*0.027,
"Kentucky Taxes",MIN(Z177,11000)*0.027,
"Louisiana Taxes",MIN(Z177,7500)*0.0009,
"Maine Taxes",MIN(Z177,12000)*0.0219,
"Maryland Taxes",MIN(Z177,8500)*0.023,
"Massachusetts Taxes",MIN(Z177,15000)*0.0143,
"Michigan Taxes",MIN(Z177,9500)*0.027,
"Minnesota Taxes",MIN(Z177,35000)*0.001,
"Mississippi Taxes",MIN(Z177,14000)*0.01,
"Missouri Taxes",MIN(Z177,13500)*0.027,
"Montana Taxes",MIN(Z177,34500)*0.0013,
"Nebraska Taxes",MIN(Z177,9000)*0.0125,
"Nevada Taxes",MIN(Z177,33100)*0.0295,
"New Hampshire Taxes",MIN(Z177,14000)*0.027,
"New Jersey Taxes",MIN(Z177,35700)*0.031,
"New Mexico Taxes",MIN(Z177,25400)*0.01,
"New York Taxes",MIN(Z177,11500)*0.026,
"North Carolina Taxes",MIN(Z177,25400)*0.01,
"North Dakota Taxes",MIN(Z177,39200)*0.0113,
"Ohio Taxes",MIN(Z177,9000)*0.027,
"Oklahoma Taxes",MIN(Z177,17500)*0.015,
"Oregon Taxes",MIN(Z177,43000)*0.021,
"Pennsylvania Taxes",MIN(Z177,10000)*0.03822,
"Rhode Island Taxes",MIN(Z177,24000)*0.0109,
"South Carolina Taxes",MIN(Z177,14000)*0.0045,
"South Dakota Taxes",MIN(Z177,15000)*0.012,
"Tennessee Taxes",MIN(Z177,7000)*0.027,
"Texas Taxes",MIN(Z177,9000)*0.027,
"Utah Taxes",MIN(Z177,35700)*0.003,
"Vermont Taxes",MIN(Z177,16000)*0.01,
"Virginia Taxes",MIN(Z177,8000)*0.025,
"Washington Taxes",MIN(Z177,56200)*0.0125,
"West Virginia Taxes",MIN(Z177,12000)*0.027,
"Wisconsin Taxes",MIN(Z177,14000)*0.0305,
"Wyoming Taxes",MIN(Z177,25800)*0.018
)
),0))</f>
        <v>0</v>
      </c>
      <c r="AA185" s="102" cm="1">
        <f t="array" ref="AA185">IF(AA176="W-2",0,_xlfn.IFNA(_xlfn.IFS(
AA$156=2022,
_xlfn.SWITCH(
AA182,
"Alabama Taxes",MIN(AA177,8000)*0.027,
"Alaska Taxes",MIN(AA177,45200)*0.0237,
"Arizona Taxes",MIN(AA177,7000)*0.02,
"Arkansas Taxes",MIN(AA177,10000)*0.031,
"California Taxes",MIN(AA177,7000)*0.034,
"Colorado Taxes",MIN(AA177,17000)*0.017,
"Connecticut Taxes",MIN(AA177,15000)*0.03,
"Delaware Taxes",MIN(AA177,16500)*0.018,
"District of Columbia Taxes",MIN(AA177,9000)*0.027,
"Florida Taxes",MIN(AA177,7000)*0.027,
"Georgia Taxes",MIN(AA177,9500)*0.0264,
"Hawaii Taxes",MIN(AA177,51600)*0.03,
"Idaho Taxes",MIN(AA177,46500)*0.0097,
"Illinois Taxes",MIN(AA177,12960)*0.03525,
"Indiana Taxes",MIN(AA177,9500)*0.025,
"Iowa Taxes",MIN(AA177,34800)*0.01,
"Kansas Taxes",MIN(AA177,14000)*0.027,
"Kentucky Taxes",MIN(AA177,11100)*0.027,
"Louisiana Taxes",MIN(AA177,7700)*0.027,
"Maine Taxes",MIN(AA177,12000)*0.0224,
"Maryland Taxes",MIN(AA177,8500)*0.026,
"Massachusetts Taxes",MIN(AA177,15000)*0.0242,
"Michigan Taxes",MIN(AA177,9500)*0.027,
"Minnesota Taxes",MIN(AA177,38000)*0.027,
"Mississippi Taxes",MIN(AA177,14000)*0.01,
"Missouri Taxes",MIN(AA177,11000)*0.02376,
"Montana Taxes",MIN(AA177,38100)*0.027,
"Nebraska Taxes",MIN(AA177,24000)*0.0125,
"Nevada Taxes",MIN(AA177,36600)*0.0295,
"New Hampshire Taxes",MIN(AA177,14000)*0.027,
"New Jersey Taxes",MIN(AA177,39800)*0.028,
"New Mexico Taxes",MIN(AA177,28700)*0.01,
"New York Taxes",MIN(AA177,12000)*0.03125,
"North Carolina Taxes",MIN(AA177,28000)*0.01,
"North Dakota Taxes",MIN(AA177,38400)*0.0102,
"Ohio Taxes",MIN(AA177,9000)*0.027,
"Oklahoma Taxes",MIN(AA177,24800)*0.015,
"Oregon Taxes",MIN(AA177,47700)*0.024,
"Pennsylvania Taxes",MIN(AA177,10000)*0.03689,
"Rhode Island Taxes",MIN(AA177,24600)*0.0098,
"South Carolina Taxes",MIN(AA177,14000)*0.0049,
"South Dakota Taxes",MIN(AA177,15000)*0.012,
"Tennessee Taxes",MIN(AA177,7000)*0.027,
"Texas Taxes",MIN(AA177,9000)*0.027,
"Utah Taxes",MIN(AA177,41600)*0.027,
"Vermont Taxes",MIN(AA177,15500)*0.01,
"Virginia Taxes",MIN(AA177,8000)*0.0273,
"Washington Taxes",MIN(AA177,62500)*0.027,
"West Virginia Taxes",MIN(AA177,12000)*0.027,
"Wisconsin Taxes",MIN(AA177,14000)*0.0305,
"Wyoming Taxes",MIN(AA177,27700)*0.027
),
AA$156=2023,
_xlfn.SWITCH(
AA182,
"Alabama Taxes",MIN(AA177,8000)*0.027,
"Alaska Taxes",MIN(AA177,41500)*0.0237,
"Arizona Taxes",MIN(AA177,7000)*0.02,
"Arkansas Taxes",MIN(AA177,12000)*0.031,
"California Taxes",MIN(AA177,7000)*0.034,
"Colorado Taxes",MIN(AA177,13800)*0.017,
"Connecticut Taxes",MIN(AA177,15000)*0.028,
"Delaware Taxes",MIN(AA177,8500)*0.001,
"District of Columbia Taxes",MIN(AA177,9000)*0.027,
"Florida Taxes",MIN(AA177,7000)*0.027,
"Georgia Taxes",MIN(AA177,9500)*0.027,
"Hawaii Taxes",MIN(AA177,46800)*0.04,
"Idaho Taxes",MIN(AA177,41500)*0.01071,
"Illinois Taxes",MIN(AA177,12900)*0.0395,
"Indiana Taxes",MIN(AA177,9500)*0.025,
"Iowa Taxes",MIN(AA177,29500)*0.01,
"Kansas Taxes",MIN(AA177,14000)*0.027,
"Kentucky Taxes",MIN(AA177,11000)*0.027,
"Louisiana Taxes",MIN(AA177,7500)*0.0009,
"Maine Taxes",MIN(AA177,12000)*0.0219,
"Maryland Taxes",MIN(AA177,8500)*0.023,
"Massachusetts Taxes",MIN(AA177,15000)*0.0143,
"Michigan Taxes",MIN(AA177,9500)*0.027,
"Minnesota Taxes",MIN(AA177,35000)*0.001,
"Mississippi Taxes",MIN(AA177,14000)*0.01,
"Missouri Taxes",MIN(AA177,13500)*0.027,
"Montana Taxes",MIN(AA177,34500)*0.0013,
"Nebraska Taxes",MIN(AA177,9000)*0.0125,
"Nevada Taxes",MIN(AA177,33100)*0.0295,
"New Hampshire Taxes",MIN(AA177,14000)*0.027,
"New Jersey Taxes",MIN(AA177,35700)*0.031,
"New Mexico Taxes",MIN(AA177,25400)*0.01,
"New York Taxes",MIN(AA177,11500)*0.026,
"North Carolina Taxes",MIN(AA177,25400)*0.01,
"North Dakota Taxes",MIN(AA177,39200)*0.0113,
"Ohio Taxes",MIN(AA177,9000)*0.027,
"Oklahoma Taxes",MIN(AA177,17500)*0.015,
"Oregon Taxes",MIN(AA177,43000)*0.021,
"Pennsylvania Taxes",MIN(AA177,10000)*0.03822,
"Rhode Island Taxes",MIN(AA177,24000)*0.0109,
"South Carolina Taxes",MIN(AA177,14000)*0.0045,
"South Dakota Taxes",MIN(AA177,15000)*0.012,
"Tennessee Taxes",MIN(AA177,7000)*0.027,
"Texas Taxes",MIN(AA177,9000)*0.027,
"Utah Taxes",MIN(AA177,35700)*0.003,
"Vermont Taxes",MIN(AA177,16000)*0.01,
"Virginia Taxes",MIN(AA177,8000)*0.025,
"Washington Taxes",MIN(AA177,56200)*0.0125,
"West Virginia Taxes",MIN(AA177,12000)*0.027,
"Wisconsin Taxes",MIN(AA177,14000)*0.0305,
"Wyoming Taxes",MIN(AA177,25800)*0.018
),
AA$156=2024,
_xlfn.SWITCH(
AA182,
"Alabama Taxes",MIN(AA177,8000)*0.027,
"Alaska Taxes",MIN(AA177,41500)*0.0237,
"Arizona Taxes",MIN(AA177,7000)*0.02,
"Arkansas Taxes",MIN(AA177,12000)*0.031,
"California Taxes",MIN(AA177,7000)*0.034,
"Colorado Taxes",MIN(AA177,13800)*0.017,
"Connecticut Taxes",MIN(AA177,15000)*0.028,
"Delaware Taxes",MIN(AA177,8500)*0.001,
"District of Columbia Taxes",MIN(AA177,9000)*0.027,
"Florida Taxes",MIN(AA177,7000)*0.027,
"Georgia Taxes",MIN(AA177,9500)*0.027,
"Hawaii Taxes",MIN(AA177,46800)*0.04,
"Idaho Taxes",MIN(AA177,41500)*0.01071,
"Illinois Taxes",MIN(AA177,12900)*0.0395,
"Indiana Taxes",MIN(AA177,9500)*0.025,
"Iowa Taxes",MIN(AA177,29500)*0.01,
"Kansas Taxes",MIN(AA177,14000)*0.027,
"Kentucky Taxes",MIN(AA177,11000)*0.027,
"Louisiana Taxes",MIN(AA177,7500)*0.0009,
"Maine Taxes",MIN(AA177,12000)*0.0219,
"Maryland Taxes",MIN(AA177,8500)*0.023,
"Massachusetts Taxes",MIN(AA177,15000)*0.0143,
"Michigan Taxes",MIN(AA177,9500)*0.027,
"Minnesota Taxes",MIN(AA177,35000)*0.001,
"Mississippi Taxes",MIN(AA177,14000)*0.01,
"Missouri Taxes",MIN(AA177,13500)*0.027,
"Montana Taxes",MIN(AA177,34500)*0.0013,
"Nebraska Taxes",MIN(AA177,9000)*0.0125,
"Nevada Taxes",MIN(AA177,33100)*0.0295,
"New Hampshire Taxes",MIN(AA177,14000)*0.027,
"New Jersey Taxes",MIN(AA177,35700)*0.031,
"New Mexico Taxes",MIN(AA177,25400)*0.01,
"New York Taxes",MIN(AA177,11500)*0.026,
"North Carolina Taxes",MIN(AA177,25400)*0.01,
"North Dakota Taxes",MIN(AA177,39200)*0.0113,
"Ohio Taxes",MIN(AA177,9000)*0.027,
"Oklahoma Taxes",MIN(AA177,17500)*0.015,
"Oregon Taxes",MIN(AA177,43000)*0.021,
"Pennsylvania Taxes",MIN(AA177,10000)*0.03822,
"Rhode Island Taxes",MIN(AA177,24000)*0.0109,
"South Carolina Taxes",MIN(AA177,14000)*0.0045,
"South Dakota Taxes",MIN(AA177,15000)*0.012,
"Tennessee Taxes",MIN(AA177,7000)*0.027,
"Texas Taxes",MIN(AA177,9000)*0.027,
"Utah Taxes",MIN(AA177,35700)*0.003,
"Vermont Taxes",MIN(AA177,16000)*0.01,
"Virginia Taxes",MIN(AA177,8000)*0.025,
"Washington Taxes",MIN(AA177,56200)*0.0125,
"West Virginia Taxes",MIN(AA177,12000)*0.027,
"Wisconsin Taxes",MIN(AA177,14000)*0.0305,
"Wyoming Taxes",MIN(AA177,25800)*0.018
)
),0))</f>
        <v>0</v>
      </c>
      <c r="AB185" s="102" cm="1">
        <f t="array" ref="AB185">IF(AB176="W-2",0,_xlfn.IFNA(_xlfn.IFS(
AB$156=2022,
_xlfn.SWITCH(
AB182,
"Alabama Taxes",MIN(AB177,8000)*0.027,
"Alaska Taxes",MIN(AB177,45200)*0.0237,
"Arizona Taxes",MIN(AB177,7000)*0.02,
"Arkansas Taxes",MIN(AB177,10000)*0.031,
"California Taxes",MIN(AB177,7000)*0.034,
"Colorado Taxes",MIN(AB177,17000)*0.017,
"Connecticut Taxes",MIN(AB177,15000)*0.03,
"Delaware Taxes",MIN(AB177,16500)*0.018,
"District of Columbia Taxes",MIN(AB177,9000)*0.027,
"Florida Taxes",MIN(AB177,7000)*0.027,
"Georgia Taxes",MIN(AB177,9500)*0.0264,
"Hawaii Taxes",MIN(AB177,51600)*0.03,
"Idaho Taxes",MIN(AB177,46500)*0.0097,
"Illinois Taxes",MIN(AB177,12960)*0.03525,
"Indiana Taxes",MIN(AB177,9500)*0.025,
"Iowa Taxes",MIN(AB177,34800)*0.01,
"Kansas Taxes",MIN(AB177,14000)*0.027,
"Kentucky Taxes",MIN(AB177,11100)*0.027,
"Louisiana Taxes",MIN(AB177,7700)*0.027,
"Maine Taxes",MIN(AB177,12000)*0.0224,
"Maryland Taxes",MIN(AB177,8500)*0.026,
"Massachusetts Taxes",MIN(AB177,15000)*0.0242,
"Michigan Taxes",MIN(AB177,9500)*0.027,
"Minnesota Taxes",MIN(AB177,38000)*0.027,
"Mississippi Taxes",MIN(AB177,14000)*0.01,
"Missouri Taxes",MIN(AB177,11000)*0.02376,
"Montana Taxes",MIN(AB177,38100)*0.027,
"Nebraska Taxes",MIN(AB177,24000)*0.0125,
"Nevada Taxes",MIN(AB177,36600)*0.0295,
"New Hampshire Taxes",MIN(AB177,14000)*0.027,
"New Jersey Taxes",MIN(AB177,39800)*0.028,
"New Mexico Taxes",MIN(AB177,28700)*0.01,
"New York Taxes",MIN(AB177,12000)*0.03125,
"North Carolina Taxes",MIN(AB177,28000)*0.01,
"North Dakota Taxes",MIN(AB177,38400)*0.0102,
"Ohio Taxes",MIN(AB177,9000)*0.027,
"Oklahoma Taxes",MIN(AB177,24800)*0.015,
"Oregon Taxes",MIN(AB177,47700)*0.024,
"Pennsylvania Taxes",MIN(AB177,10000)*0.03689,
"Rhode Island Taxes",MIN(AB177,24600)*0.0098,
"South Carolina Taxes",MIN(AB177,14000)*0.0049,
"South Dakota Taxes",MIN(AB177,15000)*0.012,
"Tennessee Taxes",MIN(AB177,7000)*0.027,
"Texas Taxes",MIN(AB177,9000)*0.027,
"Utah Taxes",MIN(AB177,41600)*0.027,
"Vermont Taxes",MIN(AB177,15500)*0.01,
"Virginia Taxes",MIN(AB177,8000)*0.0273,
"Washington Taxes",MIN(AB177,62500)*0.027,
"West Virginia Taxes",MIN(AB177,12000)*0.027,
"Wisconsin Taxes",MIN(AB177,14000)*0.0305,
"Wyoming Taxes",MIN(AB177,27700)*0.027
),
AB$156=2023,
_xlfn.SWITCH(
AB182,
"Alabama Taxes",MIN(AB177,8000)*0.027,
"Alaska Taxes",MIN(AB177,41500)*0.0237,
"Arizona Taxes",MIN(AB177,7000)*0.02,
"Arkansas Taxes",MIN(AB177,12000)*0.031,
"California Taxes",MIN(AB177,7000)*0.034,
"Colorado Taxes",MIN(AB177,13800)*0.017,
"Connecticut Taxes",MIN(AB177,15000)*0.028,
"Delaware Taxes",MIN(AB177,8500)*0.001,
"District of Columbia Taxes",MIN(AB177,9000)*0.027,
"Florida Taxes",MIN(AB177,7000)*0.027,
"Georgia Taxes",MIN(AB177,9500)*0.027,
"Hawaii Taxes",MIN(AB177,46800)*0.04,
"Idaho Taxes",MIN(AB177,41500)*0.01071,
"Illinois Taxes",MIN(AB177,12900)*0.0395,
"Indiana Taxes",MIN(AB177,9500)*0.025,
"Iowa Taxes",MIN(AB177,29500)*0.01,
"Kansas Taxes",MIN(AB177,14000)*0.027,
"Kentucky Taxes",MIN(AB177,11000)*0.027,
"Louisiana Taxes",MIN(AB177,7500)*0.0009,
"Maine Taxes",MIN(AB177,12000)*0.0219,
"Maryland Taxes",MIN(AB177,8500)*0.023,
"Massachusetts Taxes",MIN(AB177,15000)*0.0143,
"Michigan Taxes",MIN(AB177,9500)*0.027,
"Minnesota Taxes",MIN(AB177,35000)*0.001,
"Mississippi Taxes",MIN(AB177,14000)*0.01,
"Missouri Taxes",MIN(AB177,13500)*0.027,
"Montana Taxes",MIN(AB177,34500)*0.0013,
"Nebraska Taxes",MIN(AB177,9000)*0.0125,
"Nevada Taxes",MIN(AB177,33100)*0.0295,
"New Hampshire Taxes",MIN(AB177,14000)*0.027,
"New Jersey Taxes",MIN(AB177,35700)*0.031,
"New Mexico Taxes",MIN(AB177,25400)*0.01,
"New York Taxes",MIN(AB177,11500)*0.026,
"North Carolina Taxes",MIN(AB177,25400)*0.01,
"North Dakota Taxes",MIN(AB177,39200)*0.0113,
"Ohio Taxes",MIN(AB177,9000)*0.027,
"Oklahoma Taxes",MIN(AB177,17500)*0.015,
"Oregon Taxes",MIN(AB177,43000)*0.021,
"Pennsylvania Taxes",MIN(AB177,10000)*0.03822,
"Rhode Island Taxes",MIN(AB177,24000)*0.0109,
"South Carolina Taxes",MIN(AB177,14000)*0.0045,
"South Dakota Taxes",MIN(AB177,15000)*0.012,
"Tennessee Taxes",MIN(AB177,7000)*0.027,
"Texas Taxes",MIN(AB177,9000)*0.027,
"Utah Taxes",MIN(AB177,35700)*0.003,
"Vermont Taxes",MIN(AB177,16000)*0.01,
"Virginia Taxes",MIN(AB177,8000)*0.025,
"Washington Taxes",MIN(AB177,56200)*0.0125,
"West Virginia Taxes",MIN(AB177,12000)*0.027,
"Wisconsin Taxes",MIN(AB177,14000)*0.0305,
"Wyoming Taxes",MIN(AB177,25800)*0.018
),
AB$156=2024,
_xlfn.SWITCH(
AB182,
"Alabama Taxes",MIN(AB177,8000)*0.027,
"Alaska Taxes",MIN(AB177,41500)*0.0237,
"Arizona Taxes",MIN(AB177,7000)*0.02,
"Arkansas Taxes",MIN(AB177,12000)*0.031,
"California Taxes",MIN(AB177,7000)*0.034,
"Colorado Taxes",MIN(AB177,13800)*0.017,
"Connecticut Taxes",MIN(AB177,15000)*0.028,
"Delaware Taxes",MIN(AB177,8500)*0.001,
"District of Columbia Taxes",MIN(AB177,9000)*0.027,
"Florida Taxes",MIN(AB177,7000)*0.027,
"Georgia Taxes",MIN(AB177,9500)*0.027,
"Hawaii Taxes",MIN(AB177,46800)*0.04,
"Idaho Taxes",MIN(AB177,41500)*0.01071,
"Illinois Taxes",MIN(AB177,12900)*0.0395,
"Indiana Taxes",MIN(AB177,9500)*0.025,
"Iowa Taxes",MIN(AB177,29500)*0.01,
"Kansas Taxes",MIN(AB177,14000)*0.027,
"Kentucky Taxes",MIN(AB177,11000)*0.027,
"Louisiana Taxes",MIN(AB177,7500)*0.0009,
"Maine Taxes",MIN(AB177,12000)*0.0219,
"Maryland Taxes",MIN(AB177,8500)*0.023,
"Massachusetts Taxes",MIN(AB177,15000)*0.0143,
"Michigan Taxes",MIN(AB177,9500)*0.027,
"Minnesota Taxes",MIN(AB177,35000)*0.001,
"Mississippi Taxes",MIN(AB177,14000)*0.01,
"Missouri Taxes",MIN(AB177,13500)*0.027,
"Montana Taxes",MIN(AB177,34500)*0.0013,
"Nebraska Taxes",MIN(AB177,9000)*0.0125,
"Nevada Taxes",MIN(AB177,33100)*0.0295,
"New Hampshire Taxes",MIN(AB177,14000)*0.027,
"New Jersey Taxes",MIN(AB177,35700)*0.031,
"New Mexico Taxes",MIN(AB177,25400)*0.01,
"New York Taxes",MIN(AB177,11500)*0.026,
"North Carolina Taxes",MIN(AB177,25400)*0.01,
"North Dakota Taxes",MIN(AB177,39200)*0.0113,
"Ohio Taxes",MIN(AB177,9000)*0.027,
"Oklahoma Taxes",MIN(AB177,17500)*0.015,
"Oregon Taxes",MIN(AB177,43000)*0.021,
"Pennsylvania Taxes",MIN(AB177,10000)*0.03822,
"Rhode Island Taxes",MIN(AB177,24000)*0.0109,
"South Carolina Taxes",MIN(AB177,14000)*0.0045,
"South Dakota Taxes",MIN(AB177,15000)*0.012,
"Tennessee Taxes",MIN(AB177,7000)*0.027,
"Texas Taxes",MIN(AB177,9000)*0.027,
"Utah Taxes",MIN(AB177,35700)*0.003,
"Vermont Taxes",MIN(AB177,16000)*0.01,
"Virginia Taxes",MIN(AB177,8000)*0.025,
"Washington Taxes",MIN(AB177,56200)*0.0125,
"West Virginia Taxes",MIN(AB177,12000)*0.027,
"Wisconsin Taxes",MIN(AB177,14000)*0.0305,
"Wyoming Taxes",MIN(AB177,25800)*0.018
)
),0))</f>
        <v>0</v>
      </c>
      <c r="AC185" s="102" cm="1">
        <f t="array" ref="AC185">IF(AC176="W-2",0,_xlfn.IFNA(_xlfn.IFS(
AC$156=2022,
_xlfn.SWITCH(
AC182,
"Alabama Taxes",MIN(AC177,8000)*0.027,
"Alaska Taxes",MIN(AC177,45200)*0.0237,
"Arizona Taxes",MIN(AC177,7000)*0.02,
"Arkansas Taxes",MIN(AC177,10000)*0.031,
"California Taxes",MIN(AC177,7000)*0.034,
"Colorado Taxes",MIN(AC177,17000)*0.017,
"Connecticut Taxes",MIN(AC177,15000)*0.03,
"Delaware Taxes",MIN(AC177,16500)*0.018,
"District of Columbia Taxes",MIN(AC177,9000)*0.027,
"Florida Taxes",MIN(AC177,7000)*0.027,
"Georgia Taxes",MIN(AC177,9500)*0.0264,
"Hawaii Taxes",MIN(AC177,51600)*0.03,
"Idaho Taxes",MIN(AC177,46500)*0.0097,
"Illinois Taxes",MIN(AC177,12960)*0.03525,
"Indiana Taxes",MIN(AC177,9500)*0.025,
"Iowa Taxes",MIN(AC177,34800)*0.01,
"Kansas Taxes",MIN(AC177,14000)*0.027,
"Kentucky Taxes",MIN(AC177,11100)*0.027,
"Louisiana Taxes",MIN(AC177,7700)*0.027,
"Maine Taxes",MIN(AC177,12000)*0.0224,
"Maryland Taxes",MIN(AC177,8500)*0.026,
"Massachusetts Taxes",MIN(AC177,15000)*0.0242,
"Michigan Taxes",MIN(AC177,9500)*0.027,
"Minnesota Taxes",MIN(AC177,38000)*0.027,
"Mississippi Taxes",MIN(AC177,14000)*0.01,
"Missouri Taxes",MIN(AC177,11000)*0.02376,
"Montana Taxes",MIN(AC177,38100)*0.027,
"Nebraska Taxes",MIN(AC177,24000)*0.0125,
"Nevada Taxes",MIN(AC177,36600)*0.0295,
"New Hampshire Taxes",MIN(AC177,14000)*0.027,
"New Jersey Taxes",MIN(AC177,39800)*0.028,
"New Mexico Taxes",MIN(AC177,28700)*0.01,
"New York Taxes",MIN(AC177,12000)*0.03125,
"North Carolina Taxes",MIN(AC177,28000)*0.01,
"North Dakota Taxes",MIN(AC177,38400)*0.0102,
"Ohio Taxes",MIN(AC177,9000)*0.027,
"Oklahoma Taxes",MIN(AC177,24800)*0.015,
"Oregon Taxes",MIN(AC177,47700)*0.024,
"Pennsylvania Taxes",MIN(AC177,10000)*0.03689,
"Rhode Island Taxes",MIN(AC177,24600)*0.0098,
"South Carolina Taxes",MIN(AC177,14000)*0.0049,
"South Dakota Taxes",MIN(AC177,15000)*0.012,
"Tennessee Taxes",MIN(AC177,7000)*0.027,
"Texas Taxes",MIN(AC177,9000)*0.027,
"Utah Taxes",MIN(AC177,41600)*0.027,
"Vermont Taxes",MIN(AC177,15500)*0.01,
"Virginia Taxes",MIN(AC177,8000)*0.0273,
"Washington Taxes",MIN(AC177,62500)*0.027,
"West Virginia Taxes",MIN(AC177,12000)*0.027,
"Wisconsin Taxes",MIN(AC177,14000)*0.0305,
"Wyoming Taxes",MIN(AC177,27700)*0.027
),
AC$156=2023,
_xlfn.SWITCH(
AC182,
"Alabama Taxes",MIN(AC177,8000)*0.027,
"Alaska Taxes",MIN(AC177,41500)*0.0237,
"Arizona Taxes",MIN(AC177,7000)*0.02,
"Arkansas Taxes",MIN(AC177,12000)*0.031,
"California Taxes",MIN(AC177,7000)*0.034,
"Colorado Taxes",MIN(AC177,13800)*0.017,
"Connecticut Taxes",MIN(AC177,15000)*0.028,
"Delaware Taxes",MIN(AC177,8500)*0.001,
"District of Columbia Taxes",MIN(AC177,9000)*0.027,
"Florida Taxes",MIN(AC177,7000)*0.027,
"Georgia Taxes",MIN(AC177,9500)*0.027,
"Hawaii Taxes",MIN(AC177,46800)*0.04,
"Idaho Taxes",MIN(AC177,41500)*0.01071,
"Illinois Taxes",MIN(AC177,12900)*0.0395,
"Indiana Taxes",MIN(AC177,9500)*0.025,
"Iowa Taxes",MIN(AC177,29500)*0.01,
"Kansas Taxes",MIN(AC177,14000)*0.027,
"Kentucky Taxes",MIN(AC177,11000)*0.027,
"Louisiana Taxes",MIN(AC177,7500)*0.0009,
"Maine Taxes",MIN(AC177,12000)*0.0219,
"Maryland Taxes",MIN(AC177,8500)*0.023,
"Massachusetts Taxes",MIN(AC177,15000)*0.0143,
"Michigan Taxes",MIN(AC177,9500)*0.027,
"Minnesota Taxes",MIN(AC177,35000)*0.001,
"Mississippi Taxes",MIN(AC177,14000)*0.01,
"Missouri Taxes",MIN(AC177,13500)*0.027,
"Montana Taxes",MIN(AC177,34500)*0.0013,
"Nebraska Taxes",MIN(AC177,9000)*0.0125,
"Nevada Taxes",MIN(AC177,33100)*0.0295,
"New Hampshire Taxes",MIN(AC177,14000)*0.027,
"New Jersey Taxes",MIN(AC177,35700)*0.031,
"New Mexico Taxes",MIN(AC177,25400)*0.01,
"New York Taxes",MIN(AC177,11500)*0.026,
"North Carolina Taxes",MIN(AC177,25400)*0.01,
"North Dakota Taxes",MIN(AC177,39200)*0.0113,
"Ohio Taxes",MIN(AC177,9000)*0.027,
"Oklahoma Taxes",MIN(AC177,17500)*0.015,
"Oregon Taxes",MIN(AC177,43000)*0.021,
"Pennsylvania Taxes",MIN(AC177,10000)*0.03822,
"Rhode Island Taxes",MIN(AC177,24000)*0.0109,
"South Carolina Taxes",MIN(AC177,14000)*0.0045,
"South Dakota Taxes",MIN(AC177,15000)*0.012,
"Tennessee Taxes",MIN(AC177,7000)*0.027,
"Texas Taxes",MIN(AC177,9000)*0.027,
"Utah Taxes",MIN(AC177,35700)*0.003,
"Vermont Taxes",MIN(AC177,16000)*0.01,
"Virginia Taxes",MIN(AC177,8000)*0.025,
"Washington Taxes",MIN(AC177,56200)*0.0125,
"West Virginia Taxes",MIN(AC177,12000)*0.027,
"Wisconsin Taxes",MIN(AC177,14000)*0.0305,
"Wyoming Taxes",MIN(AC177,25800)*0.018
),
AC$156=2024,
_xlfn.SWITCH(
AC182,
"Alabama Taxes",MIN(AC177,8000)*0.027,
"Alaska Taxes",MIN(AC177,41500)*0.0237,
"Arizona Taxes",MIN(AC177,7000)*0.02,
"Arkansas Taxes",MIN(AC177,12000)*0.031,
"California Taxes",MIN(AC177,7000)*0.034,
"Colorado Taxes",MIN(AC177,13800)*0.017,
"Connecticut Taxes",MIN(AC177,15000)*0.028,
"Delaware Taxes",MIN(AC177,8500)*0.001,
"District of Columbia Taxes",MIN(AC177,9000)*0.027,
"Florida Taxes",MIN(AC177,7000)*0.027,
"Georgia Taxes",MIN(AC177,9500)*0.027,
"Hawaii Taxes",MIN(AC177,46800)*0.04,
"Idaho Taxes",MIN(AC177,41500)*0.01071,
"Illinois Taxes",MIN(AC177,12900)*0.0395,
"Indiana Taxes",MIN(AC177,9500)*0.025,
"Iowa Taxes",MIN(AC177,29500)*0.01,
"Kansas Taxes",MIN(AC177,14000)*0.027,
"Kentucky Taxes",MIN(AC177,11000)*0.027,
"Louisiana Taxes",MIN(AC177,7500)*0.0009,
"Maine Taxes",MIN(AC177,12000)*0.0219,
"Maryland Taxes",MIN(AC177,8500)*0.023,
"Massachusetts Taxes",MIN(AC177,15000)*0.0143,
"Michigan Taxes",MIN(AC177,9500)*0.027,
"Minnesota Taxes",MIN(AC177,35000)*0.001,
"Mississippi Taxes",MIN(AC177,14000)*0.01,
"Missouri Taxes",MIN(AC177,13500)*0.027,
"Montana Taxes",MIN(AC177,34500)*0.0013,
"Nebraska Taxes",MIN(AC177,9000)*0.0125,
"Nevada Taxes",MIN(AC177,33100)*0.0295,
"New Hampshire Taxes",MIN(AC177,14000)*0.027,
"New Jersey Taxes",MIN(AC177,35700)*0.031,
"New Mexico Taxes",MIN(AC177,25400)*0.01,
"New York Taxes",MIN(AC177,11500)*0.026,
"North Carolina Taxes",MIN(AC177,25400)*0.01,
"North Dakota Taxes",MIN(AC177,39200)*0.0113,
"Ohio Taxes",MIN(AC177,9000)*0.027,
"Oklahoma Taxes",MIN(AC177,17500)*0.015,
"Oregon Taxes",MIN(AC177,43000)*0.021,
"Pennsylvania Taxes",MIN(AC177,10000)*0.03822,
"Rhode Island Taxes",MIN(AC177,24000)*0.0109,
"South Carolina Taxes",MIN(AC177,14000)*0.0045,
"South Dakota Taxes",MIN(AC177,15000)*0.012,
"Tennessee Taxes",MIN(AC177,7000)*0.027,
"Texas Taxes",MIN(AC177,9000)*0.027,
"Utah Taxes",MIN(AC177,35700)*0.003,
"Vermont Taxes",MIN(AC177,16000)*0.01,
"Virginia Taxes",MIN(AC177,8000)*0.025,
"Washington Taxes",MIN(AC177,56200)*0.0125,
"West Virginia Taxes",MIN(AC177,12000)*0.027,
"Wisconsin Taxes",MIN(AC177,14000)*0.0305,
"Wyoming Taxes",MIN(AC177,25800)*0.018
)
),0))</f>
        <v>0</v>
      </c>
      <c r="AE185" s="93"/>
      <c r="AF185" s="93"/>
      <c r="AG185" s="93"/>
      <c r="AH185" s="93"/>
      <c r="AI185" s="93"/>
      <c r="AJ185" s="93"/>
      <c r="AK185" s="93"/>
      <c r="AL185" s="93"/>
      <c r="AM185" s="93"/>
      <c r="AN185" s="93"/>
      <c r="AO185" s="93"/>
      <c r="AP185" s="93"/>
      <c r="AQ185" s="93"/>
      <c r="AR185" s="93"/>
      <c r="AS185" s="93"/>
    </row>
    <row r="186" spans="2:45" ht="15.75" thickBot="1" x14ac:dyDescent="0.3">
      <c r="B186" s="214" t="s">
        <v>135</v>
      </c>
      <c r="D186" s="32">
        <v>1</v>
      </c>
      <c r="E186" s="33">
        <v>7.6399999999999996E-2</v>
      </c>
      <c r="F186" s="34">
        <f>G148</f>
        <v>0</v>
      </c>
      <c r="G186" t="e">
        <f t="shared" ref="G186:G205" si="751">(F186*E186)*(1-$I$185)</f>
        <v>#VALUE!</v>
      </c>
      <c r="H186" s="34" t="e">
        <f t="shared" ref="H186:H205" si="752">F186+G186</f>
        <v>#VALUE!</v>
      </c>
      <c r="O186" t="s">
        <v>222</v>
      </c>
      <c r="P186" s="102">
        <f>IF(P176="W-2", 0, IF($U$157="Yes", MIN(P177,7000)*(0.06-0.054), IF($U$157="No", MIN(P177,7000)*0.06, 0)))</f>
        <v>0</v>
      </c>
      <c r="Q186" s="102">
        <f>IF(Q176="W-2", 0, IF($U$157="Yes", MIN(Q177,7000)*(0.06-0.054), IF($U$157="No", MIN(Q177,7000)*0.06, 0)))</f>
        <v>0</v>
      </c>
      <c r="R186" s="102">
        <f>IF(R176="W-2", 0, IF($U$157="Yes", MIN(R177,7000)*(0.06-0.054), IF($U$157="No", MIN(R177,7000)*0.06, 0)))</f>
        <v>0</v>
      </c>
      <c r="S186" s="102">
        <f t="shared" ref="S186:U186" si="753">IF(S176="W-2", 0, IF($U$157="Yes", MIN(S177,7000)*(0.06-0.054), IF($U$157="No", MIN(S177,7000)*0.06, 0)))</f>
        <v>0</v>
      </c>
      <c r="T186" s="102">
        <f t="shared" si="753"/>
        <v>0</v>
      </c>
      <c r="U186" s="102">
        <f t="shared" si="753"/>
        <v>0</v>
      </c>
      <c r="V186" s="102">
        <f>IF(V176="W-2", 0, IF($U$157="Yes", MIN(V177,7000)*(0.06-0.054), IF($U$157="No", MIN(V177,7000)*0.06, 0)))</f>
        <v>0</v>
      </c>
      <c r="W186" s="102">
        <f>IF(W176="W-2", 0, IF($U$157="Yes", MIN(W177,7000)*(0.06-0.054), IF($U$157="No", MIN(W177,7000)*0.06, 0)))</f>
        <v>0</v>
      </c>
      <c r="X186" s="102">
        <f t="shared" ref="X186" si="754">IF(X176="W-2", 0, IF($U$157="Yes", MIN(X177,7000)*(0.06-0.054), IF($U$157="No", MIN(X177,7000)*0.06, 0)))</f>
        <v>0</v>
      </c>
      <c r="Y186" s="102">
        <f>IF(Y176="W-2", 0, IF($U$157="Yes", MIN(Y177,7000)*(0.06-0.054), IF($U$157="No", MIN(Y177,7000)*0.06, 0)))</f>
        <v>0</v>
      </c>
      <c r="Z186" s="102">
        <f>IF(Z176="W-2", 0, IF($U$157="Yes", MIN(Z177,7000)*(0.06-0.054), IF($U$157="No", MIN(Z177,7000)*0.06, 0)))</f>
        <v>0</v>
      </c>
      <c r="AA186" s="102">
        <f>IF(AA176="W-2", 0, IF($U$157="Yes", MIN(AA177,7000)*(0.06-0.054), IF($U$157="No", MIN(AA177,7000)*0.06, 0)))</f>
        <v>0</v>
      </c>
      <c r="AB186" s="102">
        <f>IF(AB176="W-2", 0, IF($U$157="Yes", MIN(AB177,7000)*(0.06-0.054), IF($U$157="No", MIN(AB177,7000)*0.06, 0)))</f>
        <v>0</v>
      </c>
      <c r="AC186" s="102">
        <f>IF(AC176="W-2", 0, IF($U$157="Yes", MIN(AC177,7000)*(0.06-0.054), IF($U$157="No", MIN(AC177,7000)*0.06, 0)))</f>
        <v>0</v>
      </c>
      <c r="AE186" s="93"/>
      <c r="AF186" s="93"/>
      <c r="AG186" s="93"/>
      <c r="AH186" s="93"/>
      <c r="AI186" s="93"/>
      <c r="AJ186" s="93"/>
      <c r="AK186" s="93"/>
      <c r="AL186" s="93"/>
      <c r="AM186" s="93"/>
      <c r="AN186" s="93"/>
      <c r="AO186" s="93"/>
      <c r="AP186" s="93"/>
      <c r="AQ186" s="93"/>
      <c r="AR186" s="93"/>
      <c r="AS186" s="93"/>
    </row>
    <row r="187" spans="2:45" ht="15.75" thickBot="1" x14ac:dyDescent="0.3">
      <c r="B187" s="214" t="s">
        <v>136</v>
      </c>
      <c r="D187" s="32">
        <v>2</v>
      </c>
      <c r="E187" s="33">
        <f t="shared" ref="E187:E205" si="755">E186</f>
        <v>7.6399999999999996E-2</v>
      </c>
      <c r="F187" s="34" t="e">
        <f t="shared" ref="F187:F205" si="756">$G$148+H186</f>
        <v>#VALUE!</v>
      </c>
      <c r="G187" t="e">
        <f t="shared" si="751"/>
        <v>#VALUE!</v>
      </c>
      <c r="H187" s="34" t="e">
        <f t="shared" si="752"/>
        <v>#VALUE!</v>
      </c>
      <c r="P187" s="110"/>
      <c r="Q187" s="110"/>
      <c r="R187" s="110"/>
      <c r="S187" s="110"/>
      <c r="T187" s="110"/>
      <c r="U187" s="110"/>
      <c r="V187" s="110"/>
      <c r="W187" s="110"/>
      <c r="X187" s="110"/>
      <c r="Y187" s="110"/>
      <c r="Z187" s="110"/>
      <c r="AA187" s="110"/>
      <c r="AB187" s="110"/>
      <c r="AC187" s="110"/>
      <c r="AE187" s="93"/>
      <c r="AF187" s="93"/>
      <c r="AG187" s="93"/>
      <c r="AH187" s="93"/>
      <c r="AI187" s="93"/>
      <c r="AJ187" s="93"/>
      <c r="AK187" s="93"/>
      <c r="AL187" s="93"/>
      <c r="AM187" s="93"/>
      <c r="AN187" s="93"/>
      <c r="AO187" s="93"/>
      <c r="AP187" s="93"/>
      <c r="AQ187" s="93"/>
      <c r="AR187" s="93"/>
      <c r="AS187" s="93"/>
    </row>
    <row r="188" spans="2:45" x14ac:dyDescent="0.25">
      <c r="B188" s="214" t="s">
        <v>137</v>
      </c>
      <c r="D188" s="32">
        <v>3</v>
      </c>
      <c r="E188" s="33">
        <f t="shared" si="755"/>
        <v>7.6399999999999996E-2</v>
      </c>
      <c r="F188" s="34" t="e">
        <f t="shared" si="756"/>
        <v>#VALUE!</v>
      </c>
      <c r="G188" t="e">
        <f t="shared" si="751"/>
        <v>#VALUE!</v>
      </c>
      <c r="H188" s="34" t="e">
        <f t="shared" si="752"/>
        <v>#VALUE!</v>
      </c>
      <c r="P188" s="254" t="s">
        <v>410</v>
      </c>
      <c r="Q188" s="254" t="s">
        <v>410</v>
      </c>
      <c r="R188" s="254" t="s">
        <v>410</v>
      </c>
      <c r="S188" s="254" t="s">
        <v>410</v>
      </c>
      <c r="T188" s="254" t="s">
        <v>410</v>
      </c>
      <c r="U188" s="254" t="s">
        <v>410</v>
      </c>
      <c r="V188" s="254" t="s">
        <v>410</v>
      </c>
      <c r="W188" s="254" t="s">
        <v>410</v>
      </c>
      <c r="X188" s="254" t="s">
        <v>410</v>
      </c>
      <c r="Y188" s="254" t="s">
        <v>410</v>
      </c>
      <c r="Z188" s="254" t="s">
        <v>410</v>
      </c>
      <c r="AA188" s="254" t="s">
        <v>410</v>
      </c>
      <c r="AB188" s="254" t="s">
        <v>410</v>
      </c>
      <c r="AC188" s="254" t="s">
        <v>410</v>
      </c>
      <c r="AE188" s="93"/>
      <c r="AF188" s="93"/>
      <c r="AG188" s="93"/>
      <c r="AH188" s="93"/>
      <c r="AI188" s="93"/>
      <c r="AJ188" s="93"/>
      <c r="AK188" s="93"/>
      <c r="AL188" s="93"/>
      <c r="AM188" s="93"/>
      <c r="AN188" s="93"/>
      <c r="AO188" s="93"/>
      <c r="AP188" s="93"/>
      <c r="AQ188" s="93"/>
      <c r="AR188" s="93"/>
      <c r="AS188" s="93"/>
    </row>
    <row r="189" spans="2:45" x14ac:dyDescent="0.25">
      <c r="B189" s="214" t="s">
        <v>138</v>
      </c>
      <c r="D189" s="32">
        <v>4</v>
      </c>
      <c r="E189" s="33">
        <f t="shared" si="755"/>
        <v>7.6399999999999996E-2</v>
      </c>
      <c r="F189" s="34" t="e">
        <f t="shared" si="756"/>
        <v>#VALUE!</v>
      </c>
      <c r="G189" t="e">
        <f t="shared" si="751"/>
        <v>#VALUE!</v>
      </c>
      <c r="H189" s="34" t="e">
        <f t="shared" si="752"/>
        <v>#VALUE!</v>
      </c>
      <c r="P189" s="256" t="s">
        <v>520</v>
      </c>
      <c r="Q189" s="256" t="s">
        <v>520</v>
      </c>
      <c r="R189" s="256" t="s">
        <v>520</v>
      </c>
      <c r="S189" s="256" t="s">
        <v>520</v>
      </c>
      <c r="T189" s="256" t="s">
        <v>520</v>
      </c>
      <c r="U189" s="256" t="s">
        <v>520</v>
      </c>
      <c r="V189" s="256" t="s">
        <v>520</v>
      </c>
      <c r="W189" s="256" t="s">
        <v>520</v>
      </c>
      <c r="X189" s="256" t="s">
        <v>520</v>
      </c>
      <c r="Y189" s="256" t="s">
        <v>344</v>
      </c>
      <c r="Z189" s="256" t="s">
        <v>344</v>
      </c>
      <c r="AA189" s="256" t="s">
        <v>344</v>
      </c>
      <c r="AB189" s="256" t="s">
        <v>344</v>
      </c>
      <c r="AC189" s="256" t="s">
        <v>344</v>
      </c>
      <c r="AE189" s="92">
        <v>2022</v>
      </c>
      <c r="AF189" s="93">
        <f t="shared" ref="AF189:AN189" si="757">IF(AND(B$1=2022, B$2="MFJ", $R$157="-"),
    IF(P190&lt;13000, 0,
        IF(P190&lt;33550, 0.1*(P190-13000),
            IF(P190&lt;96550, 2055+0.12*(P190-33550),
                IF(P190&lt;191150, 9615+0.22*(P190-96550),
                    IF(P190&lt;353100, 30427+0.24*(P190-191150),
                        IF(P190&lt;444900, 69295+0.32*(P190-353100),
                            IF(P190&lt;660850, 98671+0.35*(P190-444900),
                                174253.5+0.37*(P190-660850)
                            )
                        )
                    )
                )
            )
        )
    ),
    IF(OR(AND(B$1=2022, B$2="Single", $R$157="-"), AND(B$1=2022, B$2="MFS", $R$157="-")),
        IF(P190&lt;4350, 0,
            IF(P190&lt;14625, 0.1*(P190-4350),
                IF(P190&lt;46125, 1027.5+0.12*(P190-14625),
                    IF(P190&lt;93425, 4807.5+0.22*(P190-46125),
                        IF(P190&lt;174400, 15213.5+0.24*(P190-93425),
                            IF(P190&lt;220300, 34647.5+0.32*(P190-174400),
                                IF(P190&lt;544250, 49335.5+0.35*(P190-220300),
                                    162718+0.37*(P190-544250)
                                )
                            )
                        )
                    )
                )
            )
        ),
        IF(AND(B$1=2022, B$2="HOH", $R$157="-"),
            IF(P190&lt;10800, 0,
                IF(P190&lt;25450, 0.1*(P190-10800),
                    IF(P190&lt;66700, 1465+0.12*(P190-25450),
                        IF(P190&lt;99850, 6415+0.22*(P190-66700),
                            IF(P190&lt;180850, 13708+0.24*(P190-99850),
                                IF(P190&lt;226750, 33148+0.32*(P190-180850),
                                    IF(P190&lt;550700, 47836+0.35*(P190-226750),
                                        161218.5+0.37*(P190-550700)
                                    )
                                )
                            )
                        )
                    )
                )
            ),
            IF(AND(B$1=2022, B$2="MFJ", $R$157="X"),
                IF(P190&lt;12950, 0,
                    IF(P190&lt;23225, 0.1*(P190-12950),
                        IF(P190&lt;54725, 1027.5+0.12*(P190-23225),
                            IF(P190&lt;102025, 4807.5+0.22*(P190-54725),
                                IF(P190&lt;183000, 15213.5+0.24*(P190-102025),
                                    IF(P190&lt;228900, 34647.5+0.32*(P190-183000),
                                        IF(P190&lt;336875, 49335.5+0.35*(P190-228900),
                                            87126.75+0.37*(P190-336875)
                                        )
                                    )
                                )
                            )
                        )
                    )
                ),
                IF(OR(AND(B$1=2022, B$2="Single", $R$157="X"), AND(B$1=2022, B$2="MFS", $R$157="X")),
                    IF(P190&lt;6475, 0,
                        IF(P190&lt;11613, 0.1*(P190-6475),
                            IF(P190&lt;27363, 513.75+0.12*(P190-11613),
                                IF(P190&lt;51013, 2403.75+0.22*(P190-27363),
                                    IF(P190&lt;91500, 7606.75+0.24*(P190-51013),
                                        IF(P190&lt;114450, 17323.75+0.32*(P190-91500),
                                            IF(P190&lt;276425, 24667.75+0.35*(P190-114450),
                                                81359+0.37*(P190-276425)
                                            )
                                        )
                                    )
                                )
                            )
                        )
                    ),
                    IF(AND(B$1=2022, B$2="HOH", $R$157="X"),
                        IF(P190&lt;9700, 0,
                            IF(P190&lt;17025, 0.1*(P190-9700),
                                IF(P190&lt;37650, 732.5+0.12*(P190-17025),
                                    IF(P190&lt;54225, 3207.5+0.22*(P190-37650),
                                        IF(P190&lt;94725, 6854+0.24*(P190-54225),
                                            IF(P190&lt;117675, 16574+0.32*(P190-94725),
                                                IF(P190&lt;279650, 23918+0.35*(P190-117675),
                                                    80609.25+0.37*(P190-279650)
                                                )
                                            )
                                        )
                                    )
                                )
                            )
                        ),
                        0
                    )
                )
            )
        )
    )
)</f>
        <v>0</v>
      </c>
      <c r="AG189" s="93">
        <f t="shared" si="757"/>
        <v>0</v>
      </c>
      <c r="AH189" s="93">
        <f t="shared" si="757"/>
        <v>0</v>
      </c>
      <c r="AI189" s="93">
        <f t="shared" si="757"/>
        <v>0</v>
      </c>
      <c r="AJ189" s="93">
        <f t="shared" si="757"/>
        <v>0</v>
      </c>
      <c r="AK189" s="93">
        <f t="shared" si="757"/>
        <v>0</v>
      </c>
      <c r="AL189" s="93">
        <f t="shared" si="757"/>
        <v>0</v>
      </c>
      <c r="AM189" s="93">
        <f t="shared" si="757"/>
        <v>0</v>
      </c>
      <c r="AN189" s="93">
        <f t="shared" si="757"/>
        <v>0</v>
      </c>
      <c r="AO189" s="93">
        <f>IF(AND(Y$156=2022, Y$157="MFJ", $R$157="-"),
    IF(Y190&lt;13000, 0,
        IF(Y190&lt;33550, 0.1*(Y190-13000),
            IF(Y190&lt;96550, 2055+0.12*(Y190-33550),
                IF(Y190&lt;191150, 9615+0.22*(Y190-96550),
                    IF(Y190&lt;353100, 30427+0.24*(Y190-191150),
                        IF(Y190&lt;444900, 69295+0.32*(Y190-353100),
                            IF(Y190&lt;660850, 98671+0.35*(Y190-444900),
                                174253.5+0.37*(Y190-660850)
                            )
                        )
                    )
                )
            )
        )
    ),
    IF(OR(AND(Y$156=2022, Y$157="Single", $R$157="-"), AND(Y$156=2022, Y$157="MFS", $R$157="-")),
        IF(Y190&lt;4350, 0,
            IF(Y190&lt;14625, 0.1*(Y190-4350),
                IF(Y190&lt;46125, 1027.5+0.12*(Y190-14625),
                    IF(Y190&lt;93425, 4807.5+0.22*(Y190-46125),
                        IF(Y190&lt;174400, 15213.5+0.24*(Y190-93425),
                            IF(Y190&lt;220300, 34647.5+0.32*(Y190-174400),
                                IF(Y190&lt;544250, 49335.5+0.35*(Y190-220300),
                                    162718+0.37*(Y190-544250)
                                )
                            )
                        )
                    )
                )
            )
        ),
        IF(AND(Y$156=2022, Y$157="HOH", $R$157="-"),
            IF(Y190&lt;10800, 0,
                IF(Y190&lt;25450, 0.1*(Y190-10800),
                    IF(Y190&lt;66700, 1465+0.12*(Y190-25450),
                        IF(Y190&lt;99850, 6415+0.22*(Y190-66700),
                            IF(Y190&lt;180850, 13708+0.24*(Y190-99850),
                                IF(Y190&lt;226750, 33148+0.32*(Y190-180850),
                                    IF(Y190&lt;550700, 47836+0.35*(Y190-226750),
                                        161218.5+0.37*(Y190-550700)
                                    )
                                )
                            )
                        )
                    )
                )
            ),
            IF(AND(Y$156=2022, Y$157="MFJ", $R$157="X"),
                IF(Y190&lt;12950, 0,
                    IF(Y190&lt;23225, 0.1*(Y190-12950),
                        IF(Y190&lt;54725, 1027.5+0.12*(Y190-23225),
                            IF(Y190&lt;102025, 4807.5+0.22*(Y190-54725),
                                IF(Y190&lt;183000, 15213.5+0.24*(Y190-102025),
                                    IF(Y190&lt;228900, 34647.5+0.32*(Y190-183000),
                                        IF(Y190&lt;336875, 49335.5+0.35*(Y190-228900),
                                            87126.75+0.37*(Y190-336875)
                                        )
                                    )
                                )
                            )
                        )
                    )
                ),
                IF(OR(AND(Y$156=2022, Y$157="Single", $R$157="X"), AND(Y$156=2022, Y$157="MFS", $R$157="X")),
                    IF(Y190&lt;6475, 0,
                        IF(Y190&lt;11613, 0.1*(Y190-6475),
                            IF(Y190&lt;27363, 513.75+0.12*(Y190-11613),
                                IF(Y190&lt;51013, 2403.75+0.22*(Y190-27363),
                                    IF(Y190&lt;91500, 7606.75+0.24*(Y190-51013),
                                        IF(Y190&lt;114450, 17323.75+0.32*(Y190-91500),
                                            IF(Y190&lt;276425, 24667.75+0.35*(Y190-114450),
                                                81359+0.37*(Y190-276425)
                                            )
                                        )
                                    )
                                )
                            )
                        )
                    ),
                    IF(AND(Y$156=2022, Y$157="HOH", $R$157="X"),
                        IF(Y190&lt;9700, 0,
                            IF(Y190&lt;17025, 0.1*(Y190-9700),
                                IF(Y190&lt;37650, 732.5+0.12*(Y190-17025),
                                    IF(Y190&lt;54225, 3207.5+0.22*(Y190-37650),
                                        IF(Y190&lt;94725, 6854+0.24*(Y190-54225),
                                            IF(Y190&lt;117675, 16574+0.32*(Y190-94725),
                                                IF(Y190&lt;279650, 23918+0.35*(Y190-117675),
                                                    80609.25+0.37*(Y190-279650)
                                                )
                                            )
                                        )
                                    )
                                )
                            )
                        ),
                        0
                    )
                )
            )
        )
    )
)</f>
        <v>0</v>
      </c>
      <c r="AP189" s="93">
        <f>IF(AND(Z$156=2022, Z$157="MFJ", $R$157="-"),
    IF(Z190&lt;13000, 0,
        IF(Z190&lt;33550, 0.1*(Z190-13000),
            IF(Z190&lt;96550, 2055+0.12*(Z190-33550),
                IF(Z190&lt;191150, 9615+0.22*(Z190-96550),
                    IF(Z190&lt;353100, 30427+0.24*(Z190-191150),
                        IF(Z190&lt;444900, 69295+0.32*(Z190-353100),
                            IF(Z190&lt;660850, 98671+0.35*(Z190-444900),
                                174253.5+0.37*(Z190-660850)
                            )
                        )
                    )
                )
            )
        )
    ),
    IF(OR(AND(Z$156=2022, Z$157="Single", $R$157="-"), AND(Z$156=2022, Z$157="MFS", $R$157="-")),
        IF(Z190&lt;4350, 0,
            IF(Z190&lt;14625, 0.1*(Z190-4350),
                IF(Z190&lt;46125, 1027.5+0.12*(Z190-14625),
                    IF(Z190&lt;93425, 4807.5+0.22*(Z190-46125),
                        IF(Z190&lt;174400, 15213.5+0.24*(Z190-93425),
                            IF(Z190&lt;220300, 34647.5+0.32*(Z190-174400),
                                IF(Z190&lt;544250, 49335.5+0.35*(Z190-220300),
                                    162718+0.37*(Z190-544250)
                                )
                            )
                        )
                    )
                )
            )
        ),
        IF(AND(Z$156=2022, Z$157="HOH", $R$157="-"),
            IF(Z190&lt;10800, 0,
                IF(Z190&lt;25450, 0.1*(Z190-10800),
                    IF(Z190&lt;66700, 1465+0.12*(Z190-25450),
                        IF(Z190&lt;99850, 6415+0.22*(Z190-66700),
                            IF(Z190&lt;180850, 13708+0.24*(Z190-99850),
                                IF(Z190&lt;226750, 33148+0.32*(Z190-180850),
                                    IF(Z190&lt;550700, 47836+0.35*(Z190-226750),
                                        161218.5+0.37*(Z190-550700)
                                    )
                                )
                            )
                        )
                    )
                )
            ),
            IF(AND(Z$156=2022, Z$157="MFJ", $R$157="X"),
                IF(Z190&lt;12950, 0,
                    IF(Z190&lt;23225, 0.1*(Z190-12950),
                        IF(Z190&lt;54725, 1027.5+0.12*(Z190-23225),
                            IF(Z190&lt;102025, 4807.5+0.22*(Z190-54725),
                                IF(Z190&lt;183000, 15213.5+0.24*(Z190-102025),
                                    IF(Z190&lt;228900, 34647.5+0.32*(Z190-183000),
                                        IF(Z190&lt;336875, 49335.5+0.35*(Z190-228900),
                                            87126.75+0.37*(Z190-336875)
                                        )
                                    )
                                )
                            )
                        )
                    )
                ),
                IF(OR(AND(Z$156=2022, Z$157="Single", $R$157="X"), AND(Z$156=2022, Z$157="MFS", $R$157="X")),
                    IF(Z190&lt;6475, 0,
                        IF(Z190&lt;11613, 0.1*(Z190-6475),
                            IF(Z190&lt;27363, 513.75+0.12*(Z190-11613),
                                IF(Z190&lt;51013, 2403.75+0.22*(Z190-27363),
                                    IF(Z190&lt;91500, 7606.75+0.24*(Z190-51013),
                                        IF(Z190&lt;114450, 17323.75+0.32*(Z190-91500),
                                            IF(Z190&lt;276425, 24667.75+0.35*(Z190-114450),
                                                81359+0.37*(Z190-276425)
                                            )
                                        )
                                    )
                                )
                            )
                        )
                    ),
                    IF(AND(Z$156=2022, Z$157="HOH", $R$157="X"),
                        IF(Z190&lt;9700, 0,
                            IF(Z190&lt;17025, 0.1*(Z190-9700),
                                IF(Z190&lt;37650, 732.5+0.12*(Z190-17025),
                                    IF(Z190&lt;54225, 3207.5+0.22*(Z190-37650),
                                        IF(Z190&lt;94725, 6854+0.24*(Z190-54225),
                                            IF(Z190&lt;117675, 16574+0.32*(Z190-94725),
                                                IF(Z190&lt;279650, 23918+0.35*(Z190-117675),
                                                    80609.25+0.37*(Z190-279650)
                                                )
                                            )
                                        )
                                    )
                                )
                            )
                        ),
                        0
                    )
                )
            )
        )
    )
)</f>
        <v>0</v>
      </c>
      <c r="AQ189" s="93">
        <f>IF(AND(AA$156=2022, AA$157="MFJ", $R$157="-"),
    IF(AA190&lt;13000, 0,
        IF(AA190&lt;33550, 0.1*(AA190-13000),
            IF(AA190&lt;96550, 2055+0.12*(AA190-33550),
                IF(AA190&lt;191150, 9615+0.22*(AA190-96550),
                    IF(AA190&lt;353100, 30427+0.24*(AA190-191150),
                        IF(AA190&lt;444900, 69295+0.32*(AA190-353100),
                            IF(AA190&lt;660850, 98671+0.35*(AA190-444900),
                                174253.5+0.37*(AA190-660850)
                            )
                        )
                    )
                )
            )
        )
    ),
    IF(OR(AND(AA$156=2022, AA$157="Single", $R$157="-"), AND(AA$156=2022, AA$157="MFS", $R$157="-")),
        IF(AA190&lt;4350, 0,
            IF(AA190&lt;14625, 0.1*(AA190-4350),
                IF(AA190&lt;46125, 1027.5+0.12*(AA190-14625),
                    IF(AA190&lt;93425, 4807.5+0.22*(AA190-46125),
                        IF(AA190&lt;174400, 15213.5+0.24*(AA190-93425),
                            IF(AA190&lt;220300, 34647.5+0.32*(AA190-174400),
                                IF(AA190&lt;544250, 49335.5+0.35*(AA190-220300),
                                    162718+0.37*(AA190-544250)
                                )
                            )
                        )
                    )
                )
            )
        ),
        IF(AND(AA$156=2022, AA$157="HOH", $R$157="-"),
            IF(AA190&lt;10800, 0,
                IF(AA190&lt;25450, 0.1*(AA190-10800),
                    IF(AA190&lt;66700, 1465+0.12*(AA190-25450),
                        IF(AA190&lt;99850, 6415+0.22*(AA190-66700),
                            IF(AA190&lt;180850, 13708+0.24*(AA190-99850),
                                IF(AA190&lt;226750, 33148+0.32*(AA190-180850),
                                    IF(AA190&lt;550700, 47836+0.35*(AA190-226750),
                                        161218.5+0.37*(AA190-550700)
                                    )
                                )
                            )
                        )
                    )
                )
            ),
            IF(AND(AA$156=2022, AA$157="MFJ", $R$157="X"),
                IF(AA190&lt;12950, 0,
                    IF(AA190&lt;23225, 0.1*(AA190-12950),
                        IF(AA190&lt;54725, 1027.5+0.12*(AA190-23225),
                            IF(AA190&lt;102025, 4807.5+0.22*(AA190-54725),
                                IF(AA190&lt;183000, 15213.5+0.24*(AA190-102025),
                                    IF(AA190&lt;228900, 34647.5+0.32*(AA190-183000),
                                        IF(AA190&lt;336875, 49335.5+0.35*(AA190-228900),
                                            87126.75+0.37*(AA190-336875)
                                        )
                                    )
                                )
                            )
                        )
                    )
                ),
                IF(OR(AND(AA$156=2022, AA$157="Single", $R$157="X"), AND(AA$156=2022, AA$157="MFS", $R$157="X")),
                    IF(AA190&lt;6475, 0,
                        IF(AA190&lt;11613, 0.1*(AA190-6475),
                            IF(AA190&lt;27363, 513.75+0.12*(AA190-11613),
                                IF(AA190&lt;51013, 2403.75+0.22*(AA190-27363),
                                    IF(AA190&lt;91500, 7606.75+0.24*(AA190-51013),
                                        IF(AA190&lt;114450, 17323.75+0.32*(AA190-91500),
                                            IF(AA190&lt;276425, 24667.75+0.35*(AA190-114450),
                                                81359+0.37*(AA190-276425)
                                            )
                                        )
                                    )
                                )
                            )
                        )
                    ),
                    IF(AND(AA$156=2022, AA$157="HOH", $R$157="X"),
                        IF(AA190&lt;9700, 0,
                            IF(AA190&lt;17025, 0.1*(AA190-9700),
                                IF(AA190&lt;37650, 732.5+0.12*(AA190-17025),
                                    IF(AA190&lt;54225, 3207.5+0.22*(AA190-37650),
                                        IF(AA190&lt;94725, 6854+0.24*(AA190-54225),
                                            IF(AA190&lt;117675, 16574+0.32*(AA190-94725),
                                                IF(AA190&lt;279650, 23918+0.35*(AA190-117675),
                                                    80609.25+0.37*(AA190-279650)
                                                )
                                            )
                                        )
                                    )
                                )
                            )
                        ),
                        0
                    )
                )
            )
        )
    )
)</f>
        <v>0</v>
      </c>
      <c r="AR189" s="93">
        <f>IF(AND(AB$156=2022, AB$157="MFJ", $R$157="-"),
    IF(AB190&lt;13000, 0,
        IF(AB190&lt;33550, 0.1*(AB190-13000),
            IF(AB190&lt;96550, 2055+0.12*(AB190-33550),
                IF(AB190&lt;191150, 9615+0.22*(AB190-96550),
                    IF(AB190&lt;353100, 30427+0.24*(AB190-191150),
                        IF(AB190&lt;444900, 69295+0.32*(AB190-353100),
                            IF(AB190&lt;660850, 98671+0.35*(AB190-444900),
                                174253.5+0.37*(AB190-660850)
                            )
                        )
                    )
                )
            )
        )
    ),
    IF(OR(AND(AB$156=2022, AB$157="Single", $R$157="-"), AND(AB$156=2022, AB$157="MFS", $R$157="-")),
        IF(AB190&lt;4350, 0,
            IF(AB190&lt;14625, 0.1*(AB190-4350),
                IF(AB190&lt;46125, 1027.5+0.12*(AB190-14625),
                    IF(AB190&lt;93425, 4807.5+0.22*(AB190-46125),
                        IF(AB190&lt;174400, 15213.5+0.24*(AB190-93425),
                            IF(AB190&lt;220300, 34647.5+0.32*(AB190-174400),
                                IF(AB190&lt;544250, 49335.5+0.35*(AB190-220300),
                                    162718+0.37*(AB190-544250)
                                )
                            )
                        )
                    )
                )
            )
        ),
        IF(AND(AB$156=2022, AB$157="HOH", $R$157="-"),
            IF(AB190&lt;10800, 0,
                IF(AB190&lt;25450, 0.1*(AB190-10800),
                    IF(AB190&lt;66700, 1465+0.12*(AB190-25450),
                        IF(AB190&lt;99850, 6415+0.22*(AB190-66700),
                            IF(AB190&lt;180850, 13708+0.24*(AB190-99850),
                                IF(AB190&lt;226750, 33148+0.32*(AB190-180850),
                                    IF(AB190&lt;550700, 47836+0.35*(AB190-226750),
                                        161218.5+0.37*(AB190-550700)
                                    )
                                )
                            )
                        )
                    )
                )
            ),
            IF(AND(AB$156=2022, AB$157="MFJ", $R$157="X"),
                IF(AB190&lt;12950, 0,
                    IF(AB190&lt;23225, 0.1*(AB190-12950),
                        IF(AB190&lt;54725, 1027.5+0.12*(AB190-23225),
                            IF(AB190&lt;102025, 4807.5+0.22*(AB190-54725),
                                IF(AB190&lt;183000, 15213.5+0.24*(AB190-102025),
                                    IF(AB190&lt;228900, 34647.5+0.32*(AB190-183000),
                                        IF(AB190&lt;336875, 49335.5+0.35*(AB190-228900),
                                            87126.75+0.37*(AB190-336875)
                                        )
                                    )
                                )
                            )
                        )
                    )
                ),
                IF(OR(AND(AB$156=2022, AB$157="Single", $R$157="X"), AND(AB$156=2022, AB$157="MFS", $R$157="X")),
                    IF(AB190&lt;6475, 0,
                        IF(AB190&lt;11613, 0.1*(AB190-6475),
                            IF(AB190&lt;27363, 513.75+0.12*(AB190-11613),
                                IF(AB190&lt;51013, 2403.75+0.22*(AB190-27363),
                                    IF(AB190&lt;91500, 7606.75+0.24*(AB190-51013),
                                        IF(AB190&lt;114450, 17323.75+0.32*(AB190-91500),
                                            IF(AB190&lt;276425, 24667.75+0.35*(AB190-114450),
                                                81359+0.37*(AB190-276425)
                                            )
                                        )
                                    )
                                )
                            )
                        )
                    ),
                    IF(AND(AB$156=2022, AB$157="HOH", $R$157="X"),
                        IF(AB190&lt;9700, 0,
                            IF(AB190&lt;17025, 0.1*(AB190-9700),
                                IF(AB190&lt;37650, 732.5+0.12*(AB190-17025),
                                    IF(AB190&lt;54225, 3207.5+0.22*(AB190-37650),
                                        IF(AB190&lt;94725, 6854+0.24*(AB190-54225),
                                            IF(AB190&lt;117675, 16574+0.32*(AB190-94725),
                                                IF(AB190&lt;279650, 23918+0.35*(AB190-117675),
                                                    80609.25+0.37*(AB190-279650)
                                                )
                                            )
                                        )
                                    )
                                )
                            )
                        ),
                        0
                    )
                )
            )
        )
    )
)</f>
        <v>0</v>
      </c>
      <c r="AS189" s="93">
        <f>IF(AND(AC$156=2022, AC$157="MFJ", $R$157="-"),
    IF(AC190&lt;13000, 0,
        IF(AC190&lt;33550, 0.1*(AC190-13000),
            IF(AC190&lt;96550, 2055+0.12*(AC190-33550),
                IF(AC190&lt;191150, 9615+0.22*(AC190-96550),
                    IF(AC190&lt;353100, 30427+0.24*(AC190-191150),
                        IF(AC190&lt;444900, 69295+0.32*(AC190-353100),
                            IF(AC190&lt;660850, 98671+0.35*(AC190-444900),
                                174253.5+0.37*(AC190-660850)
                            )
                        )
                    )
                )
            )
        )
    ),
    IF(OR(AND(AC$156=2022, AC$157="Single", $R$157="-"), AND(AC$156=2022, AC$157="MFS", $R$157="-")),
        IF(AC190&lt;4350, 0,
            IF(AC190&lt;14625, 0.1*(AC190-4350),
                IF(AC190&lt;46125, 1027.5+0.12*(AC190-14625),
                    IF(AC190&lt;93425, 4807.5+0.22*(AC190-46125),
                        IF(AC190&lt;174400, 15213.5+0.24*(AC190-93425),
                            IF(AC190&lt;220300, 34647.5+0.32*(AC190-174400),
                                IF(AC190&lt;544250, 49335.5+0.35*(AC190-220300),
                                    162718+0.37*(AC190-544250)
                                )
                            )
                        )
                    )
                )
            )
        ),
        IF(AND(AC$156=2022, AC$157="HOH", $R$157="-"),
            IF(AC190&lt;10800, 0,
                IF(AC190&lt;25450, 0.1*(AC190-10800),
                    IF(AC190&lt;66700, 1465+0.12*(AC190-25450),
                        IF(AC190&lt;99850, 6415+0.22*(AC190-66700),
                            IF(AC190&lt;180850, 13708+0.24*(AC190-99850),
                                IF(AC190&lt;226750, 33148+0.32*(AC190-180850),
                                    IF(AC190&lt;550700, 47836+0.35*(AC190-226750),
                                        161218.5+0.37*(AC190-550700)
                                    )
                                )
                            )
                        )
                    )
                )
            ),
            IF(AND(AC$156=2022, AC$157="MFJ", $R$157="X"),
                IF(AC190&lt;12950, 0,
                    IF(AC190&lt;23225, 0.1*(AC190-12950),
                        IF(AC190&lt;54725, 1027.5+0.12*(AC190-23225),
                            IF(AC190&lt;102025, 4807.5+0.22*(AC190-54725),
                                IF(AC190&lt;183000, 15213.5+0.24*(AC190-102025),
                                    IF(AC190&lt;228900, 34647.5+0.32*(AC190-183000),
                                        IF(AC190&lt;336875, 49335.5+0.35*(AC190-228900),
                                            87126.75+0.37*(AC190-336875)
                                        )
                                    )
                                )
                            )
                        )
                    )
                ),
                IF(OR(AND(AC$156=2022, AC$157="Single", $R$157="X"), AND(AC$156=2022, AC$157="MFS", $R$157="X")),
                    IF(AC190&lt;6475, 0,
                        IF(AC190&lt;11613, 0.1*(AC190-6475),
                            IF(AC190&lt;27363, 513.75+0.12*(AC190-11613),
                                IF(AC190&lt;51013, 2403.75+0.22*(AC190-27363),
                                    IF(AC190&lt;91500, 7606.75+0.24*(AC190-51013),
                                        IF(AC190&lt;114450, 17323.75+0.32*(AC190-91500),
                                            IF(AC190&lt;276425, 24667.75+0.35*(AC190-114450),
                                                81359+0.37*(AC190-276425)
                                            )
                                        )
                                    )
                                )
                            )
                        )
                    ),
                    IF(AND(AC$156=2022, AC$157="HOH", $R$157="X"),
                        IF(AC190&lt;9700, 0,
                            IF(AC190&lt;17025, 0.1*(AC190-9700),
                                IF(AC190&lt;37650, 732.5+0.12*(AC190-17025),
                                    IF(AC190&lt;54225, 3207.5+0.22*(AC190-37650),
                                        IF(AC190&lt;94725, 6854+0.24*(AC190-54225),
                                            IF(AC190&lt;117675, 16574+0.32*(AC190-94725),
                                                IF(AC190&lt;279650, 23918+0.35*(AC190-117675),
                                                    80609.25+0.37*(AC190-279650)
                                                )
                                            )
                                        )
                                    )
                                )
                            )
                        ),
                        0
                    )
                )
            )
        )
    )
)</f>
        <v>0</v>
      </c>
    </row>
    <row r="190" spans="2:45" x14ac:dyDescent="0.25">
      <c r="B190" s="214" t="s">
        <v>139</v>
      </c>
      <c r="D190" s="32">
        <v>5</v>
      </c>
      <c r="E190" s="33">
        <f t="shared" si="755"/>
        <v>7.6399999999999996E-2</v>
      </c>
      <c r="F190" s="34" t="e">
        <f t="shared" si="756"/>
        <v>#VALUE!</v>
      </c>
      <c r="G190" t="e">
        <f t="shared" si="751"/>
        <v>#VALUE!</v>
      </c>
      <c r="H190" s="34" t="e">
        <f t="shared" si="752"/>
        <v>#VALUE!</v>
      </c>
      <c r="O190" t="s">
        <v>236</v>
      </c>
      <c r="P190" s="101">
        <f>B28</f>
        <v>0</v>
      </c>
      <c r="Q190" s="101">
        <f>C28</f>
        <v>0</v>
      </c>
      <c r="R190" s="101">
        <f>D28</f>
        <v>0</v>
      </c>
      <c r="S190" s="101">
        <f t="shared" ref="S190:U190" si="758">E28</f>
        <v>0</v>
      </c>
      <c r="T190" s="101">
        <f t="shared" si="758"/>
        <v>0</v>
      </c>
      <c r="U190" s="101">
        <f t="shared" si="758"/>
        <v>0</v>
      </c>
      <c r="V190" s="101">
        <f>H28</f>
        <v>0</v>
      </c>
      <c r="W190" s="101">
        <f>I28</f>
        <v>0</v>
      </c>
      <c r="X190" s="101">
        <f>J28</f>
        <v>0</v>
      </c>
      <c r="Y190" s="101">
        <v>0</v>
      </c>
      <c r="Z190" s="101">
        <v>0</v>
      </c>
      <c r="AA190" s="101">
        <v>0</v>
      </c>
      <c r="AB190" s="101">
        <v>0</v>
      </c>
      <c r="AC190" s="101">
        <v>0</v>
      </c>
      <c r="AE190" s="92">
        <v>2023</v>
      </c>
      <c r="AF190" s="93">
        <f t="shared" ref="AF190:AN190" si="759">IF(AND(B$1=2023, B$2="MFJ", $R$157="-"),
    IF(P190&lt;14800, 0,
        IF(P190&lt;36800, 0.1*(P190-14800),
            IF(P190&lt;104250, 2200+0.12*(P190-36800),
                IF(P190&lt;205550, 10294+0.22*(P190-104250),
                    IF(P190&lt;379000, 32580+0.24*(P190-205550),
                        IF(P190&lt;477300, 74208+0.32*(P190-379000),
                            IF(P190&lt;708550, 105664+0.35*(P190-477300),
                                186601.5+0.37*(P190-708550)
                            )
                        )
                    )
                )
            )
        )
    ),
    IF(OR(AND(B$1=2023, B$2="Single", $R$157="-"), AND(B$1=2023, B$2="MFS", $R$157="-")),
        IF(P190&lt;5250, 0,
            IF(P190&lt;16250, 0.1*(P190-5250),
                IF(P190&lt;49975, 1100+0.12*(P190-16250),
                    IF(P190&lt;100625, 5147+0.22*(P190-49975),
                        IF(P190&lt;187350, 16290+0.24*(P190-100625),
                            IF(P190&lt;236500, 37104+0.32*(P190-187350),
                                IF(P190&lt;583375, 52832+0.35*(P190-236500),
                                    174238.25+0.37*(P190-583375)
                                )
                            )
                        )
                    )
                )
            )
        ),
        IF(AND(B$1=2023, B$2="HOH", $R$157="-"),
            IF(P190&lt;12200, 0,
                IF(P190&lt;27900, 0.1*(P190-12200),
                    IF(P190&lt;72050, 1570+0.12*(P190-27900),
                        IF(P190&lt;107550, 6868+0.22*(P190-72050),
                            IF(P190&lt;194300, 14678+0.24*(P190-107550),
                                IF(P190&lt;243450, 35498+0.32*(P190-194300),
                                    IF(P190&lt;590300, 51226+0.35*(P190-243450),
                                        172623.5+0.37*(P190-590300)
                                    )
                                )
                            )
                        )
                    )
                )
            ),
            IF(AND(B$1=2023, B$2="MFJ", $R$157="X"),
                IF(P190&lt;13850, 0,
                    IF(P190&lt;24850, 0.1*(P190-13850),
                        IF(P190&lt;58575, 1100+0.12*(P190-36800),
                            IF(P190&lt;109225, 5147+0.22*(P190-58575),
                                IF(P190&lt;195950, 16290+0.24*(P190-109225),
                                    IF(P190&lt;245100, 37104+0.32*(P190-195950),
                                        IF(P190&lt;360725, 52832+0.35*(P190-245100),
                                            93300.75+0.37*(P190-360725)
                                        )
                                    )
                                )
                            )
                        )
                    )
                ),
                IF(OR(AND(B$1=2023, B$2="Single", $R$157="X"), AND(B$1=2023, B$2="MFS", $R$157="X")),
                    IF(P190&lt;6925, 0,
                        IF(P190&lt;12425, 0.1*(P190-6925),
                            IF(P190&lt;29288, 550+0.12*(P190-12425),
                                IF(P190&lt;54613, 2573.5+0.22*(P190-29288),
                                    IF(P190&lt;97975, 8145+0.24*(P190-54613),
                                        IF(P190&lt;122550, 18552+0.32*(P190-97975),
                                            IF(P190&lt;295988, 26416+0.35*(P190-122550),
                                                87119.13+0.37*(P190-295988)
                                            )
                                        )
                                    )
                                )
                            )
                        )
                    ),
                    IF(AND(B$1=2023, B$2="HOH", $R$157="X"),
                        IF(P190&lt;10400, 0,
                            IF(P190&lt;18250, 0.1*(P190-10400),
                                IF(P190&lt;40325, 785+0.12*(P190-18250),
                                    IF(P190&lt;58075, 34334+0.22*(P190-40325),
                                        IF(P190&lt;101450, 7339+0.24*(P190-58075),
                                            IF(P190&lt;126025, 17749+0.32*(P190-101450),
                                                IF(P190&lt;299450, 25613+0.35*(P190-126025),
                                                    86311.75+0.37*(P190-299450)
                                                )
                                            )
                                        )
                                    )
                                )
                            )
                        ),
                        0
                    )
                )
            )
        )
    )
)</f>
        <v>0</v>
      </c>
      <c r="AG190" s="93">
        <f t="shared" si="759"/>
        <v>0</v>
      </c>
      <c r="AH190" s="93">
        <f t="shared" si="759"/>
        <v>0</v>
      </c>
      <c r="AI190" s="93">
        <f t="shared" si="759"/>
        <v>0</v>
      </c>
      <c r="AJ190" s="93">
        <f t="shared" si="759"/>
        <v>0</v>
      </c>
      <c r="AK190" s="93">
        <f t="shared" si="759"/>
        <v>0</v>
      </c>
      <c r="AL190" s="93">
        <f t="shared" si="759"/>
        <v>0</v>
      </c>
      <c r="AM190" s="93">
        <f t="shared" si="759"/>
        <v>0</v>
      </c>
      <c r="AN190" s="93">
        <f t="shared" si="759"/>
        <v>0</v>
      </c>
      <c r="AO190" s="93">
        <f>IF(AND(Y$156=2023, Y$157="MFJ", $R$157="-"),
    IF(Y190&lt;14800, 0,
        IF(Y190&lt;36800, 0.1*(Y190-14800),
            IF(Y190&lt;104250, 2200+0.12*(Y190-36800),
                IF(Y190&lt;205550, 10294+0.22*(Y190-104250),
                    IF(Y190&lt;379000, 32580+0.24*(Y190-205550),
                        IF(Y190&lt;477300, 74208+0.32*(Y190-379000),
                            IF(Y190&lt;708550, 105664+0.35*(Y190-477300),
                                186601.5+0.37*(Y190-708550)
                            )
                        )
                    )
                )
            )
        )
    ),
    IF(OR(AND(Y$156=2023, Y$157="Single", $R$157="-"), AND(Y$156=2023, Y$157="MFS", $R$157="-")),
        IF(Y190&lt;5250, 0,
            IF(Y190&lt;16250, 0.1*(Y190-5250),
                IF(Y190&lt;49975, 1100+0.12*(Y190-16250),
                    IF(Y190&lt;100625, 5147+0.22*(Y190-49975),
                        IF(Y190&lt;187350, 16290+0.24*(Y190-100625),
                            IF(Y190&lt;236500, 37104+0.32*(Y190-187350),
                                IF(Y190&lt;583375, 52832+0.35*(Y190-236500),
                                    174238.25+0.37*(Y190-583375)
                                )
                            )
                        )
                    )
                )
            )
        ),
        IF(AND(Y$156=2023, Y$157="HOH", $R$157="-"),
            IF(Y190&lt;12200, 0,
                IF(Y190&lt;27900, 0.1*(Y190-12200),
                    IF(Y190&lt;72050, 1570+0.12*(Y190-27900),
                        IF(Y190&lt;107550, 6868+0.22*(Y190-72050),
                            IF(Y190&lt;194300, 14678+0.24*(Y190-107550),
                                IF(Y190&lt;243450, 35498+0.32*(Y190-194300),
                                    IF(Y190&lt;590300, 51226+0.35*(Y190-243450),
                                        172623.5+0.37*(Y190-590300)
                                    )
                                )
                            )
                        )
                    )
                )
            ),
            IF(AND(Y$156=2023, Y$157="MFJ", $R$157="X"),
                IF(Y190&lt;13850, 0,
                    IF(Y190&lt;24850, 0.1*(Y190-13850),
                        IF(Y190&lt;58575, 1100+0.12*(Y190-36800),
                            IF(Y190&lt;109225, 5147+0.22*(Y190-58575),
                                IF(Y190&lt;195950, 16290+0.24*(Y190-109225),
                                    IF(Y190&lt;245100, 37104+0.32*(Y190-195950),
                                        IF(Y190&lt;360725, 52832+0.35*(Y190-245100),
                                            93300.75+0.37*(Y190-360725)
                                        )
                                    )
                                )
                            )
                        )
                    )
                ),
                IF(OR(AND(Y$156=2023, Y$157="Single", $R$157="X"), AND(Y$156=2023, Y$157="MFS", $R$157="X")),
                    IF(Y190&lt;6925, 0,
                        IF(Y190&lt;12425, 0.1*(Y190-6925),
                            IF(Y190&lt;29288, 550+0.12*(Y190-12425),
                                IF(Y190&lt;54613, 2573.5+0.22*(Y190-29288),
                                    IF(Y190&lt;97975, 8145+0.24*(Y190-54613),
                                        IF(Y190&lt;122550, 18552+0.32*(Y190-97975),
                                            IF(Y190&lt;295988, 26416+0.35*(Y190-122550),
                                                87119.13+0.37*(Y190-295988)
                                            )
                                        )
                                    )
                                )
                            )
                        )
                    ),
                    IF(AND(Y$156=2023, Y$157="HOH", $R$157="X"),
                        IF(Y190&lt;10400, 0,
                            IF(Y190&lt;18250, 0.1*(Y190-10400),
                                IF(Y190&lt;40325, 785+0.12*(Y190-18250),
                                    IF(Y190&lt;58075, 34334+0.22*(Y190-40325),
                                        IF(Y190&lt;101450, 7339+0.24*(Y190-58075),
                                            IF(Y190&lt;126025, 17749+0.32*(Y190-101450),
                                                IF(Y190&lt;299450, 25613+0.35*(Y190-126025),
                                                    86311.75+0.37*(Y190-299450)
                                                )
                                            )
                                        )
                                    )
                                )
                            )
                        ),
                        0
                    )
                )
            )
        )
    )
)</f>
        <v>0</v>
      </c>
      <c r="AP190" s="93">
        <f>IF(AND(Z$156=2023, Z$157="MFJ", $R$157="-"),
    IF(Z190&lt;14800, 0,
        IF(Z190&lt;36800, 0.1*(Z190-14800),
            IF(Z190&lt;104250, 2200+0.12*(Z190-36800),
                IF(Z190&lt;205550, 10294+0.22*(Z190-104250),
                    IF(Z190&lt;379000, 32580+0.24*(Z190-205550),
                        IF(Z190&lt;477300, 74208+0.32*(Z190-379000),
                            IF(Z190&lt;708550, 105664+0.35*(Z190-477300),
                                186601.5+0.37*(Z190-708550)
                            )
                        )
                    )
                )
            )
        )
    ),
    IF(OR(AND(Z$156=2023, Z$157="Single", $R$157="-"), AND(Z$156=2023, Z$157="MFS", $R$157="-")),
        IF(Z190&lt;5250, 0,
            IF(Z190&lt;16250, 0.1*(Z190-5250),
                IF(Z190&lt;49975, 1100+0.12*(Z190-16250),
                    IF(Z190&lt;100625, 5147+0.22*(Z190-49975),
                        IF(Z190&lt;187350, 16290+0.24*(Z190-100625),
                            IF(Z190&lt;236500, 37104+0.32*(Z190-187350),
                                IF(Z190&lt;583375, 52832+0.35*(Z190-236500),
                                    174238.25+0.37*(Z190-583375)
                                )
                            )
                        )
                    )
                )
            )
        ),
        IF(AND(Z$156=2023, Z$157="HOH", $R$157="-"),
            IF(Z190&lt;12200, 0,
                IF(Z190&lt;27900, 0.1*(Z190-12200),
                    IF(Z190&lt;72050, 1570+0.12*(Z190-27900),
                        IF(Z190&lt;107550, 6868+0.22*(Z190-72050),
                            IF(Z190&lt;194300, 14678+0.24*(Z190-107550),
                                IF(Z190&lt;243450, 35498+0.32*(Z190-194300),
                                    IF(Z190&lt;590300, 51226+0.35*(Z190-243450),
                                        172623.5+0.37*(Z190-590300)
                                    )
                                )
                            )
                        )
                    )
                )
            ),
            IF(AND(Z$156=2023, Z$157="MFJ", $R$157="X"),
                IF(Z190&lt;13850, 0,
                    IF(Z190&lt;24850, 0.1*(Z190-13850),
                        IF(Z190&lt;58575, 1100+0.12*(Z190-36800),
                            IF(Z190&lt;109225, 5147+0.22*(Z190-58575),
                                IF(Z190&lt;195950, 16290+0.24*(Z190-109225),
                                    IF(Z190&lt;245100, 37104+0.32*(Z190-195950),
                                        IF(Z190&lt;360725, 52832+0.35*(Z190-245100),
                                            93300.75+0.37*(Z190-360725)
                                        )
                                    )
                                )
                            )
                        )
                    )
                ),
                IF(OR(AND(Z$156=2023, Z$157="Single", $R$157="X"), AND(Z$156=2023, Z$157="MFS", $R$157="X")),
                    IF(Z190&lt;6925, 0,
                        IF(Z190&lt;12425, 0.1*(Z190-6925),
                            IF(Z190&lt;29288, 550+0.12*(Z190-12425),
                                IF(Z190&lt;54613, 2573.5+0.22*(Z190-29288),
                                    IF(Z190&lt;97975, 8145+0.24*(Z190-54613),
                                        IF(Z190&lt;122550, 18552+0.32*(Z190-97975),
                                            IF(Z190&lt;295988, 26416+0.35*(Z190-122550),
                                                87119.13+0.37*(Z190-295988)
                                            )
                                        )
                                    )
                                )
                            )
                        )
                    ),
                    IF(AND(Z$156=2023, Z$157="HOH", $R$157="X"),
                        IF(Z190&lt;10400, 0,
                            IF(Z190&lt;18250, 0.1*(Z190-10400),
                                IF(Z190&lt;40325, 785+0.12*(Z190-18250),
                                    IF(Z190&lt;58075, 34334+0.22*(Z190-40325),
                                        IF(Z190&lt;101450, 7339+0.24*(Z190-58075),
                                            IF(Z190&lt;126025, 17749+0.32*(Z190-101450),
                                                IF(Z190&lt;299450, 25613+0.35*(Z190-126025),
                                                    86311.75+0.37*(Z190-299450)
                                                )
                                            )
                                        )
                                    )
                                )
                            )
                        ),
                        0
                    )
                )
            )
        )
    )
)</f>
        <v>0</v>
      </c>
      <c r="AQ190" s="93">
        <f>IF(AND(AA$156=2023, AA$157="MFJ", $R$157="-"),
    IF(AA190&lt;14800, 0,
        IF(AA190&lt;36800, 0.1*(AA190-14800),
            IF(AA190&lt;104250, 2200+0.12*(AA190-36800),
                IF(AA190&lt;205550, 10294+0.22*(AA190-104250),
                    IF(AA190&lt;379000, 32580+0.24*(AA190-205550),
                        IF(AA190&lt;477300, 74208+0.32*(AA190-379000),
                            IF(AA190&lt;708550, 105664+0.35*(AA190-477300),
                                186601.5+0.37*(AA190-708550)
                            )
                        )
                    )
                )
            )
        )
    ),
    IF(OR(AND(AA$156=2023, AA$157="Single", $R$157="-"), AND(AA$156=2023, AA$157="MFS", $R$157="-")),
        IF(AA190&lt;5250, 0,
            IF(AA190&lt;16250, 0.1*(AA190-5250),
                IF(AA190&lt;49975, 1100+0.12*(AA190-16250),
                    IF(AA190&lt;100625, 5147+0.22*(AA190-49975),
                        IF(AA190&lt;187350, 16290+0.24*(AA190-100625),
                            IF(AA190&lt;236500, 37104+0.32*(AA190-187350),
                                IF(AA190&lt;583375, 52832+0.35*(AA190-236500),
                                    174238.25+0.37*(AA190-583375)
                                )
                            )
                        )
                    )
                )
            )
        ),
        IF(AND(AA$156=2023, AA$157="HOH", $R$157="-"),
            IF(AA190&lt;12200, 0,
                IF(AA190&lt;27900, 0.1*(AA190-12200),
                    IF(AA190&lt;72050, 1570+0.12*(AA190-27900),
                        IF(AA190&lt;107550, 6868+0.22*(AA190-72050),
                            IF(AA190&lt;194300, 14678+0.24*(AA190-107550),
                                IF(AA190&lt;243450, 35498+0.32*(AA190-194300),
                                    IF(AA190&lt;590300, 51226+0.35*(AA190-243450),
                                        172623.5+0.37*(AA190-590300)
                                    )
                                )
                            )
                        )
                    )
                )
            ),
            IF(AND(AA$156=2023, AA$157="MFJ", $R$157="X"),
                IF(AA190&lt;13850, 0,
                    IF(AA190&lt;24850, 0.1*(AA190-13850),
                        IF(AA190&lt;58575, 1100+0.12*(AA190-36800),
                            IF(AA190&lt;109225, 5147+0.22*(AA190-58575),
                                IF(AA190&lt;195950, 16290+0.24*(AA190-109225),
                                    IF(AA190&lt;245100, 37104+0.32*(AA190-195950),
                                        IF(AA190&lt;360725, 52832+0.35*(AA190-245100),
                                            93300.75+0.37*(AA190-360725)
                                        )
                                    )
                                )
                            )
                        )
                    )
                ),
                IF(OR(AND(AA$156=2023, AA$157="Single", $R$157="X"), AND(AA$156=2023, AA$157="MFS", $R$157="X")),
                    IF(AA190&lt;6925, 0,
                        IF(AA190&lt;12425, 0.1*(AA190-6925),
                            IF(AA190&lt;29288, 550+0.12*(AA190-12425),
                                IF(AA190&lt;54613, 2573.5+0.22*(AA190-29288),
                                    IF(AA190&lt;97975, 8145+0.24*(AA190-54613),
                                        IF(AA190&lt;122550, 18552+0.32*(AA190-97975),
                                            IF(AA190&lt;295988, 26416+0.35*(AA190-122550),
                                                87119.13+0.37*(AA190-295988)
                                            )
                                        )
                                    )
                                )
                            )
                        )
                    ),
                    IF(AND(AA$156=2023, AA$157="HOH", $R$157="X"),
                        IF(AA190&lt;10400, 0,
                            IF(AA190&lt;18250, 0.1*(AA190-10400),
                                IF(AA190&lt;40325, 785+0.12*(AA190-18250),
                                    IF(AA190&lt;58075, 34334+0.22*(AA190-40325),
                                        IF(AA190&lt;101450, 7339+0.24*(AA190-58075),
                                            IF(AA190&lt;126025, 17749+0.32*(AA190-101450),
                                                IF(AA190&lt;299450, 25613+0.35*(AA190-126025),
                                                    86311.75+0.37*(AA190-299450)
                                                )
                                            )
                                        )
                                    )
                                )
                            )
                        ),
                        0
                    )
                )
            )
        )
    )
)</f>
        <v>0</v>
      </c>
      <c r="AR190" s="93">
        <f>IF(AND(AB$156=2023, AB$157="MFJ", $R$157="-"),
    IF(AB190&lt;14800, 0,
        IF(AB190&lt;36800, 0.1*(AB190-14800),
            IF(AB190&lt;104250, 2200+0.12*(AB190-36800),
                IF(AB190&lt;205550, 10294+0.22*(AB190-104250),
                    IF(AB190&lt;379000, 32580+0.24*(AB190-205550),
                        IF(AB190&lt;477300, 74208+0.32*(AB190-379000),
                            IF(AB190&lt;708550, 105664+0.35*(AB190-477300),
                                186601.5+0.37*(AB190-708550)
                            )
                        )
                    )
                )
            )
        )
    ),
    IF(OR(AND(AB$156=2023, AB$157="Single", $R$157="-"), AND(AB$156=2023, AB$157="MFS", $R$157="-")),
        IF(AB190&lt;5250, 0,
            IF(AB190&lt;16250, 0.1*(AB190-5250),
                IF(AB190&lt;49975, 1100+0.12*(AB190-16250),
                    IF(AB190&lt;100625, 5147+0.22*(AB190-49975),
                        IF(AB190&lt;187350, 16290+0.24*(AB190-100625),
                            IF(AB190&lt;236500, 37104+0.32*(AB190-187350),
                                IF(AB190&lt;583375, 52832+0.35*(AB190-236500),
                                    174238.25+0.37*(AB190-583375)
                                )
                            )
                        )
                    )
                )
            )
        ),
        IF(AND(AB$156=2023, AB$157="HOH", $R$157="-"),
            IF(AB190&lt;12200, 0,
                IF(AB190&lt;27900, 0.1*(AB190-12200),
                    IF(AB190&lt;72050, 1570+0.12*(AB190-27900),
                        IF(AB190&lt;107550, 6868+0.22*(AB190-72050),
                            IF(AB190&lt;194300, 14678+0.24*(AB190-107550),
                                IF(AB190&lt;243450, 35498+0.32*(AB190-194300),
                                    IF(AB190&lt;590300, 51226+0.35*(AB190-243450),
                                        172623.5+0.37*(AB190-590300)
                                    )
                                )
                            )
                        )
                    )
                )
            ),
            IF(AND(AB$156=2023, AB$157="MFJ", $R$157="X"),
                IF(AB190&lt;13850, 0,
                    IF(AB190&lt;24850, 0.1*(AB190-13850),
                        IF(AB190&lt;58575, 1100+0.12*(AB190-36800),
                            IF(AB190&lt;109225, 5147+0.22*(AB190-58575),
                                IF(AB190&lt;195950, 16290+0.24*(AB190-109225),
                                    IF(AB190&lt;245100, 37104+0.32*(AB190-195950),
                                        IF(AB190&lt;360725, 52832+0.35*(AB190-245100),
                                            93300.75+0.37*(AB190-360725)
                                        )
                                    )
                                )
                            )
                        )
                    )
                ),
                IF(OR(AND(AB$156=2023, AB$157="Single", $R$157="X"), AND(AB$156=2023, AB$157="MFS", $R$157="X")),
                    IF(AB190&lt;6925, 0,
                        IF(AB190&lt;12425, 0.1*(AB190-6925),
                            IF(AB190&lt;29288, 550+0.12*(AB190-12425),
                                IF(AB190&lt;54613, 2573.5+0.22*(AB190-29288),
                                    IF(AB190&lt;97975, 8145+0.24*(AB190-54613),
                                        IF(AB190&lt;122550, 18552+0.32*(AB190-97975),
                                            IF(AB190&lt;295988, 26416+0.35*(AB190-122550),
                                                87119.13+0.37*(AB190-295988)
                                            )
                                        )
                                    )
                                )
                            )
                        )
                    ),
                    IF(AND(AB$156=2023, AB$157="HOH", $R$157="X"),
                        IF(AB190&lt;10400, 0,
                            IF(AB190&lt;18250, 0.1*(AB190-10400),
                                IF(AB190&lt;40325, 785+0.12*(AB190-18250),
                                    IF(AB190&lt;58075, 34334+0.22*(AB190-40325),
                                        IF(AB190&lt;101450, 7339+0.24*(AB190-58075),
                                            IF(AB190&lt;126025, 17749+0.32*(AB190-101450),
                                                IF(AB190&lt;299450, 25613+0.35*(AB190-126025),
                                                    86311.75+0.37*(AB190-299450)
                                                )
                                            )
                                        )
                                    )
                                )
                            )
                        ),
                        0
                    )
                )
            )
        )
    )
)</f>
        <v>0</v>
      </c>
      <c r="AS190" s="93">
        <f>IF(AND(AC$156=2023, AC$157="MFJ", $R$157="-"),
    IF(AC190&lt;14800, 0,
        IF(AC190&lt;36800, 0.1*(AC190-14800),
            IF(AC190&lt;104250, 2200+0.12*(AC190-36800),
                IF(AC190&lt;205550, 10294+0.22*(AC190-104250),
                    IF(AC190&lt;379000, 32580+0.24*(AC190-205550),
                        IF(AC190&lt;477300, 74208+0.32*(AC190-379000),
                            IF(AC190&lt;708550, 105664+0.35*(AC190-477300),
                                186601.5+0.37*(AC190-708550)
                            )
                        )
                    )
                )
            )
        )
    ),
    IF(OR(AND(AC$156=2023, AC$157="Single", $R$157="-"), AND(AC$156=2023, AC$157="MFS", $R$157="-")),
        IF(AC190&lt;5250, 0,
            IF(AC190&lt;16250, 0.1*(AC190-5250),
                IF(AC190&lt;49975, 1100+0.12*(AC190-16250),
                    IF(AC190&lt;100625, 5147+0.22*(AC190-49975),
                        IF(AC190&lt;187350, 16290+0.24*(AC190-100625),
                            IF(AC190&lt;236500, 37104+0.32*(AC190-187350),
                                IF(AC190&lt;583375, 52832+0.35*(AC190-236500),
                                    174238.25+0.37*(AC190-583375)
                                )
                            )
                        )
                    )
                )
            )
        ),
        IF(AND(AC$156=2023, AC$157="HOH", $R$157="-"),
            IF(AC190&lt;12200, 0,
                IF(AC190&lt;27900, 0.1*(AC190-12200),
                    IF(AC190&lt;72050, 1570+0.12*(AC190-27900),
                        IF(AC190&lt;107550, 6868+0.22*(AC190-72050),
                            IF(AC190&lt;194300, 14678+0.24*(AC190-107550),
                                IF(AC190&lt;243450, 35498+0.32*(AC190-194300),
                                    IF(AC190&lt;590300, 51226+0.35*(AC190-243450),
                                        172623.5+0.37*(AC190-590300)
                                    )
                                )
                            )
                        )
                    )
                )
            ),
            IF(AND(AC$156=2023, AC$157="MFJ", $R$157="X"),
                IF(AC190&lt;13850, 0,
                    IF(AC190&lt;24850, 0.1*(AC190-13850),
                        IF(AC190&lt;58575, 1100+0.12*(AC190-36800),
                            IF(AC190&lt;109225, 5147+0.22*(AC190-58575),
                                IF(AC190&lt;195950, 16290+0.24*(AC190-109225),
                                    IF(AC190&lt;245100, 37104+0.32*(AC190-195950),
                                        IF(AC190&lt;360725, 52832+0.35*(AC190-245100),
                                            93300.75+0.37*(AC190-360725)
                                        )
                                    )
                                )
                            )
                        )
                    )
                ),
                IF(OR(AND(AC$156=2023, AC$157="Single", $R$157="X"), AND(AC$156=2023, AC$157="MFS", $R$157="X")),
                    IF(AC190&lt;6925, 0,
                        IF(AC190&lt;12425, 0.1*(AC190-6925),
                            IF(AC190&lt;29288, 550+0.12*(AC190-12425),
                                IF(AC190&lt;54613, 2573.5+0.22*(AC190-29288),
                                    IF(AC190&lt;97975, 8145+0.24*(AC190-54613),
                                        IF(AC190&lt;122550, 18552+0.32*(AC190-97975),
                                            IF(AC190&lt;295988, 26416+0.35*(AC190-122550),
                                                87119.13+0.37*(AC190-295988)
                                            )
                                        )
                                    )
                                )
                            )
                        )
                    ),
                    IF(AND(AC$156=2023, AC$157="HOH", $R$157="X"),
                        IF(AC190&lt;10400, 0,
                            IF(AC190&lt;18250, 0.1*(AC190-10400),
                                IF(AC190&lt;40325, 785+0.12*(AC190-18250),
                                    IF(AC190&lt;58075, 34334+0.22*(AC190-40325),
                                        IF(AC190&lt;101450, 7339+0.24*(AC190-58075),
                                            IF(AC190&lt;126025, 17749+0.32*(AC190-101450),
                                                IF(AC190&lt;299450, 25613+0.35*(AC190-126025),
                                                    86311.75+0.37*(AC190-299450)
                                                )
                                            )
                                        )
                                    )
                                )
                            )
                        ),
                        0
                    )
                )
            )
        )
    )
)</f>
        <v>0</v>
      </c>
    </row>
    <row r="191" spans="2:45" x14ac:dyDescent="0.25">
      <c r="B191" s="214" t="s">
        <v>140</v>
      </c>
      <c r="D191" s="32">
        <v>6</v>
      </c>
      <c r="E191" s="33">
        <f t="shared" si="755"/>
        <v>7.6399999999999996E-2</v>
      </c>
      <c r="F191" s="34" t="e">
        <f t="shared" si="756"/>
        <v>#VALUE!</v>
      </c>
      <c r="G191" t="e">
        <f t="shared" si="751"/>
        <v>#VALUE!</v>
      </c>
      <c r="H191" s="34" t="e">
        <f t="shared" si="752"/>
        <v>#VALUE!</v>
      </c>
      <c r="N191" t="s">
        <v>230</v>
      </c>
      <c r="P191" s="106">
        <f t="shared" ref="P191:X191" si="760">IF(ISNUMBER(B$1), CHOOSE(B$1-2021, AF189, AF190, AF191), 0)</f>
        <v>0</v>
      </c>
      <c r="Q191" s="106">
        <f t="shared" si="760"/>
        <v>0</v>
      </c>
      <c r="R191" s="106">
        <f t="shared" si="760"/>
        <v>0</v>
      </c>
      <c r="S191" s="106">
        <f t="shared" si="760"/>
        <v>0</v>
      </c>
      <c r="T191" s="106">
        <f t="shared" si="760"/>
        <v>0</v>
      </c>
      <c r="U191" s="106">
        <f t="shared" si="760"/>
        <v>0</v>
      </c>
      <c r="V191" s="106">
        <f t="shared" si="760"/>
        <v>0</v>
      </c>
      <c r="W191" s="106">
        <f t="shared" si="760"/>
        <v>0</v>
      </c>
      <c r="X191" s="106">
        <f t="shared" si="760"/>
        <v>0</v>
      </c>
      <c r="Y191" s="106">
        <f>IF(ISNUMBER(Y$156), CHOOSE(Y$156-2021, AO189, AO190, AO191), 0)</f>
        <v>0</v>
      </c>
      <c r="Z191" s="106">
        <f>IF(ISNUMBER(Z$156), CHOOSE(Z$156-2021, AP189, AP190, AP191), 0)</f>
        <v>0</v>
      </c>
      <c r="AA191" s="106">
        <f>IF(ISNUMBER(AA$156), CHOOSE(AA$156-2021, AQ189, AQ190, AQ191), 0)</f>
        <v>0</v>
      </c>
      <c r="AB191" s="106">
        <f>IF(ISNUMBER(AB$156), CHOOSE(AB$156-2021, AR189, AR190, AR191), 0)</f>
        <v>0</v>
      </c>
      <c r="AC191" s="106">
        <f>IF(ISNUMBER(AC$156), CHOOSE(AC$156-2021, AS189, AS190, AS191), 0)</f>
        <v>0</v>
      </c>
      <c r="AE191" s="92">
        <v>2024</v>
      </c>
      <c r="AF191" s="107" t="b">
        <f t="shared" ref="AF191:AN191" si="761">IF(B$1=2024,
    IF($R$157="-",
        IF(B$2="MFJ",
            IF(P190&lt;16300, 0,
                IF(P190&lt;39500, 0.1*(P190-16300),
                    IF(P190&lt;110600, 2320+0.12*(P190-39500),
                        IF(P190&lt;217350, 10852+0.22*(P190-110600),
                            IF(P190&lt;400200, 34337+0.24*(P190-217350),
                                IF(P190&lt;503750, 78221+0.32*(P190-400200),
                                    IF(P190&lt;747500, 111357+0.35*(P190-503750),
                                        IF(P190&gt;747500, 196669.5+0.37*(P190-747500)
                                        )
                                    )
                                )
                            )
                        )
                    )
                )
            ),
            IF(OR(B$2="Single", B$2="MFS"),
                IF(P190&lt;6000, 0,
                    IF(P190&lt;17600, 0.1*(P190-6000),
                        IF(P190&lt;53150, 1160+0.12*(P190-17600),
                            IF(P190&lt;106525, 5426+0.22*(P190-53150),
                                IF(P190&lt;197950, 17168.5+0.24*(P190-106525),
                                    IF(P190&lt;249725, 39110.5+0.32*(P190-197950),
                                        IF(P190&lt;615350, 55678.5+0.35*(P190-249725),
                                            IF(P190&gt;615350, 183647.25+0.37*(P190-615350)
                                            )
                                        )
                                    )
                                )
                            )
                        )
                    )
                ),
                IF(B$2="HOH",
                    IF(P190&lt;13300, 0,
                        IF(P190&lt;29850, 0.1*(P190-13300),
                            IF(P190&lt;76400, 1655+0.12*(P190-29850),
                                IF(P190&lt;113800, 7241+0.22*(P190-76400),
                                    IF(P190&lt;205250, 15469+0.24*(P190-113800),
                                        IF(P190&lt;257000, 37417+0.32*(P190-205250),
                                            IF(P190&lt;622650, 53977+0.35*(P190-257000),
                                                IF(P190&gt;622650, 181954.5+0.37*(P190-622650),
                                                    "Invalid Filing Status or Q148 Value"
                                                )
                                            )
                                        )
                                    )
                                )
                            )
                        )
                    )
                )
            )
        ),
        IF($R$157="X",
            IF(B$2="MFJ",
                IF(P190&lt;14600, 0,
                    IF(P190&lt;26200, 0.1*(P190-14600),
                        IF(P190&lt;61750, 1160+0.12*(P190-26200),
                            IF(P190&lt;115125, 5426+0.22*(P190-61750),
                                IF(P190&lt;206550, 17168.5+0.24*(P190-115125),
                                    IF(P190&lt;258325, 39110.5+0.32*(P190-206550),
                                        IF(P190&lt;380200, 55678.5+0.35*(P190-258325),
                                            IF(P190&gt;380200, 98334.75+0.37*(P190-380200)
                                            )
                                        )
                                    )
                                )
                            )
                        )
                    )
                ),
                IF(OR(B$2="Single", B$2="MFS"),
                    IF(P190&lt;7300, 0,
                        IF(P190&lt;13100, 0.1*(P190-7300),
                            IF(P190&lt;30875, 580+0.12*(P190-13100),
                                IF(P190&lt;57563, 2713+0.22*(P190-30875),
                                    IF(P190&lt;103275, 8584.25+0.24*(P190-57563),
                                        IF(P190&lt;129163, 19555.25+0.32*(P190-103275),
                                            IF(P190&lt;311975, 27839.25+0.35*(P190-129163),
                                                IF(P190&gt;311975, 91823.63+0.37*(P190-311975)
                                                )
                                            )
                                        )
                                    )
                                )
                            )
                        )
                    ),
                    IF(B$2="HOH",
                        IF(P190&lt;10950, 0,
                            IF(P190&lt;19225, 0.1*(P190-10950),
                                IF(P190&lt;42500, 827.5+0.12*(P190-19225),
                                    IF(P190&lt;61200, 3620.5+0.22*(P190-42500),
                                        IF(P190&lt;106925, 7734.5+0.24*(P190-61200),
                                            IF(P190&lt;132800, 18708.5+0.32*(P190-106925),
                                                IF(P190&lt;315625, 26988.5+0.35*(P190-132800),
                                                    IF(P190&gt;315625, 90977.25+0.37*(P190-315625),
                                                        "Invalid Input"
                                                    )
                                                )
                                            )
                                        )
                                    )
                                )
                            )
                        )
                    )
                )
            )
        )
    )
)</f>
        <v>0</v>
      </c>
      <c r="AG191" s="107" t="b">
        <f t="shared" si="761"/>
        <v>0</v>
      </c>
      <c r="AH191" s="107" t="b">
        <f t="shared" si="761"/>
        <v>0</v>
      </c>
      <c r="AI191" s="107" t="b">
        <f t="shared" si="761"/>
        <v>0</v>
      </c>
      <c r="AJ191" s="107" t="b">
        <f t="shared" si="761"/>
        <v>0</v>
      </c>
      <c r="AK191" s="107" t="b">
        <f t="shared" si="761"/>
        <v>0</v>
      </c>
      <c r="AL191" s="107" t="b">
        <f t="shared" si="761"/>
        <v>0</v>
      </c>
      <c r="AM191" s="107" t="b">
        <f t="shared" si="761"/>
        <v>0</v>
      </c>
      <c r="AN191" s="107" t="b">
        <f t="shared" si="761"/>
        <v>0</v>
      </c>
      <c r="AO191" s="107" t="b">
        <f>IF(Y$156=2024,
    IF($R$157="-",
        IF(Y$157="MFJ",
            IF(Y190&lt;16300, 0,
                IF(Y190&lt;39500, 0.1*(Y190-16300),
                    IF(Y190&lt;110600, 2320+0.12*(Y190-39500),
                        IF(Y190&lt;217350, 10852+0.22*(Y190-110600),
                            IF(Y190&lt;400200, 34337+0.24*(Y190-217350),
                                IF(Y190&lt;503750, 78221+0.32*(Y190-400200),
                                    IF(Y190&lt;747500, 111357+0.35*(Y190-503750),
                                        IF(Y190&gt;747500, 196669.5+0.37*(Y190-747500)
                                        )
                                    )
                                )
                            )
                        )
                    )
                )
            ),
            IF(OR(Y$157="Single", Y$157="MFS"),
                IF(Y190&lt;6000, 0,
                    IF(Y190&lt;17600, 0.1*(Y190-6000),
                        IF(Y190&lt;53150, 1160+0.12*(Y190-17600),
                            IF(Y190&lt;106525, 5426+0.22*(Y190-53150),
                                IF(Y190&lt;197950, 17168.5+0.24*(Y190-106525),
                                    IF(Y190&lt;249725, 39110.5+0.32*(Y190-197950),
                                        IF(Y190&lt;615350, 55678.5+0.35*(Y190-249725),
                                            IF(Y190&gt;615350, 183647.25+0.37*(Y190-615350)
                                            )
                                        )
                                    )
                                )
                            )
                        )
                    )
                ),
                IF(Y$157="HOH",
                    IF(Y190&lt;13300, 0,
                        IF(Y190&lt;29850, 0.1*(Y190-13300),
                            IF(Y190&lt;76400, 1655+0.12*(Y190-29850),
                                IF(Y190&lt;113800, 7241+0.22*(Y190-76400),
                                    IF(Y190&lt;205250, 15469+0.24*(Y190-113800),
                                        IF(Y190&lt;257000, 37417+0.32*(Y190-205250),
                                            IF(Y190&lt;622650, 53977+0.35*(Y190-257000),
                                                IF(Y190&gt;622650, 181954.5+0.37*(Y190-622650),
                                                    "Invalid Filing Status or Q148 Value"
                                                )
                                            )
                                        )
                                    )
                                )
                            )
                        )
                    )
                )
            )
        ),
        IF($R$157="X",
            IF(Y$157="MFJ",
                IF(Y190&lt;14600, 0,
                    IF(Y190&lt;26200, 0.1*(Y190-14600),
                        IF(Y190&lt;61750, 1160+0.12*(Y190-26200),
                            IF(Y190&lt;115125, 5426+0.22*(Y190-61750),
                                IF(Y190&lt;206550, 17168.5+0.24*(Y190-115125),
                                    IF(Y190&lt;258325, 39110.5+0.32*(Y190-206550),
                                        IF(Y190&lt;380200, 55678.5+0.35*(Y190-258325),
                                            IF(Y190&gt;380200, 98334.75+0.37*(Y190-380200)
                                            )
                                        )
                                    )
                                )
                            )
                        )
                    )
                ),
                IF(OR(Y$157="Single", Y$157="MFS"),
                    IF(Y190&lt;7300, 0,
                        IF(Y190&lt;13100, 0.1*(Y190-7300),
                            IF(Y190&lt;30875, 580+0.12*(Y190-13100),
                                IF(Y190&lt;57563, 2713+0.22*(Y190-30875),
                                    IF(Y190&lt;103275, 8584.25+0.24*(Y190-57563),
                                        IF(Y190&lt;129163, 19555.25+0.32*(Y190-103275),
                                            IF(Y190&lt;311975, 27839.25+0.35*(Y190-129163),
                                                IF(Y190&gt;311975, 91823.63+0.37*(Y190-311975)
                                                )
                                            )
                                        )
                                    )
                                )
                            )
                        )
                    ),
                    IF(Y$157="HOH",
                        IF(Y190&lt;10950, 0,
                            IF(Y190&lt;19225, 0.1*(Y190-10950),
                                IF(Y190&lt;42500, 827.5+0.12*(Y190-19225),
                                    IF(Y190&lt;61200, 3620.5+0.22*(Y190-42500),
                                        IF(Y190&lt;106925, 7734.5+0.24*(Y190-61200),
                                            IF(Y190&lt;132800, 18708.5+0.32*(Y190-106925),
                                                IF(Y190&lt;315625, 26988.5+0.35*(Y190-132800),
                                                    IF(Y190&gt;315625, 90977.25+0.37*(Y190-315625),
                                                        "Invalid Input"
                                                    )
                                                )
                                            )
                                        )
                                    )
                                )
                            )
                        )
                    )
                )
            )
        )
    )
)</f>
        <v>0</v>
      </c>
      <c r="AP191" s="107" t="b">
        <f>IF(Z$156=2024,
    IF($R$157="-",
        IF(Z$157="MFJ",
            IF(Z190&lt;16300, 0,
                IF(Z190&lt;39500, 0.1*(Z190-16300),
                    IF(Z190&lt;110600, 2320+0.12*(Z190-39500),
                        IF(Z190&lt;217350, 10852+0.22*(Z190-110600),
                            IF(Z190&lt;400200, 34337+0.24*(Z190-217350),
                                IF(Z190&lt;503750, 78221+0.32*(Z190-400200),
                                    IF(Z190&lt;747500, 111357+0.35*(Z190-503750),
                                        IF(Z190&gt;747500, 196669.5+0.37*(Z190-747500)
                                        )
                                    )
                                )
                            )
                        )
                    )
                )
            ),
            IF(OR(Z$157="Single", Z$157="MFS"),
                IF(Z190&lt;6000, 0,
                    IF(Z190&lt;17600, 0.1*(Z190-6000),
                        IF(Z190&lt;53150, 1160+0.12*(Z190-17600),
                            IF(Z190&lt;106525, 5426+0.22*(Z190-53150),
                                IF(Z190&lt;197950, 17168.5+0.24*(Z190-106525),
                                    IF(Z190&lt;249725, 39110.5+0.32*(Z190-197950),
                                        IF(Z190&lt;615350, 55678.5+0.35*(Z190-249725),
                                            IF(Z190&gt;615350, 183647.25+0.37*(Z190-615350)
                                            )
                                        )
                                    )
                                )
                            )
                        )
                    )
                ),
                IF(Z$157="HOH",
                    IF(Z190&lt;13300, 0,
                        IF(Z190&lt;29850, 0.1*(Z190-13300),
                            IF(Z190&lt;76400, 1655+0.12*(Z190-29850),
                                IF(Z190&lt;113800, 7241+0.22*(Z190-76400),
                                    IF(Z190&lt;205250, 15469+0.24*(Z190-113800),
                                        IF(Z190&lt;257000, 37417+0.32*(Z190-205250),
                                            IF(Z190&lt;622650, 53977+0.35*(Z190-257000),
                                                IF(Z190&gt;622650, 181954.5+0.37*(Z190-622650),
                                                    "Invalid Filing Status or Q148 Value"
                                                )
                                            )
                                        )
                                    )
                                )
                            )
                        )
                    )
                )
            )
        ),
        IF($R$157="X",
            IF(Z$157="MFJ",
                IF(Z190&lt;14600, 0,
                    IF(Z190&lt;26200, 0.1*(Z190-14600),
                        IF(Z190&lt;61750, 1160+0.12*(Z190-26200),
                            IF(Z190&lt;115125, 5426+0.22*(Z190-61750),
                                IF(Z190&lt;206550, 17168.5+0.24*(Z190-115125),
                                    IF(Z190&lt;258325, 39110.5+0.32*(Z190-206550),
                                        IF(Z190&lt;380200, 55678.5+0.35*(Z190-258325),
                                            IF(Z190&gt;380200, 98334.75+0.37*(Z190-380200)
                                            )
                                        )
                                    )
                                )
                            )
                        )
                    )
                ),
                IF(OR(Z$157="Single", Z$157="MFS"),
                    IF(Z190&lt;7300, 0,
                        IF(Z190&lt;13100, 0.1*(Z190-7300),
                            IF(Z190&lt;30875, 580+0.12*(Z190-13100),
                                IF(Z190&lt;57563, 2713+0.22*(Z190-30875),
                                    IF(Z190&lt;103275, 8584.25+0.24*(Z190-57563),
                                        IF(Z190&lt;129163, 19555.25+0.32*(Z190-103275),
                                            IF(Z190&lt;311975, 27839.25+0.35*(Z190-129163),
                                                IF(Z190&gt;311975, 91823.63+0.37*(Z190-311975)
                                                )
                                            )
                                        )
                                    )
                                )
                            )
                        )
                    ),
                    IF(Z$157="HOH",
                        IF(Z190&lt;10950, 0,
                            IF(Z190&lt;19225, 0.1*(Z190-10950),
                                IF(Z190&lt;42500, 827.5+0.12*(Z190-19225),
                                    IF(Z190&lt;61200, 3620.5+0.22*(Z190-42500),
                                        IF(Z190&lt;106925, 7734.5+0.24*(Z190-61200),
                                            IF(Z190&lt;132800, 18708.5+0.32*(Z190-106925),
                                                IF(Z190&lt;315625, 26988.5+0.35*(Z190-132800),
                                                    IF(Z190&gt;315625, 90977.25+0.37*(Z190-315625),
                                                        "Invalid Input"
                                                    )
                                                )
                                            )
                                        )
                                    )
                                )
                            )
                        )
                    )
                )
            )
        )
    )
)</f>
        <v>0</v>
      </c>
      <c r="AQ191" s="107" t="b">
        <f>IF(AA$156=2024,
    IF($R$157="-",
        IF(AA$157="MFJ",
            IF(AA190&lt;16300, 0,
                IF(AA190&lt;39500, 0.1*(AA190-16300),
                    IF(AA190&lt;110600, 2320+0.12*(AA190-39500),
                        IF(AA190&lt;217350, 10852+0.22*(AA190-110600),
                            IF(AA190&lt;400200, 34337+0.24*(AA190-217350),
                                IF(AA190&lt;503750, 78221+0.32*(AA190-400200),
                                    IF(AA190&lt;747500, 111357+0.35*(AA190-503750),
                                        IF(AA190&gt;747500, 196669.5+0.37*(AA190-747500)
                                        )
                                    )
                                )
                            )
                        )
                    )
                )
            ),
            IF(OR(AA$157="Single", AA$157="MFS"),
                IF(AA190&lt;6000, 0,
                    IF(AA190&lt;17600, 0.1*(AA190-6000),
                        IF(AA190&lt;53150, 1160+0.12*(AA190-17600),
                            IF(AA190&lt;106525, 5426+0.22*(AA190-53150),
                                IF(AA190&lt;197950, 17168.5+0.24*(AA190-106525),
                                    IF(AA190&lt;249725, 39110.5+0.32*(AA190-197950),
                                        IF(AA190&lt;615350, 55678.5+0.35*(AA190-249725),
                                            IF(AA190&gt;615350, 183647.25+0.37*(AA190-615350)
                                            )
                                        )
                                    )
                                )
                            )
                        )
                    )
                ),
                IF(AA$157="HOH",
                    IF(AA190&lt;13300, 0,
                        IF(AA190&lt;29850, 0.1*(AA190-13300),
                            IF(AA190&lt;76400, 1655+0.12*(AA190-29850),
                                IF(AA190&lt;113800, 7241+0.22*(AA190-76400),
                                    IF(AA190&lt;205250, 15469+0.24*(AA190-113800),
                                        IF(AA190&lt;257000, 37417+0.32*(AA190-205250),
                                            IF(AA190&lt;622650, 53977+0.35*(AA190-257000),
                                                IF(AA190&gt;622650, 181954.5+0.37*(AA190-622650),
                                                    "Invalid Filing Status or Q148 Value"
                                                )
                                            )
                                        )
                                    )
                                )
                            )
                        )
                    )
                )
            )
        ),
        IF($R$157="X",
            IF(AA$157="MFJ",
                IF(AA190&lt;14600, 0,
                    IF(AA190&lt;26200, 0.1*(AA190-14600),
                        IF(AA190&lt;61750, 1160+0.12*(AA190-26200),
                            IF(AA190&lt;115125, 5426+0.22*(AA190-61750),
                                IF(AA190&lt;206550, 17168.5+0.24*(AA190-115125),
                                    IF(AA190&lt;258325, 39110.5+0.32*(AA190-206550),
                                        IF(AA190&lt;380200, 55678.5+0.35*(AA190-258325),
                                            IF(AA190&gt;380200, 98334.75+0.37*(AA190-380200)
                                            )
                                        )
                                    )
                                )
                            )
                        )
                    )
                ),
                IF(OR(AA$157="Single", AA$157="MFS"),
                    IF(AA190&lt;7300, 0,
                        IF(AA190&lt;13100, 0.1*(AA190-7300),
                            IF(AA190&lt;30875, 580+0.12*(AA190-13100),
                                IF(AA190&lt;57563, 2713+0.22*(AA190-30875),
                                    IF(AA190&lt;103275, 8584.25+0.24*(AA190-57563),
                                        IF(AA190&lt;129163, 19555.25+0.32*(AA190-103275),
                                            IF(AA190&lt;311975, 27839.25+0.35*(AA190-129163),
                                                IF(AA190&gt;311975, 91823.63+0.37*(AA190-311975)
                                                )
                                            )
                                        )
                                    )
                                )
                            )
                        )
                    ),
                    IF(AA$157="HOH",
                        IF(AA190&lt;10950, 0,
                            IF(AA190&lt;19225, 0.1*(AA190-10950),
                                IF(AA190&lt;42500, 827.5+0.12*(AA190-19225),
                                    IF(AA190&lt;61200, 3620.5+0.22*(AA190-42500),
                                        IF(AA190&lt;106925, 7734.5+0.24*(AA190-61200),
                                            IF(AA190&lt;132800, 18708.5+0.32*(AA190-106925),
                                                IF(AA190&lt;315625, 26988.5+0.35*(AA190-132800),
                                                    IF(AA190&gt;315625, 90977.25+0.37*(AA190-315625),
                                                        "Invalid Input"
                                                    )
                                                )
                                            )
                                        )
                                    )
                                )
                            )
                        )
                    )
                )
            )
        )
    )
)</f>
        <v>0</v>
      </c>
      <c r="AR191" s="107" t="b">
        <f>IF(AB$156=2024,
    IF($R$157="-",
        IF(AB$157="MFJ",
            IF(AB190&lt;16300, 0,
                IF(AB190&lt;39500, 0.1*(AB190-16300),
                    IF(AB190&lt;110600, 2320+0.12*(AB190-39500),
                        IF(AB190&lt;217350, 10852+0.22*(AB190-110600),
                            IF(AB190&lt;400200, 34337+0.24*(AB190-217350),
                                IF(AB190&lt;503750, 78221+0.32*(AB190-400200),
                                    IF(AB190&lt;747500, 111357+0.35*(AB190-503750),
                                        IF(AB190&gt;747500, 196669.5+0.37*(AB190-747500)
                                        )
                                    )
                                )
                            )
                        )
                    )
                )
            ),
            IF(OR(AB$157="Single", AB$157="MFS"),
                IF(AB190&lt;6000, 0,
                    IF(AB190&lt;17600, 0.1*(AB190-6000),
                        IF(AB190&lt;53150, 1160+0.12*(AB190-17600),
                            IF(AB190&lt;106525, 5426+0.22*(AB190-53150),
                                IF(AB190&lt;197950, 17168.5+0.24*(AB190-106525),
                                    IF(AB190&lt;249725, 39110.5+0.32*(AB190-197950),
                                        IF(AB190&lt;615350, 55678.5+0.35*(AB190-249725),
                                            IF(AB190&gt;615350, 183647.25+0.37*(AB190-615350)
                                            )
                                        )
                                    )
                                )
                            )
                        )
                    )
                ),
                IF(AB$157="HOH",
                    IF(AB190&lt;13300, 0,
                        IF(AB190&lt;29850, 0.1*(AB190-13300),
                            IF(AB190&lt;76400, 1655+0.12*(AB190-29850),
                                IF(AB190&lt;113800, 7241+0.22*(AB190-76400),
                                    IF(AB190&lt;205250, 15469+0.24*(AB190-113800),
                                        IF(AB190&lt;257000, 37417+0.32*(AB190-205250),
                                            IF(AB190&lt;622650, 53977+0.35*(AB190-257000),
                                                IF(AB190&gt;622650, 181954.5+0.37*(AB190-622650),
                                                    "Invalid Filing Status or Q148 Value"
                                                )
                                            )
                                        )
                                    )
                                )
                            )
                        )
                    )
                )
            )
        ),
        IF($R$157="X",
            IF(AB$157="MFJ",
                IF(AB190&lt;14600, 0,
                    IF(AB190&lt;26200, 0.1*(AB190-14600),
                        IF(AB190&lt;61750, 1160+0.12*(AB190-26200),
                            IF(AB190&lt;115125, 5426+0.22*(AB190-61750),
                                IF(AB190&lt;206550, 17168.5+0.24*(AB190-115125),
                                    IF(AB190&lt;258325, 39110.5+0.32*(AB190-206550),
                                        IF(AB190&lt;380200, 55678.5+0.35*(AB190-258325),
                                            IF(AB190&gt;380200, 98334.75+0.37*(AB190-380200)
                                            )
                                        )
                                    )
                                )
                            )
                        )
                    )
                ),
                IF(OR(AB$157="Single", AB$157="MFS"),
                    IF(AB190&lt;7300, 0,
                        IF(AB190&lt;13100, 0.1*(AB190-7300),
                            IF(AB190&lt;30875, 580+0.12*(AB190-13100),
                                IF(AB190&lt;57563, 2713+0.22*(AB190-30875),
                                    IF(AB190&lt;103275, 8584.25+0.24*(AB190-57563),
                                        IF(AB190&lt;129163, 19555.25+0.32*(AB190-103275),
                                            IF(AB190&lt;311975, 27839.25+0.35*(AB190-129163),
                                                IF(AB190&gt;311975, 91823.63+0.37*(AB190-311975)
                                                )
                                            )
                                        )
                                    )
                                )
                            )
                        )
                    ),
                    IF(AB$157="HOH",
                        IF(AB190&lt;10950, 0,
                            IF(AB190&lt;19225, 0.1*(AB190-10950),
                                IF(AB190&lt;42500, 827.5+0.12*(AB190-19225),
                                    IF(AB190&lt;61200, 3620.5+0.22*(AB190-42500),
                                        IF(AB190&lt;106925, 7734.5+0.24*(AB190-61200),
                                            IF(AB190&lt;132800, 18708.5+0.32*(AB190-106925),
                                                IF(AB190&lt;315625, 26988.5+0.35*(AB190-132800),
                                                    IF(AB190&gt;315625, 90977.25+0.37*(AB190-315625),
                                                        "Invalid Input"
                                                    )
                                                )
                                            )
                                        )
                                    )
                                )
                            )
                        )
                    )
                )
            )
        )
    )
)</f>
        <v>0</v>
      </c>
      <c r="AS191" s="107" t="b">
        <f>IF(AC$156=2024,
    IF($R$157="-",
        IF(AC$157="MFJ",
            IF(AC190&lt;16300, 0,
                IF(AC190&lt;39500, 0.1*(AC190-16300),
                    IF(AC190&lt;110600, 2320+0.12*(AC190-39500),
                        IF(AC190&lt;217350, 10852+0.22*(AC190-110600),
                            IF(AC190&lt;400200, 34337+0.24*(AC190-217350),
                                IF(AC190&lt;503750, 78221+0.32*(AC190-400200),
                                    IF(AC190&lt;747500, 111357+0.35*(AC190-503750),
                                        IF(AC190&gt;747500, 196669.5+0.37*(AC190-747500)
                                        )
                                    )
                                )
                            )
                        )
                    )
                )
            ),
            IF(OR(AC$157="Single", AC$157="MFS"),
                IF(AC190&lt;6000, 0,
                    IF(AC190&lt;17600, 0.1*(AC190-6000),
                        IF(AC190&lt;53150, 1160+0.12*(AC190-17600),
                            IF(AC190&lt;106525, 5426+0.22*(AC190-53150),
                                IF(AC190&lt;197950, 17168.5+0.24*(AC190-106525),
                                    IF(AC190&lt;249725, 39110.5+0.32*(AC190-197950),
                                        IF(AC190&lt;615350, 55678.5+0.35*(AC190-249725),
                                            IF(AC190&gt;615350, 183647.25+0.37*(AC190-615350)
                                            )
                                        )
                                    )
                                )
                            )
                        )
                    )
                ),
                IF(AC$157="HOH",
                    IF(AC190&lt;13300, 0,
                        IF(AC190&lt;29850, 0.1*(AC190-13300),
                            IF(AC190&lt;76400, 1655+0.12*(AC190-29850),
                                IF(AC190&lt;113800, 7241+0.22*(AC190-76400),
                                    IF(AC190&lt;205250, 15469+0.24*(AC190-113800),
                                        IF(AC190&lt;257000, 37417+0.32*(AC190-205250),
                                            IF(AC190&lt;622650, 53977+0.35*(AC190-257000),
                                                IF(AC190&gt;622650, 181954.5+0.37*(AC190-622650),
                                                    "Invalid Filing Status or Q148 Value"
                                                )
                                            )
                                        )
                                    )
                                )
                            )
                        )
                    )
                )
            )
        ),
        IF($R$157="X",
            IF(AC$157="MFJ",
                IF(AC190&lt;14600, 0,
                    IF(AC190&lt;26200, 0.1*(AC190-14600),
                        IF(AC190&lt;61750, 1160+0.12*(AC190-26200),
                            IF(AC190&lt;115125, 5426+0.22*(AC190-61750),
                                IF(AC190&lt;206550, 17168.5+0.24*(AC190-115125),
                                    IF(AC190&lt;258325, 39110.5+0.32*(AC190-206550),
                                        IF(AC190&lt;380200, 55678.5+0.35*(AC190-258325),
                                            IF(AC190&gt;380200, 98334.75+0.37*(AC190-380200)
                                            )
                                        )
                                    )
                                )
                            )
                        )
                    )
                ),
                IF(OR(AC$157="Single", AC$157="MFS"),
                    IF(AC190&lt;7300, 0,
                        IF(AC190&lt;13100, 0.1*(AC190-7300),
                            IF(AC190&lt;30875, 580+0.12*(AC190-13100),
                                IF(AC190&lt;57563, 2713+0.22*(AC190-30875),
                                    IF(AC190&lt;103275, 8584.25+0.24*(AC190-57563),
                                        IF(AC190&lt;129163, 19555.25+0.32*(AC190-103275),
                                            IF(AC190&lt;311975, 27839.25+0.35*(AC190-129163),
                                                IF(AC190&gt;311975, 91823.63+0.37*(AC190-311975)
                                                )
                                            )
                                        )
                                    )
                                )
                            )
                        )
                    ),
                    IF(AC$157="HOH",
                        IF(AC190&lt;10950, 0,
                            IF(AC190&lt;19225, 0.1*(AC190-10950),
                                IF(AC190&lt;42500, 827.5+0.12*(AC190-19225),
                                    IF(AC190&lt;61200, 3620.5+0.22*(AC190-42500),
                                        IF(AC190&lt;106925, 7734.5+0.24*(AC190-61200),
                                            IF(AC190&lt;132800, 18708.5+0.32*(AC190-106925),
                                                IF(AC190&lt;315625, 26988.5+0.35*(AC190-132800),
                                                    IF(AC190&gt;315625, 90977.25+0.37*(AC190-315625),
                                                        "Invalid Input"
                                                    )
                                                )
                                            )
                                        )
                                    )
                                )
                            )
                        )
                    )
                )
            )
        )
    )
)</f>
        <v>0</v>
      </c>
    </row>
    <row r="192" spans="2:45" x14ac:dyDescent="0.25">
      <c r="B192" s="214" t="s">
        <v>141</v>
      </c>
      <c r="D192" s="32">
        <v>7</v>
      </c>
      <c r="E192" s="33">
        <f t="shared" si="755"/>
        <v>7.6399999999999996E-2</v>
      </c>
      <c r="F192" s="34" t="e">
        <f t="shared" si="756"/>
        <v>#VALUE!</v>
      </c>
      <c r="G192" t="e">
        <f t="shared" si="751"/>
        <v>#VALUE!</v>
      </c>
      <c r="H192" s="34" t="e">
        <f t="shared" si="752"/>
        <v>#VALUE!</v>
      </c>
      <c r="N192" t="s">
        <v>235</v>
      </c>
      <c r="P192" s="106">
        <f>IF(P195="[Select State]", 0, INDEX(B$366:B$415, MATCH(P195, $A$366:$A$415, 0)))</f>
        <v>0</v>
      </c>
      <c r="Q192" s="106">
        <f>IF(Q195="[Select State]", 0, INDEX(C$366:C$415, MATCH(Q195, $A$366:$A$415, 0)))</f>
        <v>0</v>
      </c>
      <c r="R192" s="106">
        <f>IF(R195="[Select State]", 0, INDEX(D$366:D$415, MATCH(R195, $A$366:$A$415, 0)))</f>
        <v>0</v>
      </c>
      <c r="S192" s="106">
        <f t="shared" ref="S192:U192" si="762">IF(S195="[Select State]", 0, INDEX(E$366:E$415, MATCH(S195, $A$366:$A$415, 0)))</f>
        <v>0</v>
      </c>
      <c r="T192" s="106">
        <f t="shared" si="762"/>
        <v>0</v>
      </c>
      <c r="U192" s="106">
        <f t="shared" si="762"/>
        <v>0</v>
      </c>
      <c r="V192" s="106">
        <f>IF(V195="[Select State]", 0, INDEX(H$366:H$415, MATCH(V195, $A$366:$A$415, 0)))</f>
        <v>0</v>
      </c>
      <c r="W192" s="106">
        <f>IF(W195="[Select State]", 0, INDEX(I$366:I$415, MATCH(W195, $A$366:$A$415, 0)))</f>
        <v>0</v>
      </c>
      <c r="X192" s="106">
        <f>IF(X195="[Select State]", 0, INDEX(J$366:J$415, MATCH(X195, $A$366:$A$415, 0)))</f>
        <v>0</v>
      </c>
      <c r="Y192" s="106">
        <f>IF(Y195="[Select State]", 0, INDEX(K$366:K$414, MATCH(Y195, $A$366:$A$415, 0)))</f>
        <v>0</v>
      </c>
      <c r="Z192" s="106">
        <f>IF(Z195="[Select State]", 0, INDEX(L$349:L$416, MATCH(Z195, $A$366:$A$415, 0)))</f>
        <v>0</v>
      </c>
      <c r="AA192" s="106">
        <f>IF(AA195="[Select State]", 0, INDEX(M$352:M$419, MATCH(AA195, $A$366:$A$415, 0)))</f>
        <v>0</v>
      </c>
      <c r="AB192" s="106">
        <f>IF(AB195="[Select State]", 0, INDEX(N$352:N$419, MATCH(AB195, $A$366:$A$415, 0)))</f>
        <v>0</v>
      </c>
      <c r="AC192" s="106">
        <f>IF(AC195="[Select State]", 0, INDEX(O$352:O$419, MATCH(AC195, $A$366:$A$415, 0)))</f>
        <v>0</v>
      </c>
      <c r="AE192" s="93"/>
      <c r="AF192" s="93"/>
      <c r="AG192" s="93"/>
      <c r="AH192" s="93"/>
      <c r="AI192" s="93"/>
      <c r="AJ192" s="93"/>
      <c r="AK192" s="93"/>
      <c r="AL192" s="93"/>
      <c r="AM192" s="93"/>
      <c r="AN192" s="93"/>
      <c r="AO192" s="93"/>
      <c r="AP192" s="93"/>
      <c r="AQ192" s="93"/>
      <c r="AR192" s="93"/>
      <c r="AS192" s="93"/>
    </row>
    <row r="193" spans="2:45" x14ac:dyDescent="0.25">
      <c r="B193" s="214" t="s">
        <v>142</v>
      </c>
      <c r="D193" s="32">
        <v>8</v>
      </c>
      <c r="E193" s="33">
        <f t="shared" si="755"/>
        <v>7.6399999999999996E-2</v>
      </c>
      <c r="F193" s="34" t="e">
        <f t="shared" si="756"/>
        <v>#VALUE!</v>
      </c>
      <c r="G193" t="e">
        <f t="shared" si="751"/>
        <v>#VALUE!</v>
      </c>
      <c r="H193" s="34" t="e">
        <f t="shared" si="752"/>
        <v>#VALUE!</v>
      </c>
      <c r="O193" t="s">
        <v>208</v>
      </c>
      <c r="P193" s="102" t="str">
        <f>IF(B$1=2022, MIN(P190,147000)*0.062,
   IF(B$1=2023, MIN(P190,160200)*0.062,
      IF(B$1=2024, MIN(P190,168600)*0.062,
         "-"
      )
   )
)</f>
        <v>-</v>
      </c>
      <c r="Q193" s="102" t="str">
        <f>IF(C$1=2022, MIN(Q190,147000)*0.062,
   IF(C$1=2023, MIN(Q190,160200)*0.062,
      IF(C$1=2024, MIN(Q190,168600)*0.062,
         "-"
      )
   )
)</f>
        <v>-</v>
      </c>
      <c r="R193" s="102" t="str">
        <f>IF(D$1=2022, MIN(R190,147000)*0.062,
   IF(D$1=2023, MIN(R190,160200)*0.062,
      IF(D$1=2024, MIN(R190,168600)*0.062,
         "-"
      )
   )
)</f>
        <v>-</v>
      </c>
      <c r="S193" s="102" t="str">
        <f t="shared" ref="S193:U193" si="763">IF(E$1=2022, MIN(S190,147000)*0.062,
   IF(E$1=2023, MIN(S190,160200)*0.062,
      IF(E$1=2024, MIN(S190,168600)*0.062,
         "-"
      )
   )
)</f>
        <v>-</v>
      </c>
      <c r="T193" s="102" t="str">
        <f t="shared" si="763"/>
        <v>-</v>
      </c>
      <c r="U193" s="102" t="str">
        <f t="shared" si="763"/>
        <v>-</v>
      </c>
      <c r="V193" s="102" t="str">
        <f>IF(H$1=2022, MIN(V190,147000)*0.062,
   IF(H$1=2023, MIN(V190,160200)*0.062,
      IF(H$1=2024, MIN(V190,168600)*0.062,
         "-"
      )
   )
)</f>
        <v>-</v>
      </c>
      <c r="W193" s="102" t="str">
        <f>IF(I$1=2022, MIN(W190,147000)*0.062,
   IF(I$1=2023, MIN(W190,160200)*0.062,
      IF(I$1=2024, MIN(W190,168600)*0.062,
         "-"
      )
   )
)</f>
        <v>-</v>
      </c>
      <c r="X193" s="102" t="str">
        <f>IF(J$1=2022, MIN(X190,147000)*0.062,
   IF(J$1=2023, MIN(X190,160200)*0.062,
      IF(J$1=2024, MIN(X190,168600)*0.062,
         "-"
      )
   )
)</f>
        <v>-</v>
      </c>
      <c r="Y193" s="102" t="str">
        <f>IF(Y$156=2022, MIN(Y190,147000)*0.062,
   IF(Y$156=2023, MIN(Y190,160200)*0.062,
      IF(Y$156=2024, MIN(Y190,168600)*0.062,
         "-"
      )
   )
)</f>
        <v>-</v>
      </c>
      <c r="Z193" s="102" t="str">
        <f>IF(Z$156=2022, MIN(Z190,147000)*0.062,
   IF(Z$156=2023, MIN(Z190,160200)*0.062,
      IF(Z$156=2024, MIN(Z190,168600)*0.062,
         "-"
      )
   )
)</f>
        <v>-</v>
      </c>
      <c r="AA193" s="102" t="str">
        <f>IF(AA$156=2022, MIN(AA190,147000)*0.062,
   IF(AA$156=2023, MIN(AA190,160200)*0.062,
      IF(AA$156=2024, MIN(AA190,168600)*0.062,
         "-"
      )
   )
)</f>
        <v>-</v>
      </c>
      <c r="AB193" s="102" t="str">
        <f>IF(AB$156=2022, MIN(AB190,147000)*0.062,
   IF(AB$156=2023, MIN(AB190,160200)*0.062,
      IF(AB$156=2024, MIN(AB190,168600)*0.062,
         "-"
      )
   )
)</f>
        <v>-</v>
      </c>
      <c r="AC193" s="102" t="str">
        <f>IF(AC$156=2022, MIN(AC190,147000)*0.062,
   IF(AC$156=2023, MIN(AC190,160200)*0.062,
      IF(AC$156=2024, MIN(AC190,168600)*0.062,
         "-"
      )
   )
)</f>
        <v>-</v>
      </c>
      <c r="AE193" s="93"/>
      <c r="AF193" s="93"/>
      <c r="AG193" s="93"/>
      <c r="AH193" s="93"/>
      <c r="AI193" s="93"/>
      <c r="AJ193" s="93"/>
      <c r="AK193" s="93"/>
      <c r="AL193" s="93"/>
      <c r="AM193" s="93"/>
      <c r="AN193" s="93"/>
      <c r="AO193" s="93"/>
      <c r="AP193" s="93"/>
      <c r="AQ193" s="93"/>
      <c r="AR193" s="93"/>
      <c r="AS193" s="93"/>
    </row>
    <row r="194" spans="2:45" x14ac:dyDescent="0.25">
      <c r="B194" s="214" t="s">
        <v>143</v>
      </c>
      <c r="D194" s="32">
        <v>9</v>
      </c>
      <c r="E194" s="33">
        <f t="shared" si="755"/>
        <v>7.6399999999999996E-2</v>
      </c>
      <c r="F194" s="34" t="e">
        <f t="shared" si="756"/>
        <v>#VALUE!</v>
      </c>
      <c r="G194" t="e">
        <f t="shared" si="751"/>
        <v>#VALUE!</v>
      </c>
      <c r="H194" s="34" t="e">
        <f t="shared" si="752"/>
        <v>#VALUE!</v>
      </c>
      <c r="N194" s="125" t="s">
        <v>210</v>
      </c>
      <c r="O194" t="s">
        <v>207</v>
      </c>
      <c r="P194" s="102">
        <f>P190*0.0145</f>
        <v>0</v>
      </c>
      <c r="Q194" s="102">
        <f>Q190*0.0145</f>
        <v>0</v>
      </c>
      <c r="R194" s="102">
        <f>R190*0.0145</f>
        <v>0</v>
      </c>
      <c r="S194" s="102">
        <f t="shared" ref="S194:U194" si="764">S190*0.0145</f>
        <v>0</v>
      </c>
      <c r="T194" s="102">
        <f t="shared" si="764"/>
        <v>0</v>
      </c>
      <c r="U194" s="102">
        <f t="shared" si="764"/>
        <v>0</v>
      </c>
      <c r="V194" s="102">
        <f>V190*0.0145</f>
        <v>0</v>
      </c>
      <c r="W194" s="102">
        <f>W190*0.0145</f>
        <v>0</v>
      </c>
      <c r="X194" s="102">
        <f t="shared" ref="X194" si="765">X190*0.0145</f>
        <v>0</v>
      </c>
      <c r="Y194" s="102">
        <f>Y190*0.0145</f>
        <v>0</v>
      </c>
      <c r="Z194" s="102">
        <f>Z190*0.0145</f>
        <v>0</v>
      </c>
      <c r="AA194" s="102">
        <f>AA190*0.0145</f>
        <v>0</v>
      </c>
      <c r="AB194" s="102">
        <f>AB190*0.0145</f>
        <v>0</v>
      </c>
      <c r="AC194" s="102">
        <f>AC190*0.0145</f>
        <v>0</v>
      </c>
      <c r="AE194" s="93"/>
      <c r="AF194" s="93"/>
      <c r="AG194" s="93"/>
      <c r="AH194" s="93"/>
      <c r="AI194" s="93"/>
      <c r="AJ194" s="93"/>
      <c r="AK194" s="93"/>
      <c r="AL194" s="93"/>
      <c r="AM194" s="93"/>
      <c r="AN194" s="93"/>
      <c r="AO194" s="93"/>
      <c r="AP194" s="93"/>
      <c r="AQ194" s="93"/>
      <c r="AR194" s="93"/>
      <c r="AS194" s="93"/>
    </row>
    <row r="195" spans="2:45" x14ac:dyDescent="0.25">
      <c r="B195" s="214" t="s">
        <v>144</v>
      </c>
      <c r="D195" s="32">
        <v>10</v>
      </c>
      <c r="E195" s="33">
        <f t="shared" si="755"/>
        <v>7.6399999999999996E-2</v>
      </c>
      <c r="F195" s="34" t="e">
        <f t="shared" si="756"/>
        <v>#VALUE!</v>
      </c>
      <c r="G195" t="e">
        <f t="shared" si="751"/>
        <v>#VALUE!</v>
      </c>
      <c r="H195" s="34" t="e">
        <f t="shared" si="752"/>
        <v>#VALUE!</v>
      </c>
      <c r="P195" s="89" t="str">
        <f>B3</f>
        <v>[Select State]</v>
      </c>
      <c r="Q195" s="89" t="str">
        <f>C3</f>
        <v>[Select State]</v>
      </c>
      <c r="R195" s="89" t="str">
        <f>D3</f>
        <v>[Select State]</v>
      </c>
      <c r="S195" s="89" t="str">
        <f t="shared" ref="S195:U195" si="766">E3</f>
        <v>[Select State]</v>
      </c>
      <c r="T195" s="89" t="str">
        <f t="shared" si="766"/>
        <v>[Select State]</v>
      </c>
      <c r="U195" s="89" t="str">
        <f t="shared" si="766"/>
        <v>[Select State]</v>
      </c>
      <c r="V195" s="89" t="str">
        <f>H3</f>
        <v>[Select State]</v>
      </c>
      <c r="W195" s="89" t="str">
        <f>I3</f>
        <v>[Select State]</v>
      </c>
      <c r="X195" s="89" t="str">
        <f>J3</f>
        <v>[Select State]</v>
      </c>
      <c r="Y195" s="89" t="s">
        <v>62</v>
      </c>
      <c r="Z195" s="89" t="s">
        <v>62</v>
      </c>
      <c r="AA195" s="89" t="s">
        <v>62</v>
      </c>
      <c r="AB195" s="89" t="s">
        <v>62</v>
      </c>
      <c r="AC195" s="89" t="s">
        <v>62</v>
      </c>
      <c r="AE195" s="93"/>
      <c r="AF195" s="93"/>
      <c r="AG195" s="93"/>
      <c r="AH195" s="93"/>
      <c r="AI195" s="93"/>
      <c r="AJ195" s="93"/>
      <c r="AK195" s="93"/>
      <c r="AL195" s="93"/>
      <c r="AM195" s="93"/>
      <c r="AN195" s="93"/>
      <c r="AO195" s="93"/>
      <c r="AP195" s="93"/>
      <c r="AQ195" s="93"/>
      <c r="AR195" s="93"/>
      <c r="AS195" s="93"/>
    </row>
    <row r="196" spans="2:45" x14ac:dyDescent="0.25">
      <c r="B196" s="214" t="s">
        <v>145</v>
      </c>
      <c r="D196" s="32">
        <v>11</v>
      </c>
      <c r="E196" s="33">
        <f t="shared" si="755"/>
        <v>7.6399999999999996E-2</v>
      </c>
      <c r="F196" s="34" t="e">
        <f t="shared" si="756"/>
        <v>#VALUE!</v>
      </c>
      <c r="G196" t="e">
        <f t="shared" si="751"/>
        <v>#VALUE!</v>
      </c>
      <c r="H196" s="34" t="e">
        <f t="shared" si="752"/>
        <v>#VALUE!</v>
      </c>
      <c r="O196" t="s">
        <v>209</v>
      </c>
      <c r="P196" s="102" t="str">
        <f>IF(P189="W-2", 0, IF(B$1=2022, MIN(P190,147000)*0.062, IF(B$1=2023, MIN(P190,160200)*0.062, IF(B$1=2024, MIN(P190,168600)*0.062, "-"))))</f>
        <v>-</v>
      </c>
      <c r="Q196" s="102" t="str">
        <f>IF(Q189="W-2", 0, IF(C$1=2022, MIN(Q190,147000)*0.062, IF(C$1=2023, MIN(Q190,160200)*0.062, IF(C$1=2024, MIN(Q190,168600)*0.062, "-"))))</f>
        <v>-</v>
      </c>
      <c r="R196" s="102" t="str">
        <f>IF(R189="W-2", 0, IF(D$1=2022, MIN(R190,147000)*0.062, IF(D$1=2023, MIN(R190,160200)*0.062, IF(D$1=2024, MIN(R190,168600)*0.062, "-"))))</f>
        <v>-</v>
      </c>
      <c r="S196" s="102" t="str">
        <f t="shared" ref="S196:U196" si="767">IF(S189="W-2", 0, IF(E$1=2022, MIN(S190,147000)*0.062, IF(E$1=2023, MIN(S190,160200)*0.062, IF(E$1=2024, MIN(S190,168600)*0.062, "-"))))</f>
        <v>-</v>
      </c>
      <c r="T196" s="102" t="str">
        <f t="shared" si="767"/>
        <v>-</v>
      </c>
      <c r="U196" s="102" t="str">
        <f t="shared" si="767"/>
        <v>-</v>
      </c>
      <c r="V196" s="102" t="str">
        <f>IF(V189="W-2", 0, IF(H$1=2022, MIN(V190,147000)*0.062, IF(H$1=2023, MIN(V190,160200)*0.062, IF(H$1=2024, MIN(V190,168600)*0.062, "-"))))</f>
        <v>-</v>
      </c>
      <c r="W196" s="102" t="str">
        <f>IF(W189="W-2", 0, IF(I$1=2022, MIN(W190,147000)*0.062, IF(I$1=2023, MIN(W190,160200)*0.062, IF(I$1=2024, MIN(W190,168600)*0.062, "-"))))</f>
        <v>-</v>
      </c>
      <c r="X196" s="102" t="str">
        <f>IF(X189="W-2", 0, IF(J$1=2022, MIN(X190,147000)*0.062, IF(J$1=2023, MIN(X190,160200)*0.062, IF(J$1=2024, MIN(X190,168600)*0.062, "-"))))</f>
        <v>-</v>
      </c>
      <c r="Y196" s="102">
        <f>IF(Y189="W-2", 0, IF(Y$156=2022, MIN(Y190,147000)*0.062, IF(Y$156=2023, MIN(Y190,160200)*0.062, IF(Y$156=2024, MIN(Y190,168600)*0.062, "-"))))</f>
        <v>0</v>
      </c>
      <c r="Z196" s="102">
        <f>IF(Z189="W-2", 0, IF(Z$156=2022, MIN(Z190,147000)*0.062, IF(Z$156=2023, MIN(Z190,160200)*0.062, IF(Z$156=2024, MIN(Z190,168600)*0.062, "-"))))</f>
        <v>0</v>
      </c>
      <c r="AA196" s="102">
        <f>IF(AA189="W-2", 0, IF(AA$156=2022, MIN(AA190,147000)*0.062, IF(AA$156=2023, MIN(AA190,160200)*0.062, IF(AA$156=2024, MIN(AA190,168600)*0.062, "-"))))</f>
        <v>0</v>
      </c>
      <c r="AB196" s="102">
        <f>IF(AB189="W-2", 0, IF(AB$156=2022, MIN(AB190,147000)*0.062, IF(AB$156=2023, MIN(AB190,160200)*0.062, IF(AB$156=2024, MIN(AB190,168600)*0.062, "-"))))</f>
        <v>0</v>
      </c>
      <c r="AC196" s="102">
        <f>IF(AC189="W-2", 0, IF(AC$156=2022, MIN(AC190,147000)*0.062, IF(AC$156=2023, MIN(AC190,160200)*0.062, IF(AC$156=2024, MIN(AC190,168600)*0.062, "-"))))</f>
        <v>0</v>
      </c>
      <c r="AE196" s="93"/>
      <c r="AF196" s="93"/>
      <c r="AG196" s="93"/>
      <c r="AH196" s="93"/>
      <c r="AI196" s="93"/>
      <c r="AJ196" s="93"/>
      <c r="AK196" s="93"/>
      <c r="AL196" s="93"/>
      <c r="AM196" s="93"/>
      <c r="AN196" s="93"/>
      <c r="AO196" s="93"/>
      <c r="AP196" s="93"/>
      <c r="AQ196" s="93"/>
      <c r="AR196" s="93"/>
      <c r="AS196" s="93"/>
    </row>
    <row r="197" spans="2:45" x14ac:dyDescent="0.25">
      <c r="B197" s="214" t="s">
        <v>104</v>
      </c>
      <c r="D197" s="32">
        <v>12</v>
      </c>
      <c r="E197" s="33">
        <f t="shared" si="755"/>
        <v>7.6399999999999996E-2</v>
      </c>
      <c r="F197" s="34" t="e">
        <f t="shared" si="756"/>
        <v>#VALUE!</v>
      </c>
      <c r="G197" t="e">
        <f t="shared" si="751"/>
        <v>#VALUE!</v>
      </c>
      <c r="H197" s="34" t="e">
        <f t="shared" si="752"/>
        <v>#VALUE!</v>
      </c>
      <c r="N197" s="125" t="s">
        <v>211</v>
      </c>
      <c r="O197" t="s">
        <v>207</v>
      </c>
      <c r="P197" s="102">
        <f>IF(P189="W-2", 0, P190*0.0145)</f>
        <v>0</v>
      </c>
      <c r="Q197" s="102">
        <f>IF(Q189="W-2", 0, Q190*0.0145)</f>
        <v>0</v>
      </c>
      <c r="R197" s="102">
        <f>IF(R189="W-2", 0, R190*0.0145)</f>
        <v>0</v>
      </c>
      <c r="S197" s="102">
        <f t="shared" ref="S197:U197" si="768">IF(S189="W-2", 0, S190*0.0145)</f>
        <v>0</v>
      </c>
      <c r="T197" s="102">
        <f t="shared" si="768"/>
        <v>0</v>
      </c>
      <c r="U197" s="102">
        <f t="shared" si="768"/>
        <v>0</v>
      </c>
      <c r="V197" s="102">
        <f>IF(V189="W-2", 0, V190*0.0145)</f>
        <v>0</v>
      </c>
      <c r="W197" s="102">
        <f>IF(W189="W-2", 0, W190*0.0145)</f>
        <v>0</v>
      </c>
      <c r="X197" s="102">
        <f t="shared" ref="X197" si="769">IF(X189="W-2", 0, X190*0.0145)</f>
        <v>0</v>
      </c>
      <c r="Y197" s="102">
        <f>IF(Y189="W-2", 0, Y190*0.0145)</f>
        <v>0</v>
      </c>
      <c r="Z197" s="102">
        <f>IF(Z189="W-2", 0, Z190*0.0145)</f>
        <v>0</v>
      </c>
      <c r="AA197" s="102">
        <f>IF(AA189="W-2", 0, AA190*0.0145)</f>
        <v>0</v>
      </c>
      <c r="AB197" s="102">
        <f>IF(AB189="W-2", 0, AB190*0.0145)</f>
        <v>0</v>
      </c>
      <c r="AC197" s="102">
        <f>IF(AC189="W-2", 0, AC190*0.0145)</f>
        <v>0</v>
      </c>
      <c r="AE197" s="93"/>
      <c r="AF197" s="93"/>
      <c r="AG197" s="93"/>
      <c r="AH197" s="93"/>
      <c r="AI197" s="93"/>
      <c r="AJ197" s="93"/>
      <c r="AK197" s="93"/>
      <c r="AL197" s="93"/>
      <c r="AM197" s="93"/>
      <c r="AN197" s="93"/>
      <c r="AO197" s="93"/>
      <c r="AP197" s="93"/>
      <c r="AQ197" s="93"/>
      <c r="AR197" s="93"/>
      <c r="AS197" s="93"/>
    </row>
    <row r="198" spans="2:45" x14ac:dyDescent="0.25">
      <c r="B198" s="214" t="s">
        <v>146</v>
      </c>
      <c r="D198" s="32">
        <v>13</v>
      </c>
      <c r="E198" s="33">
        <f t="shared" si="755"/>
        <v>7.6399999999999996E-2</v>
      </c>
      <c r="F198" s="34" t="e">
        <f t="shared" si="756"/>
        <v>#VALUE!</v>
      </c>
      <c r="G198" t="e">
        <f t="shared" si="751"/>
        <v>#VALUE!</v>
      </c>
      <c r="H198" s="34" t="e">
        <f t="shared" si="752"/>
        <v>#VALUE!</v>
      </c>
      <c r="O198" t="s">
        <v>223</v>
      </c>
      <c r="P198" s="102" cm="1">
        <f t="array" ref="P198">IF(P189="W-2",0,_xlfn.IFNA(_xlfn.IFS(
B$1=2022,
_xlfn.SWITCH(
P195,
"Alabama Taxes",MIN(P190,8000)*0.027,
"Alaska Taxes",MIN(P190,45200)*0.0237,
"Arizona Taxes",MIN(P190,7000)*0.02,
"Arkansas Taxes",MIN(P190,10000)*0.031,
"California Taxes",MIN(P190,7000)*0.034,
"Colorado Taxes",MIN(P190,17000)*0.017,
"Connecticut Taxes",MIN(P190,15000)*0.03,
"Delaware Taxes",MIN(P190,16500)*0.018,
"District of Columbia Taxes",MIN(P190,9000)*0.027,
"Florida Taxes",MIN(P190,7000)*0.027,
"Georgia Taxes",MIN(P190,9500)*0.0264,
"Hawaii Taxes",MIN(P190,51600)*0.03,
"Idaho Taxes",MIN(P190,46500)*0.0097,
"Illinois Taxes",MIN(P190,12960)*0.03525,
"Indiana Taxes",MIN(P190,9500)*0.025,
"Iowa Taxes",MIN(P190,34800)*0.01,
"Kansas Taxes",MIN(P190,14000)*0.027,
"Kentucky Taxes",MIN(P190,11100)*0.027,
"Louisiana Taxes",MIN(P190,7700)*0.027,
"Maine Taxes",MIN(P190,12000)*0.0224,
"Maryland Taxes",MIN(P190,8500)*0.026,
"Massachusetts Taxes",MIN(P190,15000)*0.0242,
"Michigan Taxes",MIN(P190,9500)*0.027,
"Minnesota Taxes",MIN(P190,38000)*0.027,
"Mississippi Taxes",MIN(P190,14000)*0.01,
"Missouri Taxes",MIN(P190,11000)*0.02376,
"Montana Taxes",MIN(P190,38100)*0.027,
"Nebraska Taxes",MIN(P190,24000)*0.0125,
"Nevada Taxes",MIN(P190,36600)*0.0295,
"New Hampshire Taxes",MIN(P190,14000)*0.027,
"New Jersey Taxes",MIN(P190,39800)*0.028,
"New Mexico Taxes",MIN(P190,28700)*0.01,
"New York Taxes",MIN(P190,12000)*0.03125,
"North Carolina Taxes",MIN(P190,28000)*0.01,
"North Dakota Taxes",MIN(P190,38400)*0.0102,
"Ohio Taxes",MIN(P190,9000)*0.027,
"Oklahoma Taxes",MIN(P190,24800)*0.015,
"Oregon Taxes",MIN(P190,47700)*0.024,
"Pennsylvania Taxes",MIN(P190,10000)*0.03689,
"Rhode Island Taxes",MIN(P190,24600)*0.0098,
"South Carolina Taxes",MIN(P190,14000)*0.0049,
"South Dakota Taxes",MIN(P190,15000)*0.012,
"Tennessee Taxes",MIN(P190,7000)*0.027,
"Texas Taxes",MIN(P190,9000)*0.027,
"Utah Taxes",MIN(P190,41600)*0.027,
"Vermont Taxes",MIN(P190,15500)*0.01,
"Virginia Taxes",MIN(P190,8000)*0.0273,
"Washington Taxes",MIN(P190,62500)*0.027,
"West Virginia Taxes",MIN(P190,12000)*0.027,
"Wisconsin Taxes",MIN(P190,14000)*0.0305,
"Wyoming Taxes",MIN(P190,27700)*0.027
),
B$1=2023,
_xlfn.SWITCH(
P195,
"Alabama Taxes",MIN(P190,8000)*0.027,
"Alaska Taxes",MIN(P190,41500)*0.0237,
"Arizona Taxes",MIN(P190,7000)*0.02,
"Arkansas Taxes",MIN(P190,12000)*0.031,
"California Taxes",MIN(P190,7000)*0.034,
"Colorado Taxes",MIN(P190,13800)*0.017,
"Connecticut Taxes",MIN(P190,15000)*0.028,
"Delaware Taxes",MIN(P190,8500)*0.001,
"District of Columbia Taxes",MIN(P190,9000)*0.027,
"Florida Taxes",MIN(P190,7000)*0.027,
"Georgia Taxes",MIN(P190,9500)*0.027,
"Hawaii Taxes",MIN(P190,46800)*0.04,
"Idaho Taxes",MIN(P190,41500)*0.01071,
"Illinois Taxes",MIN(P190,12900)*0.0395,
"Indiana Taxes",MIN(P190,9500)*0.025,
"Iowa Taxes",MIN(P190,29500)*0.01,
"Kansas Taxes",MIN(P190,14000)*0.027,
"Kentucky Taxes",MIN(P190,11000)*0.027,
"Louisiana Taxes",MIN(P190,7500)*0.0009,
"Maine Taxes",MIN(P190,12000)*0.0219,
"Maryland Taxes",MIN(P190,8500)*0.023,
"Massachusetts Taxes",MIN(P190,15000)*0.0143,
"Michigan Taxes",MIN(P190,9500)*0.027,
"Minnesota Taxes",MIN(P190,35000)*0.001,
"Mississippi Taxes",MIN(P190,14000)*0.01,
"Missouri Taxes",MIN(P190,13500)*0.027,
"Montana Taxes",MIN(P190,34500)*0.0013,
"Nebraska Taxes",MIN(P190,9000)*0.0125,
"Nevada Taxes",MIN(P190,33100)*0.0295,
"New Hampshire Taxes",MIN(P190,14000)*0.027,
"New Jersey Taxes",MIN(P190,35700)*0.031,
"New Mexico Taxes",MIN(P190,25400)*0.01,
"New York Taxes",MIN(P190,11500)*0.026,
"North Carolina Taxes",MIN(P190,25400)*0.01,
"North Dakota Taxes",MIN(P190,39200)*0.0113,
"Ohio Taxes",MIN(P190,9000)*0.027,
"Oklahoma Taxes",MIN(P190,17500)*0.015,
"Oregon Taxes",MIN(P190,43000)*0.021,
"Pennsylvania Taxes",MIN(P190,10000)*0.03822,
"Rhode Island Taxes",MIN(P190,24000)*0.0109,
"South Carolina Taxes",MIN(P190,14000)*0.0045,
"South Dakota Taxes",MIN(P190,15000)*0.012,
"Tennessee Taxes",MIN(P190,7000)*0.027,
"Texas Taxes",MIN(P190,9000)*0.027,
"Utah Taxes",MIN(P190,35700)*0.003,
"Vermont Taxes",MIN(P190,16000)*0.01,
"Virginia Taxes",MIN(P190,8000)*0.025,
"Washington Taxes",MIN(P190,56200)*0.0125,
"West Virginia Taxes",MIN(P190,12000)*0.027,
"Wisconsin Taxes",MIN(P190,14000)*0.0305,
"Wyoming Taxes",MIN(P190,25800)*0.018
),
B$1=2024,
_xlfn.SWITCH(
P195,
"Alabama Taxes",MIN(P190,8000)*0.027,
"Alaska Taxes",MIN(P190,41500)*0.0237,
"Arizona Taxes",MIN(P190,7000)*0.02,
"Arkansas Taxes",MIN(P190,12000)*0.031,
"California Taxes",MIN(P190,7000)*0.034,
"Colorado Taxes",MIN(P190,13800)*0.017,
"Connecticut Taxes",MIN(P190,15000)*0.028,
"Delaware Taxes",MIN(P190,8500)*0.001,
"District of Columbia Taxes",MIN(P190,9000)*0.027,
"Florida Taxes",MIN(P190,7000)*0.027,
"Georgia Taxes",MIN(P190,9500)*0.027,
"Hawaii Taxes",MIN(P190,46800)*0.04,
"Idaho Taxes",MIN(P190,41500)*0.01071,
"Illinois Taxes",MIN(P190,12900)*0.0395,
"Indiana Taxes",MIN(P190,9500)*0.025,
"Iowa Taxes",MIN(P190,29500)*0.01,
"Kansas Taxes",MIN(P190,14000)*0.027,
"Kentucky Taxes",MIN(P190,11000)*0.027,
"Louisiana Taxes",MIN(P190,7500)*0.0009,
"Maine Taxes",MIN(P190,12000)*0.0219,
"Maryland Taxes",MIN(P190,8500)*0.023,
"Massachusetts Taxes",MIN(P190,15000)*0.0143,
"Michigan Taxes",MIN(P190,9500)*0.027,
"Minnesota Taxes",MIN(P190,35000)*0.001,
"Mississippi Taxes",MIN(P190,14000)*0.01,
"Missouri Taxes",MIN(P190,13500)*0.027,
"Montana Taxes",MIN(P190,34500)*0.0013,
"Nebraska Taxes",MIN(P190,9000)*0.0125,
"Nevada Taxes",MIN(P190,33100)*0.0295,
"New Hampshire Taxes",MIN(P190,14000)*0.027,
"New Jersey Taxes",MIN(P190,35700)*0.031,
"New Mexico Taxes",MIN(P190,25400)*0.01,
"New York Taxes",MIN(P190,11500)*0.026,
"North Carolina Taxes",MIN(P190,25400)*0.01,
"North Dakota Taxes",MIN(P190,39200)*0.0113,
"Ohio Taxes",MIN(P190,9000)*0.027,
"Oklahoma Taxes",MIN(P190,17500)*0.015,
"Oregon Taxes",MIN(P190,43000)*0.021,
"Pennsylvania Taxes",MIN(P190,10000)*0.03822,
"Rhode Island Taxes",MIN(P190,24000)*0.0109,
"South Carolina Taxes",MIN(P190,14000)*0.0045,
"South Dakota Taxes",MIN(P190,15000)*0.012,
"Tennessee Taxes",MIN(P190,7000)*0.027,
"Texas Taxes",MIN(P190,9000)*0.027,
"Utah Taxes",MIN(P190,35700)*0.003,
"Vermont Taxes",MIN(P190,16000)*0.01,
"Virginia Taxes",MIN(P190,8000)*0.025,
"Washington Taxes",MIN(P190,56200)*0.0125,
"West Virginia Taxes",MIN(P190,12000)*0.027,
"Wisconsin Taxes",MIN(P190,14000)*0.0305,
"Wyoming Taxes",MIN(P190,25800)*0.018
)
),0))</f>
        <v>0</v>
      </c>
      <c r="Q198" s="102" cm="1">
        <f t="array" ref="Q198">IF(Q189="W-2",0,_xlfn.IFNA(_xlfn.IFS(
C$1=2022,
_xlfn.SWITCH(
Q195,
"Alabama Taxes",MIN(Q190,8000)*0.027,
"Alaska Taxes",MIN(Q190,45200)*0.0237,
"Arizona Taxes",MIN(Q190,7000)*0.02,
"Arkansas Taxes",MIN(Q190,10000)*0.031,
"California Taxes",MIN(Q190,7000)*0.034,
"Colorado Taxes",MIN(Q190,17000)*0.017,
"Connecticut Taxes",MIN(Q190,15000)*0.03,
"Delaware Taxes",MIN(Q190,16500)*0.018,
"District of Columbia Taxes",MIN(Q190,9000)*0.027,
"Florida Taxes",MIN(Q190,7000)*0.027,
"Georgia Taxes",MIN(Q190,9500)*0.0264,
"Hawaii Taxes",MIN(Q190,51600)*0.03,
"Idaho Taxes",MIN(Q190,46500)*0.0097,
"Illinois Taxes",MIN(Q190,12960)*0.03525,
"Indiana Taxes",MIN(Q190,9500)*0.025,
"Iowa Taxes",MIN(Q190,34800)*0.01,
"Kansas Taxes",MIN(Q190,14000)*0.027,
"Kentucky Taxes",MIN(Q190,11100)*0.027,
"Louisiana Taxes",MIN(Q190,7700)*0.027,
"Maine Taxes",MIN(Q190,12000)*0.0224,
"Maryland Taxes",MIN(Q190,8500)*0.026,
"Massachusetts Taxes",MIN(Q190,15000)*0.0242,
"Michigan Taxes",MIN(Q190,9500)*0.027,
"Minnesota Taxes",MIN(Q190,38000)*0.027,
"Mississippi Taxes",MIN(Q190,14000)*0.01,
"Missouri Taxes",MIN(Q190,11000)*0.02376,
"Montana Taxes",MIN(Q190,38100)*0.027,
"Nebraska Taxes",MIN(Q190,24000)*0.0125,
"Nevada Taxes",MIN(Q190,36600)*0.0295,
"New Hampshire Taxes",MIN(Q190,14000)*0.027,
"New Jersey Taxes",MIN(Q190,39800)*0.028,
"New Mexico Taxes",MIN(Q190,28700)*0.01,
"New York Taxes",MIN(Q190,12000)*0.03125,
"North Carolina Taxes",MIN(Q190,28000)*0.01,
"North Dakota Taxes",MIN(Q190,38400)*0.0102,
"Ohio Taxes",MIN(Q190,9000)*0.027,
"Oklahoma Taxes",MIN(Q190,24800)*0.015,
"Oregon Taxes",MIN(Q190,47700)*0.024,
"Pennsylvania Taxes",MIN(Q190,10000)*0.03689,
"Rhode Island Taxes",MIN(Q190,24600)*0.0098,
"South Carolina Taxes",MIN(Q190,14000)*0.0049,
"South Dakota Taxes",MIN(Q190,15000)*0.012,
"Tennessee Taxes",MIN(Q190,7000)*0.027,
"Texas Taxes",MIN(Q190,9000)*0.027,
"Utah Taxes",MIN(Q190,41600)*0.027,
"Vermont Taxes",MIN(Q190,15500)*0.01,
"Virginia Taxes",MIN(Q190,8000)*0.0273,
"Washington Taxes",MIN(Q190,62500)*0.027,
"West Virginia Taxes",MIN(Q190,12000)*0.027,
"Wisconsin Taxes",MIN(Q190,14000)*0.0305,
"Wyoming Taxes",MIN(Q190,27700)*0.027
),
C$1=2023,
_xlfn.SWITCH(
Q195,
"Alabama Taxes",MIN(Q190,8000)*0.027,
"Alaska Taxes",MIN(Q190,41500)*0.0237,
"Arizona Taxes",MIN(Q190,7000)*0.02,
"Arkansas Taxes",MIN(Q190,12000)*0.031,
"California Taxes",MIN(Q190,7000)*0.034,
"Colorado Taxes",MIN(Q190,13800)*0.017,
"Connecticut Taxes",MIN(Q190,15000)*0.028,
"Delaware Taxes",MIN(Q190,8500)*0.001,
"District of Columbia Taxes",MIN(Q190,9000)*0.027,
"Florida Taxes",MIN(Q190,7000)*0.027,
"Georgia Taxes",MIN(Q190,9500)*0.027,
"Hawaii Taxes",MIN(Q190,46800)*0.04,
"Idaho Taxes",MIN(Q190,41500)*0.01071,
"Illinois Taxes",MIN(Q190,12900)*0.0395,
"Indiana Taxes",MIN(Q190,9500)*0.025,
"Iowa Taxes",MIN(Q190,29500)*0.01,
"Kansas Taxes",MIN(Q190,14000)*0.027,
"Kentucky Taxes",MIN(Q190,11000)*0.027,
"Louisiana Taxes",MIN(Q190,7500)*0.0009,
"Maine Taxes",MIN(Q190,12000)*0.0219,
"Maryland Taxes",MIN(Q190,8500)*0.023,
"Massachusetts Taxes",MIN(Q190,15000)*0.0143,
"Michigan Taxes",MIN(Q190,9500)*0.027,
"Minnesota Taxes",MIN(Q190,35000)*0.001,
"Mississippi Taxes",MIN(Q190,14000)*0.01,
"Missouri Taxes",MIN(Q190,13500)*0.027,
"Montana Taxes",MIN(Q190,34500)*0.0013,
"Nebraska Taxes",MIN(Q190,9000)*0.0125,
"Nevada Taxes",MIN(Q190,33100)*0.0295,
"New Hampshire Taxes",MIN(Q190,14000)*0.027,
"New Jersey Taxes",MIN(Q190,35700)*0.031,
"New Mexico Taxes",MIN(Q190,25400)*0.01,
"New York Taxes",MIN(Q190,11500)*0.026,
"North Carolina Taxes",MIN(Q190,25400)*0.01,
"North Dakota Taxes",MIN(Q190,39200)*0.0113,
"Ohio Taxes",MIN(Q190,9000)*0.027,
"Oklahoma Taxes",MIN(Q190,17500)*0.015,
"Oregon Taxes",MIN(Q190,43000)*0.021,
"Pennsylvania Taxes",MIN(Q190,10000)*0.03822,
"Rhode Island Taxes",MIN(Q190,24000)*0.0109,
"South Carolina Taxes",MIN(Q190,14000)*0.0045,
"South Dakota Taxes",MIN(Q190,15000)*0.012,
"Tennessee Taxes",MIN(Q190,7000)*0.027,
"Texas Taxes",MIN(Q190,9000)*0.027,
"Utah Taxes",MIN(Q190,35700)*0.003,
"Vermont Taxes",MIN(Q190,16000)*0.01,
"Virginia Taxes",MIN(Q190,8000)*0.025,
"Washington Taxes",MIN(Q190,56200)*0.0125,
"West Virginia Taxes",MIN(Q190,12000)*0.027,
"Wisconsin Taxes",MIN(Q190,14000)*0.0305,
"Wyoming Taxes",MIN(Q190,25800)*0.018
),
C$1=2024,
_xlfn.SWITCH(
Q195,
"Alabama Taxes",MIN(Q190,8000)*0.027,
"Alaska Taxes",MIN(Q190,41500)*0.0237,
"Arizona Taxes",MIN(Q190,7000)*0.02,
"Arkansas Taxes",MIN(Q190,12000)*0.031,
"California Taxes",MIN(Q190,7000)*0.034,
"Colorado Taxes",MIN(Q190,13800)*0.017,
"Connecticut Taxes",MIN(Q190,15000)*0.028,
"Delaware Taxes",MIN(Q190,8500)*0.001,
"District of Columbia Taxes",MIN(Q190,9000)*0.027,
"Florida Taxes",MIN(Q190,7000)*0.027,
"Georgia Taxes",MIN(Q190,9500)*0.027,
"Hawaii Taxes",MIN(Q190,46800)*0.04,
"Idaho Taxes",MIN(Q190,41500)*0.01071,
"Illinois Taxes",MIN(Q190,12900)*0.0395,
"Indiana Taxes",MIN(Q190,9500)*0.025,
"Iowa Taxes",MIN(Q190,29500)*0.01,
"Kansas Taxes",MIN(Q190,14000)*0.027,
"Kentucky Taxes",MIN(Q190,11000)*0.027,
"Louisiana Taxes",MIN(Q190,7500)*0.0009,
"Maine Taxes",MIN(Q190,12000)*0.0219,
"Maryland Taxes",MIN(Q190,8500)*0.023,
"Massachusetts Taxes",MIN(Q190,15000)*0.0143,
"Michigan Taxes",MIN(Q190,9500)*0.027,
"Minnesota Taxes",MIN(Q190,35000)*0.001,
"Mississippi Taxes",MIN(Q190,14000)*0.01,
"Missouri Taxes",MIN(Q190,13500)*0.027,
"Montana Taxes",MIN(Q190,34500)*0.0013,
"Nebraska Taxes",MIN(Q190,9000)*0.0125,
"Nevada Taxes",MIN(Q190,33100)*0.0295,
"New Hampshire Taxes",MIN(Q190,14000)*0.027,
"New Jersey Taxes",MIN(Q190,35700)*0.031,
"New Mexico Taxes",MIN(Q190,25400)*0.01,
"New York Taxes",MIN(Q190,11500)*0.026,
"North Carolina Taxes",MIN(Q190,25400)*0.01,
"North Dakota Taxes",MIN(Q190,39200)*0.0113,
"Ohio Taxes",MIN(Q190,9000)*0.027,
"Oklahoma Taxes",MIN(Q190,17500)*0.015,
"Oregon Taxes",MIN(Q190,43000)*0.021,
"Pennsylvania Taxes",MIN(Q190,10000)*0.03822,
"Rhode Island Taxes",MIN(Q190,24000)*0.0109,
"South Carolina Taxes",MIN(Q190,14000)*0.0045,
"South Dakota Taxes",MIN(Q190,15000)*0.012,
"Tennessee Taxes",MIN(Q190,7000)*0.027,
"Texas Taxes",MIN(Q190,9000)*0.027,
"Utah Taxes",MIN(Q190,35700)*0.003,
"Vermont Taxes",MIN(Q190,16000)*0.01,
"Virginia Taxes",MIN(Q190,8000)*0.025,
"Washington Taxes",MIN(Q190,56200)*0.0125,
"West Virginia Taxes",MIN(Q190,12000)*0.027,
"Wisconsin Taxes",MIN(Q190,14000)*0.0305,
"Wyoming Taxes",MIN(Q190,25800)*0.018
)
),0))</f>
        <v>0</v>
      </c>
      <c r="R198" s="102" cm="1">
        <f t="array" ref="R198">IF(R189="W-2",0,_xlfn.IFNA(_xlfn.IFS(
D$1=2022,
_xlfn.SWITCH(
R195,
"Alabama Taxes",MIN(R190,8000)*0.027,
"Alaska Taxes",MIN(R190,45200)*0.0237,
"Arizona Taxes",MIN(R190,7000)*0.02,
"Arkansas Taxes",MIN(R190,10000)*0.031,
"California Taxes",MIN(R190,7000)*0.034,
"Colorado Taxes",MIN(R190,17000)*0.017,
"Connecticut Taxes",MIN(R190,15000)*0.03,
"Delaware Taxes",MIN(R190,16500)*0.018,
"District of Columbia Taxes",MIN(R190,9000)*0.027,
"Florida Taxes",MIN(R190,7000)*0.027,
"Georgia Taxes",MIN(R190,9500)*0.0264,
"Hawaii Taxes",MIN(R190,51600)*0.03,
"Idaho Taxes",MIN(R190,46500)*0.0097,
"Illinois Taxes",MIN(R190,12960)*0.03525,
"Indiana Taxes",MIN(R190,9500)*0.025,
"Iowa Taxes",MIN(R190,34800)*0.01,
"Kansas Taxes",MIN(R190,14000)*0.027,
"Kentucky Taxes",MIN(R190,11100)*0.027,
"Louisiana Taxes",MIN(R190,7700)*0.027,
"Maine Taxes",MIN(R190,12000)*0.0224,
"Maryland Taxes",MIN(R190,8500)*0.026,
"Massachusetts Taxes",MIN(R190,15000)*0.0242,
"Michigan Taxes",MIN(R190,9500)*0.027,
"Minnesota Taxes",MIN(R190,38000)*0.027,
"Mississippi Taxes",MIN(R190,14000)*0.01,
"Missouri Taxes",MIN(R190,11000)*0.02376,
"Montana Taxes",MIN(R190,38100)*0.027,
"Nebraska Taxes",MIN(R190,24000)*0.0125,
"Nevada Taxes",MIN(R190,36600)*0.0295,
"New Hampshire Taxes",MIN(R190,14000)*0.027,
"New Jersey Taxes",MIN(R190,39800)*0.028,
"New Mexico Taxes",MIN(R190,28700)*0.01,
"New York Taxes",MIN(R190,12000)*0.03125,
"North Carolina Taxes",MIN(R190,28000)*0.01,
"North Dakota Taxes",MIN(R190,38400)*0.0102,
"Ohio Taxes",MIN(R190,9000)*0.027,
"Oklahoma Taxes",MIN(R190,24800)*0.015,
"Oregon Taxes",MIN(R190,47700)*0.024,
"Pennsylvania Taxes",MIN(R190,10000)*0.03689,
"Rhode Island Taxes",MIN(R190,24600)*0.0098,
"South Carolina Taxes",MIN(R190,14000)*0.0049,
"South Dakota Taxes",MIN(R190,15000)*0.012,
"Tennessee Taxes",MIN(R190,7000)*0.027,
"Texas Taxes",MIN(R190,9000)*0.027,
"Utah Taxes",MIN(R190,41600)*0.027,
"Vermont Taxes",MIN(R190,15500)*0.01,
"Virginia Taxes",MIN(R190,8000)*0.0273,
"Washington Taxes",MIN(R190,62500)*0.027,
"West Virginia Taxes",MIN(R190,12000)*0.027,
"Wisconsin Taxes",MIN(R190,14000)*0.0305,
"Wyoming Taxes",MIN(R190,27700)*0.027
),
D$1=2023,
_xlfn.SWITCH(
R195,
"Alabama Taxes",MIN(R190,8000)*0.027,
"Alaska Taxes",MIN(R190,41500)*0.0237,
"Arizona Taxes",MIN(R190,7000)*0.02,
"Arkansas Taxes",MIN(R190,12000)*0.031,
"California Taxes",MIN(R190,7000)*0.034,
"Colorado Taxes",MIN(R190,13800)*0.017,
"Connecticut Taxes",MIN(R190,15000)*0.028,
"Delaware Taxes",MIN(R190,8500)*0.001,
"District of Columbia Taxes",MIN(R190,9000)*0.027,
"Florida Taxes",MIN(R190,7000)*0.027,
"Georgia Taxes",MIN(R190,9500)*0.027,
"Hawaii Taxes",MIN(R190,46800)*0.04,
"Idaho Taxes",MIN(R190,41500)*0.01071,
"Illinois Taxes",MIN(R190,12900)*0.0395,
"Indiana Taxes",MIN(R190,9500)*0.025,
"Iowa Taxes",MIN(R190,29500)*0.01,
"Kansas Taxes",MIN(R190,14000)*0.027,
"Kentucky Taxes",MIN(R190,11000)*0.027,
"Louisiana Taxes",MIN(R190,7500)*0.0009,
"Maine Taxes",MIN(R190,12000)*0.0219,
"Maryland Taxes",MIN(R190,8500)*0.023,
"Massachusetts Taxes",MIN(R190,15000)*0.0143,
"Michigan Taxes",MIN(R190,9500)*0.027,
"Minnesota Taxes",MIN(R190,35000)*0.001,
"Mississippi Taxes",MIN(R190,14000)*0.01,
"Missouri Taxes",MIN(R190,13500)*0.027,
"Montana Taxes",MIN(R190,34500)*0.0013,
"Nebraska Taxes",MIN(R190,9000)*0.0125,
"Nevada Taxes",MIN(R190,33100)*0.0295,
"New Hampshire Taxes",MIN(R190,14000)*0.027,
"New Jersey Taxes",MIN(R190,35700)*0.031,
"New Mexico Taxes",MIN(R190,25400)*0.01,
"New York Taxes",MIN(R190,11500)*0.026,
"North Carolina Taxes",MIN(R190,25400)*0.01,
"North Dakota Taxes",MIN(R190,39200)*0.0113,
"Ohio Taxes",MIN(R190,9000)*0.027,
"Oklahoma Taxes",MIN(R190,17500)*0.015,
"Oregon Taxes",MIN(R190,43000)*0.021,
"Pennsylvania Taxes",MIN(R190,10000)*0.03822,
"Rhode Island Taxes",MIN(R190,24000)*0.0109,
"South Carolina Taxes",MIN(R190,14000)*0.0045,
"South Dakota Taxes",MIN(R190,15000)*0.012,
"Tennessee Taxes",MIN(R190,7000)*0.027,
"Texas Taxes",MIN(R190,9000)*0.027,
"Utah Taxes",MIN(R190,35700)*0.003,
"Vermont Taxes",MIN(R190,16000)*0.01,
"Virginia Taxes",MIN(R190,8000)*0.025,
"Washington Taxes",MIN(R190,56200)*0.0125,
"West Virginia Taxes",MIN(R190,12000)*0.027,
"Wisconsin Taxes",MIN(R190,14000)*0.0305,
"Wyoming Taxes",MIN(R190,25800)*0.018
),
D$1=2024,
_xlfn.SWITCH(
R195,
"Alabama Taxes",MIN(R190,8000)*0.027,
"Alaska Taxes",MIN(R190,41500)*0.0237,
"Arizona Taxes",MIN(R190,7000)*0.02,
"Arkansas Taxes",MIN(R190,12000)*0.031,
"California Taxes",MIN(R190,7000)*0.034,
"Colorado Taxes",MIN(R190,13800)*0.017,
"Connecticut Taxes",MIN(R190,15000)*0.028,
"Delaware Taxes",MIN(R190,8500)*0.001,
"District of Columbia Taxes",MIN(R190,9000)*0.027,
"Florida Taxes",MIN(R190,7000)*0.027,
"Georgia Taxes",MIN(R190,9500)*0.027,
"Hawaii Taxes",MIN(R190,46800)*0.04,
"Idaho Taxes",MIN(R190,41500)*0.01071,
"Illinois Taxes",MIN(R190,12900)*0.0395,
"Indiana Taxes",MIN(R190,9500)*0.025,
"Iowa Taxes",MIN(R190,29500)*0.01,
"Kansas Taxes",MIN(R190,14000)*0.027,
"Kentucky Taxes",MIN(R190,11000)*0.027,
"Louisiana Taxes",MIN(R190,7500)*0.0009,
"Maine Taxes",MIN(R190,12000)*0.0219,
"Maryland Taxes",MIN(R190,8500)*0.023,
"Massachusetts Taxes",MIN(R190,15000)*0.0143,
"Michigan Taxes",MIN(R190,9500)*0.027,
"Minnesota Taxes",MIN(R190,35000)*0.001,
"Mississippi Taxes",MIN(R190,14000)*0.01,
"Missouri Taxes",MIN(R190,13500)*0.027,
"Montana Taxes",MIN(R190,34500)*0.0013,
"Nebraska Taxes",MIN(R190,9000)*0.0125,
"Nevada Taxes",MIN(R190,33100)*0.0295,
"New Hampshire Taxes",MIN(R190,14000)*0.027,
"New Jersey Taxes",MIN(R190,35700)*0.031,
"New Mexico Taxes",MIN(R190,25400)*0.01,
"New York Taxes",MIN(R190,11500)*0.026,
"North Carolina Taxes",MIN(R190,25400)*0.01,
"North Dakota Taxes",MIN(R190,39200)*0.0113,
"Ohio Taxes",MIN(R190,9000)*0.027,
"Oklahoma Taxes",MIN(R190,17500)*0.015,
"Oregon Taxes",MIN(R190,43000)*0.021,
"Pennsylvania Taxes",MIN(R190,10000)*0.03822,
"Rhode Island Taxes",MIN(R190,24000)*0.0109,
"South Carolina Taxes",MIN(R190,14000)*0.0045,
"South Dakota Taxes",MIN(R190,15000)*0.012,
"Tennessee Taxes",MIN(R190,7000)*0.027,
"Texas Taxes",MIN(R190,9000)*0.027,
"Utah Taxes",MIN(R190,35700)*0.003,
"Vermont Taxes",MIN(R190,16000)*0.01,
"Virginia Taxes",MIN(R190,8000)*0.025,
"Washington Taxes",MIN(R190,56200)*0.0125,
"West Virginia Taxes",MIN(R190,12000)*0.027,
"Wisconsin Taxes",MIN(R190,14000)*0.0305,
"Wyoming Taxes",MIN(R190,25800)*0.018
)
),0))</f>
        <v>0</v>
      </c>
      <c r="S198" s="102" cm="1">
        <f t="array" ref="S198">IF(S189="W-2",0,_xlfn.IFNA(_xlfn.IFS(
E$1=2022,
_xlfn.SWITCH(
S195,
"Alabama Taxes",MIN(S190,8000)*0.027,
"Alaska Taxes",MIN(S190,45200)*0.0237,
"Arizona Taxes",MIN(S190,7000)*0.02,
"Arkansas Taxes",MIN(S190,10000)*0.031,
"California Taxes",MIN(S190,7000)*0.034,
"Colorado Taxes",MIN(S190,17000)*0.017,
"Connecticut Taxes",MIN(S190,15000)*0.03,
"Delaware Taxes",MIN(S190,16500)*0.018,
"District of Columbia Taxes",MIN(S190,9000)*0.027,
"Florida Taxes",MIN(S190,7000)*0.027,
"Georgia Taxes",MIN(S190,9500)*0.0264,
"Hawaii Taxes",MIN(S190,51600)*0.03,
"Idaho Taxes",MIN(S190,46500)*0.0097,
"Illinois Taxes",MIN(S190,12960)*0.03525,
"Indiana Taxes",MIN(S190,9500)*0.025,
"Iowa Taxes",MIN(S190,34800)*0.01,
"Kansas Taxes",MIN(S190,14000)*0.027,
"Kentucky Taxes",MIN(S190,11100)*0.027,
"Louisiana Taxes",MIN(S190,7700)*0.027,
"Maine Taxes",MIN(S190,12000)*0.0224,
"Maryland Taxes",MIN(S190,8500)*0.026,
"Massachusetts Taxes",MIN(S190,15000)*0.0242,
"Michigan Taxes",MIN(S190,9500)*0.027,
"Minnesota Taxes",MIN(S190,38000)*0.027,
"Mississippi Taxes",MIN(S190,14000)*0.01,
"Missouri Taxes",MIN(S190,11000)*0.02376,
"Montana Taxes",MIN(S190,38100)*0.027,
"Nebraska Taxes",MIN(S190,24000)*0.0125,
"Nevada Taxes",MIN(S190,36600)*0.0295,
"New Hampshire Taxes",MIN(S190,14000)*0.027,
"New Jersey Taxes",MIN(S190,39800)*0.028,
"New Mexico Taxes",MIN(S190,28700)*0.01,
"New York Taxes",MIN(S190,12000)*0.03125,
"North Carolina Taxes",MIN(S190,28000)*0.01,
"North Dakota Taxes",MIN(S190,38400)*0.0102,
"Ohio Taxes",MIN(S190,9000)*0.027,
"Oklahoma Taxes",MIN(S190,24800)*0.015,
"Oregon Taxes",MIN(S190,47700)*0.024,
"Pennsylvania Taxes",MIN(S190,10000)*0.03689,
"Rhode Island Taxes",MIN(S190,24600)*0.0098,
"South Carolina Taxes",MIN(S190,14000)*0.0049,
"South Dakota Taxes",MIN(S190,15000)*0.012,
"Tennessee Taxes",MIN(S190,7000)*0.027,
"Texas Taxes",MIN(S190,9000)*0.027,
"Utah Taxes",MIN(S190,41600)*0.027,
"Vermont Taxes",MIN(S190,15500)*0.01,
"Virginia Taxes",MIN(S190,8000)*0.0273,
"Washington Taxes",MIN(S190,62500)*0.027,
"West Virginia Taxes",MIN(S190,12000)*0.027,
"Wisconsin Taxes",MIN(S190,14000)*0.0305,
"Wyoming Taxes",MIN(S190,27700)*0.027
),
E$1=2023,
_xlfn.SWITCH(
S195,
"Alabama Taxes",MIN(S190,8000)*0.027,
"Alaska Taxes",MIN(S190,41500)*0.0237,
"Arizona Taxes",MIN(S190,7000)*0.02,
"Arkansas Taxes",MIN(S190,12000)*0.031,
"California Taxes",MIN(S190,7000)*0.034,
"Colorado Taxes",MIN(S190,13800)*0.017,
"Connecticut Taxes",MIN(S190,15000)*0.028,
"Delaware Taxes",MIN(S190,8500)*0.001,
"District of Columbia Taxes",MIN(S190,9000)*0.027,
"Florida Taxes",MIN(S190,7000)*0.027,
"Georgia Taxes",MIN(S190,9500)*0.027,
"Hawaii Taxes",MIN(S190,46800)*0.04,
"Idaho Taxes",MIN(S190,41500)*0.01071,
"Illinois Taxes",MIN(S190,12900)*0.0395,
"Indiana Taxes",MIN(S190,9500)*0.025,
"Iowa Taxes",MIN(S190,29500)*0.01,
"Kansas Taxes",MIN(S190,14000)*0.027,
"Kentucky Taxes",MIN(S190,11000)*0.027,
"Louisiana Taxes",MIN(S190,7500)*0.0009,
"Maine Taxes",MIN(S190,12000)*0.0219,
"Maryland Taxes",MIN(S190,8500)*0.023,
"Massachusetts Taxes",MIN(S190,15000)*0.0143,
"Michigan Taxes",MIN(S190,9500)*0.027,
"Minnesota Taxes",MIN(S190,35000)*0.001,
"Mississippi Taxes",MIN(S190,14000)*0.01,
"Missouri Taxes",MIN(S190,13500)*0.027,
"Montana Taxes",MIN(S190,34500)*0.0013,
"Nebraska Taxes",MIN(S190,9000)*0.0125,
"Nevada Taxes",MIN(S190,33100)*0.0295,
"New Hampshire Taxes",MIN(S190,14000)*0.027,
"New Jersey Taxes",MIN(S190,35700)*0.031,
"New Mexico Taxes",MIN(S190,25400)*0.01,
"New York Taxes",MIN(S190,11500)*0.026,
"North Carolina Taxes",MIN(S190,25400)*0.01,
"North Dakota Taxes",MIN(S190,39200)*0.0113,
"Ohio Taxes",MIN(S190,9000)*0.027,
"Oklahoma Taxes",MIN(S190,17500)*0.015,
"Oregon Taxes",MIN(S190,43000)*0.021,
"Pennsylvania Taxes",MIN(S190,10000)*0.03822,
"Rhode Island Taxes",MIN(S190,24000)*0.0109,
"South Carolina Taxes",MIN(S190,14000)*0.0045,
"South Dakota Taxes",MIN(S190,15000)*0.012,
"Tennessee Taxes",MIN(S190,7000)*0.027,
"Texas Taxes",MIN(S190,9000)*0.027,
"Utah Taxes",MIN(S190,35700)*0.003,
"Vermont Taxes",MIN(S190,16000)*0.01,
"Virginia Taxes",MIN(S190,8000)*0.025,
"Washington Taxes",MIN(S190,56200)*0.0125,
"West Virginia Taxes",MIN(S190,12000)*0.027,
"Wisconsin Taxes",MIN(S190,14000)*0.0305,
"Wyoming Taxes",MIN(S190,25800)*0.018
),
E$1=2024,
_xlfn.SWITCH(
S195,
"Alabama Taxes",MIN(S190,8000)*0.027,
"Alaska Taxes",MIN(S190,41500)*0.0237,
"Arizona Taxes",MIN(S190,7000)*0.02,
"Arkansas Taxes",MIN(S190,12000)*0.031,
"California Taxes",MIN(S190,7000)*0.034,
"Colorado Taxes",MIN(S190,13800)*0.017,
"Connecticut Taxes",MIN(S190,15000)*0.028,
"Delaware Taxes",MIN(S190,8500)*0.001,
"District of Columbia Taxes",MIN(S190,9000)*0.027,
"Florida Taxes",MIN(S190,7000)*0.027,
"Georgia Taxes",MIN(S190,9500)*0.027,
"Hawaii Taxes",MIN(S190,46800)*0.04,
"Idaho Taxes",MIN(S190,41500)*0.01071,
"Illinois Taxes",MIN(S190,12900)*0.0395,
"Indiana Taxes",MIN(S190,9500)*0.025,
"Iowa Taxes",MIN(S190,29500)*0.01,
"Kansas Taxes",MIN(S190,14000)*0.027,
"Kentucky Taxes",MIN(S190,11000)*0.027,
"Louisiana Taxes",MIN(S190,7500)*0.0009,
"Maine Taxes",MIN(S190,12000)*0.0219,
"Maryland Taxes",MIN(S190,8500)*0.023,
"Massachusetts Taxes",MIN(S190,15000)*0.0143,
"Michigan Taxes",MIN(S190,9500)*0.027,
"Minnesota Taxes",MIN(S190,35000)*0.001,
"Mississippi Taxes",MIN(S190,14000)*0.01,
"Missouri Taxes",MIN(S190,13500)*0.027,
"Montana Taxes",MIN(S190,34500)*0.0013,
"Nebraska Taxes",MIN(S190,9000)*0.0125,
"Nevada Taxes",MIN(S190,33100)*0.0295,
"New Hampshire Taxes",MIN(S190,14000)*0.027,
"New Jersey Taxes",MIN(S190,35700)*0.031,
"New Mexico Taxes",MIN(S190,25400)*0.01,
"New York Taxes",MIN(S190,11500)*0.026,
"North Carolina Taxes",MIN(S190,25400)*0.01,
"North Dakota Taxes",MIN(S190,39200)*0.0113,
"Ohio Taxes",MIN(S190,9000)*0.027,
"Oklahoma Taxes",MIN(S190,17500)*0.015,
"Oregon Taxes",MIN(S190,43000)*0.021,
"Pennsylvania Taxes",MIN(S190,10000)*0.03822,
"Rhode Island Taxes",MIN(S190,24000)*0.0109,
"South Carolina Taxes",MIN(S190,14000)*0.0045,
"South Dakota Taxes",MIN(S190,15000)*0.012,
"Tennessee Taxes",MIN(S190,7000)*0.027,
"Texas Taxes",MIN(S190,9000)*0.027,
"Utah Taxes",MIN(S190,35700)*0.003,
"Vermont Taxes",MIN(S190,16000)*0.01,
"Virginia Taxes",MIN(S190,8000)*0.025,
"Washington Taxes",MIN(S190,56200)*0.0125,
"West Virginia Taxes",MIN(S190,12000)*0.027,
"Wisconsin Taxes",MIN(S190,14000)*0.0305,
"Wyoming Taxes",MIN(S190,25800)*0.018
)
),0))</f>
        <v>0</v>
      </c>
      <c r="T198" s="102" cm="1">
        <f t="array" ref="T198">IF(T189="W-2",0,_xlfn.IFNA(_xlfn.IFS(
F$1=2022,
_xlfn.SWITCH(
T195,
"Alabama Taxes",MIN(T190,8000)*0.027,
"Alaska Taxes",MIN(T190,45200)*0.0237,
"Arizona Taxes",MIN(T190,7000)*0.02,
"Arkansas Taxes",MIN(T190,10000)*0.031,
"California Taxes",MIN(T190,7000)*0.034,
"Colorado Taxes",MIN(T190,17000)*0.017,
"Connecticut Taxes",MIN(T190,15000)*0.03,
"Delaware Taxes",MIN(T190,16500)*0.018,
"District of Columbia Taxes",MIN(T190,9000)*0.027,
"Florida Taxes",MIN(T190,7000)*0.027,
"Georgia Taxes",MIN(T190,9500)*0.0264,
"Hawaii Taxes",MIN(T190,51600)*0.03,
"Idaho Taxes",MIN(T190,46500)*0.0097,
"Illinois Taxes",MIN(T190,12960)*0.03525,
"Indiana Taxes",MIN(T190,9500)*0.025,
"Iowa Taxes",MIN(T190,34800)*0.01,
"Kansas Taxes",MIN(T190,14000)*0.027,
"Kentucky Taxes",MIN(T190,11100)*0.027,
"Louisiana Taxes",MIN(T190,7700)*0.027,
"Maine Taxes",MIN(T190,12000)*0.0224,
"Maryland Taxes",MIN(T190,8500)*0.026,
"Massachusetts Taxes",MIN(T190,15000)*0.0242,
"Michigan Taxes",MIN(T190,9500)*0.027,
"Minnesota Taxes",MIN(T190,38000)*0.027,
"Mississippi Taxes",MIN(T190,14000)*0.01,
"Missouri Taxes",MIN(T190,11000)*0.02376,
"Montana Taxes",MIN(T190,38100)*0.027,
"Nebraska Taxes",MIN(T190,24000)*0.0125,
"Nevada Taxes",MIN(T190,36600)*0.0295,
"New Hampshire Taxes",MIN(T190,14000)*0.027,
"New Jersey Taxes",MIN(T190,39800)*0.028,
"New Mexico Taxes",MIN(T190,28700)*0.01,
"New York Taxes",MIN(T190,12000)*0.03125,
"North Carolina Taxes",MIN(T190,28000)*0.01,
"North Dakota Taxes",MIN(T190,38400)*0.0102,
"Ohio Taxes",MIN(T190,9000)*0.027,
"Oklahoma Taxes",MIN(T190,24800)*0.015,
"Oregon Taxes",MIN(T190,47700)*0.024,
"Pennsylvania Taxes",MIN(T190,10000)*0.03689,
"Rhode Island Taxes",MIN(T190,24600)*0.0098,
"South Carolina Taxes",MIN(T190,14000)*0.0049,
"South Dakota Taxes",MIN(T190,15000)*0.012,
"Tennessee Taxes",MIN(T190,7000)*0.027,
"Texas Taxes",MIN(T190,9000)*0.027,
"Utah Taxes",MIN(T190,41600)*0.027,
"Vermont Taxes",MIN(T190,15500)*0.01,
"Virginia Taxes",MIN(T190,8000)*0.0273,
"Washington Taxes",MIN(T190,62500)*0.027,
"West Virginia Taxes",MIN(T190,12000)*0.027,
"Wisconsin Taxes",MIN(T190,14000)*0.0305,
"Wyoming Taxes",MIN(T190,27700)*0.027
),
F$1=2023,
_xlfn.SWITCH(
T195,
"Alabama Taxes",MIN(T190,8000)*0.027,
"Alaska Taxes",MIN(T190,41500)*0.0237,
"Arizona Taxes",MIN(T190,7000)*0.02,
"Arkansas Taxes",MIN(T190,12000)*0.031,
"California Taxes",MIN(T190,7000)*0.034,
"Colorado Taxes",MIN(T190,13800)*0.017,
"Connecticut Taxes",MIN(T190,15000)*0.028,
"Delaware Taxes",MIN(T190,8500)*0.001,
"District of Columbia Taxes",MIN(T190,9000)*0.027,
"Florida Taxes",MIN(T190,7000)*0.027,
"Georgia Taxes",MIN(T190,9500)*0.027,
"Hawaii Taxes",MIN(T190,46800)*0.04,
"Idaho Taxes",MIN(T190,41500)*0.01071,
"Illinois Taxes",MIN(T190,12900)*0.0395,
"Indiana Taxes",MIN(T190,9500)*0.025,
"Iowa Taxes",MIN(T190,29500)*0.01,
"Kansas Taxes",MIN(T190,14000)*0.027,
"Kentucky Taxes",MIN(T190,11000)*0.027,
"Louisiana Taxes",MIN(T190,7500)*0.0009,
"Maine Taxes",MIN(T190,12000)*0.0219,
"Maryland Taxes",MIN(T190,8500)*0.023,
"Massachusetts Taxes",MIN(T190,15000)*0.0143,
"Michigan Taxes",MIN(T190,9500)*0.027,
"Minnesota Taxes",MIN(T190,35000)*0.001,
"Mississippi Taxes",MIN(T190,14000)*0.01,
"Missouri Taxes",MIN(T190,13500)*0.027,
"Montana Taxes",MIN(T190,34500)*0.0013,
"Nebraska Taxes",MIN(T190,9000)*0.0125,
"Nevada Taxes",MIN(T190,33100)*0.0295,
"New Hampshire Taxes",MIN(T190,14000)*0.027,
"New Jersey Taxes",MIN(T190,35700)*0.031,
"New Mexico Taxes",MIN(T190,25400)*0.01,
"New York Taxes",MIN(T190,11500)*0.026,
"North Carolina Taxes",MIN(T190,25400)*0.01,
"North Dakota Taxes",MIN(T190,39200)*0.0113,
"Ohio Taxes",MIN(T190,9000)*0.027,
"Oklahoma Taxes",MIN(T190,17500)*0.015,
"Oregon Taxes",MIN(T190,43000)*0.021,
"Pennsylvania Taxes",MIN(T190,10000)*0.03822,
"Rhode Island Taxes",MIN(T190,24000)*0.0109,
"South Carolina Taxes",MIN(T190,14000)*0.0045,
"South Dakota Taxes",MIN(T190,15000)*0.012,
"Tennessee Taxes",MIN(T190,7000)*0.027,
"Texas Taxes",MIN(T190,9000)*0.027,
"Utah Taxes",MIN(T190,35700)*0.003,
"Vermont Taxes",MIN(T190,16000)*0.01,
"Virginia Taxes",MIN(T190,8000)*0.025,
"Washington Taxes",MIN(T190,56200)*0.0125,
"West Virginia Taxes",MIN(T190,12000)*0.027,
"Wisconsin Taxes",MIN(T190,14000)*0.0305,
"Wyoming Taxes",MIN(T190,25800)*0.018
),
F$1=2024,
_xlfn.SWITCH(
T195,
"Alabama Taxes",MIN(T190,8000)*0.027,
"Alaska Taxes",MIN(T190,41500)*0.0237,
"Arizona Taxes",MIN(T190,7000)*0.02,
"Arkansas Taxes",MIN(T190,12000)*0.031,
"California Taxes",MIN(T190,7000)*0.034,
"Colorado Taxes",MIN(T190,13800)*0.017,
"Connecticut Taxes",MIN(T190,15000)*0.028,
"Delaware Taxes",MIN(T190,8500)*0.001,
"District of Columbia Taxes",MIN(T190,9000)*0.027,
"Florida Taxes",MIN(T190,7000)*0.027,
"Georgia Taxes",MIN(T190,9500)*0.027,
"Hawaii Taxes",MIN(T190,46800)*0.04,
"Idaho Taxes",MIN(T190,41500)*0.01071,
"Illinois Taxes",MIN(T190,12900)*0.0395,
"Indiana Taxes",MIN(T190,9500)*0.025,
"Iowa Taxes",MIN(T190,29500)*0.01,
"Kansas Taxes",MIN(T190,14000)*0.027,
"Kentucky Taxes",MIN(T190,11000)*0.027,
"Louisiana Taxes",MIN(T190,7500)*0.0009,
"Maine Taxes",MIN(T190,12000)*0.0219,
"Maryland Taxes",MIN(T190,8500)*0.023,
"Massachusetts Taxes",MIN(T190,15000)*0.0143,
"Michigan Taxes",MIN(T190,9500)*0.027,
"Minnesota Taxes",MIN(T190,35000)*0.001,
"Mississippi Taxes",MIN(T190,14000)*0.01,
"Missouri Taxes",MIN(T190,13500)*0.027,
"Montana Taxes",MIN(T190,34500)*0.0013,
"Nebraska Taxes",MIN(T190,9000)*0.0125,
"Nevada Taxes",MIN(T190,33100)*0.0295,
"New Hampshire Taxes",MIN(T190,14000)*0.027,
"New Jersey Taxes",MIN(T190,35700)*0.031,
"New Mexico Taxes",MIN(T190,25400)*0.01,
"New York Taxes",MIN(T190,11500)*0.026,
"North Carolina Taxes",MIN(T190,25400)*0.01,
"North Dakota Taxes",MIN(T190,39200)*0.0113,
"Ohio Taxes",MIN(T190,9000)*0.027,
"Oklahoma Taxes",MIN(T190,17500)*0.015,
"Oregon Taxes",MIN(T190,43000)*0.021,
"Pennsylvania Taxes",MIN(T190,10000)*0.03822,
"Rhode Island Taxes",MIN(T190,24000)*0.0109,
"South Carolina Taxes",MIN(T190,14000)*0.0045,
"South Dakota Taxes",MIN(T190,15000)*0.012,
"Tennessee Taxes",MIN(T190,7000)*0.027,
"Texas Taxes",MIN(T190,9000)*0.027,
"Utah Taxes",MIN(T190,35700)*0.003,
"Vermont Taxes",MIN(T190,16000)*0.01,
"Virginia Taxes",MIN(T190,8000)*0.025,
"Washington Taxes",MIN(T190,56200)*0.0125,
"West Virginia Taxes",MIN(T190,12000)*0.027,
"Wisconsin Taxes",MIN(T190,14000)*0.0305,
"Wyoming Taxes",MIN(T190,25800)*0.018
)
),0))</f>
        <v>0</v>
      </c>
      <c r="U198" s="102" cm="1">
        <f t="array" ref="U198">IF(U189="W-2",0,_xlfn.IFNA(_xlfn.IFS(
G$1=2022,
_xlfn.SWITCH(
U195,
"Alabama Taxes",MIN(U190,8000)*0.027,
"Alaska Taxes",MIN(U190,45200)*0.0237,
"Arizona Taxes",MIN(U190,7000)*0.02,
"Arkansas Taxes",MIN(U190,10000)*0.031,
"California Taxes",MIN(U190,7000)*0.034,
"Colorado Taxes",MIN(U190,17000)*0.017,
"Connecticut Taxes",MIN(U190,15000)*0.03,
"Delaware Taxes",MIN(U190,16500)*0.018,
"District of Columbia Taxes",MIN(U190,9000)*0.027,
"Florida Taxes",MIN(U190,7000)*0.027,
"Georgia Taxes",MIN(U190,9500)*0.0264,
"Hawaii Taxes",MIN(U190,51600)*0.03,
"Idaho Taxes",MIN(U190,46500)*0.0097,
"Illinois Taxes",MIN(U190,12960)*0.03525,
"Indiana Taxes",MIN(U190,9500)*0.025,
"Iowa Taxes",MIN(U190,34800)*0.01,
"Kansas Taxes",MIN(U190,14000)*0.027,
"Kentucky Taxes",MIN(U190,11100)*0.027,
"Louisiana Taxes",MIN(U190,7700)*0.027,
"Maine Taxes",MIN(U190,12000)*0.0224,
"Maryland Taxes",MIN(U190,8500)*0.026,
"Massachusetts Taxes",MIN(U190,15000)*0.0242,
"Michigan Taxes",MIN(U190,9500)*0.027,
"Minnesota Taxes",MIN(U190,38000)*0.027,
"Mississippi Taxes",MIN(U190,14000)*0.01,
"Missouri Taxes",MIN(U190,11000)*0.02376,
"Montana Taxes",MIN(U190,38100)*0.027,
"Nebraska Taxes",MIN(U190,24000)*0.0125,
"Nevada Taxes",MIN(U190,36600)*0.0295,
"New Hampshire Taxes",MIN(U190,14000)*0.027,
"New Jersey Taxes",MIN(U190,39800)*0.028,
"New Mexico Taxes",MIN(U190,28700)*0.01,
"New York Taxes",MIN(U190,12000)*0.03125,
"North Carolina Taxes",MIN(U190,28000)*0.01,
"North Dakota Taxes",MIN(U190,38400)*0.0102,
"Ohio Taxes",MIN(U190,9000)*0.027,
"Oklahoma Taxes",MIN(U190,24800)*0.015,
"Oregon Taxes",MIN(U190,47700)*0.024,
"Pennsylvania Taxes",MIN(U190,10000)*0.03689,
"Rhode Island Taxes",MIN(U190,24600)*0.0098,
"South Carolina Taxes",MIN(U190,14000)*0.0049,
"South Dakota Taxes",MIN(U190,15000)*0.012,
"Tennessee Taxes",MIN(U190,7000)*0.027,
"Texas Taxes",MIN(U190,9000)*0.027,
"Utah Taxes",MIN(U190,41600)*0.027,
"Vermont Taxes",MIN(U190,15500)*0.01,
"Virginia Taxes",MIN(U190,8000)*0.0273,
"Washington Taxes",MIN(U190,62500)*0.027,
"West Virginia Taxes",MIN(U190,12000)*0.027,
"Wisconsin Taxes",MIN(U190,14000)*0.0305,
"Wyoming Taxes",MIN(U190,27700)*0.027
),
G$1=2023,
_xlfn.SWITCH(
U195,
"Alabama Taxes",MIN(U190,8000)*0.027,
"Alaska Taxes",MIN(U190,41500)*0.0237,
"Arizona Taxes",MIN(U190,7000)*0.02,
"Arkansas Taxes",MIN(U190,12000)*0.031,
"California Taxes",MIN(U190,7000)*0.034,
"Colorado Taxes",MIN(U190,13800)*0.017,
"Connecticut Taxes",MIN(U190,15000)*0.028,
"Delaware Taxes",MIN(U190,8500)*0.001,
"District of Columbia Taxes",MIN(U190,9000)*0.027,
"Florida Taxes",MIN(U190,7000)*0.027,
"Georgia Taxes",MIN(U190,9500)*0.027,
"Hawaii Taxes",MIN(U190,46800)*0.04,
"Idaho Taxes",MIN(U190,41500)*0.01071,
"Illinois Taxes",MIN(U190,12900)*0.0395,
"Indiana Taxes",MIN(U190,9500)*0.025,
"Iowa Taxes",MIN(U190,29500)*0.01,
"Kansas Taxes",MIN(U190,14000)*0.027,
"Kentucky Taxes",MIN(U190,11000)*0.027,
"Louisiana Taxes",MIN(U190,7500)*0.0009,
"Maine Taxes",MIN(U190,12000)*0.0219,
"Maryland Taxes",MIN(U190,8500)*0.023,
"Massachusetts Taxes",MIN(U190,15000)*0.0143,
"Michigan Taxes",MIN(U190,9500)*0.027,
"Minnesota Taxes",MIN(U190,35000)*0.001,
"Mississippi Taxes",MIN(U190,14000)*0.01,
"Missouri Taxes",MIN(U190,13500)*0.027,
"Montana Taxes",MIN(U190,34500)*0.0013,
"Nebraska Taxes",MIN(U190,9000)*0.0125,
"Nevada Taxes",MIN(U190,33100)*0.0295,
"New Hampshire Taxes",MIN(U190,14000)*0.027,
"New Jersey Taxes",MIN(U190,35700)*0.031,
"New Mexico Taxes",MIN(U190,25400)*0.01,
"New York Taxes",MIN(U190,11500)*0.026,
"North Carolina Taxes",MIN(U190,25400)*0.01,
"North Dakota Taxes",MIN(U190,39200)*0.0113,
"Ohio Taxes",MIN(U190,9000)*0.027,
"Oklahoma Taxes",MIN(U190,17500)*0.015,
"Oregon Taxes",MIN(U190,43000)*0.021,
"Pennsylvania Taxes",MIN(U190,10000)*0.03822,
"Rhode Island Taxes",MIN(U190,24000)*0.0109,
"South Carolina Taxes",MIN(U190,14000)*0.0045,
"South Dakota Taxes",MIN(U190,15000)*0.012,
"Tennessee Taxes",MIN(U190,7000)*0.027,
"Texas Taxes",MIN(U190,9000)*0.027,
"Utah Taxes",MIN(U190,35700)*0.003,
"Vermont Taxes",MIN(U190,16000)*0.01,
"Virginia Taxes",MIN(U190,8000)*0.025,
"Washington Taxes",MIN(U190,56200)*0.0125,
"West Virginia Taxes",MIN(U190,12000)*0.027,
"Wisconsin Taxes",MIN(U190,14000)*0.0305,
"Wyoming Taxes",MIN(U190,25800)*0.018
),
G$1=2024,
_xlfn.SWITCH(
U195,
"Alabama Taxes",MIN(U190,8000)*0.027,
"Alaska Taxes",MIN(U190,41500)*0.0237,
"Arizona Taxes",MIN(U190,7000)*0.02,
"Arkansas Taxes",MIN(U190,12000)*0.031,
"California Taxes",MIN(U190,7000)*0.034,
"Colorado Taxes",MIN(U190,13800)*0.017,
"Connecticut Taxes",MIN(U190,15000)*0.028,
"Delaware Taxes",MIN(U190,8500)*0.001,
"District of Columbia Taxes",MIN(U190,9000)*0.027,
"Florida Taxes",MIN(U190,7000)*0.027,
"Georgia Taxes",MIN(U190,9500)*0.027,
"Hawaii Taxes",MIN(U190,46800)*0.04,
"Idaho Taxes",MIN(U190,41500)*0.01071,
"Illinois Taxes",MIN(U190,12900)*0.0395,
"Indiana Taxes",MIN(U190,9500)*0.025,
"Iowa Taxes",MIN(U190,29500)*0.01,
"Kansas Taxes",MIN(U190,14000)*0.027,
"Kentucky Taxes",MIN(U190,11000)*0.027,
"Louisiana Taxes",MIN(U190,7500)*0.0009,
"Maine Taxes",MIN(U190,12000)*0.0219,
"Maryland Taxes",MIN(U190,8500)*0.023,
"Massachusetts Taxes",MIN(U190,15000)*0.0143,
"Michigan Taxes",MIN(U190,9500)*0.027,
"Minnesota Taxes",MIN(U190,35000)*0.001,
"Mississippi Taxes",MIN(U190,14000)*0.01,
"Missouri Taxes",MIN(U190,13500)*0.027,
"Montana Taxes",MIN(U190,34500)*0.0013,
"Nebraska Taxes",MIN(U190,9000)*0.0125,
"Nevada Taxes",MIN(U190,33100)*0.0295,
"New Hampshire Taxes",MIN(U190,14000)*0.027,
"New Jersey Taxes",MIN(U190,35700)*0.031,
"New Mexico Taxes",MIN(U190,25400)*0.01,
"New York Taxes",MIN(U190,11500)*0.026,
"North Carolina Taxes",MIN(U190,25400)*0.01,
"North Dakota Taxes",MIN(U190,39200)*0.0113,
"Ohio Taxes",MIN(U190,9000)*0.027,
"Oklahoma Taxes",MIN(U190,17500)*0.015,
"Oregon Taxes",MIN(U190,43000)*0.021,
"Pennsylvania Taxes",MIN(U190,10000)*0.03822,
"Rhode Island Taxes",MIN(U190,24000)*0.0109,
"South Carolina Taxes",MIN(U190,14000)*0.0045,
"South Dakota Taxes",MIN(U190,15000)*0.012,
"Tennessee Taxes",MIN(U190,7000)*0.027,
"Texas Taxes",MIN(U190,9000)*0.027,
"Utah Taxes",MIN(U190,35700)*0.003,
"Vermont Taxes",MIN(U190,16000)*0.01,
"Virginia Taxes",MIN(U190,8000)*0.025,
"Washington Taxes",MIN(U190,56200)*0.0125,
"West Virginia Taxes",MIN(U190,12000)*0.027,
"Wisconsin Taxes",MIN(U190,14000)*0.0305,
"Wyoming Taxes",MIN(U190,25800)*0.018
)
),0))</f>
        <v>0</v>
      </c>
      <c r="V198" s="102" cm="1">
        <f t="array" ref="V198">IF(V189="W-2",0,_xlfn.IFNA(_xlfn.IFS(
H$1=2022,
_xlfn.SWITCH(
V195,
"Alabama Taxes",MIN(V190,8000)*0.027,
"Alaska Taxes",MIN(V190,45200)*0.0237,
"Arizona Taxes",MIN(V190,7000)*0.02,
"Arkansas Taxes",MIN(V190,10000)*0.031,
"California Taxes",MIN(V190,7000)*0.034,
"Colorado Taxes",MIN(V190,17000)*0.017,
"Connecticut Taxes",MIN(V190,15000)*0.03,
"Delaware Taxes",MIN(V190,16500)*0.018,
"District of Columbia Taxes",MIN(V190,9000)*0.027,
"Florida Taxes",MIN(V190,7000)*0.027,
"Georgia Taxes",MIN(V190,9500)*0.0264,
"Hawaii Taxes",MIN(V190,51600)*0.03,
"Idaho Taxes",MIN(V190,46500)*0.0097,
"Illinois Taxes",MIN(V190,12960)*0.03525,
"Indiana Taxes",MIN(V190,9500)*0.025,
"Iowa Taxes",MIN(V190,34800)*0.01,
"Kansas Taxes",MIN(V190,14000)*0.027,
"Kentucky Taxes",MIN(V190,11100)*0.027,
"Louisiana Taxes",MIN(V190,7700)*0.027,
"Maine Taxes",MIN(V190,12000)*0.0224,
"Maryland Taxes",MIN(V190,8500)*0.026,
"Massachusetts Taxes",MIN(V190,15000)*0.0242,
"Michigan Taxes",MIN(V190,9500)*0.027,
"Minnesota Taxes",MIN(V190,38000)*0.027,
"Mississippi Taxes",MIN(V190,14000)*0.01,
"Missouri Taxes",MIN(V190,11000)*0.02376,
"Montana Taxes",MIN(V190,38100)*0.027,
"Nebraska Taxes",MIN(V190,24000)*0.0125,
"Nevada Taxes",MIN(V190,36600)*0.0295,
"New Hampshire Taxes",MIN(V190,14000)*0.027,
"New Jersey Taxes",MIN(V190,39800)*0.028,
"New Mexico Taxes",MIN(V190,28700)*0.01,
"New York Taxes",MIN(V190,12000)*0.03125,
"North Carolina Taxes",MIN(V190,28000)*0.01,
"North Dakota Taxes",MIN(V190,38400)*0.0102,
"Ohio Taxes",MIN(V190,9000)*0.027,
"Oklahoma Taxes",MIN(V190,24800)*0.015,
"Oregon Taxes",MIN(V190,47700)*0.024,
"Pennsylvania Taxes",MIN(V190,10000)*0.03689,
"Rhode Island Taxes",MIN(V190,24600)*0.0098,
"South Carolina Taxes",MIN(V190,14000)*0.0049,
"South Dakota Taxes",MIN(V190,15000)*0.012,
"Tennessee Taxes",MIN(V190,7000)*0.027,
"Texas Taxes",MIN(V190,9000)*0.027,
"Utah Taxes",MIN(V190,41600)*0.027,
"Vermont Taxes",MIN(V190,15500)*0.01,
"Virginia Taxes",MIN(V190,8000)*0.0273,
"Washington Taxes",MIN(V190,62500)*0.027,
"West Virginia Taxes",MIN(V190,12000)*0.027,
"Wisconsin Taxes",MIN(V190,14000)*0.0305,
"Wyoming Taxes",MIN(V190,27700)*0.027
),
H$1=2023,
_xlfn.SWITCH(
V195,
"Alabama Taxes",MIN(V190,8000)*0.027,
"Alaska Taxes",MIN(V190,41500)*0.0237,
"Arizona Taxes",MIN(V190,7000)*0.02,
"Arkansas Taxes",MIN(V190,12000)*0.031,
"California Taxes",MIN(V190,7000)*0.034,
"Colorado Taxes",MIN(V190,13800)*0.017,
"Connecticut Taxes",MIN(V190,15000)*0.028,
"Delaware Taxes",MIN(V190,8500)*0.001,
"District of Columbia Taxes",MIN(V190,9000)*0.027,
"Florida Taxes",MIN(V190,7000)*0.027,
"Georgia Taxes",MIN(V190,9500)*0.027,
"Hawaii Taxes",MIN(V190,46800)*0.04,
"Idaho Taxes",MIN(V190,41500)*0.01071,
"Illinois Taxes",MIN(V190,12900)*0.0395,
"Indiana Taxes",MIN(V190,9500)*0.025,
"Iowa Taxes",MIN(V190,29500)*0.01,
"Kansas Taxes",MIN(V190,14000)*0.027,
"Kentucky Taxes",MIN(V190,11000)*0.027,
"Louisiana Taxes",MIN(V190,7500)*0.0009,
"Maine Taxes",MIN(V190,12000)*0.0219,
"Maryland Taxes",MIN(V190,8500)*0.023,
"Massachusetts Taxes",MIN(V190,15000)*0.0143,
"Michigan Taxes",MIN(V190,9500)*0.027,
"Minnesota Taxes",MIN(V190,35000)*0.001,
"Mississippi Taxes",MIN(V190,14000)*0.01,
"Missouri Taxes",MIN(V190,13500)*0.027,
"Montana Taxes",MIN(V190,34500)*0.0013,
"Nebraska Taxes",MIN(V190,9000)*0.0125,
"Nevada Taxes",MIN(V190,33100)*0.0295,
"New Hampshire Taxes",MIN(V190,14000)*0.027,
"New Jersey Taxes",MIN(V190,35700)*0.031,
"New Mexico Taxes",MIN(V190,25400)*0.01,
"New York Taxes",MIN(V190,11500)*0.026,
"North Carolina Taxes",MIN(V190,25400)*0.01,
"North Dakota Taxes",MIN(V190,39200)*0.0113,
"Ohio Taxes",MIN(V190,9000)*0.027,
"Oklahoma Taxes",MIN(V190,17500)*0.015,
"Oregon Taxes",MIN(V190,43000)*0.021,
"Pennsylvania Taxes",MIN(V190,10000)*0.03822,
"Rhode Island Taxes",MIN(V190,24000)*0.0109,
"South Carolina Taxes",MIN(V190,14000)*0.0045,
"South Dakota Taxes",MIN(V190,15000)*0.012,
"Tennessee Taxes",MIN(V190,7000)*0.027,
"Texas Taxes",MIN(V190,9000)*0.027,
"Utah Taxes",MIN(V190,35700)*0.003,
"Vermont Taxes",MIN(V190,16000)*0.01,
"Virginia Taxes",MIN(V190,8000)*0.025,
"Washington Taxes",MIN(V190,56200)*0.0125,
"West Virginia Taxes",MIN(V190,12000)*0.027,
"Wisconsin Taxes",MIN(V190,14000)*0.0305,
"Wyoming Taxes",MIN(V190,25800)*0.018
),
H$1=2024,
_xlfn.SWITCH(
V195,
"Alabama Taxes",MIN(V190,8000)*0.027,
"Alaska Taxes",MIN(V190,41500)*0.0237,
"Arizona Taxes",MIN(V190,7000)*0.02,
"Arkansas Taxes",MIN(V190,12000)*0.031,
"California Taxes",MIN(V190,7000)*0.034,
"Colorado Taxes",MIN(V190,13800)*0.017,
"Connecticut Taxes",MIN(V190,15000)*0.028,
"Delaware Taxes",MIN(V190,8500)*0.001,
"District of Columbia Taxes",MIN(V190,9000)*0.027,
"Florida Taxes",MIN(V190,7000)*0.027,
"Georgia Taxes",MIN(V190,9500)*0.027,
"Hawaii Taxes",MIN(V190,46800)*0.04,
"Idaho Taxes",MIN(V190,41500)*0.01071,
"Illinois Taxes",MIN(V190,12900)*0.0395,
"Indiana Taxes",MIN(V190,9500)*0.025,
"Iowa Taxes",MIN(V190,29500)*0.01,
"Kansas Taxes",MIN(V190,14000)*0.027,
"Kentucky Taxes",MIN(V190,11000)*0.027,
"Louisiana Taxes",MIN(V190,7500)*0.0009,
"Maine Taxes",MIN(V190,12000)*0.0219,
"Maryland Taxes",MIN(V190,8500)*0.023,
"Massachusetts Taxes",MIN(V190,15000)*0.0143,
"Michigan Taxes",MIN(V190,9500)*0.027,
"Minnesota Taxes",MIN(V190,35000)*0.001,
"Mississippi Taxes",MIN(V190,14000)*0.01,
"Missouri Taxes",MIN(V190,13500)*0.027,
"Montana Taxes",MIN(V190,34500)*0.0013,
"Nebraska Taxes",MIN(V190,9000)*0.0125,
"Nevada Taxes",MIN(V190,33100)*0.0295,
"New Hampshire Taxes",MIN(V190,14000)*0.027,
"New Jersey Taxes",MIN(V190,35700)*0.031,
"New Mexico Taxes",MIN(V190,25400)*0.01,
"New York Taxes",MIN(V190,11500)*0.026,
"North Carolina Taxes",MIN(V190,25400)*0.01,
"North Dakota Taxes",MIN(V190,39200)*0.0113,
"Ohio Taxes",MIN(V190,9000)*0.027,
"Oklahoma Taxes",MIN(V190,17500)*0.015,
"Oregon Taxes",MIN(V190,43000)*0.021,
"Pennsylvania Taxes",MIN(V190,10000)*0.03822,
"Rhode Island Taxes",MIN(V190,24000)*0.0109,
"South Carolina Taxes",MIN(V190,14000)*0.0045,
"South Dakota Taxes",MIN(V190,15000)*0.012,
"Tennessee Taxes",MIN(V190,7000)*0.027,
"Texas Taxes",MIN(V190,9000)*0.027,
"Utah Taxes",MIN(V190,35700)*0.003,
"Vermont Taxes",MIN(V190,16000)*0.01,
"Virginia Taxes",MIN(V190,8000)*0.025,
"Washington Taxes",MIN(V190,56200)*0.0125,
"West Virginia Taxes",MIN(V190,12000)*0.027,
"Wisconsin Taxes",MIN(V190,14000)*0.0305,
"Wyoming Taxes",MIN(V190,25800)*0.018
)
),0))</f>
        <v>0</v>
      </c>
      <c r="W198" s="102" cm="1">
        <f t="array" ref="W198">IF(W189="W-2",0,_xlfn.IFNA(_xlfn.IFS(
I$1=2022,
_xlfn.SWITCH(
W195,
"Alabama Taxes",MIN(W190,8000)*0.027,
"Alaska Taxes",MIN(W190,45200)*0.0237,
"Arizona Taxes",MIN(W190,7000)*0.02,
"Arkansas Taxes",MIN(W190,10000)*0.031,
"California Taxes",MIN(W190,7000)*0.034,
"Colorado Taxes",MIN(W190,17000)*0.017,
"Connecticut Taxes",MIN(W190,15000)*0.03,
"Delaware Taxes",MIN(W190,16500)*0.018,
"District of Columbia Taxes",MIN(W190,9000)*0.027,
"Florida Taxes",MIN(W190,7000)*0.027,
"Georgia Taxes",MIN(W190,9500)*0.0264,
"Hawaii Taxes",MIN(W190,51600)*0.03,
"Idaho Taxes",MIN(W190,46500)*0.0097,
"Illinois Taxes",MIN(W190,12960)*0.03525,
"Indiana Taxes",MIN(W190,9500)*0.025,
"Iowa Taxes",MIN(W190,34800)*0.01,
"Kansas Taxes",MIN(W190,14000)*0.027,
"Kentucky Taxes",MIN(W190,11100)*0.027,
"Louisiana Taxes",MIN(W190,7700)*0.027,
"Maine Taxes",MIN(W190,12000)*0.0224,
"Maryland Taxes",MIN(W190,8500)*0.026,
"Massachusetts Taxes",MIN(W190,15000)*0.0242,
"Michigan Taxes",MIN(W190,9500)*0.027,
"Minnesota Taxes",MIN(W190,38000)*0.027,
"Mississippi Taxes",MIN(W190,14000)*0.01,
"Missouri Taxes",MIN(W190,11000)*0.02376,
"Montana Taxes",MIN(W190,38100)*0.027,
"Nebraska Taxes",MIN(W190,24000)*0.0125,
"Nevada Taxes",MIN(W190,36600)*0.0295,
"New Hampshire Taxes",MIN(W190,14000)*0.027,
"New Jersey Taxes",MIN(W190,39800)*0.028,
"New Mexico Taxes",MIN(W190,28700)*0.01,
"New York Taxes",MIN(W190,12000)*0.03125,
"North Carolina Taxes",MIN(W190,28000)*0.01,
"North Dakota Taxes",MIN(W190,38400)*0.0102,
"Ohio Taxes",MIN(W190,9000)*0.027,
"Oklahoma Taxes",MIN(W190,24800)*0.015,
"Oregon Taxes",MIN(W190,47700)*0.024,
"Pennsylvania Taxes",MIN(W190,10000)*0.03689,
"Rhode Island Taxes",MIN(W190,24600)*0.0098,
"South Carolina Taxes",MIN(W190,14000)*0.0049,
"South Dakota Taxes",MIN(W190,15000)*0.012,
"Tennessee Taxes",MIN(W190,7000)*0.027,
"Texas Taxes",MIN(W190,9000)*0.027,
"Utah Taxes",MIN(W190,41600)*0.027,
"Vermont Taxes",MIN(W190,15500)*0.01,
"Virginia Taxes",MIN(W190,8000)*0.0273,
"Washington Taxes",MIN(W190,62500)*0.027,
"West Virginia Taxes",MIN(W190,12000)*0.027,
"Wisconsin Taxes",MIN(W190,14000)*0.0305,
"Wyoming Taxes",MIN(W190,27700)*0.027
),
I$1=2023,
_xlfn.SWITCH(
W195,
"Alabama Taxes",MIN(W190,8000)*0.027,
"Alaska Taxes",MIN(W190,41500)*0.0237,
"Arizona Taxes",MIN(W190,7000)*0.02,
"Arkansas Taxes",MIN(W190,12000)*0.031,
"California Taxes",MIN(W190,7000)*0.034,
"Colorado Taxes",MIN(W190,13800)*0.017,
"Connecticut Taxes",MIN(W190,15000)*0.028,
"Delaware Taxes",MIN(W190,8500)*0.001,
"District of Columbia Taxes",MIN(W190,9000)*0.027,
"Florida Taxes",MIN(W190,7000)*0.027,
"Georgia Taxes",MIN(W190,9500)*0.027,
"Hawaii Taxes",MIN(W190,46800)*0.04,
"Idaho Taxes",MIN(W190,41500)*0.01071,
"Illinois Taxes",MIN(W190,12900)*0.0395,
"Indiana Taxes",MIN(W190,9500)*0.025,
"Iowa Taxes",MIN(W190,29500)*0.01,
"Kansas Taxes",MIN(W190,14000)*0.027,
"Kentucky Taxes",MIN(W190,11000)*0.027,
"Louisiana Taxes",MIN(W190,7500)*0.0009,
"Maine Taxes",MIN(W190,12000)*0.0219,
"Maryland Taxes",MIN(W190,8500)*0.023,
"Massachusetts Taxes",MIN(W190,15000)*0.0143,
"Michigan Taxes",MIN(W190,9500)*0.027,
"Minnesota Taxes",MIN(W190,35000)*0.001,
"Mississippi Taxes",MIN(W190,14000)*0.01,
"Missouri Taxes",MIN(W190,13500)*0.027,
"Montana Taxes",MIN(W190,34500)*0.0013,
"Nebraska Taxes",MIN(W190,9000)*0.0125,
"Nevada Taxes",MIN(W190,33100)*0.0295,
"New Hampshire Taxes",MIN(W190,14000)*0.027,
"New Jersey Taxes",MIN(W190,35700)*0.031,
"New Mexico Taxes",MIN(W190,25400)*0.01,
"New York Taxes",MIN(W190,11500)*0.026,
"North Carolina Taxes",MIN(W190,25400)*0.01,
"North Dakota Taxes",MIN(W190,39200)*0.0113,
"Ohio Taxes",MIN(W190,9000)*0.027,
"Oklahoma Taxes",MIN(W190,17500)*0.015,
"Oregon Taxes",MIN(W190,43000)*0.021,
"Pennsylvania Taxes",MIN(W190,10000)*0.03822,
"Rhode Island Taxes",MIN(W190,24000)*0.0109,
"South Carolina Taxes",MIN(W190,14000)*0.0045,
"South Dakota Taxes",MIN(W190,15000)*0.012,
"Tennessee Taxes",MIN(W190,7000)*0.027,
"Texas Taxes",MIN(W190,9000)*0.027,
"Utah Taxes",MIN(W190,35700)*0.003,
"Vermont Taxes",MIN(W190,16000)*0.01,
"Virginia Taxes",MIN(W190,8000)*0.025,
"Washington Taxes",MIN(W190,56200)*0.0125,
"West Virginia Taxes",MIN(W190,12000)*0.027,
"Wisconsin Taxes",MIN(W190,14000)*0.0305,
"Wyoming Taxes",MIN(W190,25800)*0.018
),
I$1=2024,
_xlfn.SWITCH(
W195,
"Alabama Taxes",MIN(W190,8000)*0.027,
"Alaska Taxes",MIN(W190,41500)*0.0237,
"Arizona Taxes",MIN(W190,7000)*0.02,
"Arkansas Taxes",MIN(W190,12000)*0.031,
"California Taxes",MIN(W190,7000)*0.034,
"Colorado Taxes",MIN(W190,13800)*0.017,
"Connecticut Taxes",MIN(W190,15000)*0.028,
"Delaware Taxes",MIN(W190,8500)*0.001,
"District of Columbia Taxes",MIN(W190,9000)*0.027,
"Florida Taxes",MIN(W190,7000)*0.027,
"Georgia Taxes",MIN(W190,9500)*0.027,
"Hawaii Taxes",MIN(W190,46800)*0.04,
"Idaho Taxes",MIN(W190,41500)*0.01071,
"Illinois Taxes",MIN(W190,12900)*0.0395,
"Indiana Taxes",MIN(W190,9500)*0.025,
"Iowa Taxes",MIN(W190,29500)*0.01,
"Kansas Taxes",MIN(W190,14000)*0.027,
"Kentucky Taxes",MIN(W190,11000)*0.027,
"Louisiana Taxes",MIN(W190,7500)*0.0009,
"Maine Taxes",MIN(W190,12000)*0.0219,
"Maryland Taxes",MIN(W190,8500)*0.023,
"Massachusetts Taxes",MIN(W190,15000)*0.0143,
"Michigan Taxes",MIN(W190,9500)*0.027,
"Minnesota Taxes",MIN(W190,35000)*0.001,
"Mississippi Taxes",MIN(W190,14000)*0.01,
"Missouri Taxes",MIN(W190,13500)*0.027,
"Montana Taxes",MIN(W190,34500)*0.0013,
"Nebraska Taxes",MIN(W190,9000)*0.0125,
"Nevada Taxes",MIN(W190,33100)*0.0295,
"New Hampshire Taxes",MIN(W190,14000)*0.027,
"New Jersey Taxes",MIN(W190,35700)*0.031,
"New Mexico Taxes",MIN(W190,25400)*0.01,
"New York Taxes",MIN(W190,11500)*0.026,
"North Carolina Taxes",MIN(W190,25400)*0.01,
"North Dakota Taxes",MIN(W190,39200)*0.0113,
"Ohio Taxes",MIN(W190,9000)*0.027,
"Oklahoma Taxes",MIN(W190,17500)*0.015,
"Oregon Taxes",MIN(W190,43000)*0.021,
"Pennsylvania Taxes",MIN(W190,10000)*0.03822,
"Rhode Island Taxes",MIN(W190,24000)*0.0109,
"South Carolina Taxes",MIN(W190,14000)*0.0045,
"South Dakota Taxes",MIN(W190,15000)*0.012,
"Tennessee Taxes",MIN(W190,7000)*0.027,
"Texas Taxes",MIN(W190,9000)*0.027,
"Utah Taxes",MIN(W190,35700)*0.003,
"Vermont Taxes",MIN(W190,16000)*0.01,
"Virginia Taxes",MIN(W190,8000)*0.025,
"Washington Taxes",MIN(W190,56200)*0.0125,
"West Virginia Taxes",MIN(W190,12000)*0.027,
"Wisconsin Taxes",MIN(W190,14000)*0.0305,
"Wyoming Taxes",MIN(W190,25800)*0.018
)
),0))</f>
        <v>0</v>
      </c>
      <c r="X198" s="102" cm="1">
        <f t="array" ref="X198">IF(X189="W-2",0,_xlfn.IFNA(_xlfn.IFS(
J$1=2022,
_xlfn.SWITCH(
X195,
"Alabama Taxes",MIN(X190,8000)*0.027,
"Alaska Taxes",MIN(X190,45200)*0.0237,
"Arizona Taxes",MIN(X190,7000)*0.02,
"Arkansas Taxes",MIN(X190,10000)*0.031,
"California Taxes",MIN(X190,7000)*0.034,
"Colorado Taxes",MIN(X190,17000)*0.017,
"Connecticut Taxes",MIN(X190,15000)*0.03,
"Delaware Taxes",MIN(X190,16500)*0.018,
"District of Columbia Taxes",MIN(X190,9000)*0.027,
"Florida Taxes",MIN(X190,7000)*0.027,
"Georgia Taxes",MIN(X190,9500)*0.0264,
"Hawaii Taxes",MIN(X190,51600)*0.03,
"Idaho Taxes",MIN(X190,46500)*0.0097,
"Illinois Taxes",MIN(X190,12960)*0.03525,
"Indiana Taxes",MIN(X190,9500)*0.025,
"Iowa Taxes",MIN(X190,34800)*0.01,
"Kansas Taxes",MIN(X190,14000)*0.027,
"Kentucky Taxes",MIN(X190,11100)*0.027,
"Louisiana Taxes",MIN(X190,7700)*0.027,
"Maine Taxes",MIN(X190,12000)*0.0224,
"Maryland Taxes",MIN(X190,8500)*0.026,
"Massachusetts Taxes",MIN(X190,15000)*0.0242,
"Michigan Taxes",MIN(X190,9500)*0.027,
"Minnesota Taxes",MIN(X190,38000)*0.027,
"Mississippi Taxes",MIN(X190,14000)*0.01,
"Missouri Taxes",MIN(X190,11000)*0.02376,
"Montana Taxes",MIN(X190,38100)*0.027,
"Nebraska Taxes",MIN(X190,24000)*0.0125,
"Nevada Taxes",MIN(X190,36600)*0.0295,
"New Hampshire Taxes",MIN(X190,14000)*0.027,
"New Jersey Taxes",MIN(X190,39800)*0.028,
"New Mexico Taxes",MIN(X190,28700)*0.01,
"New York Taxes",MIN(X190,12000)*0.03125,
"North Carolina Taxes",MIN(X190,28000)*0.01,
"North Dakota Taxes",MIN(X190,38400)*0.0102,
"Ohio Taxes",MIN(X190,9000)*0.027,
"Oklahoma Taxes",MIN(X190,24800)*0.015,
"Oregon Taxes",MIN(X190,47700)*0.024,
"Pennsylvania Taxes",MIN(X190,10000)*0.03689,
"Rhode Island Taxes",MIN(X190,24600)*0.0098,
"South Carolina Taxes",MIN(X190,14000)*0.0049,
"South Dakota Taxes",MIN(X190,15000)*0.012,
"Tennessee Taxes",MIN(X190,7000)*0.027,
"Texas Taxes",MIN(X190,9000)*0.027,
"Utah Taxes",MIN(X190,41600)*0.027,
"Vermont Taxes",MIN(X190,15500)*0.01,
"Virginia Taxes",MIN(X190,8000)*0.0273,
"Washington Taxes",MIN(X190,62500)*0.027,
"West Virginia Taxes",MIN(X190,12000)*0.027,
"Wisconsin Taxes",MIN(X190,14000)*0.0305,
"Wyoming Taxes",MIN(X190,27700)*0.027
),
J$1=2023,
_xlfn.SWITCH(
X195,
"Alabama Taxes",MIN(X190,8000)*0.027,
"Alaska Taxes",MIN(X190,41500)*0.0237,
"Arizona Taxes",MIN(X190,7000)*0.02,
"Arkansas Taxes",MIN(X190,12000)*0.031,
"California Taxes",MIN(X190,7000)*0.034,
"Colorado Taxes",MIN(X190,13800)*0.017,
"Connecticut Taxes",MIN(X190,15000)*0.028,
"Delaware Taxes",MIN(X190,8500)*0.001,
"District of Columbia Taxes",MIN(X190,9000)*0.027,
"Florida Taxes",MIN(X190,7000)*0.027,
"Georgia Taxes",MIN(X190,9500)*0.027,
"Hawaii Taxes",MIN(X190,46800)*0.04,
"Idaho Taxes",MIN(X190,41500)*0.01071,
"Illinois Taxes",MIN(X190,12900)*0.0395,
"Indiana Taxes",MIN(X190,9500)*0.025,
"Iowa Taxes",MIN(X190,29500)*0.01,
"Kansas Taxes",MIN(X190,14000)*0.027,
"Kentucky Taxes",MIN(X190,11000)*0.027,
"Louisiana Taxes",MIN(X190,7500)*0.0009,
"Maine Taxes",MIN(X190,12000)*0.0219,
"Maryland Taxes",MIN(X190,8500)*0.023,
"Massachusetts Taxes",MIN(X190,15000)*0.0143,
"Michigan Taxes",MIN(X190,9500)*0.027,
"Minnesota Taxes",MIN(X190,35000)*0.001,
"Mississippi Taxes",MIN(X190,14000)*0.01,
"Missouri Taxes",MIN(X190,13500)*0.027,
"Montana Taxes",MIN(X190,34500)*0.0013,
"Nebraska Taxes",MIN(X190,9000)*0.0125,
"Nevada Taxes",MIN(X190,33100)*0.0295,
"New Hampshire Taxes",MIN(X190,14000)*0.027,
"New Jersey Taxes",MIN(X190,35700)*0.031,
"New Mexico Taxes",MIN(X190,25400)*0.01,
"New York Taxes",MIN(X190,11500)*0.026,
"North Carolina Taxes",MIN(X190,25400)*0.01,
"North Dakota Taxes",MIN(X190,39200)*0.0113,
"Ohio Taxes",MIN(X190,9000)*0.027,
"Oklahoma Taxes",MIN(X190,17500)*0.015,
"Oregon Taxes",MIN(X190,43000)*0.021,
"Pennsylvania Taxes",MIN(X190,10000)*0.03822,
"Rhode Island Taxes",MIN(X190,24000)*0.0109,
"South Carolina Taxes",MIN(X190,14000)*0.0045,
"South Dakota Taxes",MIN(X190,15000)*0.012,
"Tennessee Taxes",MIN(X190,7000)*0.027,
"Texas Taxes",MIN(X190,9000)*0.027,
"Utah Taxes",MIN(X190,35700)*0.003,
"Vermont Taxes",MIN(X190,16000)*0.01,
"Virginia Taxes",MIN(X190,8000)*0.025,
"Washington Taxes",MIN(X190,56200)*0.0125,
"West Virginia Taxes",MIN(X190,12000)*0.027,
"Wisconsin Taxes",MIN(X190,14000)*0.0305,
"Wyoming Taxes",MIN(X190,25800)*0.018
),
J$1=2024,
_xlfn.SWITCH(
X195,
"Alabama Taxes",MIN(X190,8000)*0.027,
"Alaska Taxes",MIN(X190,41500)*0.0237,
"Arizona Taxes",MIN(X190,7000)*0.02,
"Arkansas Taxes",MIN(X190,12000)*0.031,
"California Taxes",MIN(X190,7000)*0.034,
"Colorado Taxes",MIN(X190,13800)*0.017,
"Connecticut Taxes",MIN(X190,15000)*0.028,
"Delaware Taxes",MIN(X190,8500)*0.001,
"District of Columbia Taxes",MIN(X190,9000)*0.027,
"Florida Taxes",MIN(X190,7000)*0.027,
"Georgia Taxes",MIN(X190,9500)*0.027,
"Hawaii Taxes",MIN(X190,46800)*0.04,
"Idaho Taxes",MIN(X190,41500)*0.01071,
"Illinois Taxes",MIN(X190,12900)*0.0395,
"Indiana Taxes",MIN(X190,9500)*0.025,
"Iowa Taxes",MIN(X190,29500)*0.01,
"Kansas Taxes",MIN(X190,14000)*0.027,
"Kentucky Taxes",MIN(X190,11000)*0.027,
"Louisiana Taxes",MIN(X190,7500)*0.0009,
"Maine Taxes",MIN(X190,12000)*0.0219,
"Maryland Taxes",MIN(X190,8500)*0.023,
"Massachusetts Taxes",MIN(X190,15000)*0.0143,
"Michigan Taxes",MIN(X190,9500)*0.027,
"Minnesota Taxes",MIN(X190,35000)*0.001,
"Mississippi Taxes",MIN(X190,14000)*0.01,
"Missouri Taxes",MIN(X190,13500)*0.027,
"Montana Taxes",MIN(X190,34500)*0.0013,
"Nebraska Taxes",MIN(X190,9000)*0.0125,
"Nevada Taxes",MIN(X190,33100)*0.0295,
"New Hampshire Taxes",MIN(X190,14000)*0.027,
"New Jersey Taxes",MIN(X190,35700)*0.031,
"New Mexico Taxes",MIN(X190,25400)*0.01,
"New York Taxes",MIN(X190,11500)*0.026,
"North Carolina Taxes",MIN(X190,25400)*0.01,
"North Dakota Taxes",MIN(X190,39200)*0.0113,
"Ohio Taxes",MIN(X190,9000)*0.027,
"Oklahoma Taxes",MIN(X190,17500)*0.015,
"Oregon Taxes",MIN(X190,43000)*0.021,
"Pennsylvania Taxes",MIN(X190,10000)*0.03822,
"Rhode Island Taxes",MIN(X190,24000)*0.0109,
"South Carolina Taxes",MIN(X190,14000)*0.0045,
"South Dakota Taxes",MIN(X190,15000)*0.012,
"Tennessee Taxes",MIN(X190,7000)*0.027,
"Texas Taxes",MIN(X190,9000)*0.027,
"Utah Taxes",MIN(X190,35700)*0.003,
"Vermont Taxes",MIN(X190,16000)*0.01,
"Virginia Taxes",MIN(X190,8000)*0.025,
"Washington Taxes",MIN(X190,56200)*0.0125,
"West Virginia Taxes",MIN(X190,12000)*0.027,
"Wisconsin Taxes",MIN(X190,14000)*0.0305,
"Wyoming Taxes",MIN(X190,25800)*0.018
)
),0))</f>
        <v>0</v>
      </c>
      <c r="Y198" s="102" cm="1">
        <f t="array" ref="Y198">IF(Y189="W-2",0,_xlfn.IFNA(_xlfn.IFS(
Y$156=2022,
_xlfn.SWITCH(
Y195,
"Alabama Taxes",MIN(Y190,8000)*0.027,
"Alaska Taxes",MIN(Y190,45200)*0.0237,
"Arizona Taxes",MIN(Y190,7000)*0.02,
"Arkansas Taxes",MIN(Y190,10000)*0.031,
"California Taxes",MIN(Y190,7000)*0.034,
"Colorado Taxes",MIN(Y190,17000)*0.017,
"Connecticut Taxes",MIN(Y190,15000)*0.03,
"Delaware Taxes",MIN(Y190,16500)*0.018,
"District of Columbia Taxes",MIN(Y190,9000)*0.027,
"Florida Taxes",MIN(Y190,7000)*0.027,
"Georgia Taxes",MIN(Y190,9500)*0.0264,
"Hawaii Taxes",MIN(Y190,51600)*0.03,
"Idaho Taxes",MIN(Y190,46500)*0.0097,
"Illinois Taxes",MIN(Y190,12960)*0.03525,
"Indiana Taxes",MIN(Y190,9500)*0.025,
"Iowa Taxes",MIN(Y190,34800)*0.01,
"Kansas Taxes",MIN(Y190,14000)*0.027,
"Kentucky Taxes",MIN(Y190,11100)*0.027,
"Louisiana Taxes",MIN(Y190,7700)*0.027,
"Maine Taxes",MIN(Y190,12000)*0.0224,
"Maryland Taxes",MIN(Y190,8500)*0.026,
"Massachusetts Taxes",MIN(Y190,15000)*0.0242,
"Michigan Taxes",MIN(Y190,9500)*0.027,
"Minnesota Taxes",MIN(Y190,38000)*0.027,
"Mississippi Taxes",MIN(Y190,14000)*0.01,
"Missouri Taxes",MIN(Y190,11000)*0.02376,
"Montana Taxes",MIN(Y190,38100)*0.027,
"Nebraska Taxes",MIN(Y190,24000)*0.0125,
"Nevada Taxes",MIN(Y190,36600)*0.0295,
"New Hampshire Taxes",MIN(Y190,14000)*0.027,
"New Jersey Taxes",MIN(Y190,39800)*0.028,
"New Mexico Taxes",MIN(Y190,28700)*0.01,
"New York Taxes",MIN(Y190,12000)*0.03125,
"North Carolina Taxes",MIN(Y190,28000)*0.01,
"North Dakota Taxes",MIN(Y190,38400)*0.0102,
"Ohio Taxes",MIN(Y190,9000)*0.027,
"Oklahoma Taxes",MIN(Y190,24800)*0.015,
"Oregon Taxes",MIN(Y190,47700)*0.024,
"Pennsylvania Taxes",MIN(Y190,10000)*0.03689,
"Rhode Island Taxes",MIN(Y190,24600)*0.0098,
"South Carolina Taxes",MIN(Y190,14000)*0.0049,
"South Dakota Taxes",MIN(Y190,15000)*0.012,
"Tennessee Taxes",MIN(Y190,7000)*0.027,
"Texas Taxes",MIN(Y190,9000)*0.027,
"Utah Taxes",MIN(Y190,41600)*0.027,
"Vermont Taxes",MIN(Y190,15500)*0.01,
"Virginia Taxes",MIN(Y190,8000)*0.0273,
"Washington Taxes",MIN(Y190,62500)*0.027,
"West Virginia Taxes",MIN(Y190,12000)*0.027,
"Wisconsin Taxes",MIN(Y190,14000)*0.0305,
"Wyoming Taxes",MIN(Y190,27700)*0.027
),
Y$156=2023,
_xlfn.SWITCH(
Y195,
"Alabama Taxes",MIN(Y190,8000)*0.027,
"Alaska Taxes",MIN(Y190,41500)*0.0237,
"Arizona Taxes",MIN(Y190,7000)*0.02,
"Arkansas Taxes",MIN(Y190,12000)*0.031,
"California Taxes",MIN(Y190,7000)*0.034,
"Colorado Taxes",MIN(Y190,13800)*0.017,
"Connecticut Taxes",MIN(Y190,15000)*0.028,
"Delaware Taxes",MIN(Y190,8500)*0.001,
"District of Columbia Taxes",MIN(Y190,9000)*0.027,
"Florida Taxes",MIN(Y190,7000)*0.027,
"Georgia Taxes",MIN(Y190,9500)*0.027,
"Hawaii Taxes",MIN(Y190,46800)*0.04,
"Idaho Taxes",MIN(Y190,41500)*0.01071,
"Illinois Taxes",MIN(Y190,12900)*0.0395,
"Indiana Taxes",MIN(Y190,9500)*0.025,
"Iowa Taxes",MIN(Y190,29500)*0.01,
"Kansas Taxes",MIN(Y190,14000)*0.027,
"Kentucky Taxes",MIN(Y190,11000)*0.027,
"Louisiana Taxes",MIN(Y190,7500)*0.0009,
"Maine Taxes",MIN(Y190,12000)*0.0219,
"Maryland Taxes",MIN(Y190,8500)*0.023,
"Massachusetts Taxes",MIN(Y190,15000)*0.0143,
"Michigan Taxes",MIN(Y190,9500)*0.027,
"Minnesota Taxes",MIN(Y190,35000)*0.001,
"Mississippi Taxes",MIN(Y190,14000)*0.01,
"Missouri Taxes",MIN(Y190,13500)*0.027,
"Montana Taxes",MIN(Y190,34500)*0.0013,
"Nebraska Taxes",MIN(Y190,9000)*0.0125,
"Nevada Taxes",MIN(Y190,33100)*0.0295,
"New Hampshire Taxes",MIN(Y190,14000)*0.027,
"New Jersey Taxes",MIN(Y190,35700)*0.031,
"New Mexico Taxes",MIN(Y190,25400)*0.01,
"New York Taxes",MIN(Y190,11500)*0.026,
"North Carolina Taxes",MIN(Y190,25400)*0.01,
"North Dakota Taxes",MIN(Y190,39200)*0.0113,
"Ohio Taxes",MIN(Y190,9000)*0.027,
"Oklahoma Taxes",MIN(Y190,17500)*0.015,
"Oregon Taxes",MIN(Y190,43000)*0.021,
"Pennsylvania Taxes",MIN(Y190,10000)*0.03822,
"Rhode Island Taxes",MIN(Y190,24000)*0.0109,
"South Carolina Taxes",MIN(Y190,14000)*0.0045,
"South Dakota Taxes",MIN(Y190,15000)*0.012,
"Tennessee Taxes",MIN(Y190,7000)*0.027,
"Texas Taxes",MIN(Y190,9000)*0.027,
"Utah Taxes",MIN(Y190,35700)*0.003,
"Vermont Taxes",MIN(Y190,16000)*0.01,
"Virginia Taxes",MIN(Y190,8000)*0.025,
"Washington Taxes",MIN(Y190,56200)*0.0125,
"West Virginia Taxes",MIN(Y190,12000)*0.027,
"Wisconsin Taxes",MIN(Y190,14000)*0.0305,
"Wyoming Taxes",MIN(Y190,25800)*0.018
),
Y$156=2024,
_xlfn.SWITCH(
Y195,
"Alabama Taxes",MIN(Y190,8000)*0.027,
"Alaska Taxes",MIN(Y190,41500)*0.0237,
"Arizona Taxes",MIN(Y190,7000)*0.02,
"Arkansas Taxes",MIN(Y190,12000)*0.031,
"California Taxes",MIN(Y190,7000)*0.034,
"Colorado Taxes",MIN(Y190,13800)*0.017,
"Connecticut Taxes",MIN(Y190,15000)*0.028,
"Delaware Taxes",MIN(Y190,8500)*0.001,
"District of Columbia Taxes",MIN(Y190,9000)*0.027,
"Florida Taxes",MIN(Y190,7000)*0.027,
"Georgia Taxes",MIN(Y190,9500)*0.027,
"Hawaii Taxes",MIN(Y190,46800)*0.04,
"Idaho Taxes",MIN(Y190,41500)*0.01071,
"Illinois Taxes",MIN(Y190,12900)*0.0395,
"Indiana Taxes",MIN(Y190,9500)*0.025,
"Iowa Taxes",MIN(Y190,29500)*0.01,
"Kansas Taxes",MIN(Y190,14000)*0.027,
"Kentucky Taxes",MIN(Y190,11000)*0.027,
"Louisiana Taxes",MIN(Y190,7500)*0.0009,
"Maine Taxes",MIN(Y190,12000)*0.0219,
"Maryland Taxes",MIN(Y190,8500)*0.023,
"Massachusetts Taxes",MIN(Y190,15000)*0.0143,
"Michigan Taxes",MIN(Y190,9500)*0.027,
"Minnesota Taxes",MIN(Y190,35000)*0.001,
"Mississippi Taxes",MIN(Y190,14000)*0.01,
"Missouri Taxes",MIN(Y190,13500)*0.027,
"Montana Taxes",MIN(Y190,34500)*0.0013,
"Nebraska Taxes",MIN(Y190,9000)*0.0125,
"Nevada Taxes",MIN(Y190,33100)*0.0295,
"New Hampshire Taxes",MIN(Y190,14000)*0.027,
"New Jersey Taxes",MIN(Y190,35700)*0.031,
"New Mexico Taxes",MIN(Y190,25400)*0.01,
"New York Taxes",MIN(Y190,11500)*0.026,
"North Carolina Taxes",MIN(Y190,25400)*0.01,
"North Dakota Taxes",MIN(Y190,39200)*0.0113,
"Ohio Taxes",MIN(Y190,9000)*0.027,
"Oklahoma Taxes",MIN(Y190,17500)*0.015,
"Oregon Taxes",MIN(Y190,43000)*0.021,
"Pennsylvania Taxes",MIN(Y190,10000)*0.03822,
"Rhode Island Taxes",MIN(Y190,24000)*0.0109,
"South Carolina Taxes",MIN(Y190,14000)*0.0045,
"South Dakota Taxes",MIN(Y190,15000)*0.012,
"Tennessee Taxes",MIN(Y190,7000)*0.027,
"Texas Taxes",MIN(Y190,9000)*0.027,
"Utah Taxes",MIN(Y190,35700)*0.003,
"Vermont Taxes",MIN(Y190,16000)*0.01,
"Virginia Taxes",MIN(Y190,8000)*0.025,
"Washington Taxes",MIN(Y190,56200)*0.0125,
"West Virginia Taxes",MIN(Y190,12000)*0.027,
"Wisconsin Taxes",MIN(Y190,14000)*0.0305,
"Wyoming Taxes",MIN(Y190,25800)*0.018
)
),0))</f>
        <v>0</v>
      </c>
      <c r="Z198" s="102" cm="1">
        <f t="array" ref="Z198">IF(Z189="W-2",0,_xlfn.IFNA(_xlfn.IFS(
Z$156=2022,
_xlfn.SWITCH(
Z195,
"Alabama Taxes",MIN(Z190,8000)*0.027,
"Alaska Taxes",MIN(Z190,45200)*0.0237,
"Arizona Taxes",MIN(Z190,7000)*0.02,
"Arkansas Taxes",MIN(Z190,10000)*0.031,
"California Taxes",MIN(Z190,7000)*0.034,
"Colorado Taxes",MIN(Z190,17000)*0.017,
"Connecticut Taxes",MIN(Z190,15000)*0.03,
"Delaware Taxes",MIN(Z190,16500)*0.018,
"District of Columbia Taxes",MIN(Z190,9000)*0.027,
"Florida Taxes",MIN(Z190,7000)*0.027,
"Georgia Taxes",MIN(Z190,9500)*0.0264,
"Hawaii Taxes",MIN(Z190,51600)*0.03,
"Idaho Taxes",MIN(Z190,46500)*0.0097,
"Illinois Taxes",MIN(Z190,12960)*0.03525,
"Indiana Taxes",MIN(Z190,9500)*0.025,
"Iowa Taxes",MIN(Z190,34800)*0.01,
"Kansas Taxes",MIN(Z190,14000)*0.027,
"Kentucky Taxes",MIN(Z190,11100)*0.027,
"Louisiana Taxes",MIN(Z190,7700)*0.027,
"Maine Taxes",MIN(Z190,12000)*0.0224,
"Maryland Taxes",MIN(Z190,8500)*0.026,
"Massachusetts Taxes",MIN(Z190,15000)*0.0242,
"Michigan Taxes",MIN(Z190,9500)*0.027,
"Minnesota Taxes",MIN(Z190,38000)*0.027,
"Mississippi Taxes",MIN(Z190,14000)*0.01,
"Missouri Taxes",MIN(Z190,11000)*0.02376,
"Montana Taxes",MIN(Z190,38100)*0.027,
"Nebraska Taxes",MIN(Z190,24000)*0.0125,
"Nevada Taxes",MIN(Z190,36600)*0.0295,
"New Hampshire Taxes",MIN(Z190,14000)*0.027,
"New Jersey Taxes",MIN(Z190,39800)*0.028,
"New Mexico Taxes",MIN(Z190,28700)*0.01,
"New York Taxes",MIN(Z190,12000)*0.03125,
"North Carolina Taxes",MIN(Z190,28000)*0.01,
"North Dakota Taxes",MIN(Z190,38400)*0.0102,
"Ohio Taxes",MIN(Z190,9000)*0.027,
"Oklahoma Taxes",MIN(Z190,24800)*0.015,
"Oregon Taxes",MIN(Z190,47700)*0.024,
"Pennsylvania Taxes",MIN(Z190,10000)*0.03689,
"Rhode Island Taxes",MIN(Z190,24600)*0.0098,
"South Carolina Taxes",MIN(Z190,14000)*0.0049,
"South Dakota Taxes",MIN(Z190,15000)*0.012,
"Tennessee Taxes",MIN(Z190,7000)*0.027,
"Texas Taxes",MIN(Z190,9000)*0.027,
"Utah Taxes",MIN(Z190,41600)*0.027,
"Vermont Taxes",MIN(Z190,15500)*0.01,
"Virginia Taxes",MIN(Z190,8000)*0.0273,
"Washington Taxes",MIN(Z190,62500)*0.027,
"West Virginia Taxes",MIN(Z190,12000)*0.027,
"Wisconsin Taxes",MIN(Z190,14000)*0.0305,
"Wyoming Taxes",MIN(Z190,27700)*0.027
),
Z$156=2023,
_xlfn.SWITCH(
Z195,
"Alabama Taxes",MIN(Z190,8000)*0.027,
"Alaska Taxes",MIN(Z190,41500)*0.0237,
"Arizona Taxes",MIN(Z190,7000)*0.02,
"Arkansas Taxes",MIN(Z190,12000)*0.031,
"California Taxes",MIN(Z190,7000)*0.034,
"Colorado Taxes",MIN(Z190,13800)*0.017,
"Connecticut Taxes",MIN(Z190,15000)*0.028,
"Delaware Taxes",MIN(Z190,8500)*0.001,
"District of Columbia Taxes",MIN(Z190,9000)*0.027,
"Florida Taxes",MIN(Z190,7000)*0.027,
"Georgia Taxes",MIN(Z190,9500)*0.027,
"Hawaii Taxes",MIN(Z190,46800)*0.04,
"Idaho Taxes",MIN(Z190,41500)*0.01071,
"Illinois Taxes",MIN(Z190,12900)*0.0395,
"Indiana Taxes",MIN(Z190,9500)*0.025,
"Iowa Taxes",MIN(Z190,29500)*0.01,
"Kansas Taxes",MIN(Z190,14000)*0.027,
"Kentucky Taxes",MIN(Z190,11000)*0.027,
"Louisiana Taxes",MIN(Z190,7500)*0.0009,
"Maine Taxes",MIN(Z190,12000)*0.0219,
"Maryland Taxes",MIN(Z190,8500)*0.023,
"Massachusetts Taxes",MIN(Z190,15000)*0.0143,
"Michigan Taxes",MIN(Z190,9500)*0.027,
"Minnesota Taxes",MIN(Z190,35000)*0.001,
"Mississippi Taxes",MIN(Z190,14000)*0.01,
"Missouri Taxes",MIN(Z190,13500)*0.027,
"Montana Taxes",MIN(Z190,34500)*0.0013,
"Nebraska Taxes",MIN(Z190,9000)*0.0125,
"Nevada Taxes",MIN(Z190,33100)*0.0295,
"New Hampshire Taxes",MIN(Z190,14000)*0.027,
"New Jersey Taxes",MIN(Z190,35700)*0.031,
"New Mexico Taxes",MIN(Z190,25400)*0.01,
"New York Taxes",MIN(Z190,11500)*0.026,
"North Carolina Taxes",MIN(Z190,25400)*0.01,
"North Dakota Taxes",MIN(Z190,39200)*0.0113,
"Ohio Taxes",MIN(Z190,9000)*0.027,
"Oklahoma Taxes",MIN(Z190,17500)*0.015,
"Oregon Taxes",MIN(Z190,43000)*0.021,
"Pennsylvania Taxes",MIN(Z190,10000)*0.03822,
"Rhode Island Taxes",MIN(Z190,24000)*0.0109,
"South Carolina Taxes",MIN(Z190,14000)*0.0045,
"South Dakota Taxes",MIN(Z190,15000)*0.012,
"Tennessee Taxes",MIN(Z190,7000)*0.027,
"Texas Taxes",MIN(Z190,9000)*0.027,
"Utah Taxes",MIN(Z190,35700)*0.003,
"Vermont Taxes",MIN(Z190,16000)*0.01,
"Virginia Taxes",MIN(Z190,8000)*0.025,
"Washington Taxes",MIN(Z190,56200)*0.0125,
"West Virginia Taxes",MIN(Z190,12000)*0.027,
"Wisconsin Taxes",MIN(Z190,14000)*0.0305,
"Wyoming Taxes",MIN(Z190,25800)*0.018
),
Z$156=2024,
_xlfn.SWITCH(
Z195,
"Alabama Taxes",MIN(Z190,8000)*0.027,
"Alaska Taxes",MIN(Z190,41500)*0.0237,
"Arizona Taxes",MIN(Z190,7000)*0.02,
"Arkansas Taxes",MIN(Z190,12000)*0.031,
"California Taxes",MIN(Z190,7000)*0.034,
"Colorado Taxes",MIN(Z190,13800)*0.017,
"Connecticut Taxes",MIN(Z190,15000)*0.028,
"Delaware Taxes",MIN(Z190,8500)*0.001,
"District of Columbia Taxes",MIN(Z190,9000)*0.027,
"Florida Taxes",MIN(Z190,7000)*0.027,
"Georgia Taxes",MIN(Z190,9500)*0.027,
"Hawaii Taxes",MIN(Z190,46800)*0.04,
"Idaho Taxes",MIN(Z190,41500)*0.01071,
"Illinois Taxes",MIN(Z190,12900)*0.0395,
"Indiana Taxes",MIN(Z190,9500)*0.025,
"Iowa Taxes",MIN(Z190,29500)*0.01,
"Kansas Taxes",MIN(Z190,14000)*0.027,
"Kentucky Taxes",MIN(Z190,11000)*0.027,
"Louisiana Taxes",MIN(Z190,7500)*0.0009,
"Maine Taxes",MIN(Z190,12000)*0.0219,
"Maryland Taxes",MIN(Z190,8500)*0.023,
"Massachusetts Taxes",MIN(Z190,15000)*0.0143,
"Michigan Taxes",MIN(Z190,9500)*0.027,
"Minnesota Taxes",MIN(Z190,35000)*0.001,
"Mississippi Taxes",MIN(Z190,14000)*0.01,
"Missouri Taxes",MIN(Z190,13500)*0.027,
"Montana Taxes",MIN(Z190,34500)*0.0013,
"Nebraska Taxes",MIN(Z190,9000)*0.0125,
"Nevada Taxes",MIN(Z190,33100)*0.0295,
"New Hampshire Taxes",MIN(Z190,14000)*0.027,
"New Jersey Taxes",MIN(Z190,35700)*0.031,
"New Mexico Taxes",MIN(Z190,25400)*0.01,
"New York Taxes",MIN(Z190,11500)*0.026,
"North Carolina Taxes",MIN(Z190,25400)*0.01,
"North Dakota Taxes",MIN(Z190,39200)*0.0113,
"Ohio Taxes",MIN(Z190,9000)*0.027,
"Oklahoma Taxes",MIN(Z190,17500)*0.015,
"Oregon Taxes",MIN(Z190,43000)*0.021,
"Pennsylvania Taxes",MIN(Z190,10000)*0.03822,
"Rhode Island Taxes",MIN(Z190,24000)*0.0109,
"South Carolina Taxes",MIN(Z190,14000)*0.0045,
"South Dakota Taxes",MIN(Z190,15000)*0.012,
"Tennessee Taxes",MIN(Z190,7000)*0.027,
"Texas Taxes",MIN(Z190,9000)*0.027,
"Utah Taxes",MIN(Z190,35700)*0.003,
"Vermont Taxes",MIN(Z190,16000)*0.01,
"Virginia Taxes",MIN(Z190,8000)*0.025,
"Washington Taxes",MIN(Z190,56200)*0.0125,
"West Virginia Taxes",MIN(Z190,12000)*0.027,
"Wisconsin Taxes",MIN(Z190,14000)*0.0305,
"Wyoming Taxes",MIN(Z190,25800)*0.018
)
),0))</f>
        <v>0</v>
      </c>
      <c r="AA198" s="102" cm="1">
        <f t="array" ref="AA198">IF(AA189="W-2",0,_xlfn.IFNA(_xlfn.IFS(
AA$156=2022,
_xlfn.SWITCH(
AA195,
"Alabama Taxes",MIN(AA190,8000)*0.027,
"Alaska Taxes",MIN(AA190,45200)*0.0237,
"Arizona Taxes",MIN(AA190,7000)*0.02,
"Arkansas Taxes",MIN(AA190,10000)*0.031,
"California Taxes",MIN(AA190,7000)*0.034,
"Colorado Taxes",MIN(AA190,17000)*0.017,
"Connecticut Taxes",MIN(AA190,15000)*0.03,
"Delaware Taxes",MIN(AA190,16500)*0.018,
"District of Columbia Taxes",MIN(AA190,9000)*0.027,
"Florida Taxes",MIN(AA190,7000)*0.027,
"Georgia Taxes",MIN(AA190,9500)*0.0264,
"Hawaii Taxes",MIN(AA190,51600)*0.03,
"Idaho Taxes",MIN(AA190,46500)*0.0097,
"Illinois Taxes",MIN(AA190,12960)*0.03525,
"Indiana Taxes",MIN(AA190,9500)*0.025,
"Iowa Taxes",MIN(AA190,34800)*0.01,
"Kansas Taxes",MIN(AA190,14000)*0.027,
"Kentucky Taxes",MIN(AA190,11100)*0.027,
"Louisiana Taxes",MIN(AA190,7700)*0.027,
"Maine Taxes",MIN(AA190,12000)*0.0224,
"Maryland Taxes",MIN(AA190,8500)*0.026,
"Massachusetts Taxes",MIN(AA190,15000)*0.0242,
"Michigan Taxes",MIN(AA190,9500)*0.027,
"Minnesota Taxes",MIN(AA190,38000)*0.027,
"Mississippi Taxes",MIN(AA190,14000)*0.01,
"Missouri Taxes",MIN(AA190,11000)*0.02376,
"Montana Taxes",MIN(AA190,38100)*0.027,
"Nebraska Taxes",MIN(AA190,24000)*0.0125,
"Nevada Taxes",MIN(AA190,36600)*0.0295,
"New Hampshire Taxes",MIN(AA190,14000)*0.027,
"New Jersey Taxes",MIN(AA190,39800)*0.028,
"New Mexico Taxes",MIN(AA190,28700)*0.01,
"New York Taxes",MIN(AA190,12000)*0.03125,
"North Carolina Taxes",MIN(AA190,28000)*0.01,
"North Dakota Taxes",MIN(AA190,38400)*0.0102,
"Ohio Taxes",MIN(AA190,9000)*0.027,
"Oklahoma Taxes",MIN(AA190,24800)*0.015,
"Oregon Taxes",MIN(AA190,47700)*0.024,
"Pennsylvania Taxes",MIN(AA190,10000)*0.03689,
"Rhode Island Taxes",MIN(AA190,24600)*0.0098,
"South Carolina Taxes",MIN(AA190,14000)*0.0049,
"South Dakota Taxes",MIN(AA190,15000)*0.012,
"Tennessee Taxes",MIN(AA190,7000)*0.027,
"Texas Taxes",MIN(AA190,9000)*0.027,
"Utah Taxes",MIN(AA190,41600)*0.027,
"Vermont Taxes",MIN(AA190,15500)*0.01,
"Virginia Taxes",MIN(AA190,8000)*0.0273,
"Washington Taxes",MIN(AA190,62500)*0.027,
"West Virginia Taxes",MIN(AA190,12000)*0.027,
"Wisconsin Taxes",MIN(AA190,14000)*0.0305,
"Wyoming Taxes",MIN(AA190,27700)*0.027
),
AA$156=2023,
_xlfn.SWITCH(
AA195,
"Alabama Taxes",MIN(AA190,8000)*0.027,
"Alaska Taxes",MIN(AA190,41500)*0.0237,
"Arizona Taxes",MIN(AA190,7000)*0.02,
"Arkansas Taxes",MIN(AA190,12000)*0.031,
"California Taxes",MIN(AA190,7000)*0.034,
"Colorado Taxes",MIN(AA190,13800)*0.017,
"Connecticut Taxes",MIN(AA190,15000)*0.028,
"Delaware Taxes",MIN(AA190,8500)*0.001,
"District of Columbia Taxes",MIN(AA190,9000)*0.027,
"Florida Taxes",MIN(AA190,7000)*0.027,
"Georgia Taxes",MIN(AA190,9500)*0.027,
"Hawaii Taxes",MIN(AA190,46800)*0.04,
"Idaho Taxes",MIN(AA190,41500)*0.01071,
"Illinois Taxes",MIN(AA190,12900)*0.0395,
"Indiana Taxes",MIN(AA190,9500)*0.025,
"Iowa Taxes",MIN(AA190,29500)*0.01,
"Kansas Taxes",MIN(AA190,14000)*0.027,
"Kentucky Taxes",MIN(AA190,11000)*0.027,
"Louisiana Taxes",MIN(AA190,7500)*0.0009,
"Maine Taxes",MIN(AA190,12000)*0.0219,
"Maryland Taxes",MIN(AA190,8500)*0.023,
"Massachusetts Taxes",MIN(AA190,15000)*0.0143,
"Michigan Taxes",MIN(AA190,9500)*0.027,
"Minnesota Taxes",MIN(AA190,35000)*0.001,
"Mississippi Taxes",MIN(AA190,14000)*0.01,
"Missouri Taxes",MIN(AA190,13500)*0.027,
"Montana Taxes",MIN(AA190,34500)*0.0013,
"Nebraska Taxes",MIN(AA190,9000)*0.0125,
"Nevada Taxes",MIN(AA190,33100)*0.0295,
"New Hampshire Taxes",MIN(AA190,14000)*0.027,
"New Jersey Taxes",MIN(AA190,35700)*0.031,
"New Mexico Taxes",MIN(AA190,25400)*0.01,
"New York Taxes",MIN(AA190,11500)*0.026,
"North Carolina Taxes",MIN(AA190,25400)*0.01,
"North Dakota Taxes",MIN(AA190,39200)*0.0113,
"Ohio Taxes",MIN(AA190,9000)*0.027,
"Oklahoma Taxes",MIN(AA190,17500)*0.015,
"Oregon Taxes",MIN(AA190,43000)*0.021,
"Pennsylvania Taxes",MIN(AA190,10000)*0.03822,
"Rhode Island Taxes",MIN(AA190,24000)*0.0109,
"South Carolina Taxes",MIN(AA190,14000)*0.0045,
"South Dakota Taxes",MIN(AA190,15000)*0.012,
"Tennessee Taxes",MIN(AA190,7000)*0.027,
"Texas Taxes",MIN(AA190,9000)*0.027,
"Utah Taxes",MIN(AA190,35700)*0.003,
"Vermont Taxes",MIN(AA190,16000)*0.01,
"Virginia Taxes",MIN(AA190,8000)*0.025,
"Washington Taxes",MIN(AA190,56200)*0.0125,
"West Virginia Taxes",MIN(AA190,12000)*0.027,
"Wisconsin Taxes",MIN(AA190,14000)*0.0305,
"Wyoming Taxes",MIN(AA190,25800)*0.018
),
AA$156=2024,
_xlfn.SWITCH(
AA195,
"Alabama Taxes",MIN(AA190,8000)*0.027,
"Alaska Taxes",MIN(AA190,41500)*0.0237,
"Arizona Taxes",MIN(AA190,7000)*0.02,
"Arkansas Taxes",MIN(AA190,12000)*0.031,
"California Taxes",MIN(AA190,7000)*0.034,
"Colorado Taxes",MIN(AA190,13800)*0.017,
"Connecticut Taxes",MIN(AA190,15000)*0.028,
"Delaware Taxes",MIN(AA190,8500)*0.001,
"District of Columbia Taxes",MIN(AA190,9000)*0.027,
"Florida Taxes",MIN(AA190,7000)*0.027,
"Georgia Taxes",MIN(AA190,9500)*0.027,
"Hawaii Taxes",MIN(AA190,46800)*0.04,
"Idaho Taxes",MIN(AA190,41500)*0.01071,
"Illinois Taxes",MIN(AA190,12900)*0.0395,
"Indiana Taxes",MIN(AA190,9500)*0.025,
"Iowa Taxes",MIN(AA190,29500)*0.01,
"Kansas Taxes",MIN(AA190,14000)*0.027,
"Kentucky Taxes",MIN(AA190,11000)*0.027,
"Louisiana Taxes",MIN(AA190,7500)*0.0009,
"Maine Taxes",MIN(AA190,12000)*0.0219,
"Maryland Taxes",MIN(AA190,8500)*0.023,
"Massachusetts Taxes",MIN(AA190,15000)*0.0143,
"Michigan Taxes",MIN(AA190,9500)*0.027,
"Minnesota Taxes",MIN(AA190,35000)*0.001,
"Mississippi Taxes",MIN(AA190,14000)*0.01,
"Missouri Taxes",MIN(AA190,13500)*0.027,
"Montana Taxes",MIN(AA190,34500)*0.0013,
"Nebraska Taxes",MIN(AA190,9000)*0.0125,
"Nevada Taxes",MIN(AA190,33100)*0.0295,
"New Hampshire Taxes",MIN(AA190,14000)*0.027,
"New Jersey Taxes",MIN(AA190,35700)*0.031,
"New Mexico Taxes",MIN(AA190,25400)*0.01,
"New York Taxes",MIN(AA190,11500)*0.026,
"North Carolina Taxes",MIN(AA190,25400)*0.01,
"North Dakota Taxes",MIN(AA190,39200)*0.0113,
"Ohio Taxes",MIN(AA190,9000)*0.027,
"Oklahoma Taxes",MIN(AA190,17500)*0.015,
"Oregon Taxes",MIN(AA190,43000)*0.021,
"Pennsylvania Taxes",MIN(AA190,10000)*0.03822,
"Rhode Island Taxes",MIN(AA190,24000)*0.0109,
"South Carolina Taxes",MIN(AA190,14000)*0.0045,
"South Dakota Taxes",MIN(AA190,15000)*0.012,
"Tennessee Taxes",MIN(AA190,7000)*0.027,
"Texas Taxes",MIN(AA190,9000)*0.027,
"Utah Taxes",MIN(AA190,35700)*0.003,
"Vermont Taxes",MIN(AA190,16000)*0.01,
"Virginia Taxes",MIN(AA190,8000)*0.025,
"Washington Taxes",MIN(AA190,56200)*0.0125,
"West Virginia Taxes",MIN(AA190,12000)*0.027,
"Wisconsin Taxes",MIN(AA190,14000)*0.0305,
"Wyoming Taxes",MIN(AA190,25800)*0.018
)
),0))</f>
        <v>0</v>
      </c>
      <c r="AB198" s="102" cm="1">
        <f t="array" ref="AB198">IF(AB189="W-2",0,_xlfn.IFNA(_xlfn.IFS(
AB$156=2022,
_xlfn.SWITCH(
AB195,
"Alabama Taxes",MIN(AB190,8000)*0.027,
"Alaska Taxes",MIN(AB190,45200)*0.0237,
"Arizona Taxes",MIN(AB190,7000)*0.02,
"Arkansas Taxes",MIN(AB190,10000)*0.031,
"California Taxes",MIN(AB190,7000)*0.034,
"Colorado Taxes",MIN(AB190,17000)*0.017,
"Connecticut Taxes",MIN(AB190,15000)*0.03,
"Delaware Taxes",MIN(AB190,16500)*0.018,
"District of Columbia Taxes",MIN(AB190,9000)*0.027,
"Florida Taxes",MIN(AB190,7000)*0.027,
"Georgia Taxes",MIN(AB190,9500)*0.0264,
"Hawaii Taxes",MIN(AB190,51600)*0.03,
"Idaho Taxes",MIN(AB190,46500)*0.0097,
"Illinois Taxes",MIN(AB190,12960)*0.03525,
"Indiana Taxes",MIN(AB190,9500)*0.025,
"Iowa Taxes",MIN(AB190,34800)*0.01,
"Kansas Taxes",MIN(AB190,14000)*0.027,
"Kentucky Taxes",MIN(AB190,11100)*0.027,
"Louisiana Taxes",MIN(AB190,7700)*0.027,
"Maine Taxes",MIN(AB190,12000)*0.0224,
"Maryland Taxes",MIN(AB190,8500)*0.026,
"Massachusetts Taxes",MIN(AB190,15000)*0.0242,
"Michigan Taxes",MIN(AB190,9500)*0.027,
"Minnesota Taxes",MIN(AB190,38000)*0.027,
"Mississippi Taxes",MIN(AB190,14000)*0.01,
"Missouri Taxes",MIN(AB190,11000)*0.02376,
"Montana Taxes",MIN(AB190,38100)*0.027,
"Nebraska Taxes",MIN(AB190,24000)*0.0125,
"Nevada Taxes",MIN(AB190,36600)*0.0295,
"New Hampshire Taxes",MIN(AB190,14000)*0.027,
"New Jersey Taxes",MIN(AB190,39800)*0.028,
"New Mexico Taxes",MIN(AB190,28700)*0.01,
"New York Taxes",MIN(AB190,12000)*0.03125,
"North Carolina Taxes",MIN(AB190,28000)*0.01,
"North Dakota Taxes",MIN(AB190,38400)*0.0102,
"Ohio Taxes",MIN(AB190,9000)*0.027,
"Oklahoma Taxes",MIN(AB190,24800)*0.015,
"Oregon Taxes",MIN(AB190,47700)*0.024,
"Pennsylvania Taxes",MIN(AB190,10000)*0.03689,
"Rhode Island Taxes",MIN(AB190,24600)*0.0098,
"South Carolina Taxes",MIN(AB190,14000)*0.0049,
"South Dakota Taxes",MIN(AB190,15000)*0.012,
"Tennessee Taxes",MIN(AB190,7000)*0.027,
"Texas Taxes",MIN(AB190,9000)*0.027,
"Utah Taxes",MIN(AB190,41600)*0.027,
"Vermont Taxes",MIN(AB190,15500)*0.01,
"Virginia Taxes",MIN(AB190,8000)*0.0273,
"Washington Taxes",MIN(AB190,62500)*0.027,
"West Virginia Taxes",MIN(AB190,12000)*0.027,
"Wisconsin Taxes",MIN(AB190,14000)*0.0305,
"Wyoming Taxes",MIN(AB190,27700)*0.027
),
AB$156=2023,
_xlfn.SWITCH(
AB195,
"Alabama Taxes",MIN(AB190,8000)*0.027,
"Alaska Taxes",MIN(AB190,41500)*0.0237,
"Arizona Taxes",MIN(AB190,7000)*0.02,
"Arkansas Taxes",MIN(AB190,12000)*0.031,
"California Taxes",MIN(AB190,7000)*0.034,
"Colorado Taxes",MIN(AB190,13800)*0.017,
"Connecticut Taxes",MIN(AB190,15000)*0.028,
"Delaware Taxes",MIN(AB190,8500)*0.001,
"District of Columbia Taxes",MIN(AB190,9000)*0.027,
"Florida Taxes",MIN(AB190,7000)*0.027,
"Georgia Taxes",MIN(AB190,9500)*0.027,
"Hawaii Taxes",MIN(AB190,46800)*0.04,
"Idaho Taxes",MIN(AB190,41500)*0.01071,
"Illinois Taxes",MIN(AB190,12900)*0.0395,
"Indiana Taxes",MIN(AB190,9500)*0.025,
"Iowa Taxes",MIN(AB190,29500)*0.01,
"Kansas Taxes",MIN(AB190,14000)*0.027,
"Kentucky Taxes",MIN(AB190,11000)*0.027,
"Louisiana Taxes",MIN(AB190,7500)*0.0009,
"Maine Taxes",MIN(AB190,12000)*0.0219,
"Maryland Taxes",MIN(AB190,8500)*0.023,
"Massachusetts Taxes",MIN(AB190,15000)*0.0143,
"Michigan Taxes",MIN(AB190,9500)*0.027,
"Minnesota Taxes",MIN(AB190,35000)*0.001,
"Mississippi Taxes",MIN(AB190,14000)*0.01,
"Missouri Taxes",MIN(AB190,13500)*0.027,
"Montana Taxes",MIN(AB190,34500)*0.0013,
"Nebraska Taxes",MIN(AB190,9000)*0.0125,
"Nevada Taxes",MIN(AB190,33100)*0.0295,
"New Hampshire Taxes",MIN(AB190,14000)*0.027,
"New Jersey Taxes",MIN(AB190,35700)*0.031,
"New Mexico Taxes",MIN(AB190,25400)*0.01,
"New York Taxes",MIN(AB190,11500)*0.026,
"North Carolina Taxes",MIN(AB190,25400)*0.01,
"North Dakota Taxes",MIN(AB190,39200)*0.0113,
"Ohio Taxes",MIN(AB190,9000)*0.027,
"Oklahoma Taxes",MIN(AB190,17500)*0.015,
"Oregon Taxes",MIN(AB190,43000)*0.021,
"Pennsylvania Taxes",MIN(AB190,10000)*0.03822,
"Rhode Island Taxes",MIN(AB190,24000)*0.0109,
"South Carolina Taxes",MIN(AB190,14000)*0.0045,
"South Dakota Taxes",MIN(AB190,15000)*0.012,
"Tennessee Taxes",MIN(AB190,7000)*0.027,
"Texas Taxes",MIN(AB190,9000)*0.027,
"Utah Taxes",MIN(AB190,35700)*0.003,
"Vermont Taxes",MIN(AB190,16000)*0.01,
"Virginia Taxes",MIN(AB190,8000)*0.025,
"Washington Taxes",MIN(AB190,56200)*0.0125,
"West Virginia Taxes",MIN(AB190,12000)*0.027,
"Wisconsin Taxes",MIN(AB190,14000)*0.0305,
"Wyoming Taxes",MIN(AB190,25800)*0.018
),
AB$156=2024,
_xlfn.SWITCH(
AB195,
"Alabama Taxes",MIN(AB190,8000)*0.027,
"Alaska Taxes",MIN(AB190,41500)*0.0237,
"Arizona Taxes",MIN(AB190,7000)*0.02,
"Arkansas Taxes",MIN(AB190,12000)*0.031,
"California Taxes",MIN(AB190,7000)*0.034,
"Colorado Taxes",MIN(AB190,13800)*0.017,
"Connecticut Taxes",MIN(AB190,15000)*0.028,
"Delaware Taxes",MIN(AB190,8500)*0.001,
"District of Columbia Taxes",MIN(AB190,9000)*0.027,
"Florida Taxes",MIN(AB190,7000)*0.027,
"Georgia Taxes",MIN(AB190,9500)*0.027,
"Hawaii Taxes",MIN(AB190,46800)*0.04,
"Idaho Taxes",MIN(AB190,41500)*0.01071,
"Illinois Taxes",MIN(AB190,12900)*0.0395,
"Indiana Taxes",MIN(AB190,9500)*0.025,
"Iowa Taxes",MIN(AB190,29500)*0.01,
"Kansas Taxes",MIN(AB190,14000)*0.027,
"Kentucky Taxes",MIN(AB190,11000)*0.027,
"Louisiana Taxes",MIN(AB190,7500)*0.0009,
"Maine Taxes",MIN(AB190,12000)*0.0219,
"Maryland Taxes",MIN(AB190,8500)*0.023,
"Massachusetts Taxes",MIN(AB190,15000)*0.0143,
"Michigan Taxes",MIN(AB190,9500)*0.027,
"Minnesota Taxes",MIN(AB190,35000)*0.001,
"Mississippi Taxes",MIN(AB190,14000)*0.01,
"Missouri Taxes",MIN(AB190,13500)*0.027,
"Montana Taxes",MIN(AB190,34500)*0.0013,
"Nebraska Taxes",MIN(AB190,9000)*0.0125,
"Nevada Taxes",MIN(AB190,33100)*0.0295,
"New Hampshire Taxes",MIN(AB190,14000)*0.027,
"New Jersey Taxes",MIN(AB190,35700)*0.031,
"New Mexico Taxes",MIN(AB190,25400)*0.01,
"New York Taxes",MIN(AB190,11500)*0.026,
"North Carolina Taxes",MIN(AB190,25400)*0.01,
"North Dakota Taxes",MIN(AB190,39200)*0.0113,
"Ohio Taxes",MIN(AB190,9000)*0.027,
"Oklahoma Taxes",MIN(AB190,17500)*0.015,
"Oregon Taxes",MIN(AB190,43000)*0.021,
"Pennsylvania Taxes",MIN(AB190,10000)*0.03822,
"Rhode Island Taxes",MIN(AB190,24000)*0.0109,
"South Carolina Taxes",MIN(AB190,14000)*0.0045,
"South Dakota Taxes",MIN(AB190,15000)*0.012,
"Tennessee Taxes",MIN(AB190,7000)*0.027,
"Texas Taxes",MIN(AB190,9000)*0.027,
"Utah Taxes",MIN(AB190,35700)*0.003,
"Vermont Taxes",MIN(AB190,16000)*0.01,
"Virginia Taxes",MIN(AB190,8000)*0.025,
"Washington Taxes",MIN(AB190,56200)*0.0125,
"West Virginia Taxes",MIN(AB190,12000)*0.027,
"Wisconsin Taxes",MIN(AB190,14000)*0.0305,
"Wyoming Taxes",MIN(AB190,25800)*0.018
)
),0))</f>
        <v>0</v>
      </c>
      <c r="AC198" s="102" cm="1">
        <f t="array" ref="AC198">IF(AC189="W-2",0,_xlfn.IFNA(_xlfn.IFS(
AC$156=2022,
_xlfn.SWITCH(
AC195,
"Alabama Taxes",MIN(AC190,8000)*0.027,
"Alaska Taxes",MIN(AC190,45200)*0.0237,
"Arizona Taxes",MIN(AC190,7000)*0.02,
"Arkansas Taxes",MIN(AC190,10000)*0.031,
"California Taxes",MIN(AC190,7000)*0.034,
"Colorado Taxes",MIN(AC190,17000)*0.017,
"Connecticut Taxes",MIN(AC190,15000)*0.03,
"Delaware Taxes",MIN(AC190,16500)*0.018,
"District of Columbia Taxes",MIN(AC190,9000)*0.027,
"Florida Taxes",MIN(AC190,7000)*0.027,
"Georgia Taxes",MIN(AC190,9500)*0.0264,
"Hawaii Taxes",MIN(AC190,51600)*0.03,
"Idaho Taxes",MIN(AC190,46500)*0.0097,
"Illinois Taxes",MIN(AC190,12960)*0.03525,
"Indiana Taxes",MIN(AC190,9500)*0.025,
"Iowa Taxes",MIN(AC190,34800)*0.01,
"Kansas Taxes",MIN(AC190,14000)*0.027,
"Kentucky Taxes",MIN(AC190,11100)*0.027,
"Louisiana Taxes",MIN(AC190,7700)*0.027,
"Maine Taxes",MIN(AC190,12000)*0.0224,
"Maryland Taxes",MIN(AC190,8500)*0.026,
"Massachusetts Taxes",MIN(AC190,15000)*0.0242,
"Michigan Taxes",MIN(AC190,9500)*0.027,
"Minnesota Taxes",MIN(AC190,38000)*0.027,
"Mississippi Taxes",MIN(AC190,14000)*0.01,
"Missouri Taxes",MIN(AC190,11000)*0.02376,
"Montana Taxes",MIN(AC190,38100)*0.027,
"Nebraska Taxes",MIN(AC190,24000)*0.0125,
"Nevada Taxes",MIN(AC190,36600)*0.0295,
"New Hampshire Taxes",MIN(AC190,14000)*0.027,
"New Jersey Taxes",MIN(AC190,39800)*0.028,
"New Mexico Taxes",MIN(AC190,28700)*0.01,
"New York Taxes",MIN(AC190,12000)*0.03125,
"North Carolina Taxes",MIN(AC190,28000)*0.01,
"North Dakota Taxes",MIN(AC190,38400)*0.0102,
"Ohio Taxes",MIN(AC190,9000)*0.027,
"Oklahoma Taxes",MIN(AC190,24800)*0.015,
"Oregon Taxes",MIN(AC190,47700)*0.024,
"Pennsylvania Taxes",MIN(AC190,10000)*0.03689,
"Rhode Island Taxes",MIN(AC190,24600)*0.0098,
"South Carolina Taxes",MIN(AC190,14000)*0.0049,
"South Dakota Taxes",MIN(AC190,15000)*0.012,
"Tennessee Taxes",MIN(AC190,7000)*0.027,
"Texas Taxes",MIN(AC190,9000)*0.027,
"Utah Taxes",MIN(AC190,41600)*0.027,
"Vermont Taxes",MIN(AC190,15500)*0.01,
"Virginia Taxes",MIN(AC190,8000)*0.0273,
"Washington Taxes",MIN(AC190,62500)*0.027,
"West Virginia Taxes",MIN(AC190,12000)*0.027,
"Wisconsin Taxes",MIN(AC190,14000)*0.0305,
"Wyoming Taxes",MIN(AC190,27700)*0.027
),
AC$156=2023,
_xlfn.SWITCH(
AC195,
"Alabama Taxes",MIN(AC190,8000)*0.027,
"Alaska Taxes",MIN(AC190,41500)*0.0237,
"Arizona Taxes",MIN(AC190,7000)*0.02,
"Arkansas Taxes",MIN(AC190,12000)*0.031,
"California Taxes",MIN(AC190,7000)*0.034,
"Colorado Taxes",MIN(AC190,13800)*0.017,
"Connecticut Taxes",MIN(AC190,15000)*0.028,
"Delaware Taxes",MIN(AC190,8500)*0.001,
"District of Columbia Taxes",MIN(AC190,9000)*0.027,
"Florida Taxes",MIN(AC190,7000)*0.027,
"Georgia Taxes",MIN(AC190,9500)*0.027,
"Hawaii Taxes",MIN(AC190,46800)*0.04,
"Idaho Taxes",MIN(AC190,41500)*0.01071,
"Illinois Taxes",MIN(AC190,12900)*0.0395,
"Indiana Taxes",MIN(AC190,9500)*0.025,
"Iowa Taxes",MIN(AC190,29500)*0.01,
"Kansas Taxes",MIN(AC190,14000)*0.027,
"Kentucky Taxes",MIN(AC190,11000)*0.027,
"Louisiana Taxes",MIN(AC190,7500)*0.0009,
"Maine Taxes",MIN(AC190,12000)*0.0219,
"Maryland Taxes",MIN(AC190,8500)*0.023,
"Massachusetts Taxes",MIN(AC190,15000)*0.0143,
"Michigan Taxes",MIN(AC190,9500)*0.027,
"Minnesota Taxes",MIN(AC190,35000)*0.001,
"Mississippi Taxes",MIN(AC190,14000)*0.01,
"Missouri Taxes",MIN(AC190,13500)*0.027,
"Montana Taxes",MIN(AC190,34500)*0.0013,
"Nebraska Taxes",MIN(AC190,9000)*0.0125,
"Nevada Taxes",MIN(AC190,33100)*0.0295,
"New Hampshire Taxes",MIN(AC190,14000)*0.027,
"New Jersey Taxes",MIN(AC190,35700)*0.031,
"New Mexico Taxes",MIN(AC190,25400)*0.01,
"New York Taxes",MIN(AC190,11500)*0.026,
"North Carolina Taxes",MIN(AC190,25400)*0.01,
"North Dakota Taxes",MIN(AC190,39200)*0.0113,
"Ohio Taxes",MIN(AC190,9000)*0.027,
"Oklahoma Taxes",MIN(AC190,17500)*0.015,
"Oregon Taxes",MIN(AC190,43000)*0.021,
"Pennsylvania Taxes",MIN(AC190,10000)*0.03822,
"Rhode Island Taxes",MIN(AC190,24000)*0.0109,
"South Carolina Taxes",MIN(AC190,14000)*0.0045,
"South Dakota Taxes",MIN(AC190,15000)*0.012,
"Tennessee Taxes",MIN(AC190,7000)*0.027,
"Texas Taxes",MIN(AC190,9000)*0.027,
"Utah Taxes",MIN(AC190,35700)*0.003,
"Vermont Taxes",MIN(AC190,16000)*0.01,
"Virginia Taxes",MIN(AC190,8000)*0.025,
"Washington Taxes",MIN(AC190,56200)*0.0125,
"West Virginia Taxes",MIN(AC190,12000)*0.027,
"Wisconsin Taxes",MIN(AC190,14000)*0.0305,
"Wyoming Taxes",MIN(AC190,25800)*0.018
),
AC$156=2024,
_xlfn.SWITCH(
AC195,
"Alabama Taxes",MIN(AC190,8000)*0.027,
"Alaska Taxes",MIN(AC190,41500)*0.0237,
"Arizona Taxes",MIN(AC190,7000)*0.02,
"Arkansas Taxes",MIN(AC190,12000)*0.031,
"California Taxes",MIN(AC190,7000)*0.034,
"Colorado Taxes",MIN(AC190,13800)*0.017,
"Connecticut Taxes",MIN(AC190,15000)*0.028,
"Delaware Taxes",MIN(AC190,8500)*0.001,
"District of Columbia Taxes",MIN(AC190,9000)*0.027,
"Florida Taxes",MIN(AC190,7000)*0.027,
"Georgia Taxes",MIN(AC190,9500)*0.027,
"Hawaii Taxes",MIN(AC190,46800)*0.04,
"Idaho Taxes",MIN(AC190,41500)*0.01071,
"Illinois Taxes",MIN(AC190,12900)*0.0395,
"Indiana Taxes",MIN(AC190,9500)*0.025,
"Iowa Taxes",MIN(AC190,29500)*0.01,
"Kansas Taxes",MIN(AC190,14000)*0.027,
"Kentucky Taxes",MIN(AC190,11000)*0.027,
"Louisiana Taxes",MIN(AC190,7500)*0.0009,
"Maine Taxes",MIN(AC190,12000)*0.0219,
"Maryland Taxes",MIN(AC190,8500)*0.023,
"Massachusetts Taxes",MIN(AC190,15000)*0.0143,
"Michigan Taxes",MIN(AC190,9500)*0.027,
"Minnesota Taxes",MIN(AC190,35000)*0.001,
"Mississippi Taxes",MIN(AC190,14000)*0.01,
"Missouri Taxes",MIN(AC190,13500)*0.027,
"Montana Taxes",MIN(AC190,34500)*0.0013,
"Nebraska Taxes",MIN(AC190,9000)*0.0125,
"Nevada Taxes",MIN(AC190,33100)*0.0295,
"New Hampshire Taxes",MIN(AC190,14000)*0.027,
"New Jersey Taxes",MIN(AC190,35700)*0.031,
"New Mexico Taxes",MIN(AC190,25400)*0.01,
"New York Taxes",MIN(AC190,11500)*0.026,
"North Carolina Taxes",MIN(AC190,25400)*0.01,
"North Dakota Taxes",MIN(AC190,39200)*0.0113,
"Ohio Taxes",MIN(AC190,9000)*0.027,
"Oklahoma Taxes",MIN(AC190,17500)*0.015,
"Oregon Taxes",MIN(AC190,43000)*0.021,
"Pennsylvania Taxes",MIN(AC190,10000)*0.03822,
"Rhode Island Taxes",MIN(AC190,24000)*0.0109,
"South Carolina Taxes",MIN(AC190,14000)*0.0045,
"South Dakota Taxes",MIN(AC190,15000)*0.012,
"Tennessee Taxes",MIN(AC190,7000)*0.027,
"Texas Taxes",MIN(AC190,9000)*0.027,
"Utah Taxes",MIN(AC190,35700)*0.003,
"Vermont Taxes",MIN(AC190,16000)*0.01,
"Virginia Taxes",MIN(AC190,8000)*0.025,
"Washington Taxes",MIN(AC190,56200)*0.0125,
"West Virginia Taxes",MIN(AC190,12000)*0.027,
"Wisconsin Taxes",MIN(AC190,14000)*0.0305,
"Wyoming Taxes",MIN(AC190,25800)*0.018
)
),0))</f>
        <v>0</v>
      </c>
      <c r="AE198" s="93"/>
      <c r="AF198" s="93"/>
      <c r="AG198" s="93"/>
      <c r="AH198" s="93"/>
      <c r="AI198" s="93"/>
      <c r="AJ198" s="93"/>
      <c r="AK198" s="93"/>
      <c r="AL198" s="93"/>
      <c r="AM198" s="93"/>
      <c r="AN198" s="93"/>
      <c r="AO198" s="93"/>
      <c r="AP198" s="93"/>
      <c r="AQ198" s="93"/>
      <c r="AR198" s="93"/>
      <c r="AS198" s="93"/>
    </row>
    <row r="199" spans="2:45" ht="15.75" thickBot="1" x14ac:dyDescent="0.3">
      <c r="B199" s="214" t="s">
        <v>147</v>
      </c>
      <c r="D199" s="32">
        <v>14</v>
      </c>
      <c r="E199" s="33">
        <f t="shared" si="755"/>
        <v>7.6399999999999996E-2</v>
      </c>
      <c r="F199" s="34" t="e">
        <f t="shared" si="756"/>
        <v>#VALUE!</v>
      </c>
      <c r="G199" t="e">
        <f t="shared" si="751"/>
        <v>#VALUE!</v>
      </c>
      <c r="H199" s="34" t="e">
        <f t="shared" si="752"/>
        <v>#VALUE!</v>
      </c>
      <c r="O199" t="s">
        <v>222</v>
      </c>
      <c r="P199" s="102">
        <f>IF(P189="W-2", 0, IF($U$157="Yes", MIN(P190,7000)*(0.06-0.054), IF($U$157="No", MIN(P190,7000)*0.06, 0)))</f>
        <v>0</v>
      </c>
      <c r="Q199" s="102">
        <f>IF(Q189="W-2", 0, IF($U$157="Yes", MIN(Q190,7000)*(0.06-0.054), IF($U$157="No", MIN(Q190,7000)*0.06, 0)))</f>
        <v>0</v>
      </c>
      <c r="R199" s="102">
        <f>IF(R189="W-2", 0, IF($U$157="Yes", MIN(R190,7000)*(0.06-0.054), IF($U$157="No", MIN(R190,7000)*0.06, 0)))</f>
        <v>0</v>
      </c>
      <c r="S199" s="102">
        <f t="shared" ref="S199:U199" si="770">IF(S189="W-2", 0, IF($U$157="Yes", MIN(S190,7000)*(0.06-0.054), IF($U$157="No", MIN(S190,7000)*0.06, 0)))</f>
        <v>0</v>
      </c>
      <c r="T199" s="102">
        <f t="shared" si="770"/>
        <v>0</v>
      </c>
      <c r="U199" s="102">
        <f t="shared" si="770"/>
        <v>0</v>
      </c>
      <c r="V199" s="102">
        <f>IF(V189="W-2", 0, IF($U$157="Yes", MIN(V190,7000)*(0.06-0.054), IF($U$157="No", MIN(V190,7000)*0.06, 0)))</f>
        <v>0</v>
      </c>
      <c r="W199" s="102">
        <f>IF(W189="W-2", 0, IF($U$157="Yes", MIN(W190,7000)*(0.06-0.054), IF($U$157="No", MIN(W190,7000)*0.06, 0)))</f>
        <v>0</v>
      </c>
      <c r="X199" s="102">
        <f t="shared" ref="X199" si="771">IF(X189="W-2", 0, IF($U$157="Yes", MIN(X190,7000)*(0.06-0.054), IF($U$157="No", MIN(X190,7000)*0.06, 0)))</f>
        <v>0</v>
      </c>
      <c r="Y199" s="102">
        <f>IF(Y189="W-2", 0, IF($U$157="Yes", MIN(Y190,7000)*(0.06-0.054), IF($U$157="No", MIN(Y190,7000)*0.06, 0)))</f>
        <v>0</v>
      </c>
      <c r="Z199" s="102">
        <f>IF(Z189="W-2", 0, IF($U$157="Yes", MIN(Z190,7000)*(0.06-0.054), IF($U$157="No", MIN(Z190,7000)*0.06, 0)))</f>
        <v>0</v>
      </c>
      <c r="AA199" s="102">
        <f>IF(AA189="W-2", 0, IF($U$157="Yes", MIN(AA190,7000)*(0.06-0.054), IF($U$157="No", MIN(AA190,7000)*0.06, 0)))</f>
        <v>0</v>
      </c>
      <c r="AB199" s="102">
        <f>IF(AB189="W-2", 0, IF($U$157="Yes", MIN(AB190,7000)*(0.06-0.054), IF($U$157="No", MIN(AB190,7000)*0.06, 0)))</f>
        <v>0</v>
      </c>
      <c r="AC199" s="102">
        <f>IF(AC189="W-2", 0, IF($U$157="Yes", MIN(AC190,7000)*(0.06-0.054), IF($U$157="No", MIN(AC190,7000)*0.06, 0)))</f>
        <v>0</v>
      </c>
      <c r="AE199" s="93"/>
      <c r="AF199" s="93"/>
      <c r="AG199" s="93"/>
      <c r="AH199" s="93"/>
      <c r="AI199" s="93"/>
      <c r="AJ199" s="93"/>
      <c r="AK199" s="93"/>
      <c r="AL199" s="93"/>
      <c r="AM199" s="93"/>
      <c r="AN199" s="93"/>
      <c r="AO199" s="93"/>
      <c r="AP199" s="93"/>
      <c r="AQ199" s="93"/>
      <c r="AR199" s="93"/>
      <c r="AS199" s="93"/>
    </row>
    <row r="200" spans="2:45" ht="15.75" thickBot="1" x14ac:dyDescent="0.3">
      <c r="B200" s="214" t="s">
        <v>148</v>
      </c>
      <c r="D200" s="32">
        <v>15</v>
      </c>
      <c r="E200" s="33">
        <f t="shared" si="755"/>
        <v>7.6399999999999996E-2</v>
      </c>
      <c r="F200" s="34" t="e">
        <f t="shared" si="756"/>
        <v>#VALUE!</v>
      </c>
      <c r="G200" t="e">
        <f t="shared" si="751"/>
        <v>#VALUE!</v>
      </c>
      <c r="H200" s="34" t="e">
        <f t="shared" si="752"/>
        <v>#VALUE!</v>
      </c>
      <c r="P200" s="110"/>
      <c r="Q200" s="110"/>
      <c r="R200" s="110"/>
      <c r="S200" s="110"/>
      <c r="T200" s="110"/>
      <c r="U200" s="110"/>
      <c r="V200" s="110"/>
      <c r="W200" s="110"/>
      <c r="X200" s="110"/>
      <c r="Y200" s="110"/>
      <c r="Z200" s="110"/>
      <c r="AA200" s="110"/>
      <c r="AB200" s="110"/>
      <c r="AC200" s="110"/>
      <c r="AE200" s="93"/>
      <c r="AF200" s="93"/>
      <c r="AG200" s="93"/>
      <c r="AH200" s="93"/>
      <c r="AI200" s="93"/>
      <c r="AJ200" s="93"/>
      <c r="AK200" s="93"/>
      <c r="AL200" s="93"/>
      <c r="AM200" s="93"/>
      <c r="AN200" s="93"/>
      <c r="AO200" s="93"/>
      <c r="AP200" s="93"/>
      <c r="AQ200" s="93"/>
      <c r="AR200" s="93"/>
      <c r="AS200" s="93"/>
    </row>
    <row r="201" spans="2:45" x14ac:dyDescent="0.25">
      <c r="B201" s="214" t="s">
        <v>149</v>
      </c>
      <c r="D201" s="32">
        <v>16</v>
      </c>
      <c r="E201" s="33">
        <f t="shared" si="755"/>
        <v>7.6399999999999996E-2</v>
      </c>
      <c r="F201" s="34" t="e">
        <f t="shared" si="756"/>
        <v>#VALUE!</v>
      </c>
      <c r="G201" t="e">
        <f t="shared" si="751"/>
        <v>#VALUE!</v>
      </c>
      <c r="H201" s="34" t="e">
        <f t="shared" si="752"/>
        <v>#VALUE!</v>
      </c>
      <c r="P201" s="254" t="s">
        <v>519</v>
      </c>
      <c r="Q201" s="254" t="s">
        <v>519</v>
      </c>
      <c r="R201" s="254" t="s">
        <v>519</v>
      </c>
      <c r="S201" s="254" t="s">
        <v>519</v>
      </c>
      <c r="T201" s="254" t="s">
        <v>519</v>
      </c>
      <c r="U201" s="254" t="s">
        <v>519</v>
      </c>
      <c r="V201" s="254" t="s">
        <v>519</v>
      </c>
      <c r="W201" s="254" t="s">
        <v>519</v>
      </c>
      <c r="X201" s="254" t="s">
        <v>519</v>
      </c>
      <c r="Y201" s="254" t="s">
        <v>410</v>
      </c>
      <c r="Z201" s="254" t="s">
        <v>410</v>
      </c>
      <c r="AA201" s="254" t="s">
        <v>410</v>
      </c>
      <c r="AB201" s="254" t="s">
        <v>410</v>
      </c>
      <c r="AC201" s="254" t="s">
        <v>410</v>
      </c>
      <c r="AE201" s="93"/>
      <c r="AF201" s="93"/>
      <c r="AG201" s="93"/>
      <c r="AH201" s="93"/>
      <c r="AI201" s="93"/>
      <c r="AJ201" s="93"/>
      <c r="AK201" s="93"/>
      <c r="AL201" s="93"/>
      <c r="AM201" s="93"/>
      <c r="AN201" s="93"/>
      <c r="AO201" s="93"/>
      <c r="AP201" s="93"/>
      <c r="AQ201" s="93"/>
      <c r="AR201" s="93"/>
      <c r="AS201" s="93"/>
    </row>
    <row r="202" spans="2:45" x14ac:dyDescent="0.25">
      <c r="B202" s="214" t="s">
        <v>150</v>
      </c>
      <c r="D202" s="32">
        <v>17</v>
      </c>
      <c r="E202" s="33">
        <f t="shared" si="755"/>
        <v>7.6399999999999996E-2</v>
      </c>
      <c r="F202" s="34" t="e">
        <f t="shared" si="756"/>
        <v>#VALUE!</v>
      </c>
      <c r="G202" t="e">
        <f t="shared" si="751"/>
        <v>#VALUE!</v>
      </c>
      <c r="H202" s="34" t="e">
        <f t="shared" si="752"/>
        <v>#VALUE!</v>
      </c>
      <c r="P202" s="256" t="s">
        <v>520</v>
      </c>
      <c r="Q202" s="256" t="s">
        <v>520</v>
      </c>
      <c r="R202" s="256" t="s">
        <v>520</v>
      </c>
      <c r="S202" s="256" t="s">
        <v>520</v>
      </c>
      <c r="T202" s="256" t="s">
        <v>520</v>
      </c>
      <c r="U202" s="256" t="s">
        <v>520</v>
      </c>
      <c r="V202" s="256" t="s">
        <v>520</v>
      </c>
      <c r="W202" s="256" t="s">
        <v>520</v>
      </c>
      <c r="X202" s="256" t="s">
        <v>520</v>
      </c>
      <c r="Y202" s="256" t="s">
        <v>344</v>
      </c>
      <c r="Z202" s="256" t="s">
        <v>344</v>
      </c>
      <c r="AA202" s="256" t="s">
        <v>344</v>
      </c>
      <c r="AB202" s="256" t="s">
        <v>344</v>
      </c>
      <c r="AC202" s="256" t="s">
        <v>344</v>
      </c>
      <c r="AE202" s="92">
        <v>2022</v>
      </c>
      <c r="AF202" s="93">
        <f t="shared" ref="AF202:AN202" si="772">IF(AND(B$1=2022, B$2="MFJ", $R$157="-"),
    IF(P203&lt;13000, 0,
        IF(P203&lt;33550, 0.1*(P203-13000),
            IF(P203&lt;96550, 2055+0.12*(P203-33550),
                IF(P203&lt;191150, 9615+0.22*(P203-96550),
                    IF(P203&lt;353100, 30427+0.24*(P203-191150),
                        IF(P203&lt;444900, 69295+0.32*(P203-353100),
                            IF(P203&lt;660850, 98671+0.35*(P203-444900),
                                174253.5+0.37*(P203-660850)
                            )
                        )
                    )
                )
            )
        )
    ),
    IF(OR(AND(B$1=2022, B$2="Single", $R$157="-"), AND(B$1=2022, B$2="MFS", $R$157="-")),
        IF(P203&lt;4350, 0,
            IF(P203&lt;14625, 0.1*(P203-4350),
                IF(P203&lt;46125, 1027.5+0.12*(P203-14625),
                    IF(P203&lt;93425, 4807.5+0.22*(P203-46125),
                        IF(P203&lt;174400, 15213.5+0.24*(P203-93425),
                            IF(P203&lt;220300, 34647.5+0.32*(P203-174400),
                                IF(P203&lt;544250, 49335.5+0.35*(P203-220300),
                                    162718+0.37*(P203-544250)
                                )
                            )
                        )
                    )
                )
            )
        ),
        IF(AND(B$1=2022, B$2="HOH", $R$157="-"),
            IF(P203&lt;10800, 0,
                IF(P203&lt;25450, 0.1*(P203-10800),
                    IF(P203&lt;66700, 1465+0.12*(P203-25450),
                        IF(P203&lt;99850, 6415+0.22*(P203-66700),
                            IF(P203&lt;180850, 13708+0.24*(P203-99850),
                                IF(P203&lt;226750, 33148+0.32*(P203-180850),
                                    IF(P203&lt;550700, 47836+0.35*(P203-226750),
                                        161218.5+0.37*(P203-550700)
                                    )
                                )
                            )
                        )
                    )
                )
            ),
            IF(AND(B$1=2022, B$2="MFJ", $R$157="X"),
                IF(P203&lt;12950, 0,
                    IF(P203&lt;23225, 0.1*(P203-12950),
                        IF(P203&lt;54725, 1027.5+0.12*(P203-23225),
                            IF(P203&lt;102025, 4807.5+0.22*(P203-54725),
                                IF(P203&lt;183000, 15213.5+0.24*(P203-102025),
                                    IF(P203&lt;228900, 34647.5+0.32*(P203-183000),
                                        IF(P203&lt;336875, 49335.5+0.35*(P203-228900),
                                            87126.75+0.37*(P203-336875)
                                        )
                                    )
                                )
                            )
                        )
                    )
                ),
                IF(OR(AND(B$1=2022, B$2="Single", $R$157="X"), AND(B$1=2022, B$2="MFS", $R$157="X")),
                    IF(P203&lt;6475, 0,
                        IF(P203&lt;11613, 0.1*(P203-6475),
                            IF(P203&lt;27363, 513.75+0.12*(P203-11613),
                                IF(P203&lt;51013, 2403.75+0.22*(P203-27363),
                                    IF(P203&lt;91500, 7606.75+0.24*(P203-51013),
                                        IF(P203&lt;114450, 17323.75+0.32*(P203-91500),
                                            IF(P203&lt;276425, 24667.75+0.35*(P203-114450),
                                                81359+0.37*(P203-276425)
                                            )
                                        )
                                    )
                                )
                            )
                        )
                    ),
                    IF(AND(B$1=2022, B$2="HOH", $R$157="X"),
                        IF(P203&lt;9700, 0,
                            IF(P203&lt;17025, 0.1*(P203-9700),
                                IF(P203&lt;37650, 732.5+0.12*(P203-17025),
                                    IF(P203&lt;54225, 3207.5+0.22*(P203-37650),
                                        IF(P203&lt;94725, 6854+0.24*(P203-54225),
                                            IF(P203&lt;117675, 16574+0.32*(P203-94725),
                                                IF(P203&lt;279650, 23918+0.35*(P203-117675),
                                                    80609.25+0.37*(P203-279650)
                                                )
                                            )
                                        )
                                    )
                                )
                            )
                        ),
                        0
                    )
                )
            )
        )
    )
)</f>
        <v>0</v>
      </c>
      <c r="AG202" s="93">
        <f t="shared" si="772"/>
        <v>0</v>
      </c>
      <c r="AH202" s="93">
        <f t="shared" si="772"/>
        <v>0</v>
      </c>
      <c r="AI202" s="93">
        <f t="shared" si="772"/>
        <v>0</v>
      </c>
      <c r="AJ202" s="93">
        <f t="shared" si="772"/>
        <v>0</v>
      </c>
      <c r="AK202" s="93">
        <f t="shared" si="772"/>
        <v>0</v>
      </c>
      <c r="AL202" s="93">
        <f t="shared" si="772"/>
        <v>0</v>
      </c>
      <c r="AM202" s="93">
        <f t="shared" si="772"/>
        <v>0</v>
      </c>
      <c r="AN202" s="93">
        <f t="shared" si="772"/>
        <v>0</v>
      </c>
      <c r="AO202" s="93">
        <f>IF(AND(Y$156=2022, Y$157="MFJ", $R$157="-"),
    IF(Y203&lt;13000, 0,
        IF(Y203&lt;33550, 0.1*(Y203-13000),
            IF(Y203&lt;96550, 2055+0.12*(Y203-33550),
                IF(Y203&lt;191150, 9615+0.22*(Y203-96550),
                    IF(Y203&lt;353100, 30427+0.24*(Y203-191150),
                        IF(Y203&lt;444900, 69295+0.32*(Y203-353100),
                            IF(Y203&lt;660850, 98671+0.35*(Y203-444900),
                                174253.5+0.37*(Y203-660850)
                            )
                        )
                    )
                )
            )
        )
    ),
    IF(OR(AND(Y$156=2022, Y$157="Single", $R$157="-"), AND(Y$156=2022, Y$157="MFS", $R$157="-")),
        IF(Y203&lt;4350, 0,
            IF(Y203&lt;14625, 0.1*(Y203-4350),
                IF(Y203&lt;46125, 1027.5+0.12*(Y203-14625),
                    IF(Y203&lt;93425, 4807.5+0.22*(Y203-46125),
                        IF(Y203&lt;174400, 15213.5+0.24*(Y203-93425),
                            IF(Y203&lt;220300, 34647.5+0.32*(Y203-174400),
                                IF(Y203&lt;544250, 49335.5+0.35*(Y203-220300),
                                    162718+0.37*(Y203-544250)
                                )
                            )
                        )
                    )
                )
            )
        ),
        IF(AND(Y$156=2022, Y$157="HOH", $R$157="-"),
            IF(Y203&lt;10800, 0,
                IF(Y203&lt;25450, 0.1*(Y203-10800),
                    IF(Y203&lt;66700, 1465+0.12*(Y203-25450),
                        IF(Y203&lt;99850, 6415+0.22*(Y203-66700),
                            IF(Y203&lt;180850, 13708+0.24*(Y203-99850),
                                IF(Y203&lt;226750, 33148+0.32*(Y203-180850),
                                    IF(Y203&lt;550700, 47836+0.35*(Y203-226750),
                                        161218.5+0.37*(Y203-550700)
                                    )
                                )
                            )
                        )
                    )
                )
            ),
            IF(AND(Y$156=2022, Y$157="MFJ", $R$157="X"),
                IF(Y203&lt;12950, 0,
                    IF(Y203&lt;23225, 0.1*(Y203-12950),
                        IF(Y203&lt;54725, 1027.5+0.12*(Y203-23225),
                            IF(Y203&lt;102025, 4807.5+0.22*(Y203-54725),
                                IF(Y203&lt;183000, 15213.5+0.24*(Y203-102025),
                                    IF(Y203&lt;228900, 34647.5+0.32*(Y203-183000),
                                        IF(Y203&lt;336875, 49335.5+0.35*(Y203-228900),
                                            87126.75+0.37*(Y203-336875)
                                        )
                                    )
                                )
                            )
                        )
                    )
                ),
                IF(OR(AND(Y$156=2022, Y$157="Single", $R$157="X"), AND(Y$156=2022, Y$157="MFS", $R$157="X")),
                    IF(Y203&lt;6475, 0,
                        IF(Y203&lt;11613, 0.1*(Y203-6475),
                            IF(Y203&lt;27363, 513.75+0.12*(Y203-11613),
                                IF(Y203&lt;51013, 2403.75+0.22*(Y203-27363),
                                    IF(Y203&lt;91500, 7606.75+0.24*(Y203-51013),
                                        IF(Y203&lt;114450, 17323.75+0.32*(Y203-91500),
                                            IF(Y203&lt;276425, 24667.75+0.35*(Y203-114450),
                                                81359+0.37*(Y203-276425)
                                            )
                                        )
                                    )
                                )
                            )
                        )
                    ),
                    IF(AND(Y$156=2022, Y$157="HOH", $R$157="X"),
                        IF(Y203&lt;9700, 0,
                            IF(Y203&lt;17025, 0.1*(Y203-9700),
                                IF(Y203&lt;37650, 732.5+0.12*(Y203-17025),
                                    IF(Y203&lt;54225, 3207.5+0.22*(Y203-37650),
                                        IF(Y203&lt;94725, 6854+0.24*(Y203-54225),
                                            IF(Y203&lt;117675, 16574+0.32*(Y203-94725),
                                                IF(Y203&lt;279650, 23918+0.35*(Y203-117675),
                                                    80609.25+0.37*(Y203-279650)
                                                )
                                            )
                                        )
                                    )
                                )
                            )
                        ),
                        0
                    )
                )
            )
        )
    )
)</f>
        <v>0</v>
      </c>
      <c r="AP202" s="93">
        <f>IF(AND(Z$156=2022, Z$157="MFJ", $R$157="-"),
    IF(Z203&lt;13000, 0,
        IF(Z203&lt;33550, 0.1*(Z203-13000),
            IF(Z203&lt;96550, 2055+0.12*(Z203-33550),
                IF(Z203&lt;191150, 9615+0.22*(Z203-96550),
                    IF(Z203&lt;353100, 30427+0.24*(Z203-191150),
                        IF(Z203&lt;444900, 69295+0.32*(Z203-353100),
                            IF(Z203&lt;660850, 98671+0.35*(Z203-444900),
                                174253.5+0.37*(Z203-660850)
                            )
                        )
                    )
                )
            )
        )
    ),
    IF(OR(AND(Z$156=2022, Z$157="Single", $R$157="-"), AND(Z$156=2022, Z$157="MFS", $R$157="-")),
        IF(Z203&lt;4350, 0,
            IF(Z203&lt;14625, 0.1*(Z203-4350),
                IF(Z203&lt;46125, 1027.5+0.12*(Z203-14625),
                    IF(Z203&lt;93425, 4807.5+0.22*(Z203-46125),
                        IF(Z203&lt;174400, 15213.5+0.24*(Z203-93425),
                            IF(Z203&lt;220300, 34647.5+0.32*(Z203-174400),
                                IF(Z203&lt;544250, 49335.5+0.35*(Z203-220300),
                                    162718+0.37*(Z203-544250)
                                )
                            )
                        )
                    )
                )
            )
        ),
        IF(AND(Z$156=2022, Z$157="HOH", $R$157="-"),
            IF(Z203&lt;10800, 0,
                IF(Z203&lt;25450, 0.1*(Z203-10800),
                    IF(Z203&lt;66700, 1465+0.12*(Z203-25450),
                        IF(Z203&lt;99850, 6415+0.22*(Z203-66700),
                            IF(Z203&lt;180850, 13708+0.24*(Z203-99850),
                                IF(Z203&lt;226750, 33148+0.32*(Z203-180850),
                                    IF(Z203&lt;550700, 47836+0.35*(Z203-226750),
                                        161218.5+0.37*(Z203-550700)
                                    )
                                )
                            )
                        )
                    )
                )
            ),
            IF(AND(Z$156=2022, Z$157="MFJ", $R$157="X"),
                IF(Z203&lt;12950, 0,
                    IF(Z203&lt;23225, 0.1*(Z203-12950),
                        IF(Z203&lt;54725, 1027.5+0.12*(Z203-23225),
                            IF(Z203&lt;102025, 4807.5+0.22*(Z203-54725),
                                IF(Z203&lt;183000, 15213.5+0.24*(Z203-102025),
                                    IF(Z203&lt;228900, 34647.5+0.32*(Z203-183000),
                                        IF(Z203&lt;336875, 49335.5+0.35*(Z203-228900),
                                            87126.75+0.37*(Z203-336875)
                                        )
                                    )
                                )
                            )
                        )
                    )
                ),
                IF(OR(AND(Z$156=2022, Z$157="Single", $R$157="X"), AND(Z$156=2022, Z$157="MFS", $R$157="X")),
                    IF(Z203&lt;6475, 0,
                        IF(Z203&lt;11613, 0.1*(Z203-6475),
                            IF(Z203&lt;27363, 513.75+0.12*(Z203-11613),
                                IF(Z203&lt;51013, 2403.75+0.22*(Z203-27363),
                                    IF(Z203&lt;91500, 7606.75+0.24*(Z203-51013),
                                        IF(Z203&lt;114450, 17323.75+0.32*(Z203-91500),
                                            IF(Z203&lt;276425, 24667.75+0.35*(Z203-114450),
                                                81359+0.37*(Z203-276425)
                                            )
                                        )
                                    )
                                )
                            )
                        )
                    ),
                    IF(AND(Z$156=2022, Z$157="HOH", $R$157="X"),
                        IF(Z203&lt;9700, 0,
                            IF(Z203&lt;17025, 0.1*(Z203-9700),
                                IF(Z203&lt;37650, 732.5+0.12*(Z203-17025),
                                    IF(Z203&lt;54225, 3207.5+0.22*(Z203-37650),
                                        IF(Z203&lt;94725, 6854+0.24*(Z203-54225),
                                            IF(Z203&lt;117675, 16574+0.32*(Z203-94725),
                                                IF(Z203&lt;279650, 23918+0.35*(Z203-117675),
                                                    80609.25+0.37*(Z203-279650)
                                                )
                                            )
                                        )
                                    )
                                )
                            )
                        ),
                        0
                    )
                )
            )
        )
    )
)</f>
        <v>0</v>
      </c>
      <c r="AQ202" s="93">
        <f>IF(AND(AA$156=2022, AA$157="MFJ", $R$157="-"),
    IF(AA203&lt;13000, 0,
        IF(AA203&lt;33550, 0.1*(AA203-13000),
            IF(AA203&lt;96550, 2055+0.12*(AA203-33550),
                IF(AA203&lt;191150, 9615+0.22*(AA203-96550),
                    IF(AA203&lt;353100, 30427+0.24*(AA203-191150),
                        IF(AA203&lt;444900, 69295+0.32*(AA203-353100),
                            IF(AA203&lt;660850, 98671+0.35*(AA203-444900),
                                174253.5+0.37*(AA203-660850)
                            )
                        )
                    )
                )
            )
        )
    ),
    IF(OR(AND(AA$156=2022, AA$157="Single", $R$157="-"), AND(AA$156=2022, AA$157="MFS", $R$157="-")),
        IF(AA203&lt;4350, 0,
            IF(AA203&lt;14625, 0.1*(AA203-4350),
                IF(AA203&lt;46125, 1027.5+0.12*(AA203-14625),
                    IF(AA203&lt;93425, 4807.5+0.22*(AA203-46125),
                        IF(AA203&lt;174400, 15213.5+0.24*(AA203-93425),
                            IF(AA203&lt;220300, 34647.5+0.32*(AA203-174400),
                                IF(AA203&lt;544250, 49335.5+0.35*(AA203-220300),
                                    162718+0.37*(AA203-544250)
                                )
                            )
                        )
                    )
                )
            )
        ),
        IF(AND(AA$156=2022, AA$157="HOH", $R$157="-"),
            IF(AA203&lt;10800, 0,
                IF(AA203&lt;25450, 0.1*(AA203-10800),
                    IF(AA203&lt;66700, 1465+0.12*(AA203-25450),
                        IF(AA203&lt;99850, 6415+0.22*(AA203-66700),
                            IF(AA203&lt;180850, 13708+0.24*(AA203-99850),
                                IF(AA203&lt;226750, 33148+0.32*(AA203-180850),
                                    IF(AA203&lt;550700, 47836+0.35*(AA203-226750),
                                        161218.5+0.37*(AA203-550700)
                                    )
                                )
                            )
                        )
                    )
                )
            ),
            IF(AND(AA$156=2022, AA$157="MFJ", $R$157="X"),
                IF(AA203&lt;12950, 0,
                    IF(AA203&lt;23225, 0.1*(AA203-12950),
                        IF(AA203&lt;54725, 1027.5+0.12*(AA203-23225),
                            IF(AA203&lt;102025, 4807.5+0.22*(AA203-54725),
                                IF(AA203&lt;183000, 15213.5+0.24*(AA203-102025),
                                    IF(AA203&lt;228900, 34647.5+0.32*(AA203-183000),
                                        IF(AA203&lt;336875, 49335.5+0.35*(AA203-228900),
                                            87126.75+0.37*(AA203-336875)
                                        )
                                    )
                                )
                            )
                        )
                    )
                ),
                IF(OR(AND(AA$156=2022, AA$157="Single", $R$157="X"), AND(AA$156=2022, AA$157="MFS", $R$157="X")),
                    IF(AA203&lt;6475, 0,
                        IF(AA203&lt;11613, 0.1*(AA203-6475),
                            IF(AA203&lt;27363, 513.75+0.12*(AA203-11613),
                                IF(AA203&lt;51013, 2403.75+0.22*(AA203-27363),
                                    IF(AA203&lt;91500, 7606.75+0.24*(AA203-51013),
                                        IF(AA203&lt;114450, 17323.75+0.32*(AA203-91500),
                                            IF(AA203&lt;276425, 24667.75+0.35*(AA203-114450),
                                                81359+0.37*(AA203-276425)
                                            )
                                        )
                                    )
                                )
                            )
                        )
                    ),
                    IF(AND(AA$156=2022, AA$157="HOH", $R$157="X"),
                        IF(AA203&lt;9700, 0,
                            IF(AA203&lt;17025, 0.1*(AA203-9700),
                                IF(AA203&lt;37650, 732.5+0.12*(AA203-17025),
                                    IF(AA203&lt;54225, 3207.5+0.22*(AA203-37650),
                                        IF(AA203&lt;94725, 6854+0.24*(AA203-54225),
                                            IF(AA203&lt;117675, 16574+0.32*(AA203-94725),
                                                IF(AA203&lt;279650, 23918+0.35*(AA203-117675),
                                                    80609.25+0.37*(AA203-279650)
                                                )
                                            )
                                        )
                                    )
                                )
                            )
                        ),
                        0
                    )
                )
            )
        )
    )
)</f>
        <v>0</v>
      </c>
      <c r="AR202" s="93">
        <f>IF(AND(AB$156=2022, AB$157="MFJ", $R$157="-"),
    IF(AB203&lt;13000, 0,
        IF(AB203&lt;33550, 0.1*(AB203-13000),
            IF(AB203&lt;96550, 2055+0.12*(AB203-33550),
                IF(AB203&lt;191150, 9615+0.22*(AB203-96550),
                    IF(AB203&lt;353100, 30427+0.24*(AB203-191150),
                        IF(AB203&lt;444900, 69295+0.32*(AB203-353100),
                            IF(AB203&lt;660850, 98671+0.35*(AB203-444900),
                                174253.5+0.37*(AB203-660850)
                            )
                        )
                    )
                )
            )
        )
    ),
    IF(OR(AND(AB$156=2022, AB$157="Single", $R$157="-"), AND(AB$156=2022, AB$157="MFS", $R$157="-")),
        IF(AB203&lt;4350, 0,
            IF(AB203&lt;14625, 0.1*(AB203-4350),
                IF(AB203&lt;46125, 1027.5+0.12*(AB203-14625),
                    IF(AB203&lt;93425, 4807.5+0.22*(AB203-46125),
                        IF(AB203&lt;174400, 15213.5+0.24*(AB203-93425),
                            IF(AB203&lt;220300, 34647.5+0.32*(AB203-174400),
                                IF(AB203&lt;544250, 49335.5+0.35*(AB203-220300),
                                    162718+0.37*(AB203-544250)
                                )
                            )
                        )
                    )
                )
            )
        ),
        IF(AND(AB$156=2022, AB$157="HOH", $R$157="-"),
            IF(AB203&lt;10800, 0,
                IF(AB203&lt;25450, 0.1*(AB203-10800),
                    IF(AB203&lt;66700, 1465+0.12*(AB203-25450),
                        IF(AB203&lt;99850, 6415+0.22*(AB203-66700),
                            IF(AB203&lt;180850, 13708+0.24*(AB203-99850),
                                IF(AB203&lt;226750, 33148+0.32*(AB203-180850),
                                    IF(AB203&lt;550700, 47836+0.35*(AB203-226750),
                                        161218.5+0.37*(AB203-550700)
                                    )
                                )
                            )
                        )
                    )
                )
            ),
            IF(AND(AB$156=2022, AB$157="MFJ", $R$157="X"),
                IF(AB203&lt;12950, 0,
                    IF(AB203&lt;23225, 0.1*(AB203-12950),
                        IF(AB203&lt;54725, 1027.5+0.12*(AB203-23225),
                            IF(AB203&lt;102025, 4807.5+0.22*(AB203-54725),
                                IF(AB203&lt;183000, 15213.5+0.24*(AB203-102025),
                                    IF(AB203&lt;228900, 34647.5+0.32*(AB203-183000),
                                        IF(AB203&lt;336875, 49335.5+0.35*(AB203-228900),
                                            87126.75+0.37*(AB203-336875)
                                        )
                                    )
                                )
                            )
                        )
                    )
                ),
                IF(OR(AND(AB$156=2022, AB$157="Single", $R$157="X"), AND(AB$156=2022, AB$157="MFS", $R$157="X")),
                    IF(AB203&lt;6475, 0,
                        IF(AB203&lt;11613, 0.1*(AB203-6475),
                            IF(AB203&lt;27363, 513.75+0.12*(AB203-11613),
                                IF(AB203&lt;51013, 2403.75+0.22*(AB203-27363),
                                    IF(AB203&lt;91500, 7606.75+0.24*(AB203-51013),
                                        IF(AB203&lt;114450, 17323.75+0.32*(AB203-91500),
                                            IF(AB203&lt;276425, 24667.75+0.35*(AB203-114450),
                                                81359+0.37*(AB203-276425)
                                            )
                                        )
                                    )
                                )
                            )
                        )
                    ),
                    IF(AND(AB$156=2022, AB$157="HOH", $R$157="X"),
                        IF(AB203&lt;9700, 0,
                            IF(AB203&lt;17025, 0.1*(AB203-9700),
                                IF(AB203&lt;37650, 732.5+0.12*(AB203-17025),
                                    IF(AB203&lt;54225, 3207.5+0.22*(AB203-37650),
                                        IF(AB203&lt;94725, 6854+0.24*(AB203-54225),
                                            IF(AB203&lt;117675, 16574+0.32*(AB203-94725),
                                                IF(AB203&lt;279650, 23918+0.35*(AB203-117675),
                                                    80609.25+0.37*(AB203-279650)
                                                )
                                            )
                                        )
                                    )
                                )
                            )
                        ),
                        0
                    )
                )
            )
        )
    )
)</f>
        <v>0</v>
      </c>
      <c r="AS202" s="93">
        <f>IF(AND(AC$156=2022, AC$157="MFJ", $R$157="-"),
    IF(AC203&lt;13000, 0,
        IF(AC203&lt;33550, 0.1*(AC203-13000),
            IF(AC203&lt;96550, 2055+0.12*(AC203-33550),
                IF(AC203&lt;191150, 9615+0.22*(AC203-96550),
                    IF(AC203&lt;353100, 30427+0.24*(AC203-191150),
                        IF(AC203&lt;444900, 69295+0.32*(AC203-353100),
                            IF(AC203&lt;660850, 98671+0.35*(AC203-444900),
                                174253.5+0.37*(AC203-660850)
                            )
                        )
                    )
                )
            )
        )
    ),
    IF(OR(AND(AC$156=2022, AC$157="Single", $R$157="-"), AND(AC$156=2022, AC$157="MFS", $R$157="-")),
        IF(AC203&lt;4350, 0,
            IF(AC203&lt;14625, 0.1*(AC203-4350),
                IF(AC203&lt;46125, 1027.5+0.12*(AC203-14625),
                    IF(AC203&lt;93425, 4807.5+0.22*(AC203-46125),
                        IF(AC203&lt;174400, 15213.5+0.24*(AC203-93425),
                            IF(AC203&lt;220300, 34647.5+0.32*(AC203-174400),
                                IF(AC203&lt;544250, 49335.5+0.35*(AC203-220300),
                                    162718+0.37*(AC203-544250)
                                )
                            )
                        )
                    )
                )
            )
        ),
        IF(AND(AC$156=2022, AC$157="HOH", $R$157="-"),
            IF(AC203&lt;10800, 0,
                IF(AC203&lt;25450, 0.1*(AC203-10800),
                    IF(AC203&lt;66700, 1465+0.12*(AC203-25450),
                        IF(AC203&lt;99850, 6415+0.22*(AC203-66700),
                            IF(AC203&lt;180850, 13708+0.24*(AC203-99850),
                                IF(AC203&lt;226750, 33148+0.32*(AC203-180850),
                                    IF(AC203&lt;550700, 47836+0.35*(AC203-226750),
                                        161218.5+0.37*(AC203-550700)
                                    )
                                )
                            )
                        )
                    )
                )
            ),
            IF(AND(AC$156=2022, AC$157="MFJ", $R$157="X"),
                IF(AC203&lt;12950, 0,
                    IF(AC203&lt;23225, 0.1*(AC203-12950),
                        IF(AC203&lt;54725, 1027.5+0.12*(AC203-23225),
                            IF(AC203&lt;102025, 4807.5+0.22*(AC203-54725),
                                IF(AC203&lt;183000, 15213.5+0.24*(AC203-102025),
                                    IF(AC203&lt;228900, 34647.5+0.32*(AC203-183000),
                                        IF(AC203&lt;336875, 49335.5+0.35*(AC203-228900),
                                            87126.75+0.37*(AC203-336875)
                                        )
                                    )
                                )
                            )
                        )
                    )
                ),
                IF(OR(AND(AC$156=2022, AC$157="Single", $R$157="X"), AND(AC$156=2022, AC$157="MFS", $R$157="X")),
                    IF(AC203&lt;6475, 0,
                        IF(AC203&lt;11613, 0.1*(AC203-6475),
                            IF(AC203&lt;27363, 513.75+0.12*(AC203-11613),
                                IF(AC203&lt;51013, 2403.75+0.22*(AC203-27363),
                                    IF(AC203&lt;91500, 7606.75+0.24*(AC203-51013),
                                        IF(AC203&lt;114450, 17323.75+0.32*(AC203-91500),
                                            IF(AC203&lt;276425, 24667.75+0.35*(AC203-114450),
                                                81359+0.37*(AC203-276425)
                                            )
                                        )
                                    )
                                )
                            )
                        )
                    ),
                    IF(AND(AC$156=2022, AC$157="HOH", $R$157="X"),
                        IF(AC203&lt;9700, 0,
                            IF(AC203&lt;17025, 0.1*(AC203-9700),
                                IF(AC203&lt;37650, 732.5+0.12*(AC203-17025),
                                    IF(AC203&lt;54225, 3207.5+0.22*(AC203-37650),
                                        IF(AC203&lt;94725, 6854+0.24*(AC203-54225),
                                            IF(AC203&lt;117675, 16574+0.32*(AC203-94725),
                                                IF(AC203&lt;279650, 23918+0.35*(AC203-117675),
                                                    80609.25+0.37*(AC203-279650)
                                                )
                                            )
                                        )
                                    )
                                )
                            )
                        ),
                        0
                    )
                )
            )
        )
    )
)</f>
        <v>0</v>
      </c>
    </row>
    <row r="203" spans="2:45" x14ac:dyDescent="0.25">
      <c r="B203" s="214" t="s">
        <v>151</v>
      </c>
      <c r="D203" s="32">
        <v>18</v>
      </c>
      <c r="E203" s="33">
        <f t="shared" si="755"/>
        <v>7.6399999999999996E-2</v>
      </c>
      <c r="F203" s="34" t="e">
        <f t="shared" si="756"/>
        <v>#VALUE!</v>
      </c>
      <c r="G203" t="e">
        <f t="shared" si="751"/>
        <v>#VALUE!</v>
      </c>
      <c r="H203" s="34" t="e">
        <f t="shared" si="752"/>
        <v>#VALUE!</v>
      </c>
      <c r="O203" t="s">
        <v>236</v>
      </c>
      <c r="P203" s="101">
        <f>B29</f>
        <v>0</v>
      </c>
      <c r="Q203" s="101">
        <f>C29</f>
        <v>0</v>
      </c>
      <c r="R203" s="101">
        <f>D29</f>
        <v>0</v>
      </c>
      <c r="S203" s="101">
        <f t="shared" ref="S203:U203" si="773">E29</f>
        <v>0</v>
      </c>
      <c r="T203" s="101">
        <f t="shared" si="773"/>
        <v>0</v>
      </c>
      <c r="U203" s="101">
        <f t="shared" si="773"/>
        <v>0</v>
      </c>
      <c r="V203" s="101">
        <f>H29</f>
        <v>0</v>
      </c>
      <c r="W203" s="101">
        <f>I29</f>
        <v>0</v>
      </c>
      <c r="X203" s="101">
        <f>J29</f>
        <v>0</v>
      </c>
      <c r="Y203" s="101">
        <v>0</v>
      </c>
      <c r="Z203" s="101">
        <v>0</v>
      </c>
      <c r="AA203" s="101">
        <v>0</v>
      </c>
      <c r="AB203" s="101">
        <v>0</v>
      </c>
      <c r="AC203" s="101">
        <v>0</v>
      </c>
      <c r="AE203" s="92">
        <v>2023</v>
      </c>
      <c r="AF203" s="93">
        <f t="shared" ref="AF203:AN203" si="774">IF(AND(B$1=2023, B$2="MFJ", $R$157="-"),
    IF(P203&lt;14800, 0,
        IF(P203&lt;36800, 0.1*(P203-14800),
            IF(P203&lt;104250, 2200+0.12*(P203-36800),
                IF(P203&lt;205550, 10294+0.22*(P203-104250),
                    IF(P203&lt;379000, 32580+0.24*(P203-205550),
                        IF(P203&lt;477300, 74208+0.32*(P203-379000),
                            IF(P203&lt;708550, 105664+0.35*(P203-477300),
                                186601.5+0.37*(P203-708550)
                            )
                        )
                    )
                )
            )
        )
    ),
    IF(OR(AND(B$1=2023, B$2="Single", $R$157="-"), AND(B$1=2023, B$2="MFS", $R$157="-")),
        IF(P203&lt;5250, 0,
            IF(P203&lt;16250, 0.1*(P203-5250),
                IF(P203&lt;49975, 1100+0.12*(P203-16250),
                    IF(P203&lt;100625, 5147+0.22*(P203-49975),
                        IF(P203&lt;187350, 16290+0.24*(P203-100625),
                            IF(P203&lt;236500, 37104+0.32*(P203-187350),
                                IF(P203&lt;583375, 52832+0.35*(P203-236500),
                                    174238.25+0.37*(P203-583375)
                                )
                            )
                        )
                    )
                )
            )
        ),
        IF(AND(B$1=2023, B$2="HOH", $R$157="-"),
            IF(P203&lt;12200, 0,
                IF(P203&lt;27900, 0.1*(P203-12200),
                    IF(P203&lt;72050, 1570+0.12*(P203-27900),
                        IF(P203&lt;107550, 6868+0.22*(P203-72050),
                            IF(P203&lt;194300, 14678+0.24*(P203-107550),
                                IF(P203&lt;243450, 35498+0.32*(P203-194300),
                                    IF(P203&lt;590300, 51226+0.35*(P203-243450),
                                        172623.5+0.37*(P203-590300)
                                    )
                                )
                            )
                        )
                    )
                )
            ),
            IF(AND(B$1=2023, B$2="MFJ", $R$157="X"),
                IF(P203&lt;13850, 0,
                    IF(P203&lt;24850, 0.1*(P203-13850),
                        IF(P203&lt;58575, 1100+0.12*(P203-36800),
                            IF(P203&lt;109225, 5147+0.22*(P203-58575),
                                IF(P203&lt;195950, 16290+0.24*(P203-109225),
                                    IF(P203&lt;245100, 37104+0.32*(P203-195950),
                                        IF(P203&lt;360725, 52832+0.35*(P203-245100),
                                            93300.75+0.37*(P203-360725)
                                        )
                                    )
                                )
                            )
                        )
                    )
                ),
                IF(OR(AND(B$1=2023, B$2="Single", $R$157="X"), AND(B$1=2023, B$2="MFS", $R$157="X")),
                    IF(P203&lt;6925, 0,
                        IF(P203&lt;12425, 0.1*(P203-6925),
                            IF(P203&lt;29288, 550+0.12*(P203-12425),
                                IF(P203&lt;54613, 2573.5+0.22*(P203-29288),
                                    IF(P203&lt;97975, 8145+0.24*(P203-54613),
                                        IF(P203&lt;122550, 18552+0.32*(P203-97975),
                                            IF(P203&lt;295988, 26416+0.35*(P203-122550),
                                                87119.13+0.37*(P203-295988)
                                            )
                                        )
                                    )
                                )
                            )
                        )
                    ),
                    IF(AND(B$1=2023, B$2="HOH", $R$157="X"),
                        IF(P203&lt;10400, 0,
                            IF(P203&lt;18250, 0.1*(P203-10400),
                                IF(P203&lt;40325, 785+0.12*(P203-18250),
                                    IF(P203&lt;58075, 34334+0.22*(P203-40325),
                                        IF(P203&lt;101450, 7339+0.24*(P203-58075),
                                            IF(P203&lt;126025, 17749+0.32*(P203-101450),
                                                IF(P203&lt;299450, 25613+0.35*(P203-126025),
                                                    86311.75+0.37*(P203-299450)
                                                )
                                            )
                                        )
                                    )
                                )
                            )
                        ),
                        0
                    )
                )
            )
        )
    )
)</f>
        <v>0</v>
      </c>
      <c r="AG203" s="93">
        <f t="shared" si="774"/>
        <v>0</v>
      </c>
      <c r="AH203" s="93">
        <f t="shared" si="774"/>
        <v>0</v>
      </c>
      <c r="AI203" s="93">
        <f t="shared" si="774"/>
        <v>0</v>
      </c>
      <c r="AJ203" s="93">
        <f t="shared" si="774"/>
        <v>0</v>
      </c>
      <c r="AK203" s="93">
        <f t="shared" si="774"/>
        <v>0</v>
      </c>
      <c r="AL203" s="93">
        <f t="shared" si="774"/>
        <v>0</v>
      </c>
      <c r="AM203" s="93">
        <f t="shared" si="774"/>
        <v>0</v>
      </c>
      <c r="AN203" s="93">
        <f t="shared" si="774"/>
        <v>0</v>
      </c>
      <c r="AO203" s="93">
        <f>IF(AND(Y$156=2023, Y$157="MFJ", $R$157="-"),
    IF(Y203&lt;14800, 0,
        IF(Y203&lt;36800, 0.1*(Y203-14800),
            IF(Y203&lt;104250, 2200+0.12*(Y203-36800),
                IF(Y203&lt;205550, 10294+0.22*(Y203-104250),
                    IF(Y203&lt;379000, 32580+0.24*(Y203-205550),
                        IF(Y203&lt;477300, 74208+0.32*(Y203-379000),
                            IF(Y203&lt;708550, 105664+0.35*(Y203-477300),
                                186601.5+0.37*(Y203-708550)
                            )
                        )
                    )
                )
            )
        )
    ),
    IF(OR(AND(Y$156=2023, Y$157="Single", $R$157="-"), AND(Y$156=2023, Y$157="MFS", $R$157="-")),
        IF(Y203&lt;5250, 0,
            IF(Y203&lt;16250, 0.1*(Y203-5250),
                IF(Y203&lt;49975, 1100+0.12*(Y203-16250),
                    IF(Y203&lt;100625, 5147+0.22*(Y203-49975),
                        IF(Y203&lt;187350, 16290+0.24*(Y203-100625),
                            IF(Y203&lt;236500, 37104+0.32*(Y203-187350),
                                IF(Y203&lt;583375, 52832+0.35*(Y203-236500),
                                    174238.25+0.37*(Y203-583375)
                                )
                            )
                        )
                    )
                )
            )
        ),
        IF(AND(Y$156=2023, Y$157="HOH", $R$157="-"),
            IF(Y203&lt;12200, 0,
                IF(Y203&lt;27900, 0.1*(Y203-12200),
                    IF(Y203&lt;72050, 1570+0.12*(Y203-27900),
                        IF(Y203&lt;107550, 6868+0.22*(Y203-72050),
                            IF(Y203&lt;194300, 14678+0.24*(Y203-107550),
                                IF(Y203&lt;243450, 35498+0.32*(Y203-194300),
                                    IF(Y203&lt;590300, 51226+0.35*(Y203-243450),
                                        172623.5+0.37*(Y203-590300)
                                    )
                                )
                            )
                        )
                    )
                )
            ),
            IF(AND(Y$156=2023, Y$157="MFJ", $R$157="X"),
                IF(Y203&lt;13850, 0,
                    IF(Y203&lt;24850, 0.1*(Y203-13850),
                        IF(Y203&lt;58575, 1100+0.12*(Y203-36800),
                            IF(Y203&lt;109225, 5147+0.22*(Y203-58575),
                                IF(Y203&lt;195950, 16290+0.24*(Y203-109225),
                                    IF(Y203&lt;245100, 37104+0.32*(Y203-195950),
                                        IF(Y203&lt;360725, 52832+0.35*(Y203-245100),
                                            93300.75+0.37*(Y203-360725)
                                        )
                                    )
                                )
                            )
                        )
                    )
                ),
                IF(OR(AND(Y$156=2023, Y$157="Single", $R$157="X"), AND(Y$156=2023, Y$157="MFS", $R$157="X")),
                    IF(Y203&lt;6925, 0,
                        IF(Y203&lt;12425, 0.1*(Y203-6925),
                            IF(Y203&lt;29288, 550+0.12*(Y203-12425),
                                IF(Y203&lt;54613, 2573.5+0.22*(Y203-29288),
                                    IF(Y203&lt;97975, 8145+0.24*(Y203-54613),
                                        IF(Y203&lt;122550, 18552+0.32*(Y203-97975),
                                            IF(Y203&lt;295988, 26416+0.35*(Y203-122550),
                                                87119.13+0.37*(Y203-295988)
                                            )
                                        )
                                    )
                                )
                            )
                        )
                    ),
                    IF(AND(Y$156=2023, Y$157="HOH", $R$157="X"),
                        IF(Y203&lt;10400, 0,
                            IF(Y203&lt;18250, 0.1*(Y203-10400),
                                IF(Y203&lt;40325, 785+0.12*(Y203-18250),
                                    IF(Y203&lt;58075, 34334+0.22*(Y203-40325),
                                        IF(Y203&lt;101450, 7339+0.24*(Y203-58075),
                                            IF(Y203&lt;126025, 17749+0.32*(Y203-101450),
                                                IF(Y203&lt;299450, 25613+0.35*(Y203-126025),
                                                    86311.75+0.37*(Y203-299450)
                                                )
                                            )
                                        )
                                    )
                                )
                            )
                        ),
                        0
                    )
                )
            )
        )
    )
)</f>
        <v>0</v>
      </c>
      <c r="AP203" s="93">
        <f>IF(AND(Z$156=2023, Z$157="MFJ", $R$157="-"),
    IF(Z203&lt;14800, 0,
        IF(Z203&lt;36800, 0.1*(Z203-14800),
            IF(Z203&lt;104250, 2200+0.12*(Z203-36800),
                IF(Z203&lt;205550, 10294+0.22*(Z203-104250),
                    IF(Z203&lt;379000, 32580+0.24*(Z203-205550),
                        IF(Z203&lt;477300, 74208+0.32*(Z203-379000),
                            IF(Z203&lt;708550, 105664+0.35*(Z203-477300),
                                186601.5+0.37*(Z203-708550)
                            )
                        )
                    )
                )
            )
        )
    ),
    IF(OR(AND(Z$156=2023, Z$157="Single", $R$157="-"), AND(Z$156=2023, Z$157="MFS", $R$157="-")),
        IF(Z203&lt;5250, 0,
            IF(Z203&lt;16250, 0.1*(Z203-5250),
                IF(Z203&lt;49975, 1100+0.12*(Z203-16250),
                    IF(Z203&lt;100625, 5147+0.22*(Z203-49975),
                        IF(Z203&lt;187350, 16290+0.24*(Z203-100625),
                            IF(Z203&lt;236500, 37104+0.32*(Z203-187350),
                                IF(Z203&lt;583375, 52832+0.35*(Z203-236500),
                                    174238.25+0.37*(Z203-583375)
                                )
                            )
                        )
                    )
                )
            )
        ),
        IF(AND(Z$156=2023, Z$157="HOH", $R$157="-"),
            IF(Z203&lt;12200, 0,
                IF(Z203&lt;27900, 0.1*(Z203-12200),
                    IF(Z203&lt;72050, 1570+0.12*(Z203-27900),
                        IF(Z203&lt;107550, 6868+0.22*(Z203-72050),
                            IF(Z203&lt;194300, 14678+0.24*(Z203-107550),
                                IF(Z203&lt;243450, 35498+0.32*(Z203-194300),
                                    IF(Z203&lt;590300, 51226+0.35*(Z203-243450),
                                        172623.5+0.37*(Z203-590300)
                                    )
                                )
                            )
                        )
                    )
                )
            ),
            IF(AND(Z$156=2023, Z$157="MFJ", $R$157="X"),
                IF(Z203&lt;13850, 0,
                    IF(Z203&lt;24850, 0.1*(Z203-13850),
                        IF(Z203&lt;58575, 1100+0.12*(Z203-36800),
                            IF(Z203&lt;109225, 5147+0.22*(Z203-58575),
                                IF(Z203&lt;195950, 16290+0.24*(Z203-109225),
                                    IF(Z203&lt;245100, 37104+0.32*(Z203-195950),
                                        IF(Z203&lt;360725, 52832+0.35*(Z203-245100),
                                            93300.75+0.37*(Z203-360725)
                                        )
                                    )
                                )
                            )
                        )
                    )
                ),
                IF(OR(AND(Z$156=2023, Z$157="Single", $R$157="X"), AND(Z$156=2023, Z$157="MFS", $R$157="X")),
                    IF(Z203&lt;6925, 0,
                        IF(Z203&lt;12425, 0.1*(Z203-6925),
                            IF(Z203&lt;29288, 550+0.12*(Z203-12425),
                                IF(Z203&lt;54613, 2573.5+0.22*(Z203-29288),
                                    IF(Z203&lt;97975, 8145+0.24*(Z203-54613),
                                        IF(Z203&lt;122550, 18552+0.32*(Z203-97975),
                                            IF(Z203&lt;295988, 26416+0.35*(Z203-122550),
                                                87119.13+0.37*(Z203-295988)
                                            )
                                        )
                                    )
                                )
                            )
                        )
                    ),
                    IF(AND(Z$156=2023, Z$157="HOH", $R$157="X"),
                        IF(Z203&lt;10400, 0,
                            IF(Z203&lt;18250, 0.1*(Z203-10400),
                                IF(Z203&lt;40325, 785+0.12*(Z203-18250),
                                    IF(Z203&lt;58075, 34334+0.22*(Z203-40325),
                                        IF(Z203&lt;101450, 7339+0.24*(Z203-58075),
                                            IF(Z203&lt;126025, 17749+0.32*(Z203-101450),
                                                IF(Z203&lt;299450, 25613+0.35*(Z203-126025),
                                                    86311.75+0.37*(Z203-299450)
                                                )
                                            )
                                        )
                                    )
                                )
                            )
                        ),
                        0
                    )
                )
            )
        )
    )
)</f>
        <v>0</v>
      </c>
      <c r="AQ203" s="93">
        <f>IF(AND(AA$156=2023, AA$157="MFJ", $R$157="-"),
    IF(AA203&lt;14800, 0,
        IF(AA203&lt;36800, 0.1*(AA203-14800),
            IF(AA203&lt;104250, 2200+0.12*(AA203-36800),
                IF(AA203&lt;205550, 10294+0.22*(AA203-104250),
                    IF(AA203&lt;379000, 32580+0.24*(AA203-205550),
                        IF(AA203&lt;477300, 74208+0.32*(AA203-379000),
                            IF(AA203&lt;708550, 105664+0.35*(AA203-477300),
                                186601.5+0.37*(AA203-708550)
                            )
                        )
                    )
                )
            )
        )
    ),
    IF(OR(AND(AA$156=2023, AA$157="Single", $R$157="-"), AND(AA$156=2023, AA$157="MFS", $R$157="-")),
        IF(AA203&lt;5250, 0,
            IF(AA203&lt;16250, 0.1*(AA203-5250),
                IF(AA203&lt;49975, 1100+0.12*(AA203-16250),
                    IF(AA203&lt;100625, 5147+0.22*(AA203-49975),
                        IF(AA203&lt;187350, 16290+0.24*(AA203-100625),
                            IF(AA203&lt;236500, 37104+0.32*(AA203-187350),
                                IF(AA203&lt;583375, 52832+0.35*(AA203-236500),
                                    174238.25+0.37*(AA203-583375)
                                )
                            )
                        )
                    )
                )
            )
        ),
        IF(AND(AA$156=2023, AA$157="HOH", $R$157="-"),
            IF(AA203&lt;12200, 0,
                IF(AA203&lt;27900, 0.1*(AA203-12200),
                    IF(AA203&lt;72050, 1570+0.12*(AA203-27900),
                        IF(AA203&lt;107550, 6868+0.22*(AA203-72050),
                            IF(AA203&lt;194300, 14678+0.24*(AA203-107550),
                                IF(AA203&lt;243450, 35498+0.32*(AA203-194300),
                                    IF(AA203&lt;590300, 51226+0.35*(AA203-243450),
                                        172623.5+0.37*(AA203-590300)
                                    )
                                )
                            )
                        )
                    )
                )
            ),
            IF(AND(AA$156=2023, AA$157="MFJ", $R$157="X"),
                IF(AA203&lt;13850, 0,
                    IF(AA203&lt;24850, 0.1*(AA203-13850),
                        IF(AA203&lt;58575, 1100+0.12*(AA203-36800),
                            IF(AA203&lt;109225, 5147+0.22*(AA203-58575),
                                IF(AA203&lt;195950, 16290+0.24*(AA203-109225),
                                    IF(AA203&lt;245100, 37104+0.32*(AA203-195950),
                                        IF(AA203&lt;360725, 52832+0.35*(AA203-245100),
                                            93300.75+0.37*(AA203-360725)
                                        )
                                    )
                                )
                            )
                        )
                    )
                ),
                IF(OR(AND(AA$156=2023, AA$157="Single", $R$157="X"), AND(AA$156=2023, AA$157="MFS", $R$157="X")),
                    IF(AA203&lt;6925, 0,
                        IF(AA203&lt;12425, 0.1*(AA203-6925),
                            IF(AA203&lt;29288, 550+0.12*(AA203-12425),
                                IF(AA203&lt;54613, 2573.5+0.22*(AA203-29288),
                                    IF(AA203&lt;97975, 8145+0.24*(AA203-54613),
                                        IF(AA203&lt;122550, 18552+0.32*(AA203-97975),
                                            IF(AA203&lt;295988, 26416+0.35*(AA203-122550),
                                                87119.13+0.37*(AA203-295988)
                                            )
                                        )
                                    )
                                )
                            )
                        )
                    ),
                    IF(AND(AA$156=2023, AA$157="HOH", $R$157="X"),
                        IF(AA203&lt;10400, 0,
                            IF(AA203&lt;18250, 0.1*(AA203-10400),
                                IF(AA203&lt;40325, 785+0.12*(AA203-18250),
                                    IF(AA203&lt;58075, 34334+0.22*(AA203-40325),
                                        IF(AA203&lt;101450, 7339+0.24*(AA203-58075),
                                            IF(AA203&lt;126025, 17749+0.32*(AA203-101450),
                                                IF(AA203&lt;299450, 25613+0.35*(AA203-126025),
                                                    86311.75+0.37*(AA203-299450)
                                                )
                                            )
                                        )
                                    )
                                )
                            )
                        ),
                        0
                    )
                )
            )
        )
    )
)</f>
        <v>0</v>
      </c>
      <c r="AR203" s="93">
        <f>IF(AND(AB$156=2023, AB$157="MFJ", $R$157="-"),
    IF(AB203&lt;14800, 0,
        IF(AB203&lt;36800, 0.1*(AB203-14800),
            IF(AB203&lt;104250, 2200+0.12*(AB203-36800),
                IF(AB203&lt;205550, 10294+0.22*(AB203-104250),
                    IF(AB203&lt;379000, 32580+0.24*(AB203-205550),
                        IF(AB203&lt;477300, 74208+0.32*(AB203-379000),
                            IF(AB203&lt;708550, 105664+0.35*(AB203-477300),
                                186601.5+0.37*(AB203-708550)
                            )
                        )
                    )
                )
            )
        )
    ),
    IF(OR(AND(AB$156=2023, AB$157="Single", $R$157="-"), AND(AB$156=2023, AB$157="MFS", $R$157="-")),
        IF(AB203&lt;5250, 0,
            IF(AB203&lt;16250, 0.1*(AB203-5250),
                IF(AB203&lt;49975, 1100+0.12*(AB203-16250),
                    IF(AB203&lt;100625, 5147+0.22*(AB203-49975),
                        IF(AB203&lt;187350, 16290+0.24*(AB203-100625),
                            IF(AB203&lt;236500, 37104+0.32*(AB203-187350),
                                IF(AB203&lt;583375, 52832+0.35*(AB203-236500),
                                    174238.25+0.37*(AB203-583375)
                                )
                            )
                        )
                    )
                )
            )
        ),
        IF(AND(AB$156=2023, AB$157="HOH", $R$157="-"),
            IF(AB203&lt;12200, 0,
                IF(AB203&lt;27900, 0.1*(AB203-12200),
                    IF(AB203&lt;72050, 1570+0.12*(AB203-27900),
                        IF(AB203&lt;107550, 6868+0.22*(AB203-72050),
                            IF(AB203&lt;194300, 14678+0.24*(AB203-107550),
                                IF(AB203&lt;243450, 35498+0.32*(AB203-194300),
                                    IF(AB203&lt;590300, 51226+0.35*(AB203-243450),
                                        172623.5+0.37*(AB203-590300)
                                    )
                                )
                            )
                        )
                    )
                )
            ),
            IF(AND(AB$156=2023, AB$157="MFJ", $R$157="X"),
                IF(AB203&lt;13850, 0,
                    IF(AB203&lt;24850, 0.1*(AB203-13850),
                        IF(AB203&lt;58575, 1100+0.12*(AB203-36800),
                            IF(AB203&lt;109225, 5147+0.22*(AB203-58575),
                                IF(AB203&lt;195950, 16290+0.24*(AB203-109225),
                                    IF(AB203&lt;245100, 37104+0.32*(AB203-195950),
                                        IF(AB203&lt;360725, 52832+0.35*(AB203-245100),
                                            93300.75+0.37*(AB203-360725)
                                        )
                                    )
                                )
                            )
                        )
                    )
                ),
                IF(OR(AND(AB$156=2023, AB$157="Single", $R$157="X"), AND(AB$156=2023, AB$157="MFS", $R$157="X")),
                    IF(AB203&lt;6925, 0,
                        IF(AB203&lt;12425, 0.1*(AB203-6925),
                            IF(AB203&lt;29288, 550+0.12*(AB203-12425),
                                IF(AB203&lt;54613, 2573.5+0.22*(AB203-29288),
                                    IF(AB203&lt;97975, 8145+0.24*(AB203-54613),
                                        IF(AB203&lt;122550, 18552+0.32*(AB203-97975),
                                            IF(AB203&lt;295988, 26416+0.35*(AB203-122550),
                                                87119.13+0.37*(AB203-295988)
                                            )
                                        )
                                    )
                                )
                            )
                        )
                    ),
                    IF(AND(AB$156=2023, AB$157="HOH", $R$157="X"),
                        IF(AB203&lt;10400, 0,
                            IF(AB203&lt;18250, 0.1*(AB203-10400),
                                IF(AB203&lt;40325, 785+0.12*(AB203-18250),
                                    IF(AB203&lt;58075, 34334+0.22*(AB203-40325),
                                        IF(AB203&lt;101450, 7339+0.24*(AB203-58075),
                                            IF(AB203&lt;126025, 17749+0.32*(AB203-101450),
                                                IF(AB203&lt;299450, 25613+0.35*(AB203-126025),
                                                    86311.75+0.37*(AB203-299450)
                                                )
                                            )
                                        )
                                    )
                                )
                            )
                        ),
                        0
                    )
                )
            )
        )
    )
)</f>
        <v>0</v>
      </c>
      <c r="AS203" s="93">
        <f>IF(AND(AC$156=2023, AC$157="MFJ", $R$157="-"),
    IF(AC203&lt;14800, 0,
        IF(AC203&lt;36800, 0.1*(AC203-14800),
            IF(AC203&lt;104250, 2200+0.12*(AC203-36800),
                IF(AC203&lt;205550, 10294+0.22*(AC203-104250),
                    IF(AC203&lt;379000, 32580+0.24*(AC203-205550),
                        IF(AC203&lt;477300, 74208+0.32*(AC203-379000),
                            IF(AC203&lt;708550, 105664+0.35*(AC203-477300),
                                186601.5+0.37*(AC203-708550)
                            )
                        )
                    )
                )
            )
        )
    ),
    IF(OR(AND(AC$156=2023, AC$157="Single", $R$157="-"), AND(AC$156=2023, AC$157="MFS", $R$157="-")),
        IF(AC203&lt;5250, 0,
            IF(AC203&lt;16250, 0.1*(AC203-5250),
                IF(AC203&lt;49975, 1100+0.12*(AC203-16250),
                    IF(AC203&lt;100625, 5147+0.22*(AC203-49975),
                        IF(AC203&lt;187350, 16290+0.24*(AC203-100625),
                            IF(AC203&lt;236500, 37104+0.32*(AC203-187350),
                                IF(AC203&lt;583375, 52832+0.35*(AC203-236500),
                                    174238.25+0.37*(AC203-583375)
                                )
                            )
                        )
                    )
                )
            )
        ),
        IF(AND(AC$156=2023, AC$157="HOH", $R$157="-"),
            IF(AC203&lt;12200, 0,
                IF(AC203&lt;27900, 0.1*(AC203-12200),
                    IF(AC203&lt;72050, 1570+0.12*(AC203-27900),
                        IF(AC203&lt;107550, 6868+0.22*(AC203-72050),
                            IF(AC203&lt;194300, 14678+0.24*(AC203-107550),
                                IF(AC203&lt;243450, 35498+0.32*(AC203-194300),
                                    IF(AC203&lt;590300, 51226+0.35*(AC203-243450),
                                        172623.5+0.37*(AC203-590300)
                                    )
                                )
                            )
                        )
                    )
                )
            ),
            IF(AND(AC$156=2023, AC$157="MFJ", $R$157="X"),
                IF(AC203&lt;13850, 0,
                    IF(AC203&lt;24850, 0.1*(AC203-13850),
                        IF(AC203&lt;58575, 1100+0.12*(AC203-36800),
                            IF(AC203&lt;109225, 5147+0.22*(AC203-58575),
                                IF(AC203&lt;195950, 16290+0.24*(AC203-109225),
                                    IF(AC203&lt;245100, 37104+0.32*(AC203-195950),
                                        IF(AC203&lt;360725, 52832+0.35*(AC203-245100),
                                            93300.75+0.37*(AC203-360725)
                                        )
                                    )
                                )
                            )
                        )
                    )
                ),
                IF(OR(AND(AC$156=2023, AC$157="Single", $R$157="X"), AND(AC$156=2023, AC$157="MFS", $R$157="X")),
                    IF(AC203&lt;6925, 0,
                        IF(AC203&lt;12425, 0.1*(AC203-6925),
                            IF(AC203&lt;29288, 550+0.12*(AC203-12425),
                                IF(AC203&lt;54613, 2573.5+0.22*(AC203-29288),
                                    IF(AC203&lt;97975, 8145+0.24*(AC203-54613),
                                        IF(AC203&lt;122550, 18552+0.32*(AC203-97975),
                                            IF(AC203&lt;295988, 26416+0.35*(AC203-122550),
                                                87119.13+0.37*(AC203-295988)
                                            )
                                        )
                                    )
                                )
                            )
                        )
                    ),
                    IF(AND(AC$156=2023, AC$157="HOH", $R$157="X"),
                        IF(AC203&lt;10400, 0,
                            IF(AC203&lt;18250, 0.1*(AC203-10400),
                                IF(AC203&lt;40325, 785+0.12*(AC203-18250),
                                    IF(AC203&lt;58075, 34334+0.22*(AC203-40325),
                                        IF(AC203&lt;101450, 7339+0.24*(AC203-58075),
                                            IF(AC203&lt;126025, 17749+0.32*(AC203-101450),
                                                IF(AC203&lt;299450, 25613+0.35*(AC203-126025),
                                                    86311.75+0.37*(AC203-299450)
                                                )
                                            )
                                        )
                                    )
                                )
                            )
                        ),
                        0
                    )
                )
            )
        )
    )
)</f>
        <v>0</v>
      </c>
    </row>
    <row r="204" spans="2:45" ht="15.75" thickBot="1" x14ac:dyDescent="0.3">
      <c r="D204" s="32">
        <v>19</v>
      </c>
      <c r="E204" s="33">
        <f t="shared" si="755"/>
        <v>7.6399999999999996E-2</v>
      </c>
      <c r="F204" s="34" t="e">
        <f t="shared" si="756"/>
        <v>#VALUE!</v>
      </c>
      <c r="G204" t="e">
        <f t="shared" si="751"/>
        <v>#VALUE!</v>
      </c>
      <c r="H204" s="34" t="e">
        <f t="shared" si="752"/>
        <v>#VALUE!</v>
      </c>
      <c r="N204" t="s">
        <v>230</v>
      </c>
      <c r="P204" s="106">
        <f t="shared" ref="P204:X204" si="775">IF(ISNUMBER(B$1), CHOOSE(B$1-2021, AF202, AF203, AF204), 0)</f>
        <v>0</v>
      </c>
      <c r="Q204" s="106">
        <f t="shared" si="775"/>
        <v>0</v>
      </c>
      <c r="R204" s="106">
        <f t="shared" si="775"/>
        <v>0</v>
      </c>
      <c r="S204" s="106">
        <f t="shared" si="775"/>
        <v>0</v>
      </c>
      <c r="T204" s="106">
        <f t="shared" si="775"/>
        <v>0</v>
      </c>
      <c r="U204" s="106">
        <f t="shared" si="775"/>
        <v>0</v>
      </c>
      <c r="V204" s="106">
        <f t="shared" si="775"/>
        <v>0</v>
      </c>
      <c r="W204" s="106">
        <f t="shared" si="775"/>
        <v>0</v>
      </c>
      <c r="X204" s="106">
        <f t="shared" si="775"/>
        <v>0</v>
      </c>
      <c r="Y204" s="106">
        <f>IF(ISNUMBER(Y$156), CHOOSE(Y$156-2021, AO202, AO203, AO204), 0)</f>
        <v>0</v>
      </c>
      <c r="Z204" s="106">
        <f>IF(ISNUMBER(Z$156), CHOOSE(Z$156-2021, AP202, AP203, AP204), 0)</f>
        <v>0</v>
      </c>
      <c r="AA204" s="106">
        <f>IF(ISNUMBER(AA$156), CHOOSE(AA$156-2021, AQ202, AQ203, AQ204), 0)</f>
        <v>0</v>
      </c>
      <c r="AB204" s="106">
        <f>IF(ISNUMBER(AB$156), CHOOSE(AB$156-2021, AR202, AR203, AR204), 0)</f>
        <v>0</v>
      </c>
      <c r="AC204" s="106">
        <f>IF(ISNUMBER(AC$156), CHOOSE(AC$156-2021, AS202, AS203, AS204), 0)</f>
        <v>0</v>
      </c>
      <c r="AE204" s="100">
        <v>2024</v>
      </c>
      <c r="AF204" s="108" t="b">
        <f t="shared" ref="AF204:AN204" si="776">IF(B$1=2024,
    IF($R$157="-",
        IF(B$2="MFJ",
            IF(P203&lt;16300, 0,
                IF(P203&lt;39500, 0.1*(P203-16300),
                    IF(P203&lt;110600, 2320+0.12*(P203-39500),
                        IF(P203&lt;217350, 10852+0.22*(P203-110600),
                            IF(P203&lt;400200, 34337+0.24*(P203-217350),
                                IF(P203&lt;503750, 78221+0.32*(P203-400200),
                                    IF(P203&lt;747500, 111357+0.35*(P203-503750),
                                        IF(P203&gt;747500, 196669.5+0.37*(P203-747500)
                                        )
                                    )
                                )
                            )
                        )
                    )
                )
            ),
            IF(OR(B$2="Single", B$2="MFS"),
                IF(P203&lt;6000, 0,
                    IF(P203&lt;17600, 0.1*(P203-6000),
                        IF(P203&lt;53150, 1160+0.12*(P203-17600),
                            IF(P203&lt;106525, 5426+0.22*(P203-53150),
                                IF(P203&lt;197950, 17168.5+0.24*(P203-106525),
                                    IF(P203&lt;249725, 39110.5+0.32*(P203-197950),
                                        IF(P203&lt;615350, 55678.5+0.35*(P203-249725),
                                            IF(P203&gt;615350, 183647.25+0.37*(P203-615350)
                                            )
                                        )
                                    )
                                )
                            )
                        )
                    )
                ),
                IF(B$2="HOH",
                    IF(P203&lt;13300, 0,
                        IF(P203&lt;29850, 0.1*(P203-13300),
                            IF(P203&lt;76400, 1655+0.12*(P203-29850),
                                IF(P203&lt;113800, 7241+0.22*(P203-76400),
                                    IF(P203&lt;205250, 15469+0.24*(P203-113800),
                                        IF(P203&lt;257000, 37417+0.32*(P203-205250),
                                            IF(P203&lt;622650, 53977+0.35*(P203-257000),
                                                IF(P203&gt;622650, 181954.5+0.37*(P203-622650),
                                                    "Invalid Filing Status or Q148 Value"
                                                )
                                            )
                                        )
                                    )
                                )
                            )
                        )
                    )
                )
            )
        ),
        IF($R$157="X",
            IF(B$2="MFJ",
                IF(P203&lt;14600, 0,
                    IF(P203&lt;26200, 0.1*(P203-14600),
                        IF(P203&lt;61750, 1160+0.12*(P203-26200),
                            IF(P203&lt;115125, 5426+0.22*(P203-61750),
                                IF(P203&lt;206550, 17168.5+0.24*(P203-115125),
                                    IF(P203&lt;258325, 39110.5+0.32*(P203-206550),
                                        IF(P203&lt;380200, 55678.5+0.35*(P203-258325),
                                            IF(P203&gt;380200, 98334.75+0.37*(P203-380200)
                                            )
                                        )
                                    )
                                )
                            )
                        )
                    )
                ),
                IF(OR(B$2="Single", B$2="MFS"),
                    IF(P203&lt;7300, 0,
                        IF(P203&lt;13100, 0.1*(P203-7300),
                            IF(P203&lt;30875, 580+0.12*(P203-13100),
                                IF(P203&lt;57563, 2713+0.22*(P203-30875),
                                    IF(P203&lt;103275, 8584.25+0.24*(P203-57563),
                                        IF(P203&lt;129163, 19555.25+0.32*(P203-103275),
                                            IF(P203&lt;311975, 27839.25+0.35*(P203-129163),
                                                IF(P203&gt;311975, 91823.63+0.37*(P203-311975)
                                                )
                                            )
                                        )
                                    )
                                )
                            )
                        )
                    ),
                    IF(B$2="HOH",
                        IF(P203&lt;10950, 0,
                            IF(P203&lt;19225, 0.1*(P203-10950),
                                IF(P203&lt;42500, 827.5+0.12*(P203-19225),
                                    IF(P203&lt;61200, 3620.5+0.22*(P203-42500),
                                        IF(P203&lt;106925, 7734.5+0.24*(P203-61200),
                                            IF(P203&lt;132800, 18708.5+0.32*(P203-106925),
                                                IF(P203&lt;315625, 26988.5+0.35*(P203-132800),
                                                    IF(P203&gt;315625, 90977.25+0.37*(P203-315625),
                                                        "Invalid Input"
                                                    )
                                                )
                                            )
                                        )
                                    )
                                )
                            )
                        )
                    )
                )
            )
        )
    )
)</f>
        <v>0</v>
      </c>
      <c r="AG204" s="108" t="b">
        <f t="shared" si="776"/>
        <v>0</v>
      </c>
      <c r="AH204" s="108" t="b">
        <f t="shared" si="776"/>
        <v>0</v>
      </c>
      <c r="AI204" s="108" t="b">
        <f t="shared" si="776"/>
        <v>0</v>
      </c>
      <c r="AJ204" s="108" t="b">
        <f t="shared" si="776"/>
        <v>0</v>
      </c>
      <c r="AK204" s="108" t="b">
        <f t="shared" si="776"/>
        <v>0</v>
      </c>
      <c r="AL204" s="108" t="b">
        <f t="shared" si="776"/>
        <v>0</v>
      </c>
      <c r="AM204" s="108" t="b">
        <f t="shared" si="776"/>
        <v>0</v>
      </c>
      <c r="AN204" s="108" t="b">
        <f t="shared" si="776"/>
        <v>0</v>
      </c>
      <c r="AO204" s="108" t="b">
        <f>IF(Y$156=2024,
    IF($R$157="-",
        IF(Y$157="MFJ",
            IF(Y203&lt;16300, 0,
                IF(Y203&lt;39500, 0.1*(Y203-16300),
                    IF(Y203&lt;110600, 2320+0.12*(Y203-39500),
                        IF(Y203&lt;217350, 10852+0.22*(Y203-110600),
                            IF(Y203&lt;400200, 34337+0.24*(Y203-217350),
                                IF(Y203&lt;503750, 78221+0.32*(Y203-400200),
                                    IF(Y203&lt;747500, 111357+0.35*(Y203-503750),
                                        IF(Y203&gt;747500, 196669.5+0.37*(Y203-747500)
                                        )
                                    )
                                )
                            )
                        )
                    )
                )
            ),
            IF(OR(Y$157="Single", Y$157="MFS"),
                IF(Y203&lt;6000, 0,
                    IF(Y203&lt;17600, 0.1*(Y203-6000),
                        IF(Y203&lt;53150, 1160+0.12*(Y203-17600),
                            IF(Y203&lt;106525, 5426+0.22*(Y203-53150),
                                IF(Y203&lt;197950, 17168.5+0.24*(Y203-106525),
                                    IF(Y203&lt;249725, 39110.5+0.32*(Y203-197950),
                                        IF(Y203&lt;615350, 55678.5+0.35*(Y203-249725),
                                            IF(Y203&gt;615350, 183647.25+0.37*(Y203-615350)
                                            )
                                        )
                                    )
                                )
                            )
                        )
                    )
                ),
                IF(Y$157="HOH",
                    IF(Y203&lt;13300, 0,
                        IF(Y203&lt;29850, 0.1*(Y203-13300),
                            IF(Y203&lt;76400, 1655+0.12*(Y203-29850),
                                IF(Y203&lt;113800, 7241+0.22*(Y203-76400),
                                    IF(Y203&lt;205250, 15469+0.24*(Y203-113800),
                                        IF(Y203&lt;257000, 37417+0.32*(Y203-205250),
                                            IF(Y203&lt;622650, 53977+0.35*(Y203-257000),
                                                IF(Y203&gt;622650, 181954.5+0.37*(Y203-622650),
                                                    "Invalid Filing Status or Q148 Value"
                                                )
                                            )
                                        )
                                    )
                                )
                            )
                        )
                    )
                )
            )
        ),
        IF($R$157="X",
            IF(Y$157="MFJ",
                IF(Y203&lt;14600, 0,
                    IF(Y203&lt;26200, 0.1*(Y203-14600),
                        IF(Y203&lt;61750, 1160+0.12*(Y203-26200),
                            IF(Y203&lt;115125, 5426+0.22*(Y203-61750),
                                IF(Y203&lt;206550, 17168.5+0.24*(Y203-115125),
                                    IF(Y203&lt;258325, 39110.5+0.32*(Y203-206550),
                                        IF(Y203&lt;380200, 55678.5+0.35*(Y203-258325),
                                            IF(Y203&gt;380200, 98334.75+0.37*(Y203-380200)
                                            )
                                        )
                                    )
                                )
                            )
                        )
                    )
                ),
                IF(OR(Y$157="Single", Y$157="MFS"),
                    IF(Y203&lt;7300, 0,
                        IF(Y203&lt;13100, 0.1*(Y203-7300),
                            IF(Y203&lt;30875, 580+0.12*(Y203-13100),
                                IF(Y203&lt;57563, 2713+0.22*(Y203-30875),
                                    IF(Y203&lt;103275, 8584.25+0.24*(Y203-57563),
                                        IF(Y203&lt;129163, 19555.25+0.32*(Y203-103275),
                                            IF(Y203&lt;311975, 27839.25+0.35*(Y203-129163),
                                                IF(Y203&gt;311975, 91823.63+0.37*(Y203-311975)
                                                )
                                            )
                                        )
                                    )
                                )
                            )
                        )
                    ),
                    IF(Y$157="HOH",
                        IF(Y203&lt;10950, 0,
                            IF(Y203&lt;19225, 0.1*(Y203-10950),
                                IF(Y203&lt;42500, 827.5+0.12*(Y203-19225),
                                    IF(Y203&lt;61200, 3620.5+0.22*(Y203-42500),
                                        IF(Y203&lt;106925, 7734.5+0.24*(Y203-61200),
                                            IF(Y203&lt;132800, 18708.5+0.32*(Y203-106925),
                                                IF(Y203&lt;315625, 26988.5+0.35*(Y203-132800),
                                                    IF(Y203&gt;315625, 90977.25+0.37*(Y203-315625),
                                                        "Invalid Input"
                                                    )
                                                )
                                            )
                                        )
                                    )
                                )
                            )
                        )
                    )
                )
            )
        )
    )
)</f>
        <v>0</v>
      </c>
      <c r="AP204" s="108" t="b">
        <f>IF(Z$156=2024,
    IF($R$157="-",
        IF(Z$157="MFJ",
            IF(Z203&lt;16300, 0,
                IF(Z203&lt;39500, 0.1*(Z203-16300),
                    IF(Z203&lt;110600, 2320+0.12*(Z203-39500),
                        IF(Z203&lt;217350, 10852+0.22*(Z203-110600),
                            IF(Z203&lt;400200, 34337+0.24*(Z203-217350),
                                IF(Z203&lt;503750, 78221+0.32*(Z203-400200),
                                    IF(Z203&lt;747500, 111357+0.35*(Z203-503750),
                                        IF(Z203&gt;747500, 196669.5+0.37*(Z203-747500)
                                        )
                                    )
                                )
                            )
                        )
                    )
                )
            ),
            IF(OR(Z$157="Single", Z$157="MFS"),
                IF(Z203&lt;6000, 0,
                    IF(Z203&lt;17600, 0.1*(Z203-6000),
                        IF(Z203&lt;53150, 1160+0.12*(Z203-17600),
                            IF(Z203&lt;106525, 5426+0.22*(Z203-53150),
                                IF(Z203&lt;197950, 17168.5+0.24*(Z203-106525),
                                    IF(Z203&lt;249725, 39110.5+0.32*(Z203-197950),
                                        IF(Z203&lt;615350, 55678.5+0.35*(Z203-249725),
                                            IF(Z203&gt;615350, 183647.25+0.37*(Z203-615350)
                                            )
                                        )
                                    )
                                )
                            )
                        )
                    )
                ),
                IF(Z$157="HOH",
                    IF(Z203&lt;13300, 0,
                        IF(Z203&lt;29850, 0.1*(Z203-13300),
                            IF(Z203&lt;76400, 1655+0.12*(Z203-29850),
                                IF(Z203&lt;113800, 7241+0.22*(Z203-76400),
                                    IF(Z203&lt;205250, 15469+0.24*(Z203-113800),
                                        IF(Z203&lt;257000, 37417+0.32*(Z203-205250),
                                            IF(Z203&lt;622650, 53977+0.35*(Z203-257000),
                                                IF(Z203&gt;622650, 181954.5+0.37*(Z203-622650),
                                                    "Invalid Filing Status or Q148 Value"
                                                )
                                            )
                                        )
                                    )
                                )
                            )
                        )
                    )
                )
            )
        ),
        IF($R$157="X",
            IF(Z$157="MFJ",
                IF(Z203&lt;14600, 0,
                    IF(Z203&lt;26200, 0.1*(Z203-14600),
                        IF(Z203&lt;61750, 1160+0.12*(Z203-26200),
                            IF(Z203&lt;115125, 5426+0.22*(Z203-61750),
                                IF(Z203&lt;206550, 17168.5+0.24*(Z203-115125),
                                    IF(Z203&lt;258325, 39110.5+0.32*(Z203-206550),
                                        IF(Z203&lt;380200, 55678.5+0.35*(Z203-258325),
                                            IF(Z203&gt;380200, 98334.75+0.37*(Z203-380200)
                                            )
                                        )
                                    )
                                )
                            )
                        )
                    )
                ),
                IF(OR(Z$157="Single", Z$157="MFS"),
                    IF(Z203&lt;7300, 0,
                        IF(Z203&lt;13100, 0.1*(Z203-7300),
                            IF(Z203&lt;30875, 580+0.12*(Z203-13100),
                                IF(Z203&lt;57563, 2713+0.22*(Z203-30875),
                                    IF(Z203&lt;103275, 8584.25+0.24*(Z203-57563),
                                        IF(Z203&lt;129163, 19555.25+0.32*(Z203-103275),
                                            IF(Z203&lt;311975, 27839.25+0.35*(Z203-129163),
                                                IF(Z203&gt;311975, 91823.63+0.37*(Z203-311975)
                                                )
                                            )
                                        )
                                    )
                                )
                            )
                        )
                    ),
                    IF(Z$157="HOH",
                        IF(Z203&lt;10950, 0,
                            IF(Z203&lt;19225, 0.1*(Z203-10950),
                                IF(Z203&lt;42500, 827.5+0.12*(Z203-19225),
                                    IF(Z203&lt;61200, 3620.5+0.22*(Z203-42500),
                                        IF(Z203&lt;106925, 7734.5+0.24*(Z203-61200),
                                            IF(Z203&lt;132800, 18708.5+0.32*(Z203-106925),
                                                IF(Z203&lt;315625, 26988.5+0.35*(Z203-132800),
                                                    IF(Z203&gt;315625, 90977.25+0.37*(Z203-315625),
                                                        "Invalid Input"
                                                    )
                                                )
                                            )
                                        )
                                    )
                                )
                            )
                        )
                    )
                )
            )
        )
    )
)</f>
        <v>0</v>
      </c>
      <c r="AQ204" s="108" t="b">
        <f>IF(AA$156=2024,
    IF($R$157="-",
        IF(AA$157="MFJ",
            IF(AA203&lt;16300, 0,
                IF(AA203&lt;39500, 0.1*(AA203-16300),
                    IF(AA203&lt;110600, 2320+0.12*(AA203-39500),
                        IF(AA203&lt;217350, 10852+0.22*(AA203-110600),
                            IF(AA203&lt;400200, 34337+0.24*(AA203-217350),
                                IF(AA203&lt;503750, 78221+0.32*(AA203-400200),
                                    IF(AA203&lt;747500, 111357+0.35*(AA203-503750),
                                        IF(AA203&gt;747500, 196669.5+0.37*(AA203-747500)
                                        )
                                    )
                                )
                            )
                        )
                    )
                )
            ),
            IF(OR(AA$157="Single", AA$157="MFS"),
                IF(AA203&lt;6000, 0,
                    IF(AA203&lt;17600, 0.1*(AA203-6000),
                        IF(AA203&lt;53150, 1160+0.12*(AA203-17600),
                            IF(AA203&lt;106525, 5426+0.22*(AA203-53150),
                                IF(AA203&lt;197950, 17168.5+0.24*(AA203-106525),
                                    IF(AA203&lt;249725, 39110.5+0.32*(AA203-197950),
                                        IF(AA203&lt;615350, 55678.5+0.35*(AA203-249725),
                                            IF(AA203&gt;615350, 183647.25+0.37*(AA203-615350)
                                            )
                                        )
                                    )
                                )
                            )
                        )
                    )
                ),
                IF(AA$157="HOH",
                    IF(AA203&lt;13300, 0,
                        IF(AA203&lt;29850, 0.1*(AA203-13300),
                            IF(AA203&lt;76400, 1655+0.12*(AA203-29850),
                                IF(AA203&lt;113800, 7241+0.22*(AA203-76400),
                                    IF(AA203&lt;205250, 15469+0.24*(AA203-113800),
                                        IF(AA203&lt;257000, 37417+0.32*(AA203-205250),
                                            IF(AA203&lt;622650, 53977+0.35*(AA203-257000),
                                                IF(AA203&gt;622650, 181954.5+0.37*(AA203-622650),
                                                    "Invalid Filing Status or Q148 Value"
                                                )
                                            )
                                        )
                                    )
                                )
                            )
                        )
                    )
                )
            )
        ),
        IF($R$157="X",
            IF(AA$157="MFJ",
                IF(AA203&lt;14600, 0,
                    IF(AA203&lt;26200, 0.1*(AA203-14600),
                        IF(AA203&lt;61750, 1160+0.12*(AA203-26200),
                            IF(AA203&lt;115125, 5426+0.22*(AA203-61750),
                                IF(AA203&lt;206550, 17168.5+0.24*(AA203-115125),
                                    IF(AA203&lt;258325, 39110.5+0.32*(AA203-206550),
                                        IF(AA203&lt;380200, 55678.5+0.35*(AA203-258325),
                                            IF(AA203&gt;380200, 98334.75+0.37*(AA203-380200)
                                            )
                                        )
                                    )
                                )
                            )
                        )
                    )
                ),
                IF(OR(AA$157="Single", AA$157="MFS"),
                    IF(AA203&lt;7300, 0,
                        IF(AA203&lt;13100, 0.1*(AA203-7300),
                            IF(AA203&lt;30875, 580+0.12*(AA203-13100),
                                IF(AA203&lt;57563, 2713+0.22*(AA203-30875),
                                    IF(AA203&lt;103275, 8584.25+0.24*(AA203-57563),
                                        IF(AA203&lt;129163, 19555.25+0.32*(AA203-103275),
                                            IF(AA203&lt;311975, 27839.25+0.35*(AA203-129163),
                                                IF(AA203&gt;311975, 91823.63+0.37*(AA203-311975)
                                                )
                                            )
                                        )
                                    )
                                )
                            )
                        )
                    ),
                    IF(AA$157="HOH",
                        IF(AA203&lt;10950, 0,
                            IF(AA203&lt;19225, 0.1*(AA203-10950),
                                IF(AA203&lt;42500, 827.5+0.12*(AA203-19225),
                                    IF(AA203&lt;61200, 3620.5+0.22*(AA203-42500),
                                        IF(AA203&lt;106925, 7734.5+0.24*(AA203-61200),
                                            IF(AA203&lt;132800, 18708.5+0.32*(AA203-106925),
                                                IF(AA203&lt;315625, 26988.5+0.35*(AA203-132800),
                                                    IF(AA203&gt;315625, 90977.25+0.37*(AA203-315625),
                                                        "Invalid Input"
                                                    )
                                                )
                                            )
                                        )
                                    )
                                )
                            )
                        )
                    )
                )
            )
        )
    )
)</f>
        <v>0</v>
      </c>
      <c r="AR204" s="108" t="b">
        <f>IF(AB$156=2024,
    IF($R$157="-",
        IF(AB$157="MFJ",
            IF(AB203&lt;16300, 0,
                IF(AB203&lt;39500, 0.1*(AB203-16300),
                    IF(AB203&lt;110600, 2320+0.12*(AB203-39500),
                        IF(AB203&lt;217350, 10852+0.22*(AB203-110600),
                            IF(AB203&lt;400200, 34337+0.24*(AB203-217350),
                                IF(AB203&lt;503750, 78221+0.32*(AB203-400200),
                                    IF(AB203&lt;747500, 111357+0.35*(AB203-503750),
                                        IF(AB203&gt;747500, 196669.5+0.37*(AB203-747500)
                                        )
                                    )
                                )
                            )
                        )
                    )
                )
            ),
            IF(OR(AB$157="Single", AB$157="MFS"),
                IF(AB203&lt;6000, 0,
                    IF(AB203&lt;17600, 0.1*(AB203-6000),
                        IF(AB203&lt;53150, 1160+0.12*(AB203-17600),
                            IF(AB203&lt;106525, 5426+0.22*(AB203-53150),
                                IF(AB203&lt;197950, 17168.5+0.24*(AB203-106525),
                                    IF(AB203&lt;249725, 39110.5+0.32*(AB203-197950),
                                        IF(AB203&lt;615350, 55678.5+0.35*(AB203-249725),
                                            IF(AB203&gt;615350, 183647.25+0.37*(AB203-615350)
                                            )
                                        )
                                    )
                                )
                            )
                        )
                    )
                ),
                IF(AB$157="HOH",
                    IF(AB203&lt;13300, 0,
                        IF(AB203&lt;29850, 0.1*(AB203-13300),
                            IF(AB203&lt;76400, 1655+0.12*(AB203-29850),
                                IF(AB203&lt;113800, 7241+0.22*(AB203-76400),
                                    IF(AB203&lt;205250, 15469+0.24*(AB203-113800),
                                        IF(AB203&lt;257000, 37417+0.32*(AB203-205250),
                                            IF(AB203&lt;622650, 53977+0.35*(AB203-257000),
                                                IF(AB203&gt;622650, 181954.5+0.37*(AB203-622650),
                                                    "Invalid Filing Status or Q148 Value"
                                                )
                                            )
                                        )
                                    )
                                )
                            )
                        )
                    )
                )
            )
        ),
        IF($R$157="X",
            IF(AB$157="MFJ",
                IF(AB203&lt;14600, 0,
                    IF(AB203&lt;26200, 0.1*(AB203-14600),
                        IF(AB203&lt;61750, 1160+0.12*(AB203-26200),
                            IF(AB203&lt;115125, 5426+0.22*(AB203-61750),
                                IF(AB203&lt;206550, 17168.5+0.24*(AB203-115125),
                                    IF(AB203&lt;258325, 39110.5+0.32*(AB203-206550),
                                        IF(AB203&lt;380200, 55678.5+0.35*(AB203-258325),
                                            IF(AB203&gt;380200, 98334.75+0.37*(AB203-380200)
                                            )
                                        )
                                    )
                                )
                            )
                        )
                    )
                ),
                IF(OR(AB$157="Single", AB$157="MFS"),
                    IF(AB203&lt;7300, 0,
                        IF(AB203&lt;13100, 0.1*(AB203-7300),
                            IF(AB203&lt;30875, 580+0.12*(AB203-13100),
                                IF(AB203&lt;57563, 2713+0.22*(AB203-30875),
                                    IF(AB203&lt;103275, 8584.25+0.24*(AB203-57563),
                                        IF(AB203&lt;129163, 19555.25+0.32*(AB203-103275),
                                            IF(AB203&lt;311975, 27839.25+0.35*(AB203-129163),
                                                IF(AB203&gt;311975, 91823.63+0.37*(AB203-311975)
                                                )
                                            )
                                        )
                                    )
                                )
                            )
                        )
                    ),
                    IF(AB$157="HOH",
                        IF(AB203&lt;10950, 0,
                            IF(AB203&lt;19225, 0.1*(AB203-10950),
                                IF(AB203&lt;42500, 827.5+0.12*(AB203-19225),
                                    IF(AB203&lt;61200, 3620.5+0.22*(AB203-42500),
                                        IF(AB203&lt;106925, 7734.5+0.24*(AB203-61200),
                                            IF(AB203&lt;132800, 18708.5+0.32*(AB203-106925),
                                                IF(AB203&lt;315625, 26988.5+0.35*(AB203-132800),
                                                    IF(AB203&gt;315625, 90977.25+0.37*(AB203-315625),
                                                        "Invalid Input"
                                                    )
                                                )
                                            )
                                        )
                                    )
                                )
                            )
                        )
                    )
                )
            )
        )
    )
)</f>
        <v>0</v>
      </c>
      <c r="AS204" s="108" t="b">
        <f>IF(AC$156=2024,
    IF($R$157="-",
        IF(AC$157="MFJ",
            IF(AC203&lt;16300, 0,
                IF(AC203&lt;39500, 0.1*(AC203-16300),
                    IF(AC203&lt;110600, 2320+0.12*(AC203-39500),
                        IF(AC203&lt;217350, 10852+0.22*(AC203-110600),
                            IF(AC203&lt;400200, 34337+0.24*(AC203-217350),
                                IF(AC203&lt;503750, 78221+0.32*(AC203-400200),
                                    IF(AC203&lt;747500, 111357+0.35*(AC203-503750),
                                        IF(AC203&gt;747500, 196669.5+0.37*(AC203-747500)
                                        )
                                    )
                                )
                            )
                        )
                    )
                )
            ),
            IF(OR(AC$157="Single", AC$157="MFS"),
                IF(AC203&lt;6000, 0,
                    IF(AC203&lt;17600, 0.1*(AC203-6000),
                        IF(AC203&lt;53150, 1160+0.12*(AC203-17600),
                            IF(AC203&lt;106525, 5426+0.22*(AC203-53150),
                                IF(AC203&lt;197950, 17168.5+0.24*(AC203-106525),
                                    IF(AC203&lt;249725, 39110.5+0.32*(AC203-197950),
                                        IF(AC203&lt;615350, 55678.5+0.35*(AC203-249725),
                                            IF(AC203&gt;615350, 183647.25+0.37*(AC203-615350)
                                            )
                                        )
                                    )
                                )
                            )
                        )
                    )
                ),
                IF(AC$157="HOH",
                    IF(AC203&lt;13300, 0,
                        IF(AC203&lt;29850, 0.1*(AC203-13300),
                            IF(AC203&lt;76400, 1655+0.12*(AC203-29850),
                                IF(AC203&lt;113800, 7241+0.22*(AC203-76400),
                                    IF(AC203&lt;205250, 15469+0.24*(AC203-113800),
                                        IF(AC203&lt;257000, 37417+0.32*(AC203-205250),
                                            IF(AC203&lt;622650, 53977+0.35*(AC203-257000),
                                                IF(AC203&gt;622650, 181954.5+0.37*(AC203-622650),
                                                    "Invalid Filing Status or Q148 Value"
                                                )
                                            )
                                        )
                                    )
                                )
                            )
                        )
                    )
                )
            )
        ),
        IF($R$157="X",
            IF(AC$157="MFJ",
                IF(AC203&lt;14600, 0,
                    IF(AC203&lt;26200, 0.1*(AC203-14600),
                        IF(AC203&lt;61750, 1160+0.12*(AC203-26200),
                            IF(AC203&lt;115125, 5426+0.22*(AC203-61750),
                                IF(AC203&lt;206550, 17168.5+0.24*(AC203-115125),
                                    IF(AC203&lt;258325, 39110.5+0.32*(AC203-206550),
                                        IF(AC203&lt;380200, 55678.5+0.35*(AC203-258325),
                                            IF(AC203&gt;380200, 98334.75+0.37*(AC203-380200)
                                            )
                                        )
                                    )
                                )
                            )
                        )
                    )
                ),
                IF(OR(AC$157="Single", AC$157="MFS"),
                    IF(AC203&lt;7300, 0,
                        IF(AC203&lt;13100, 0.1*(AC203-7300),
                            IF(AC203&lt;30875, 580+0.12*(AC203-13100),
                                IF(AC203&lt;57563, 2713+0.22*(AC203-30875),
                                    IF(AC203&lt;103275, 8584.25+0.24*(AC203-57563),
                                        IF(AC203&lt;129163, 19555.25+0.32*(AC203-103275),
                                            IF(AC203&lt;311975, 27839.25+0.35*(AC203-129163),
                                                IF(AC203&gt;311975, 91823.63+0.37*(AC203-311975)
                                                )
                                            )
                                        )
                                    )
                                )
                            )
                        )
                    ),
                    IF(AC$157="HOH",
                        IF(AC203&lt;10950, 0,
                            IF(AC203&lt;19225, 0.1*(AC203-10950),
                                IF(AC203&lt;42500, 827.5+0.12*(AC203-19225),
                                    IF(AC203&lt;61200, 3620.5+0.22*(AC203-42500),
                                        IF(AC203&lt;106925, 7734.5+0.24*(AC203-61200),
                                            IF(AC203&lt;132800, 18708.5+0.32*(AC203-106925),
                                                IF(AC203&lt;315625, 26988.5+0.35*(AC203-132800),
                                                    IF(AC203&gt;315625, 90977.25+0.37*(AC203-315625),
                                                        "Invalid Input"
                                                    )
                                                )
                                            )
                                        )
                                    )
                                )
                            )
                        )
                    )
                )
            )
        )
    )
)</f>
        <v>0</v>
      </c>
    </row>
    <row r="205" spans="2:45" x14ac:dyDescent="0.25">
      <c r="D205" s="32">
        <v>20</v>
      </c>
      <c r="E205" s="33">
        <f t="shared" si="755"/>
        <v>7.6399999999999996E-2</v>
      </c>
      <c r="F205" s="34" t="e">
        <f t="shared" si="756"/>
        <v>#VALUE!</v>
      </c>
      <c r="G205" t="e">
        <f t="shared" si="751"/>
        <v>#VALUE!</v>
      </c>
      <c r="H205" s="34" t="e">
        <f t="shared" si="752"/>
        <v>#VALUE!</v>
      </c>
      <c r="N205" t="s">
        <v>235</v>
      </c>
      <c r="P205" s="106">
        <f>IF(P208="[Select State]", 0, INDEX(B$366:B$415, MATCH(P208, $A$366:$A$415, 0)))</f>
        <v>0</v>
      </c>
      <c r="Q205" s="106">
        <f>IF(Q208="[Select State]", 0, INDEX(C$366:C$415, MATCH(Q208, $A$366:$A$415, 0)))</f>
        <v>0</v>
      </c>
      <c r="R205" s="106">
        <f>IF(R208="[Select State]", 0, INDEX(D$366:D$415, MATCH(R208, $A$366:$A$415, 0)))</f>
        <v>0</v>
      </c>
      <c r="S205" s="106">
        <f t="shared" ref="S205:U205" si="777">IF(S208="[Select State]", 0, INDEX(E$366:E$415, MATCH(S208, $A$366:$A$415, 0)))</f>
        <v>0</v>
      </c>
      <c r="T205" s="106">
        <f t="shared" si="777"/>
        <v>0</v>
      </c>
      <c r="U205" s="106">
        <f t="shared" si="777"/>
        <v>0</v>
      </c>
      <c r="V205" s="106">
        <f>IF(V208="[Select State]", 0, INDEX(H$366:H$415, MATCH(V208, $A$366:$A$415, 0)))</f>
        <v>0</v>
      </c>
      <c r="W205" s="106">
        <f>IF(W208="[Select State]", 0, INDEX(I$366:I$415, MATCH(W208, $A$366:$A$415, 0)))</f>
        <v>0</v>
      </c>
      <c r="X205" s="106">
        <f>IF(X208="[Select State]", 0, INDEX(J$366:J$415, MATCH(X208, $A$366:$A$415, 0)))</f>
        <v>0</v>
      </c>
      <c r="Y205" s="106">
        <f>IF(Y208="[Select State]", 0, INDEX(K$366:K$414, MATCH(Y208, $A$366:$A$415, 0)))</f>
        <v>0</v>
      </c>
      <c r="Z205" s="106">
        <f>IF(Z208="[Select State]", 0, INDEX(L$349:L$416, MATCH(Z208, $A$366:$A$415, 0)))</f>
        <v>0</v>
      </c>
      <c r="AA205" s="106">
        <f>IF(AA208="[Select State]", 0, INDEX(M$352:M$419, MATCH(AA208, $A$366:$A$415, 0)))</f>
        <v>0</v>
      </c>
      <c r="AB205" s="106">
        <f>IF(AB208="[Select State]", 0, INDEX(N$352:N$419, MATCH(AB208, $A$366:$A$415, 0)))</f>
        <v>0</v>
      </c>
      <c r="AC205" s="106">
        <f>IF(AC208="[Select State]", 0, INDEX(O$352:O$419, MATCH(AC208, $A$366:$A$415, 0)))</f>
        <v>0</v>
      </c>
    </row>
    <row r="206" spans="2:45" x14ac:dyDescent="0.25">
      <c r="O206" t="s">
        <v>208</v>
      </c>
      <c r="P206" s="102" t="str">
        <f>IF(B$1=2022, MIN(P203,147000)*0.062,
   IF(B$1=2023, MIN(P203,160200)*0.062,
      IF(B$1=2024, MIN(P203,168600)*0.062,
         "-"
      )
   )
)</f>
        <v>-</v>
      </c>
      <c r="Q206" s="102" t="str">
        <f>IF(C$1=2022, MIN(Q203,147000)*0.062,
   IF(C$1=2023, MIN(Q203,160200)*0.062,
      IF(C$1=2024, MIN(Q203,168600)*0.062,
         "-"
      )
   )
)</f>
        <v>-</v>
      </c>
      <c r="R206" s="102" t="str">
        <f>IF(D$1=2022, MIN(R203,147000)*0.062,
   IF(D$1=2023, MIN(R203,160200)*0.062,
      IF(D$1=2024, MIN(R203,168600)*0.062,
         "-"
      )
   )
)</f>
        <v>-</v>
      </c>
      <c r="S206" s="102" t="str">
        <f t="shared" ref="S206:U206" si="778">IF(E$1=2022, MIN(S203,147000)*0.062,
   IF(E$1=2023, MIN(S203,160200)*0.062,
      IF(E$1=2024, MIN(S203,168600)*0.062,
         "-"
      )
   )
)</f>
        <v>-</v>
      </c>
      <c r="T206" s="102" t="str">
        <f t="shared" si="778"/>
        <v>-</v>
      </c>
      <c r="U206" s="102" t="str">
        <f t="shared" si="778"/>
        <v>-</v>
      </c>
      <c r="V206" s="102" t="str">
        <f>IF(H$1=2022, MIN(V203,147000)*0.062,
   IF(H$1=2023, MIN(V203,160200)*0.062,
      IF(H$1=2024, MIN(V203,168600)*0.062,
         "-"
      )
   )
)</f>
        <v>-</v>
      </c>
      <c r="W206" s="102" t="str">
        <f>IF(I$1=2022, MIN(W203,147000)*0.062,
   IF(I$1=2023, MIN(W203,160200)*0.062,
      IF(I$1=2024, MIN(W203,168600)*0.062,
         "-"
      )
   )
)</f>
        <v>-</v>
      </c>
      <c r="X206" s="102" t="str">
        <f>IF(J$1=2022, MIN(X203,147000)*0.062,
   IF(J$1=2023, MIN(X203,160200)*0.062,
      IF(J$1=2024, MIN(X203,168600)*0.062,
         "-"
      )
   )
)</f>
        <v>-</v>
      </c>
      <c r="Y206" s="102" t="str">
        <f>IF(Y$156=2022, MIN(Y203,147000)*0.062,
   IF(Y$156=2023, MIN(Y203,160200)*0.062,
      IF(Y$156=2024, MIN(Y203,168600)*0.062,
         "-"
      )
   )
)</f>
        <v>-</v>
      </c>
      <c r="Z206" s="102" t="str">
        <f>IF(Z$156=2022, MIN(Z203,147000)*0.062,
   IF(Z$156=2023, MIN(Z203,160200)*0.062,
      IF(Z$156=2024, MIN(Z203,168600)*0.062,
         "-"
      )
   )
)</f>
        <v>-</v>
      </c>
      <c r="AA206" s="102" t="str">
        <f>IF(AA$156=2022, MIN(AA203,147000)*0.062,
   IF(AA$156=2023, MIN(AA203,160200)*0.062,
      IF(AA$156=2024, MIN(AA203,168600)*0.062,
         "-"
      )
   )
)</f>
        <v>-</v>
      </c>
      <c r="AB206" s="102" t="str">
        <f>IF(AB$156=2022, MIN(AB203,147000)*0.062,
   IF(AB$156=2023, MIN(AB203,160200)*0.062,
      IF(AB$156=2024, MIN(AB203,168600)*0.062,
         "-"
      )
   )
)</f>
        <v>-</v>
      </c>
      <c r="AC206" s="102" t="str">
        <f>IF(AC$156=2022, MIN(AC203,147000)*0.062,
   IF(AC$156=2023, MIN(AC203,160200)*0.062,
      IF(AC$156=2024, MIN(AC203,168600)*0.062,
         "-"
      )
   )
)</f>
        <v>-</v>
      </c>
    </row>
    <row r="207" spans="2:45" ht="21" x14ac:dyDescent="0.35">
      <c r="B207" s="38" t="s">
        <v>62</v>
      </c>
      <c r="N207" s="125" t="s">
        <v>210</v>
      </c>
      <c r="O207" t="s">
        <v>207</v>
      </c>
      <c r="P207" s="102">
        <f>P203*0.0145</f>
        <v>0</v>
      </c>
      <c r="Q207" s="102">
        <f>Q203*0.0145</f>
        <v>0</v>
      </c>
      <c r="R207" s="102">
        <f>R203*0.0145</f>
        <v>0</v>
      </c>
      <c r="S207" s="102">
        <f t="shared" ref="S207:U207" si="779">S203*0.0145</f>
        <v>0</v>
      </c>
      <c r="T207" s="102">
        <f t="shared" si="779"/>
        <v>0</v>
      </c>
      <c r="U207" s="102">
        <f t="shared" si="779"/>
        <v>0</v>
      </c>
      <c r="V207" s="102">
        <f>V203*0.0145</f>
        <v>0</v>
      </c>
      <c r="W207" s="102">
        <f>W203*0.0145</f>
        <v>0</v>
      </c>
      <c r="X207" s="102">
        <f t="shared" ref="X207" si="780">X203*0.0145</f>
        <v>0</v>
      </c>
      <c r="Y207" s="102">
        <f>Y203*0.0145</f>
        <v>0</v>
      </c>
      <c r="Z207" s="102">
        <f>Z203*0.0145</f>
        <v>0</v>
      </c>
      <c r="AA207" s="102">
        <f>AA203*0.0145</f>
        <v>0</v>
      </c>
      <c r="AB207" s="102">
        <f>AB203*0.0145</f>
        <v>0</v>
      </c>
      <c r="AC207" s="102">
        <f>AC203*0.0145</f>
        <v>0</v>
      </c>
    </row>
    <row r="208" spans="2:45" ht="21" x14ac:dyDescent="0.35">
      <c r="B208" s="38" t="s">
        <v>67</v>
      </c>
      <c r="C208" s="38" t="s">
        <v>322</v>
      </c>
      <c r="P208" s="89" t="str">
        <f>B3</f>
        <v>[Select State]</v>
      </c>
      <c r="Q208" s="89" t="str">
        <f>C3</f>
        <v>[Select State]</v>
      </c>
      <c r="R208" s="89" t="str">
        <f>D3</f>
        <v>[Select State]</v>
      </c>
      <c r="S208" s="89" t="str">
        <f t="shared" ref="S208:U208" si="781">E3</f>
        <v>[Select State]</v>
      </c>
      <c r="T208" s="89" t="str">
        <f t="shared" si="781"/>
        <v>[Select State]</v>
      </c>
      <c r="U208" s="89" t="str">
        <f t="shared" si="781"/>
        <v>[Select State]</v>
      </c>
      <c r="V208" s="89" t="str">
        <f>H3</f>
        <v>[Select State]</v>
      </c>
      <c r="W208" s="89" t="str">
        <f>I3</f>
        <v>[Select State]</v>
      </c>
      <c r="X208" s="89" t="str">
        <f>J3</f>
        <v>[Select State]</v>
      </c>
      <c r="Y208" s="89" t="s">
        <v>62</v>
      </c>
      <c r="Z208" s="89" t="s">
        <v>62</v>
      </c>
      <c r="AA208" s="89" t="s">
        <v>62</v>
      </c>
      <c r="AB208" s="89" t="s">
        <v>62</v>
      </c>
      <c r="AC208" s="89" t="s">
        <v>62</v>
      </c>
    </row>
    <row r="209" spans="2:29" ht="21" x14ac:dyDescent="0.35">
      <c r="B209" s="40" t="s">
        <v>68</v>
      </c>
      <c r="C209" s="40" t="s">
        <v>323</v>
      </c>
      <c r="O209" t="s">
        <v>209</v>
      </c>
      <c r="P209" s="102" t="str">
        <f>IF(P202="W-2", 0, IF(B$1=2022, MIN(P203,147000)*0.062, IF(B$1=2023, MIN(P203,160200)*0.062, IF(B$1=2024, MIN(P203,168600)*0.062, "-"))))</f>
        <v>-</v>
      </c>
      <c r="Q209" s="102" t="str">
        <f>IF(Q202="W-2", 0, IF(C$1=2022, MIN(Q203,147000)*0.062, IF(C$1=2023, MIN(Q203,160200)*0.062, IF(C$1=2024, MIN(Q203,168600)*0.062, "-"))))</f>
        <v>-</v>
      </c>
      <c r="R209" s="102" t="str">
        <f>IF(R202="W-2", 0, IF(D$1=2022, MIN(R203,147000)*0.062, IF(D$1=2023, MIN(R203,160200)*0.062, IF(D$1=2024, MIN(R203,168600)*0.062, "-"))))</f>
        <v>-</v>
      </c>
      <c r="S209" s="102" t="str">
        <f t="shared" ref="S209:U209" si="782">IF(S202="W-2", 0, IF(E$1=2022, MIN(S203,147000)*0.062, IF(E$1=2023, MIN(S203,160200)*0.062, IF(E$1=2024, MIN(S203,168600)*0.062, "-"))))</f>
        <v>-</v>
      </c>
      <c r="T209" s="102" t="str">
        <f t="shared" si="782"/>
        <v>-</v>
      </c>
      <c r="U209" s="102" t="str">
        <f t="shared" si="782"/>
        <v>-</v>
      </c>
      <c r="V209" s="102" t="str">
        <f>IF(V202="W-2", 0, IF(H$1=2022, MIN(V203,147000)*0.062, IF(H$1=2023, MIN(V203,160200)*0.062, IF(H$1=2024, MIN(V203,168600)*0.062, "-"))))</f>
        <v>-</v>
      </c>
      <c r="W209" s="102" t="str">
        <f>IF(W202="W-2", 0, IF(I$1=2022, MIN(W203,147000)*0.062, IF(I$1=2023, MIN(W203,160200)*0.062, IF(I$1=2024, MIN(W203,168600)*0.062, "-"))))</f>
        <v>-</v>
      </c>
      <c r="X209" s="102" t="str">
        <f>IF(X202="W-2", 0, IF(J$1=2022, MIN(X203,147000)*0.062, IF(J$1=2023, MIN(X203,160200)*0.062, IF(J$1=2024, MIN(X203,168600)*0.062, "-"))))</f>
        <v>-</v>
      </c>
      <c r="Y209" s="102">
        <f>IF(Y202="W-2", 0, IF(Y$156=2022, MIN(Y203,147000)*0.062, IF(Y$156=2023, MIN(Y203,160200)*0.062, IF(Y$156=2024, MIN(Y203,168600)*0.062, "-"))))</f>
        <v>0</v>
      </c>
      <c r="Z209" s="102">
        <f>IF(Z202="W-2", 0, IF(Z$156=2022, MIN(Z203,147000)*0.062, IF(Z$156=2023, MIN(Z203,160200)*0.062, IF(Z$156=2024, MIN(Z203,168600)*0.062, "-"))))</f>
        <v>0</v>
      </c>
      <c r="AA209" s="102">
        <f>IF(AA202="W-2", 0, IF(AA$156=2022, MIN(AA203,147000)*0.062, IF(AA$156=2023, MIN(AA203,160200)*0.062, IF(AA$156=2024, MIN(AA203,168600)*0.062, "-"))))</f>
        <v>0</v>
      </c>
      <c r="AB209" s="102">
        <f>IF(AB202="W-2", 0, IF(AB$156=2022, MIN(AB203,147000)*0.062, IF(AB$156=2023, MIN(AB203,160200)*0.062, IF(AB$156=2024, MIN(AB203,168600)*0.062, "-"))))</f>
        <v>0</v>
      </c>
      <c r="AC209" s="102">
        <f>IF(AC202="W-2", 0, IF(AC$156=2022, MIN(AC203,147000)*0.062, IF(AC$156=2023, MIN(AC203,160200)*0.062, IF(AC$156=2024, MIN(AC203,168600)*0.062, "-"))))</f>
        <v>0</v>
      </c>
    </row>
    <row r="210" spans="2:29" ht="21" x14ac:dyDescent="0.35">
      <c r="B210" s="38" t="s">
        <v>82</v>
      </c>
      <c r="C210" s="38" t="s">
        <v>82</v>
      </c>
      <c r="D210" s="30" t="s">
        <v>57</v>
      </c>
      <c r="E210" s="31" t="s">
        <v>58</v>
      </c>
      <c r="F210" s="31" t="s">
        <v>59</v>
      </c>
      <c r="G210" s="31" t="s">
        <v>60</v>
      </c>
      <c r="H210" s="31" t="s">
        <v>70</v>
      </c>
      <c r="I210" s="48" t="str">
        <f>I185</f>
        <v/>
      </c>
      <c r="N210" s="125" t="s">
        <v>211</v>
      </c>
      <c r="O210" t="s">
        <v>207</v>
      </c>
      <c r="P210" s="102">
        <f>IF(P202="W-2", 0, P203*0.0145)</f>
        <v>0</v>
      </c>
      <c r="Q210" s="102">
        <f>IF(Q202="W-2", 0, Q203*0.0145)</f>
        <v>0</v>
      </c>
      <c r="R210" s="102">
        <f>IF(R202="W-2", 0, R203*0.0145)</f>
        <v>0</v>
      </c>
      <c r="S210" s="102">
        <f t="shared" ref="S210:U210" si="783">IF(S202="W-2", 0, S203*0.0145)</f>
        <v>0</v>
      </c>
      <c r="T210" s="102">
        <f t="shared" si="783"/>
        <v>0</v>
      </c>
      <c r="U210" s="102">
        <f t="shared" si="783"/>
        <v>0</v>
      </c>
      <c r="V210" s="102">
        <f>IF(V202="W-2", 0, V203*0.0145)</f>
        <v>0</v>
      </c>
      <c r="W210" s="102">
        <f>IF(W202="W-2", 0, W203*0.0145)</f>
        <v>0</v>
      </c>
      <c r="X210" s="102">
        <f t="shared" ref="X210" si="784">IF(X202="W-2", 0, X203*0.0145)</f>
        <v>0</v>
      </c>
      <c r="Y210" s="102">
        <f>IF(Y202="W-2", 0, Y203*0.0145)</f>
        <v>0</v>
      </c>
      <c r="Z210" s="102">
        <f>IF(Z202="W-2", 0, Z203*0.0145)</f>
        <v>0</v>
      </c>
      <c r="AA210" s="102">
        <f>IF(AA202="W-2", 0, AA203*0.0145)</f>
        <v>0</v>
      </c>
      <c r="AB210" s="102">
        <f>IF(AB202="W-2", 0, AB203*0.0145)</f>
        <v>0</v>
      </c>
      <c r="AC210" s="102">
        <f>IF(AC202="W-2", 0, AC203*0.0145)</f>
        <v>0</v>
      </c>
    </row>
    <row r="211" spans="2:29" ht="21" x14ac:dyDescent="0.35">
      <c r="B211" s="38">
        <v>2022</v>
      </c>
      <c r="D211" s="32">
        <v>1</v>
      </c>
      <c r="E211" s="33">
        <v>7.6399999999999996E-2</v>
      </c>
      <c r="F211" s="34">
        <f>I148</f>
        <v>0</v>
      </c>
      <c r="G211" t="e">
        <f t="shared" ref="G211:G230" si="785">(F211*E211)*(1-$I$210)</f>
        <v>#VALUE!</v>
      </c>
      <c r="H211" s="34" t="e">
        <f t="shared" ref="H211:H228" si="786">F211+G211</f>
        <v>#VALUE!</v>
      </c>
      <c r="L211" t="s">
        <v>82</v>
      </c>
      <c r="O211" t="s">
        <v>223</v>
      </c>
      <c r="P211" s="102" cm="1">
        <f t="array" ref="P211">IF(P202="W-2",0,_xlfn.IFNA(_xlfn.IFS(
B$1=2022,
_xlfn.SWITCH(
P208,
"Alabama Taxes",MIN(P203,8000)*0.027,
"Alaska Taxes",MIN(P203,45200)*0.0237,
"Arizona Taxes",MIN(P203,7000)*0.02,
"Arkansas Taxes",MIN(P203,10000)*0.031,
"California Taxes",MIN(P203,7000)*0.034,
"Colorado Taxes",MIN(P203,17000)*0.017,
"Connecticut Taxes",MIN(P203,15000)*0.03,
"Delaware Taxes",MIN(P203,16500)*0.018,
"District of Columbia Taxes",MIN(P203,9000)*0.027,
"Florida Taxes",MIN(P203,7000)*0.027,
"Georgia Taxes",MIN(P203,9500)*0.0264,
"Hawaii Taxes",MIN(P203,51600)*0.03,
"Idaho Taxes",MIN(P203,46500)*0.0097,
"Illinois Taxes",MIN(P203,12960)*0.03525,
"Indiana Taxes",MIN(P203,9500)*0.025,
"Iowa Taxes",MIN(P203,34800)*0.01,
"Kansas Taxes",MIN(P203,14000)*0.027,
"Kentucky Taxes",MIN(P203,11100)*0.027,
"Louisiana Taxes",MIN(P203,7700)*0.027,
"Maine Taxes",MIN(P203,12000)*0.0224,
"Maryland Taxes",MIN(P203,8500)*0.026,
"Massachusetts Taxes",MIN(P203,15000)*0.0242,
"Michigan Taxes",MIN(P203,9500)*0.027,
"Minnesota Taxes",MIN(P203,38000)*0.027,
"Mississippi Taxes",MIN(P203,14000)*0.01,
"Missouri Taxes",MIN(P203,11000)*0.02376,
"Montana Taxes",MIN(P203,38100)*0.027,
"Nebraska Taxes",MIN(P203,24000)*0.0125,
"Nevada Taxes",MIN(P203,36600)*0.0295,
"New Hampshire Taxes",MIN(P203,14000)*0.027,
"New Jersey Taxes",MIN(P203,39800)*0.028,
"New Mexico Taxes",MIN(P203,28700)*0.01,
"New York Taxes",MIN(P203,12000)*0.03125,
"North Carolina Taxes",MIN(P203,28000)*0.01,
"North Dakota Taxes",MIN(P203,38400)*0.0102,
"Ohio Taxes",MIN(P203,9000)*0.027,
"Oklahoma Taxes",MIN(P203,24800)*0.015,
"Oregon Taxes",MIN(P203,47700)*0.024,
"Pennsylvania Taxes",MIN(P203,10000)*0.03689,
"Rhode Island Taxes",MIN(P203,24600)*0.0098,
"South Carolina Taxes",MIN(P203,14000)*0.0049,
"South Dakota Taxes",MIN(P203,15000)*0.012,
"Tennessee Taxes",MIN(P203,7000)*0.027,
"Texas Taxes",MIN(P203,9000)*0.027,
"Utah Taxes",MIN(P203,41600)*0.027,
"Vermont Taxes",MIN(P203,15500)*0.01,
"Virginia Taxes",MIN(P203,8000)*0.0273,
"Washington Taxes",MIN(P203,62500)*0.027,
"West Virginia Taxes",MIN(P203,12000)*0.027,
"Wisconsin Taxes",MIN(P203,14000)*0.0305,
"Wyoming Taxes",MIN(P203,27700)*0.027
),
B$1=2023,
_xlfn.SWITCH(
P208,
"Alabama Taxes",MIN(P203,8000)*0.027,
"Alaska Taxes",MIN(P203,41500)*0.0237,
"Arizona Taxes",MIN(P203,7000)*0.02,
"Arkansas Taxes",MIN(P203,12000)*0.031,
"California Taxes",MIN(P203,7000)*0.034,
"Colorado Taxes",MIN(P203,13800)*0.017,
"Connecticut Taxes",MIN(P203,15000)*0.028,
"Delaware Taxes",MIN(P203,8500)*0.001,
"District of Columbia Taxes",MIN(P203,9000)*0.027,
"Florida Taxes",MIN(P203,7000)*0.027,
"Georgia Taxes",MIN(P203,9500)*0.027,
"Hawaii Taxes",MIN(P203,46800)*0.04,
"Idaho Taxes",MIN(P203,41500)*0.01071,
"Illinois Taxes",MIN(P203,12900)*0.0395,
"Indiana Taxes",MIN(P203,9500)*0.025,
"Iowa Taxes",MIN(P203,29500)*0.01,
"Kansas Taxes",MIN(P203,14000)*0.027,
"Kentucky Taxes",MIN(P203,11000)*0.027,
"Louisiana Taxes",MIN(P203,7500)*0.0009,
"Maine Taxes",MIN(P203,12000)*0.0219,
"Maryland Taxes",MIN(P203,8500)*0.023,
"Massachusetts Taxes",MIN(P203,15000)*0.0143,
"Michigan Taxes",MIN(P203,9500)*0.027,
"Minnesota Taxes",MIN(P203,35000)*0.001,
"Mississippi Taxes",MIN(P203,14000)*0.01,
"Missouri Taxes",MIN(P203,13500)*0.027,
"Montana Taxes",MIN(P203,34500)*0.0013,
"Nebraska Taxes",MIN(P203,9000)*0.0125,
"Nevada Taxes",MIN(P203,33100)*0.0295,
"New Hampshire Taxes",MIN(P203,14000)*0.027,
"New Jersey Taxes",MIN(P203,35700)*0.031,
"New Mexico Taxes",MIN(P203,25400)*0.01,
"New York Taxes",MIN(P203,11500)*0.026,
"North Carolina Taxes",MIN(P203,25400)*0.01,
"North Dakota Taxes",MIN(P203,39200)*0.0113,
"Ohio Taxes",MIN(P203,9000)*0.027,
"Oklahoma Taxes",MIN(P203,17500)*0.015,
"Oregon Taxes",MIN(P203,43000)*0.021,
"Pennsylvania Taxes",MIN(P203,10000)*0.03822,
"Rhode Island Taxes",MIN(P203,24000)*0.0109,
"South Carolina Taxes",MIN(P203,14000)*0.0045,
"South Dakota Taxes",MIN(P203,15000)*0.012,
"Tennessee Taxes",MIN(P203,7000)*0.027,
"Texas Taxes",MIN(P203,9000)*0.027,
"Utah Taxes",MIN(P203,35700)*0.003,
"Vermont Taxes",MIN(P203,16000)*0.01,
"Virginia Taxes",MIN(P203,8000)*0.025,
"Washington Taxes",MIN(P203,56200)*0.0125,
"West Virginia Taxes",MIN(P203,12000)*0.027,
"Wisconsin Taxes",MIN(P203,14000)*0.0305,
"Wyoming Taxes",MIN(P203,25800)*0.018
),
B$1=2024,
_xlfn.SWITCH(
P208,
"Alabama Taxes",MIN(P203,8000)*0.027,
"Alaska Taxes",MIN(P203,41500)*0.0237,
"Arizona Taxes",MIN(P203,7000)*0.02,
"Arkansas Taxes",MIN(P203,12000)*0.031,
"California Taxes",MIN(P203,7000)*0.034,
"Colorado Taxes",MIN(P203,13800)*0.017,
"Connecticut Taxes",MIN(P203,15000)*0.028,
"Delaware Taxes",MIN(P203,8500)*0.001,
"District of Columbia Taxes",MIN(P203,9000)*0.027,
"Florida Taxes",MIN(P203,7000)*0.027,
"Georgia Taxes",MIN(P203,9500)*0.027,
"Hawaii Taxes",MIN(P203,46800)*0.04,
"Idaho Taxes",MIN(P203,41500)*0.01071,
"Illinois Taxes",MIN(P203,12900)*0.0395,
"Indiana Taxes",MIN(P203,9500)*0.025,
"Iowa Taxes",MIN(P203,29500)*0.01,
"Kansas Taxes",MIN(P203,14000)*0.027,
"Kentucky Taxes",MIN(P203,11000)*0.027,
"Louisiana Taxes",MIN(P203,7500)*0.0009,
"Maine Taxes",MIN(P203,12000)*0.0219,
"Maryland Taxes",MIN(P203,8500)*0.023,
"Massachusetts Taxes",MIN(P203,15000)*0.0143,
"Michigan Taxes",MIN(P203,9500)*0.027,
"Minnesota Taxes",MIN(P203,35000)*0.001,
"Mississippi Taxes",MIN(P203,14000)*0.01,
"Missouri Taxes",MIN(P203,13500)*0.027,
"Montana Taxes",MIN(P203,34500)*0.0013,
"Nebraska Taxes",MIN(P203,9000)*0.0125,
"Nevada Taxes",MIN(P203,33100)*0.0295,
"New Hampshire Taxes",MIN(P203,14000)*0.027,
"New Jersey Taxes",MIN(P203,35700)*0.031,
"New Mexico Taxes",MIN(P203,25400)*0.01,
"New York Taxes",MIN(P203,11500)*0.026,
"North Carolina Taxes",MIN(P203,25400)*0.01,
"North Dakota Taxes",MIN(P203,39200)*0.0113,
"Ohio Taxes",MIN(P203,9000)*0.027,
"Oklahoma Taxes",MIN(P203,17500)*0.015,
"Oregon Taxes",MIN(P203,43000)*0.021,
"Pennsylvania Taxes",MIN(P203,10000)*0.03822,
"Rhode Island Taxes",MIN(P203,24000)*0.0109,
"South Carolina Taxes",MIN(P203,14000)*0.0045,
"South Dakota Taxes",MIN(P203,15000)*0.012,
"Tennessee Taxes",MIN(P203,7000)*0.027,
"Texas Taxes",MIN(P203,9000)*0.027,
"Utah Taxes",MIN(P203,35700)*0.003,
"Vermont Taxes",MIN(P203,16000)*0.01,
"Virginia Taxes",MIN(P203,8000)*0.025,
"Washington Taxes",MIN(P203,56200)*0.0125,
"West Virginia Taxes",MIN(P203,12000)*0.027,
"Wisconsin Taxes",MIN(P203,14000)*0.0305,
"Wyoming Taxes",MIN(P203,25800)*0.018
)
),0))</f>
        <v>0</v>
      </c>
      <c r="Q211" s="102" cm="1">
        <f t="array" ref="Q211">IF(Q202="W-2",0,_xlfn.IFNA(_xlfn.IFS(
C$1=2022,
_xlfn.SWITCH(
Q208,
"Alabama Taxes",MIN(Q203,8000)*0.027,
"Alaska Taxes",MIN(Q203,45200)*0.0237,
"Arizona Taxes",MIN(Q203,7000)*0.02,
"Arkansas Taxes",MIN(Q203,10000)*0.031,
"California Taxes",MIN(Q203,7000)*0.034,
"Colorado Taxes",MIN(Q203,17000)*0.017,
"Connecticut Taxes",MIN(Q203,15000)*0.03,
"Delaware Taxes",MIN(Q203,16500)*0.018,
"District of Columbia Taxes",MIN(Q203,9000)*0.027,
"Florida Taxes",MIN(Q203,7000)*0.027,
"Georgia Taxes",MIN(Q203,9500)*0.0264,
"Hawaii Taxes",MIN(Q203,51600)*0.03,
"Idaho Taxes",MIN(Q203,46500)*0.0097,
"Illinois Taxes",MIN(Q203,12960)*0.03525,
"Indiana Taxes",MIN(Q203,9500)*0.025,
"Iowa Taxes",MIN(Q203,34800)*0.01,
"Kansas Taxes",MIN(Q203,14000)*0.027,
"Kentucky Taxes",MIN(Q203,11100)*0.027,
"Louisiana Taxes",MIN(Q203,7700)*0.027,
"Maine Taxes",MIN(Q203,12000)*0.0224,
"Maryland Taxes",MIN(Q203,8500)*0.026,
"Massachusetts Taxes",MIN(Q203,15000)*0.0242,
"Michigan Taxes",MIN(Q203,9500)*0.027,
"Minnesota Taxes",MIN(Q203,38000)*0.027,
"Mississippi Taxes",MIN(Q203,14000)*0.01,
"Missouri Taxes",MIN(Q203,11000)*0.02376,
"Montana Taxes",MIN(Q203,38100)*0.027,
"Nebraska Taxes",MIN(Q203,24000)*0.0125,
"Nevada Taxes",MIN(Q203,36600)*0.0295,
"New Hampshire Taxes",MIN(Q203,14000)*0.027,
"New Jersey Taxes",MIN(Q203,39800)*0.028,
"New Mexico Taxes",MIN(Q203,28700)*0.01,
"New York Taxes",MIN(Q203,12000)*0.03125,
"North Carolina Taxes",MIN(Q203,28000)*0.01,
"North Dakota Taxes",MIN(Q203,38400)*0.0102,
"Ohio Taxes",MIN(Q203,9000)*0.027,
"Oklahoma Taxes",MIN(Q203,24800)*0.015,
"Oregon Taxes",MIN(Q203,47700)*0.024,
"Pennsylvania Taxes",MIN(Q203,10000)*0.03689,
"Rhode Island Taxes",MIN(Q203,24600)*0.0098,
"South Carolina Taxes",MIN(Q203,14000)*0.0049,
"South Dakota Taxes",MIN(Q203,15000)*0.012,
"Tennessee Taxes",MIN(Q203,7000)*0.027,
"Texas Taxes",MIN(Q203,9000)*0.027,
"Utah Taxes",MIN(Q203,41600)*0.027,
"Vermont Taxes",MIN(Q203,15500)*0.01,
"Virginia Taxes",MIN(Q203,8000)*0.0273,
"Washington Taxes",MIN(Q203,62500)*0.027,
"West Virginia Taxes",MIN(Q203,12000)*0.027,
"Wisconsin Taxes",MIN(Q203,14000)*0.0305,
"Wyoming Taxes",MIN(Q203,27700)*0.027
),
C$1=2023,
_xlfn.SWITCH(
Q208,
"Alabama Taxes",MIN(Q203,8000)*0.027,
"Alaska Taxes",MIN(Q203,41500)*0.0237,
"Arizona Taxes",MIN(Q203,7000)*0.02,
"Arkansas Taxes",MIN(Q203,12000)*0.031,
"California Taxes",MIN(Q203,7000)*0.034,
"Colorado Taxes",MIN(Q203,13800)*0.017,
"Connecticut Taxes",MIN(Q203,15000)*0.028,
"Delaware Taxes",MIN(Q203,8500)*0.001,
"District of Columbia Taxes",MIN(Q203,9000)*0.027,
"Florida Taxes",MIN(Q203,7000)*0.027,
"Georgia Taxes",MIN(Q203,9500)*0.027,
"Hawaii Taxes",MIN(Q203,46800)*0.04,
"Idaho Taxes",MIN(Q203,41500)*0.01071,
"Illinois Taxes",MIN(Q203,12900)*0.0395,
"Indiana Taxes",MIN(Q203,9500)*0.025,
"Iowa Taxes",MIN(Q203,29500)*0.01,
"Kansas Taxes",MIN(Q203,14000)*0.027,
"Kentucky Taxes",MIN(Q203,11000)*0.027,
"Louisiana Taxes",MIN(Q203,7500)*0.0009,
"Maine Taxes",MIN(Q203,12000)*0.0219,
"Maryland Taxes",MIN(Q203,8500)*0.023,
"Massachusetts Taxes",MIN(Q203,15000)*0.0143,
"Michigan Taxes",MIN(Q203,9500)*0.027,
"Minnesota Taxes",MIN(Q203,35000)*0.001,
"Mississippi Taxes",MIN(Q203,14000)*0.01,
"Missouri Taxes",MIN(Q203,13500)*0.027,
"Montana Taxes",MIN(Q203,34500)*0.0013,
"Nebraska Taxes",MIN(Q203,9000)*0.0125,
"Nevada Taxes",MIN(Q203,33100)*0.0295,
"New Hampshire Taxes",MIN(Q203,14000)*0.027,
"New Jersey Taxes",MIN(Q203,35700)*0.031,
"New Mexico Taxes",MIN(Q203,25400)*0.01,
"New York Taxes",MIN(Q203,11500)*0.026,
"North Carolina Taxes",MIN(Q203,25400)*0.01,
"North Dakota Taxes",MIN(Q203,39200)*0.0113,
"Ohio Taxes",MIN(Q203,9000)*0.027,
"Oklahoma Taxes",MIN(Q203,17500)*0.015,
"Oregon Taxes",MIN(Q203,43000)*0.021,
"Pennsylvania Taxes",MIN(Q203,10000)*0.03822,
"Rhode Island Taxes",MIN(Q203,24000)*0.0109,
"South Carolina Taxes",MIN(Q203,14000)*0.0045,
"South Dakota Taxes",MIN(Q203,15000)*0.012,
"Tennessee Taxes",MIN(Q203,7000)*0.027,
"Texas Taxes",MIN(Q203,9000)*0.027,
"Utah Taxes",MIN(Q203,35700)*0.003,
"Vermont Taxes",MIN(Q203,16000)*0.01,
"Virginia Taxes",MIN(Q203,8000)*0.025,
"Washington Taxes",MIN(Q203,56200)*0.0125,
"West Virginia Taxes",MIN(Q203,12000)*0.027,
"Wisconsin Taxes",MIN(Q203,14000)*0.0305,
"Wyoming Taxes",MIN(Q203,25800)*0.018
),
C$1=2024,
_xlfn.SWITCH(
Q208,
"Alabama Taxes",MIN(Q203,8000)*0.027,
"Alaska Taxes",MIN(Q203,41500)*0.0237,
"Arizona Taxes",MIN(Q203,7000)*0.02,
"Arkansas Taxes",MIN(Q203,12000)*0.031,
"California Taxes",MIN(Q203,7000)*0.034,
"Colorado Taxes",MIN(Q203,13800)*0.017,
"Connecticut Taxes",MIN(Q203,15000)*0.028,
"Delaware Taxes",MIN(Q203,8500)*0.001,
"District of Columbia Taxes",MIN(Q203,9000)*0.027,
"Florida Taxes",MIN(Q203,7000)*0.027,
"Georgia Taxes",MIN(Q203,9500)*0.027,
"Hawaii Taxes",MIN(Q203,46800)*0.04,
"Idaho Taxes",MIN(Q203,41500)*0.01071,
"Illinois Taxes",MIN(Q203,12900)*0.0395,
"Indiana Taxes",MIN(Q203,9500)*0.025,
"Iowa Taxes",MIN(Q203,29500)*0.01,
"Kansas Taxes",MIN(Q203,14000)*0.027,
"Kentucky Taxes",MIN(Q203,11000)*0.027,
"Louisiana Taxes",MIN(Q203,7500)*0.0009,
"Maine Taxes",MIN(Q203,12000)*0.0219,
"Maryland Taxes",MIN(Q203,8500)*0.023,
"Massachusetts Taxes",MIN(Q203,15000)*0.0143,
"Michigan Taxes",MIN(Q203,9500)*0.027,
"Minnesota Taxes",MIN(Q203,35000)*0.001,
"Mississippi Taxes",MIN(Q203,14000)*0.01,
"Missouri Taxes",MIN(Q203,13500)*0.027,
"Montana Taxes",MIN(Q203,34500)*0.0013,
"Nebraska Taxes",MIN(Q203,9000)*0.0125,
"Nevada Taxes",MIN(Q203,33100)*0.0295,
"New Hampshire Taxes",MIN(Q203,14000)*0.027,
"New Jersey Taxes",MIN(Q203,35700)*0.031,
"New Mexico Taxes",MIN(Q203,25400)*0.01,
"New York Taxes",MIN(Q203,11500)*0.026,
"North Carolina Taxes",MIN(Q203,25400)*0.01,
"North Dakota Taxes",MIN(Q203,39200)*0.0113,
"Ohio Taxes",MIN(Q203,9000)*0.027,
"Oklahoma Taxes",MIN(Q203,17500)*0.015,
"Oregon Taxes",MIN(Q203,43000)*0.021,
"Pennsylvania Taxes",MIN(Q203,10000)*0.03822,
"Rhode Island Taxes",MIN(Q203,24000)*0.0109,
"South Carolina Taxes",MIN(Q203,14000)*0.0045,
"South Dakota Taxes",MIN(Q203,15000)*0.012,
"Tennessee Taxes",MIN(Q203,7000)*0.027,
"Texas Taxes",MIN(Q203,9000)*0.027,
"Utah Taxes",MIN(Q203,35700)*0.003,
"Vermont Taxes",MIN(Q203,16000)*0.01,
"Virginia Taxes",MIN(Q203,8000)*0.025,
"Washington Taxes",MIN(Q203,56200)*0.0125,
"West Virginia Taxes",MIN(Q203,12000)*0.027,
"Wisconsin Taxes",MIN(Q203,14000)*0.0305,
"Wyoming Taxes",MIN(Q203,25800)*0.018
)
),0))</f>
        <v>0</v>
      </c>
      <c r="R211" s="102" cm="1">
        <f t="array" ref="R211">IF(R202="W-2",0,_xlfn.IFNA(_xlfn.IFS(
D$1=2022,
_xlfn.SWITCH(
R208,
"Alabama Taxes",MIN(R203,8000)*0.027,
"Alaska Taxes",MIN(R203,45200)*0.0237,
"Arizona Taxes",MIN(R203,7000)*0.02,
"Arkansas Taxes",MIN(R203,10000)*0.031,
"California Taxes",MIN(R203,7000)*0.034,
"Colorado Taxes",MIN(R203,17000)*0.017,
"Connecticut Taxes",MIN(R203,15000)*0.03,
"Delaware Taxes",MIN(R203,16500)*0.018,
"District of Columbia Taxes",MIN(R203,9000)*0.027,
"Florida Taxes",MIN(R203,7000)*0.027,
"Georgia Taxes",MIN(R203,9500)*0.0264,
"Hawaii Taxes",MIN(R203,51600)*0.03,
"Idaho Taxes",MIN(R203,46500)*0.0097,
"Illinois Taxes",MIN(R203,12960)*0.03525,
"Indiana Taxes",MIN(R203,9500)*0.025,
"Iowa Taxes",MIN(R203,34800)*0.01,
"Kansas Taxes",MIN(R203,14000)*0.027,
"Kentucky Taxes",MIN(R203,11100)*0.027,
"Louisiana Taxes",MIN(R203,7700)*0.027,
"Maine Taxes",MIN(R203,12000)*0.0224,
"Maryland Taxes",MIN(R203,8500)*0.026,
"Massachusetts Taxes",MIN(R203,15000)*0.0242,
"Michigan Taxes",MIN(R203,9500)*0.027,
"Minnesota Taxes",MIN(R203,38000)*0.027,
"Mississippi Taxes",MIN(R203,14000)*0.01,
"Missouri Taxes",MIN(R203,11000)*0.02376,
"Montana Taxes",MIN(R203,38100)*0.027,
"Nebraska Taxes",MIN(R203,24000)*0.0125,
"Nevada Taxes",MIN(R203,36600)*0.0295,
"New Hampshire Taxes",MIN(R203,14000)*0.027,
"New Jersey Taxes",MIN(R203,39800)*0.028,
"New Mexico Taxes",MIN(R203,28700)*0.01,
"New York Taxes",MIN(R203,12000)*0.03125,
"North Carolina Taxes",MIN(R203,28000)*0.01,
"North Dakota Taxes",MIN(R203,38400)*0.0102,
"Ohio Taxes",MIN(R203,9000)*0.027,
"Oklahoma Taxes",MIN(R203,24800)*0.015,
"Oregon Taxes",MIN(R203,47700)*0.024,
"Pennsylvania Taxes",MIN(R203,10000)*0.03689,
"Rhode Island Taxes",MIN(R203,24600)*0.0098,
"South Carolina Taxes",MIN(R203,14000)*0.0049,
"South Dakota Taxes",MIN(R203,15000)*0.012,
"Tennessee Taxes",MIN(R203,7000)*0.027,
"Texas Taxes",MIN(R203,9000)*0.027,
"Utah Taxes",MIN(R203,41600)*0.027,
"Vermont Taxes",MIN(R203,15500)*0.01,
"Virginia Taxes",MIN(R203,8000)*0.0273,
"Washington Taxes",MIN(R203,62500)*0.027,
"West Virginia Taxes",MIN(R203,12000)*0.027,
"Wisconsin Taxes",MIN(R203,14000)*0.0305,
"Wyoming Taxes",MIN(R203,27700)*0.027
),
D$1=2023,
_xlfn.SWITCH(
R208,
"Alabama Taxes",MIN(R203,8000)*0.027,
"Alaska Taxes",MIN(R203,41500)*0.0237,
"Arizona Taxes",MIN(R203,7000)*0.02,
"Arkansas Taxes",MIN(R203,12000)*0.031,
"California Taxes",MIN(R203,7000)*0.034,
"Colorado Taxes",MIN(R203,13800)*0.017,
"Connecticut Taxes",MIN(R203,15000)*0.028,
"Delaware Taxes",MIN(R203,8500)*0.001,
"District of Columbia Taxes",MIN(R203,9000)*0.027,
"Florida Taxes",MIN(R203,7000)*0.027,
"Georgia Taxes",MIN(R203,9500)*0.027,
"Hawaii Taxes",MIN(R203,46800)*0.04,
"Idaho Taxes",MIN(R203,41500)*0.01071,
"Illinois Taxes",MIN(R203,12900)*0.0395,
"Indiana Taxes",MIN(R203,9500)*0.025,
"Iowa Taxes",MIN(R203,29500)*0.01,
"Kansas Taxes",MIN(R203,14000)*0.027,
"Kentucky Taxes",MIN(R203,11000)*0.027,
"Louisiana Taxes",MIN(R203,7500)*0.0009,
"Maine Taxes",MIN(R203,12000)*0.0219,
"Maryland Taxes",MIN(R203,8500)*0.023,
"Massachusetts Taxes",MIN(R203,15000)*0.0143,
"Michigan Taxes",MIN(R203,9500)*0.027,
"Minnesota Taxes",MIN(R203,35000)*0.001,
"Mississippi Taxes",MIN(R203,14000)*0.01,
"Missouri Taxes",MIN(R203,13500)*0.027,
"Montana Taxes",MIN(R203,34500)*0.0013,
"Nebraska Taxes",MIN(R203,9000)*0.0125,
"Nevada Taxes",MIN(R203,33100)*0.0295,
"New Hampshire Taxes",MIN(R203,14000)*0.027,
"New Jersey Taxes",MIN(R203,35700)*0.031,
"New Mexico Taxes",MIN(R203,25400)*0.01,
"New York Taxes",MIN(R203,11500)*0.026,
"North Carolina Taxes",MIN(R203,25400)*0.01,
"North Dakota Taxes",MIN(R203,39200)*0.0113,
"Ohio Taxes",MIN(R203,9000)*0.027,
"Oklahoma Taxes",MIN(R203,17500)*0.015,
"Oregon Taxes",MIN(R203,43000)*0.021,
"Pennsylvania Taxes",MIN(R203,10000)*0.03822,
"Rhode Island Taxes",MIN(R203,24000)*0.0109,
"South Carolina Taxes",MIN(R203,14000)*0.0045,
"South Dakota Taxes",MIN(R203,15000)*0.012,
"Tennessee Taxes",MIN(R203,7000)*0.027,
"Texas Taxes",MIN(R203,9000)*0.027,
"Utah Taxes",MIN(R203,35700)*0.003,
"Vermont Taxes",MIN(R203,16000)*0.01,
"Virginia Taxes",MIN(R203,8000)*0.025,
"Washington Taxes",MIN(R203,56200)*0.0125,
"West Virginia Taxes",MIN(R203,12000)*0.027,
"Wisconsin Taxes",MIN(R203,14000)*0.0305,
"Wyoming Taxes",MIN(R203,25800)*0.018
),
D$1=2024,
_xlfn.SWITCH(
R208,
"Alabama Taxes",MIN(R203,8000)*0.027,
"Alaska Taxes",MIN(R203,41500)*0.0237,
"Arizona Taxes",MIN(R203,7000)*0.02,
"Arkansas Taxes",MIN(R203,12000)*0.031,
"California Taxes",MIN(R203,7000)*0.034,
"Colorado Taxes",MIN(R203,13800)*0.017,
"Connecticut Taxes",MIN(R203,15000)*0.028,
"Delaware Taxes",MIN(R203,8500)*0.001,
"District of Columbia Taxes",MIN(R203,9000)*0.027,
"Florida Taxes",MIN(R203,7000)*0.027,
"Georgia Taxes",MIN(R203,9500)*0.027,
"Hawaii Taxes",MIN(R203,46800)*0.04,
"Idaho Taxes",MIN(R203,41500)*0.01071,
"Illinois Taxes",MIN(R203,12900)*0.0395,
"Indiana Taxes",MIN(R203,9500)*0.025,
"Iowa Taxes",MIN(R203,29500)*0.01,
"Kansas Taxes",MIN(R203,14000)*0.027,
"Kentucky Taxes",MIN(R203,11000)*0.027,
"Louisiana Taxes",MIN(R203,7500)*0.0009,
"Maine Taxes",MIN(R203,12000)*0.0219,
"Maryland Taxes",MIN(R203,8500)*0.023,
"Massachusetts Taxes",MIN(R203,15000)*0.0143,
"Michigan Taxes",MIN(R203,9500)*0.027,
"Minnesota Taxes",MIN(R203,35000)*0.001,
"Mississippi Taxes",MIN(R203,14000)*0.01,
"Missouri Taxes",MIN(R203,13500)*0.027,
"Montana Taxes",MIN(R203,34500)*0.0013,
"Nebraska Taxes",MIN(R203,9000)*0.0125,
"Nevada Taxes",MIN(R203,33100)*0.0295,
"New Hampshire Taxes",MIN(R203,14000)*0.027,
"New Jersey Taxes",MIN(R203,35700)*0.031,
"New Mexico Taxes",MIN(R203,25400)*0.01,
"New York Taxes",MIN(R203,11500)*0.026,
"North Carolina Taxes",MIN(R203,25400)*0.01,
"North Dakota Taxes",MIN(R203,39200)*0.0113,
"Ohio Taxes",MIN(R203,9000)*0.027,
"Oklahoma Taxes",MIN(R203,17500)*0.015,
"Oregon Taxes",MIN(R203,43000)*0.021,
"Pennsylvania Taxes",MIN(R203,10000)*0.03822,
"Rhode Island Taxes",MIN(R203,24000)*0.0109,
"South Carolina Taxes",MIN(R203,14000)*0.0045,
"South Dakota Taxes",MIN(R203,15000)*0.012,
"Tennessee Taxes",MIN(R203,7000)*0.027,
"Texas Taxes",MIN(R203,9000)*0.027,
"Utah Taxes",MIN(R203,35700)*0.003,
"Vermont Taxes",MIN(R203,16000)*0.01,
"Virginia Taxes",MIN(R203,8000)*0.025,
"Washington Taxes",MIN(R203,56200)*0.0125,
"West Virginia Taxes",MIN(R203,12000)*0.027,
"Wisconsin Taxes",MIN(R203,14000)*0.0305,
"Wyoming Taxes",MIN(R203,25800)*0.018
)
),0))</f>
        <v>0</v>
      </c>
      <c r="S211" s="102" cm="1">
        <f t="array" ref="S211">IF(S202="W-2",0,_xlfn.IFNA(_xlfn.IFS(
E$1=2022,
_xlfn.SWITCH(
S208,
"Alabama Taxes",MIN(S203,8000)*0.027,
"Alaska Taxes",MIN(S203,45200)*0.0237,
"Arizona Taxes",MIN(S203,7000)*0.02,
"Arkansas Taxes",MIN(S203,10000)*0.031,
"California Taxes",MIN(S203,7000)*0.034,
"Colorado Taxes",MIN(S203,17000)*0.017,
"Connecticut Taxes",MIN(S203,15000)*0.03,
"Delaware Taxes",MIN(S203,16500)*0.018,
"District of Columbia Taxes",MIN(S203,9000)*0.027,
"Florida Taxes",MIN(S203,7000)*0.027,
"Georgia Taxes",MIN(S203,9500)*0.0264,
"Hawaii Taxes",MIN(S203,51600)*0.03,
"Idaho Taxes",MIN(S203,46500)*0.0097,
"Illinois Taxes",MIN(S203,12960)*0.03525,
"Indiana Taxes",MIN(S203,9500)*0.025,
"Iowa Taxes",MIN(S203,34800)*0.01,
"Kansas Taxes",MIN(S203,14000)*0.027,
"Kentucky Taxes",MIN(S203,11100)*0.027,
"Louisiana Taxes",MIN(S203,7700)*0.027,
"Maine Taxes",MIN(S203,12000)*0.0224,
"Maryland Taxes",MIN(S203,8500)*0.026,
"Massachusetts Taxes",MIN(S203,15000)*0.0242,
"Michigan Taxes",MIN(S203,9500)*0.027,
"Minnesota Taxes",MIN(S203,38000)*0.027,
"Mississippi Taxes",MIN(S203,14000)*0.01,
"Missouri Taxes",MIN(S203,11000)*0.02376,
"Montana Taxes",MIN(S203,38100)*0.027,
"Nebraska Taxes",MIN(S203,24000)*0.0125,
"Nevada Taxes",MIN(S203,36600)*0.0295,
"New Hampshire Taxes",MIN(S203,14000)*0.027,
"New Jersey Taxes",MIN(S203,39800)*0.028,
"New Mexico Taxes",MIN(S203,28700)*0.01,
"New York Taxes",MIN(S203,12000)*0.03125,
"North Carolina Taxes",MIN(S203,28000)*0.01,
"North Dakota Taxes",MIN(S203,38400)*0.0102,
"Ohio Taxes",MIN(S203,9000)*0.027,
"Oklahoma Taxes",MIN(S203,24800)*0.015,
"Oregon Taxes",MIN(S203,47700)*0.024,
"Pennsylvania Taxes",MIN(S203,10000)*0.03689,
"Rhode Island Taxes",MIN(S203,24600)*0.0098,
"South Carolina Taxes",MIN(S203,14000)*0.0049,
"South Dakota Taxes",MIN(S203,15000)*0.012,
"Tennessee Taxes",MIN(S203,7000)*0.027,
"Texas Taxes",MIN(S203,9000)*0.027,
"Utah Taxes",MIN(S203,41600)*0.027,
"Vermont Taxes",MIN(S203,15500)*0.01,
"Virginia Taxes",MIN(S203,8000)*0.0273,
"Washington Taxes",MIN(S203,62500)*0.027,
"West Virginia Taxes",MIN(S203,12000)*0.027,
"Wisconsin Taxes",MIN(S203,14000)*0.0305,
"Wyoming Taxes",MIN(S203,27700)*0.027
),
E$1=2023,
_xlfn.SWITCH(
S208,
"Alabama Taxes",MIN(S203,8000)*0.027,
"Alaska Taxes",MIN(S203,41500)*0.0237,
"Arizona Taxes",MIN(S203,7000)*0.02,
"Arkansas Taxes",MIN(S203,12000)*0.031,
"California Taxes",MIN(S203,7000)*0.034,
"Colorado Taxes",MIN(S203,13800)*0.017,
"Connecticut Taxes",MIN(S203,15000)*0.028,
"Delaware Taxes",MIN(S203,8500)*0.001,
"District of Columbia Taxes",MIN(S203,9000)*0.027,
"Florida Taxes",MIN(S203,7000)*0.027,
"Georgia Taxes",MIN(S203,9500)*0.027,
"Hawaii Taxes",MIN(S203,46800)*0.04,
"Idaho Taxes",MIN(S203,41500)*0.01071,
"Illinois Taxes",MIN(S203,12900)*0.0395,
"Indiana Taxes",MIN(S203,9500)*0.025,
"Iowa Taxes",MIN(S203,29500)*0.01,
"Kansas Taxes",MIN(S203,14000)*0.027,
"Kentucky Taxes",MIN(S203,11000)*0.027,
"Louisiana Taxes",MIN(S203,7500)*0.0009,
"Maine Taxes",MIN(S203,12000)*0.0219,
"Maryland Taxes",MIN(S203,8500)*0.023,
"Massachusetts Taxes",MIN(S203,15000)*0.0143,
"Michigan Taxes",MIN(S203,9500)*0.027,
"Minnesota Taxes",MIN(S203,35000)*0.001,
"Mississippi Taxes",MIN(S203,14000)*0.01,
"Missouri Taxes",MIN(S203,13500)*0.027,
"Montana Taxes",MIN(S203,34500)*0.0013,
"Nebraska Taxes",MIN(S203,9000)*0.0125,
"Nevada Taxes",MIN(S203,33100)*0.0295,
"New Hampshire Taxes",MIN(S203,14000)*0.027,
"New Jersey Taxes",MIN(S203,35700)*0.031,
"New Mexico Taxes",MIN(S203,25400)*0.01,
"New York Taxes",MIN(S203,11500)*0.026,
"North Carolina Taxes",MIN(S203,25400)*0.01,
"North Dakota Taxes",MIN(S203,39200)*0.0113,
"Ohio Taxes",MIN(S203,9000)*0.027,
"Oklahoma Taxes",MIN(S203,17500)*0.015,
"Oregon Taxes",MIN(S203,43000)*0.021,
"Pennsylvania Taxes",MIN(S203,10000)*0.03822,
"Rhode Island Taxes",MIN(S203,24000)*0.0109,
"South Carolina Taxes",MIN(S203,14000)*0.0045,
"South Dakota Taxes",MIN(S203,15000)*0.012,
"Tennessee Taxes",MIN(S203,7000)*0.027,
"Texas Taxes",MIN(S203,9000)*0.027,
"Utah Taxes",MIN(S203,35700)*0.003,
"Vermont Taxes",MIN(S203,16000)*0.01,
"Virginia Taxes",MIN(S203,8000)*0.025,
"Washington Taxes",MIN(S203,56200)*0.0125,
"West Virginia Taxes",MIN(S203,12000)*0.027,
"Wisconsin Taxes",MIN(S203,14000)*0.0305,
"Wyoming Taxes",MIN(S203,25800)*0.018
),
E$1=2024,
_xlfn.SWITCH(
S208,
"Alabama Taxes",MIN(S203,8000)*0.027,
"Alaska Taxes",MIN(S203,41500)*0.0237,
"Arizona Taxes",MIN(S203,7000)*0.02,
"Arkansas Taxes",MIN(S203,12000)*0.031,
"California Taxes",MIN(S203,7000)*0.034,
"Colorado Taxes",MIN(S203,13800)*0.017,
"Connecticut Taxes",MIN(S203,15000)*0.028,
"Delaware Taxes",MIN(S203,8500)*0.001,
"District of Columbia Taxes",MIN(S203,9000)*0.027,
"Florida Taxes",MIN(S203,7000)*0.027,
"Georgia Taxes",MIN(S203,9500)*0.027,
"Hawaii Taxes",MIN(S203,46800)*0.04,
"Idaho Taxes",MIN(S203,41500)*0.01071,
"Illinois Taxes",MIN(S203,12900)*0.0395,
"Indiana Taxes",MIN(S203,9500)*0.025,
"Iowa Taxes",MIN(S203,29500)*0.01,
"Kansas Taxes",MIN(S203,14000)*0.027,
"Kentucky Taxes",MIN(S203,11000)*0.027,
"Louisiana Taxes",MIN(S203,7500)*0.0009,
"Maine Taxes",MIN(S203,12000)*0.0219,
"Maryland Taxes",MIN(S203,8500)*0.023,
"Massachusetts Taxes",MIN(S203,15000)*0.0143,
"Michigan Taxes",MIN(S203,9500)*0.027,
"Minnesota Taxes",MIN(S203,35000)*0.001,
"Mississippi Taxes",MIN(S203,14000)*0.01,
"Missouri Taxes",MIN(S203,13500)*0.027,
"Montana Taxes",MIN(S203,34500)*0.0013,
"Nebraska Taxes",MIN(S203,9000)*0.0125,
"Nevada Taxes",MIN(S203,33100)*0.0295,
"New Hampshire Taxes",MIN(S203,14000)*0.027,
"New Jersey Taxes",MIN(S203,35700)*0.031,
"New Mexico Taxes",MIN(S203,25400)*0.01,
"New York Taxes",MIN(S203,11500)*0.026,
"North Carolina Taxes",MIN(S203,25400)*0.01,
"North Dakota Taxes",MIN(S203,39200)*0.0113,
"Ohio Taxes",MIN(S203,9000)*0.027,
"Oklahoma Taxes",MIN(S203,17500)*0.015,
"Oregon Taxes",MIN(S203,43000)*0.021,
"Pennsylvania Taxes",MIN(S203,10000)*0.03822,
"Rhode Island Taxes",MIN(S203,24000)*0.0109,
"South Carolina Taxes",MIN(S203,14000)*0.0045,
"South Dakota Taxes",MIN(S203,15000)*0.012,
"Tennessee Taxes",MIN(S203,7000)*0.027,
"Texas Taxes",MIN(S203,9000)*0.027,
"Utah Taxes",MIN(S203,35700)*0.003,
"Vermont Taxes",MIN(S203,16000)*0.01,
"Virginia Taxes",MIN(S203,8000)*0.025,
"Washington Taxes",MIN(S203,56200)*0.0125,
"West Virginia Taxes",MIN(S203,12000)*0.027,
"Wisconsin Taxes",MIN(S203,14000)*0.0305,
"Wyoming Taxes",MIN(S203,25800)*0.018
)
),0))</f>
        <v>0</v>
      </c>
      <c r="T211" s="102" cm="1">
        <f t="array" ref="T211">IF(T202="W-2",0,_xlfn.IFNA(_xlfn.IFS(
F$1=2022,
_xlfn.SWITCH(
T208,
"Alabama Taxes",MIN(T203,8000)*0.027,
"Alaska Taxes",MIN(T203,45200)*0.0237,
"Arizona Taxes",MIN(T203,7000)*0.02,
"Arkansas Taxes",MIN(T203,10000)*0.031,
"California Taxes",MIN(T203,7000)*0.034,
"Colorado Taxes",MIN(T203,17000)*0.017,
"Connecticut Taxes",MIN(T203,15000)*0.03,
"Delaware Taxes",MIN(T203,16500)*0.018,
"District of Columbia Taxes",MIN(T203,9000)*0.027,
"Florida Taxes",MIN(T203,7000)*0.027,
"Georgia Taxes",MIN(T203,9500)*0.0264,
"Hawaii Taxes",MIN(T203,51600)*0.03,
"Idaho Taxes",MIN(T203,46500)*0.0097,
"Illinois Taxes",MIN(T203,12960)*0.03525,
"Indiana Taxes",MIN(T203,9500)*0.025,
"Iowa Taxes",MIN(T203,34800)*0.01,
"Kansas Taxes",MIN(T203,14000)*0.027,
"Kentucky Taxes",MIN(T203,11100)*0.027,
"Louisiana Taxes",MIN(T203,7700)*0.027,
"Maine Taxes",MIN(T203,12000)*0.0224,
"Maryland Taxes",MIN(T203,8500)*0.026,
"Massachusetts Taxes",MIN(T203,15000)*0.0242,
"Michigan Taxes",MIN(T203,9500)*0.027,
"Minnesota Taxes",MIN(T203,38000)*0.027,
"Mississippi Taxes",MIN(T203,14000)*0.01,
"Missouri Taxes",MIN(T203,11000)*0.02376,
"Montana Taxes",MIN(T203,38100)*0.027,
"Nebraska Taxes",MIN(T203,24000)*0.0125,
"Nevada Taxes",MIN(T203,36600)*0.0295,
"New Hampshire Taxes",MIN(T203,14000)*0.027,
"New Jersey Taxes",MIN(T203,39800)*0.028,
"New Mexico Taxes",MIN(T203,28700)*0.01,
"New York Taxes",MIN(T203,12000)*0.03125,
"North Carolina Taxes",MIN(T203,28000)*0.01,
"North Dakota Taxes",MIN(T203,38400)*0.0102,
"Ohio Taxes",MIN(T203,9000)*0.027,
"Oklahoma Taxes",MIN(T203,24800)*0.015,
"Oregon Taxes",MIN(T203,47700)*0.024,
"Pennsylvania Taxes",MIN(T203,10000)*0.03689,
"Rhode Island Taxes",MIN(T203,24600)*0.0098,
"South Carolina Taxes",MIN(T203,14000)*0.0049,
"South Dakota Taxes",MIN(T203,15000)*0.012,
"Tennessee Taxes",MIN(T203,7000)*0.027,
"Texas Taxes",MIN(T203,9000)*0.027,
"Utah Taxes",MIN(T203,41600)*0.027,
"Vermont Taxes",MIN(T203,15500)*0.01,
"Virginia Taxes",MIN(T203,8000)*0.0273,
"Washington Taxes",MIN(T203,62500)*0.027,
"West Virginia Taxes",MIN(T203,12000)*0.027,
"Wisconsin Taxes",MIN(T203,14000)*0.0305,
"Wyoming Taxes",MIN(T203,27700)*0.027
),
F$1=2023,
_xlfn.SWITCH(
T208,
"Alabama Taxes",MIN(T203,8000)*0.027,
"Alaska Taxes",MIN(T203,41500)*0.0237,
"Arizona Taxes",MIN(T203,7000)*0.02,
"Arkansas Taxes",MIN(T203,12000)*0.031,
"California Taxes",MIN(T203,7000)*0.034,
"Colorado Taxes",MIN(T203,13800)*0.017,
"Connecticut Taxes",MIN(T203,15000)*0.028,
"Delaware Taxes",MIN(T203,8500)*0.001,
"District of Columbia Taxes",MIN(T203,9000)*0.027,
"Florida Taxes",MIN(T203,7000)*0.027,
"Georgia Taxes",MIN(T203,9500)*0.027,
"Hawaii Taxes",MIN(T203,46800)*0.04,
"Idaho Taxes",MIN(T203,41500)*0.01071,
"Illinois Taxes",MIN(T203,12900)*0.0395,
"Indiana Taxes",MIN(T203,9500)*0.025,
"Iowa Taxes",MIN(T203,29500)*0.01,
"Kansas Taxes",MIN(T203,14000)*0.027,
"Kentucky Taxes",MIN(T203,11000)*0.027,
"Louisiana Taxes",MIN(T203,7500)*0.0009,
"Maine Taxes",MIN(T203,12000)*0.0219,
"Maryland Taxes",MIN(T203,8500)*0.023,
"Massachusetts Taxes",MIN(T203,15000)*0.0143,
"Michigan Taxes",MIN(T203,9500)*0.027,
"Minnesota Taxes",MIN(T203,35000)*0.001,
"Mississippi Taxes",MIN(T203,14000)*0.01,
"Missouri Taxes",MIN(T203,13500)*0.027,
"Montana Taxes",MIN(T203,34500)*0.0013,
"Nebraska Taxes",MIN(T203,9000)*0.0125,
"Nevada Taxes",MIN(T203,33100)*0.0295,
"New Hampshire Taxes",MIN(T203,14000)*0.027,
"New Jersey Taxes",MIN(T203,35700)*0.031,
"New Mexico Taxes",MIN(T203,25400)*0.01,
"New York Taxes",MIN(T203,11500)*0.026,
"North Carolina Taxes",MIN(T203,25400)*0.01,
"North Dakota Taxes",MIN(T203,39200)*0.0113,
"Ohio Taxes",MIN(T203,9000)*0.027,
"Oklahoma Taxes",MIN(T203,17500)*0.015,
"Oregon Taxes",MIN(T203,43000)*0.021,
"Pennsylvania Taxes",MIN(T203,10000)*0.03822,
"Rhode Island Taxes",MIN(T203,24000)*0.0109,
"South Carolina Taxes",MIN(T203,14000)*0.0045,
"South Dakota Taxes",MIN(T203,15000)*0.012,
"Tennessee Taxes",MIN(T203,7000)*0.027,
"Texas Taxes",MIN(T203,9000)*0.027,
"Utah Taxes",MIN(T203,35700)*0.003,
"Vermont Taxes",MIN(T203,16000)*0.01,
"Virginia Taxes",MIN(T203,8000)*0.025,
"Washington Taxes",MIN(T203,56200)*0.0125,
"West Virginia Taxes",MIN(T203,12000)*0.027,
"Wisconsin Taxes",MIN(T203,14000)*0.0305,
"Wyoming Taxes",MIN(T203,25800)*0.018
),
F$1=2024,
_xlfn.SWITCH(
T208,
"Alabama Taxes",MIN(T203,8000)*0.027,
"Alaska Taxes",MIN(T203,41500)*0.0237,
"Arizona Taxes",MIN(T203,7000)*0.02,
"Arkansas Taxes",MIN(T203,12000)*0.031,
"California Taxes",MIN(T203,7000)*0.034,
"Colorado Taxes",MIN(T203,13800)*0.017,
"Connecticut Taxes",MIN(T203,15000)*0.028,
"Delaware Taxes",MIN(T203,8500)*0.001,
"District of Columbia Taxes",MIN(T203,9000)*0.027,
"Florida Taxes",MIN(T203,7000)*0.027,
"Georgia Taxes",MIN(T203,9500)*0.027,
"Hawaii Taxes",MIN(T203,46800)*0.04,
"Idaho Taxes",MIN(T203,41500)*0.01071,
"Illinois Taxes",MIN(T203,12900)*0.0395,
"Indiana Taxes",MIN(T203,9500)*0.025,
"Iowa Taxes",MIN(T203,29500)*0.01,
"Kansas Taxes",MIN(T203,14000)*0.027,
"Kentucky Taxes",MIN(T203,11000)*0.027,
"Louisiana Taxes",MIN(T203,7500)*0.0009,
"Maine Taxes",MIN(T203,12000)*0.0219,
"Maryland Taxes",MIN(T203,8500)*0.023,
"Massachusetts Taxes",MIN(T203,15000)*0.0143,
"Michigan Taxes",MIN(T203,9500)*0.027,
"Minnesota Taxes",MIN(T203,35000)*0.001,
"Mississippi Taxes",MIN(T203,14000)*0.01,
"Missouri Taxes",MIN(T203,13500)*0.027,
"Montana Taxes",MIN(T203,34500)*0.0013,
"Nebraska Taxes",MIN(T203,9000)*0.0125,
"Nevada Taxes",MIN(T203,33100)*0.0295,
"New Hampshire Taxes",MIN(T203,14000)*0.027,
"New Jersey Taxes",MIN(T203,35700)*0.031,
"New Mexico Taxes",MIN(T203,25400)*0.01,
"New York Taxes",MIN(T203,11500)*0.026,
"North Carolina Taxes",MIN(T203,25400)*0.01,
"North Dakota Taxes",MIN(T203,39200)*0.0113,
"Ohio Taxes",MIN(T203,9000)*0.027,
"Oklahoma Taxes",MIN(T203,17500)*0.015,
"Oregon Taxes",MIN(T203,43000)*0.021,
"Pennsylvania Taxes",MIN(T203,10000)*0.03822,
"Rhode Island Taxes",MIN(T203,24000)*0.0109,
"South Carolina Taxes",MIN(T203,14000)*0.0045,
"South Dakota Taxes",MIN(T203,15000)*0.012,
"Tennessee Taxes",MIN(T203,7000)*0.027,
"Texas Taxes",MIN(T203,9000)*0.027,
"Utah Taxes",MIN(T203,35700)*0.003,
"Vermont Taxes",MIN(T203,16000)*0.01,
"Virginia Taxes",MIN(T203,8000)*0.025,
"Washington Taxes",MIN(T203,56200)*0.0125,
"West Virginia Taxes",MIN(T203,12000)*0.027,
"Wisconsin Taxes",MIN(T203,14000)*0.0305,
"Wyoming Taxes",MIN(T203,25800)*0.018
)
),0))</f>
        <v>0</v>
      </c>
      <c r="U211" s="102" cm="1">
        <f t="array" ref="U211">IF(U202="W-2",0,_xlfn.IFNA(_xlfn.IFS(
G$1=2022,
_xlfn.SWITCH(
U208,
"Alabama Taxes",MIN(U203,8000)*0.027,
"Alaska Taxes",MIN(U203,45200)*0.0237,
"Arizona Taxes",MIN(U203,7000)*0.02,
"Arkansas Taxes",MIN(U203,10000)*0.031,
"California Taxes",MIN(U203,7000)*0.034,
"Colorado Taxes",MIN(U203,17000)*0.017,
"Connecticut Taxes",MIN(U203,15000)*0.03,
"Delaware Taxes",MIN(U203,16500)*0.018,
"District of Columbia Taxes",MIN(U203,9000)*0.027,
"Florida Taxes",MIN(U203,7000)*0.027,
"Georgia Taxes",MIN(U203,9500)*0.0264,
"Hawaii Taxes",MIN(U203,51600)*0.03,
"Idaho Taxes",MIN(U203,46500)*0.0097,
"Illinois Taxes",MIN(U203,12960)*0.03525,
"Indiana Taxes",MIN(U203,9500)*0.025,
"Iowa Taxes",MIN(U203,34800)*0.01,
"Kansas Taxes",MIN(U203,14000)*0.027,
"Kentucky Taxes",MIN(U203,11100)*0.027,
"Louisiana Taxes",MIN(U203,7700)*0.027,
"Maine Taxes",MIN(U203,12000)*0.0224,
"Maryland Taxes",MIN(U203,8500)*0.026,
"Massachusetts Taxes",MIN(U203,15000)*0.0242,
"Michigan Taxes",MIN(U203,9500)*0.027,
"Minnesota Taxes",MIN(U203,38000)*0.027,
"Mississippi Taxes",MIN(U203,14000)*0.01,
"Missouri Taxes",MIN(U203,11000)*0.02376,
"Montana Taxes",MIN(U203,38100)*0.027,
"Nebraska Taxes",MIN(U203,24000)*0.0125,
"Nevada Taxes",MIN(U203,36600)*0.0295,
"New Hampshire Taxes",MIN(U203,14000)*0.027,
"New Jersey Taxes",MIN(U203,39800)*0.028,
"New Mexico Taxes",MIN(U203,28700)*0.01,
"New York Taxes",MIN(U203,12000)*0.03125,
"North Carolina Taxes",MIN(U203,28000)*0.01,
"North Dakota Taxes",MIN(U203,38400)*0.0102,
"Ohio Taxes",MIN(U203,9000)*0.027,
"Oklahoma Taxes",MIN(U203,24800)*0.015,
"Oregon Taxes",MIN(U203,47700)*0.024,
"Pennsylvania Taxes",MIN(U203,10000)*0.03689,
"Rhode Island Taxes",MIN(U203,24600)*0.0098,
"South Carolina Taxes",MIN(U203,14000)*0.0049,
"South Dakota Taxes",MIN(U203,15000)*0.012,
"Tennessee Taxes",MIN(U203,7000)*0.027,
"Texas Taxes",MIN(U203,9000)*0.027,
"Utah Taxes",MIN(U203,41600)*0.027,
"Vermont Taxes",MIN(U203,15500)*0.01,
"Virginia Taxes",MIN(U203,8000)*0.0273,
"Washington Taxes",MIN(U203,62500)*0.027,
"West Virginia Taxes",MIN(U203,12000)*0.027,
"Wisconsin Taxes",MIN(U203,14000)*0.0305,
"Wyoming Taxes",MIN(U203,27700)*0.027
),
G$1=2023,
_xlfn.SWITCH(
U208,
"Alabama Taxes",MIN(U203,8000)*0.027,
"Alaska Taxes",MIN(U203,41500)*0.0237,
"Arizona Taxes",MIN(U203,7000)*0.02,
"Arkansas Taxes",MIN(U203,12000)*0.031,
"California Taxes",MIN(U203,7000)*0.034,
"Colorado Taxes",MIN(U203,13800)*0.017,
"Connecticut Taxes",MIN(U203,15000)*0.028,
"Delaware Taxes",MIN(U203,8500)*0.001,
"District of Columbia Taxes",MIN(U203,9000)*0.027,
"Florida Taxes",MIN(U203,7000)*0.027,
"Georgia Taxes",MIN(U203,9500)*0.027,
"Hawaii Taxes",MIN(U203,46800)*0.04,
"Idaho Taxes",MIN(U203,41500)*0.01071,
"Illinois Taxes",MIN(U203,12900)*0.0395,
"Indiana Taxes",MIN(U203,9500)*0.025,
"Iowa Taxes",MIN(U203,29500)*0.01,
"Kansas Taxes",MIN(U203,14000)*0.027,
"Kentucky Taxes",MIN(U203,11000)*0.027,
"Louisiana Taxes",MIN(U203,7500)*0.0009,
"Maine Taxes",MIN(U203,12000)*0.0219,
"Maryland Taxes",MIN(U203,8500)*0.023,
"Massachusetts Taxes",MIN(U203,15000)*0.0143,
"Michigan Taxes",MIN(U203,9500)*0.027,
"Minnesota Taxes",MIN(U203,35000)*0.001,
"Mississippi Taxes",MIN(U203,14000)*0.01,
"Missouri Taxes",MIN(U203,13500)*0.027,
"Montana Taxes",MIN(U203,34500)*0.0013,
"Nebraska Taxes",MIN(U203,9000)*0.0125,
"Nevada Taxes",MIN(U203,33100)*0.0295,
"New Hampshire Taxes",MIN(U203,14000)*0.027,
"New Jersey Taxes",MIN(U203,35700)*0.031,
"New Mexico Taxes",MIN(U203,25400)*0.01,
"New York Taxes",MIN(U203,11500)*0.026,
"North Carolina Taxes",MIN(U203,25400)*0.01,
"North Dakota Taxes",MIN(U203,39200)*0.0113,
"Ohio Taxes",MIN(U203,9000)*0.027,
"Oklahoma Taxes",MIN(U203,17500)*0.015,
"Oregon Taxes",MIN(U203,43000)*0.021,
"Pennsylvania Taxes",MIN(U203,10000)*0.03822,
"Rhode Island Taxes",MIN(U203,24000)*0.0109,
"South Carolina Taxes",MIN(U203,14000)*0.0045,
"South Dakota Taxes",MIN(U203,15000)*0.012,
"Tennessee Taxes",MIN(U203,7000)*0.027,
"Texas Taxes",MIN(U203,9000)*0.027,
"Utah Taxes",MIN(U203,35700)*0.003,
"Vermont Taxes",MIN(U203,16000)*0.01,
"Virginia Taxes",MIN(U203,8000)*0.025,
"Washington Taxes",MIN(U203,56200)*0.0125,
"West Virginia Taxes",MIN(U203,12000)*0.027,
"Wisconsin Taxes",MIN(U203,14000)*0.0305,
"Wyoming Taxes",MIN(U203,25800)*0.018
),
G$1=2024,
_xlfn.SWITCH(
U208,
"Alabama Taxes",MIN(U203,8000)*0.027,
"Alaska Taxes",MIN(U203,41500)*0.0237,
"Arizona Taxes",MIN(U203,7000)*0.02,
"Arkansas Taxes",MIN(U203,12000)*0.031,
"California Taxes",MIN(U203,7000)*0.034,
"Colorado Taxes",MIN(U203,13800)*0.017,
"Connecticut Taxes",MIN(U203,15000)*0.028,
"Delaware Taxes",MIN(U203,8500)*0.001,
"District of Columbia Taxes",MIN(U203,9000)*0.027,
"Florida Taxes",MIN(U203,7000)*0.027,
"Georgia Taxes",MIN(U203,9500)*0.027,
"Hawaii Taxes",MIN(U203,46800)*0.04,
"Idaho Taxes",MIN(U203,41500)*0.01071,
"Illinois Taxes",MIN(U203,12900)*0.0395,
"Indiana Taxes",MIN(U203,9500)*0.025,
"Iowa Taxes",MIN(U203,29500)*0.01,
"Kansas Taxes",MIN(U203,14000)*0.027,
"Kentucky Taxes",MIN(U203,11000)*0.027,
"Louisiana Taxes",MIN(U203,7500)*0.0009,
"Maine Taxes",MIN(U203,12000)*0.0219,
"Maryland Taxes",MIN(U203,8500)*0.023,
"Massachusetts Taxes",MIN(U203,15000)*0.0143,
"Michigan Taxes",MIN(U203,9500)*0.027,
"Minnesota Taxes",MIN(U203,35000)*0.001,
"Mississippi Taxes",MIN(U203,14000)*0.01,
"Missouri Taxes",MIN(U203,13500)*0.027,
"Montana Taxes",MIN(U203,34500)*0.0013,
"Nebraska Taxes",MIN(U203,9000)*0.0125,
"Nevada Taxes",MIN(U203,33100)*0.0295,
"New Hampshire Taxes",MIN(U203,14000)*0.027,
"New Jersey Taxes",MIN(U203,35700)*0.031,
"New Mexico Taxes",MIN(U203,25400)*0.01,
"New York Taxes",MIN(U203,11500)*0.026,
"North Carolina Taxes",MIN(U203,25400)*0.01,
"North Dakota Taxes",MIN(U203,39200)*0.0113,
"Ohio Taxes",MIN(U203,9000)*0.027,
"Oklahoma Taxes",MIN(U203,17500)*0.015,
"Oregon Taxes",MIN(U203,43000)*0.021,
"Pennsylvania Taxes",MIN(U203,10000)*0.03822,
"Rhode Island Taxes",MIN(U203,24000)*0.0109,
"South Carolina Taxes",MIN(U203,14000)*0.0045,
"South Dakota Taxes",MIN(U203,15000)*0.012,
"Tennessee Taxes",MIN(U203,7000)*0.027,
"Texas Taxes",MIN(U203,9000)*0.027,
"Utah Taxes",MIN(U203,35700)*0.003,
"Vermont Taxes",MIN(U203,16000)*0.01,
"Virginia Taxes",MIN(U203,8000)*0.025,
"Washington Taxes",MIN(U203,56200)*0.0125,
"West Virginia Taxes",MIN(U203,12000)*0.027,
"Wisconsin Taxes",MIN(U203,14000)*0.0305,
"Wyoming Taxes",MIN(U203,25800)*0.018
)
),0))</f>
        <v>0</v>
      </c>
      <c r="V211" s="102" cm="1">
        <f t="array" ref="V211">IF(V202="W-2",0,_xlfn.IFNA(_xlfn.IFS(
H$1=2022,
_xlfn.SWITCH(
V208,
"Alabama Taxes",MIN(V203,8000)*0.027,
"Alaska Taxes",MIN(V203,45200)*0.0237,
"Arizona Taxes",MIN(V203,7000)*0.02,
"Arkansas Taxes",MIN(V203,10000)*0.031,
"California Taxes",MIN(V203,7000)*0.034,
"Colorado Taxes",MIN(V203,17000)*0.017,
"Connecticut Taxes",MIN(V203,15000)*0.03,
"Delaware Taxes",MIN(V203,16500)*0.018,
"District of Columbia Taxes",MIN(V203,9000)*0.027,
"Florida Taxes",MIN(V203,7000)*0.027,
"Georgia Taxes",MIN(V203,9500)*0.0264,
"Hawaii Taxes",MIN(V203,51600)*0.03,
"Idaho Taxes",MIN(V203,46500)*0.0097,
"Illinois Taxes",MIN(V203,12960)*0.03525,
"Indiana Taxes",MIN(V203,9500)*0.025,
"Iowa Taxes",MIN(V203,34800)*0.01,
"Kansas Taxes",MIN(V203,14000)*0.027,
"Kentucky Taxes",MIN(V203,11100)*0.027,
"Louisiana Taxes",MIN(V203,7700)*0.027,
"Maine Taxes",MIN(V203,12000)*0.0224,
"Maryland Taxes",MIN(V203,8500)*0.026,
"Massachusetts Taxes",MIN(V203,15000)*0.0242,
"Michigan Taxes",MIN(V203,9500)*0.027,
"Minnesota Taxes",MIN(V203,38000)*0.027,
"Mississippi Taxes",MIN(V203,14000)*0.01,
"Missouri Taxes",MIN(V203,11000)*0.02376,
"Montana Taxes",MIN(V203,38100)*0.027,
"Nebraska Taxes",MIN(V203,24000)*0.0125,
"Nevada Taxes",MIN(V203,36600)*0.0295,
"New Hampshire Taxes",MIN(V203,14000)*0.027,
"New Jersey Taxes",MIN(V203,39800)*0.028,
"New Mexico Taxes",MIN(V203,28700)*0.01,
"New York Taxes",MIN(V203,12000)*0.03125,
"North Carolina Taxes",MIN(V203,28000)*0.01,
"North Dakota Taxes",MIN(V203,38400)*0.0102,
"Ohio Taxes",MIN(V203,9000)*0.027,
"Oklahoma Taxes",MIN(V203,24800)*0.015,
"Oregon Taxes",MIN(V203,47700)*0.024,
"Pennsylvania Taxes",MIN(V203,10000)*0.03689,
"Rhode Island Taxes",MIN(V203,24600)*0.0098,
"South Carolina Taxes",MIN(V203,14000)*0.0049,
"South Dakota Taxes",MIN(V203,15000)*0.012,
"Tennessee Taxes",MIN(V203,7000)*0.027,
"Texas Taxes",MIN(V203,9000)*0.027,
"Utah Taxes",MIN(V203,41600)*0.027,
"Vermont Taxes",MIN(V203,15500)*0.01,
"Virginia Taxes",MIN(V203,8000)*0.0273,
"Washington Taxes",MIN(V203,62500)*0.027,
"West Virginia Taxes",MIN(V203,12000)*0.027,
"Wisconsin Taxes",MIN(V203,14000)*0.0305,
"Wyoming Taxes",MIN(V203,27700)*0.027
),
H$1=2023,
_xlfn.SWITCH(
V208,
"Alabama Taxes",MIN(V203,8000)*0.027,
"Alaska Taxes",MIN(V203,41500)*0.0237,
"Arizona Taxes",MIN(V203,7000)*0.02,
"Arkansas Taxes",MIN(V203,12000)*0.031,
"California Taxes",MIN(V203,7000)*0.034,
"Colorado Taxes",MIN(V203,13800)*0.017,
"Connecticut Taxes",MIN(V203,15000)*0.028,
"Delaware Taxes",MIN(V203,8500)*0.001,
"District of Columbia Taxes",MIN(V203,9000)*0.027,
"Florida Taxes",MIN(V203,7000)*0.027,
"Georgia Taxes",MIN(V203,9500)*0.027,
"Hawaii Taxes",MIN(V203,46800)*0.04,
"Idaho Taxes",MIN(V203,41500)*0.01071,
"Illinois Taxes",MIN(V203,12900)*0.0395,
"Indiana Taxes",MIN(V203,9500)*0.025,
"Iowa Taxes",MIN(V203,29500)*0.01,
"Kansas Taxes",MIN(V203,14000)*0.027,
"Kentucky Taxes",MIN(V203,11000)*0.027,
"Louisiana Taxes",MIN(V203,7500)*0.0009,
"Maine Taxes",MIN(V203,12000)*0.0219,
"Maryland Taxes",MIN(V203,8500)*0.023,
"Massachusetts Taxes",MIN(V203,15000)*0.0143,
"Michigan Taxes",MIN(V203,9500)*0.027,
"Minnesota Taxes",MIN(V203,35000)*0.001,
"Mississippi Taxes",MIN(V203,14000)*0.01,
"Missouri Taxes",MIN(V203,13500)*0.027,
"Montana Taxes",MIN(V203,34500)*0.0013,
"Nebraska Taxes",MIN(V203,9000)*0.0125,
"Nevada Taxes",MIN(V203,33100)*0.0295,
"New Hampshire Taxes",MIN(V203,14000)*0.027,
"New Jersey Taxes",MIN(V203,35700)*0.031,
"New Mexico Taxes",MIN(V203,25400)*0.01,
"New York Taxes",MIN(V203,11500)*0.026,
"North Carolina Taxes",MIN(V203,25400)*0.01,
"North Dakota Taxes",MIN(V203,39200)*0.0113,
"Ohio Taxes",MIN(V203,9000)*0.027,
"Oklahoma Taxes",MIN(V203,17500)*0.015,
"Oregon Taxes",MIN(V203,43000)*0.021,
"Pennsylvania Taxes",MIN(V203,10000)*0.03822,
"Rhode Island Taxes",MIN(V203,24000)*0.0109,
"South Carolina Taxes",MIN(V203,14000)*0.0045,
"South Dakota Taxes",MIN(V203,15000)*0.012,
"Tennessee Taxes",MIN(V203,7000)*0.027,
"Texas Taxes",MIN(V203,9000)*0.027,
"Utah Taxes",MIN(V203,35700)*0.003,
"Vermont Taxes",MIN(V203,16000)*0.01,
"Virginia Taxes",MIN(V203,8000)*0.025,
"Washington Taxes",MIN(V203,56200)*0.0125,
"West Virginia Taxes",MIN(V203,12000)*0.027,
"Wisconsin Taxes",MIN(V203,14000)*0.0305,
"Wyoming Taxes",MIN(V203,25800)*0.018
),
H$1=2024,
_xlfn.SWITCH(
V208,
"Alabama Taxes",MIN(V203,8000)*0.027,
"Alaska Taxes",MIN(V203,41500)*0.0237,
"Arizona Taxes",MIN(V203,7000)*0.02,
"Arkansas Taxes",MIN(V203,12000)*0.031,
"California Taxes",MIN(V203,7000)*0.034,
"Colorado Taxes",MIN(V203,13800)*0.017,
"Connecticut Taxes",MIN(V203,15000)*0.028,
"Delaware Taxes",MIN(V203,8500)*0.001,
"District of Columbia Taxes",MIN(V203,9000)*0.027,
"Florida Taxes",MIN(V203,7000)*0.027,
"Georgia Taxes",MIN(V203,9500)*0.027,
"Hawaii Taxes",MIN(V203,46800)*0.04,
"Idaho Taxes",MIN(V203,41500)*0.01071,
"Illinois Taxes",MIN(V203,12900)*0.0395,
"Indiana Taxes",MIN(V203,9500)*0.025,
"Iowa Taxes",MIN(V203,29500)*0.01,
"Kansas Taxes",MIN(V203,14000)*0.027,
"Kentucky Taxes",MIN(V203,11000)*0.027,
"Louisiana Taxes",MIN(V203,7500)*0.0009,
"Maine Taxes",MIN(V203,12000)*0.0219,
"Maryland Taxes",MIN(V203,8500)*0.023,
"Massachusetts Taxes",MIN(V203,15000)*0.0143,
"Michigan Taxes",MIN(V203,9500)*0.027,
"Minnesota Taxes",MIN(V203,35000)*0.001,
"Mississippi Taxes",MIN(V203,14000)*0.01,
"Missouri Taxes",MIN(V203,13500)*0.027,
"Montana Taxes",MIN(V203,34500)*0.0013,
"Nebraska Taxes",MIN(V203,9000)*0.0125,
"Nevada Taxes",MIN(V203,33100)*0.0295,
"New Hampshire Taxes",MIN(V203,14000)*0.027,
"New Jersey Taxes",MIN(V203,35700)*0.031,
"New Mexico Taxes",MIN(V203,25400)*0.01,
"New York Taxes",MIN(V203,11500)*0.026,
"North Carolina Taxes",MIN(V203,25400)*0.01,
"North Dakota Taxes",MIN(V203,39200)*0.0113,
"Ohio Taxes",MIN(V203,9000)*0.027,
"Oklahoma Taxes",MIN(V203,17500)*0.015,
"Oregon Taxes",MIN(V203,43000)*0.021,
"Pennsylvania Taxes",MIN(V203,10000)*0.03822,
"Rhode Island Taxes",MIN(V203,24000)*0.0109,
"South Carolina Taxes",MIN(V203,14000)*0.0045,
"South Dakota Taxes",MIN(V203,15000)*0.012,
"Tennessee Taxes",MIN(V203,7000)*0.027,
"Texas Taxes",MIN(V203,9000)*0.027,
"Utah Taxes",MIN(V203,35700)*0.003,
"Vermont Taxes",MIN(V203,16000)*0.01,
"Virginia Taxes",MIN(V203,8000)*0.025,
"Washington Taxes",MIN(V203,56200)*0.0125,
"West Virginia Taxes",MIN(V203,12000)*0.027,
"Wisconsin Taxes",MIN(V203,14000)*0.0305,
"Wyoming Taxes",MIN(V203,25800)*0.018
)
),0))</f>
        <v>0</v>
      </c>
      <c r="W211" s="102" cm="1">
        <f t="array" ref="W211">IF(W202="W-2",0,_xlfn.IFNA(_xlfn.IFS(
I$1=2022,
_xlfn.SWITCH(
W208,
"Alabama Taxes",MIN(W203,8000)*0.027,
"Alaska Taxes",MIN(W203,45200)*0.0237,
"Arizona Taxes",MIN(W203,7000)*0.02,
"Arkansas Taxes",MIN(W203,10000)*0.031,
"California Taxes",MIN(W203,7000)*0.034,
"Colorado Taxes",MIN(W203,17000)*0.017,
"Connecticut Taxes",MIN(W203,15000)*0.03,
"Delaware Taxes",MIN(W203,16500)*0.018,
"District of Columbia Taxes",MIN(W203,9000)*0.027,
"Florida Taxes",MIN(W203,7000)*0.027,
"Georgia Taxes",MIN(W203,9500)*0.0264,
"Hawaii Taxes",MIN(W203,51600)*0.03,
"Idaho Taxes",MIN(W203,46500)*0.0097,
"Illinois Taxes",MIN(W203,12960)*0.03525,
"Indiana Taxes",MIN(W203,9500)*0.025,
"Iowa Taxes",MIN(W203,34800)*0.01,
"Kansas Taxes",MIN(W203,14000)*0.027,
"Kentucky Taxes",MIN(W203,11100)*0.027,
"Louisiana Taxes",MIN(W203,7700)*0.027,
"Maine Taxes",MIN(W203,12000)*0.0224,
"Maryland Taxes",MIN(W203,8500)*0.026,
"Massachusetts Taxes",MIN(W203,15000)*0.0242,
"Michigan Taxes",MIN(W203,9500)*0.027,
"Minnesota Taxes",MIN(W203,38000)*0.027,
"Mississippi Taxes",MIN(W203,14000)*0.01,
"Missouri Taxes",MIN(W203,11000)*0.02376,
"Montana Taxes",MIN(W203,38100)*0.027,
"Nebraska Taxes",MIN(W203,24000)*0.0125,
"Nevada Taxes",MIN(W203,36600)*0.0295,
"New Hampshire Taxes",MIN(W203,14000)*0.027,
"New Jersey Taxes",MIN(W203,39800)*0.028,
"New Mexico Taxes",MIN(W203,28700)*0.01,
"New York Taxes",MIN(W203,12000)*0.03125,
"North Carolina Taxes",MIN(W203,28000)*0.01,
"North Dakota Taxes",MIN(W203,38400)*0.0102,
"Ohio Taxes",MIN(W203,9000)*0.027,
"Oklahoma Taxes",MIN(W203,24800)*0.015,
"Oregon Taxes",MIN(W203,47700)*0.024,
"Pennsylvania Taxes",MIN(W203,10000)*0.03689,
"Rhode Island Taxes",MIN(W203,24600)*0.0098,
"South Carolina Taxes",MIN(W203,14000)*0.0049,
"South Dakota Taxes",MIN(W203,15000)*0.012,
"Tennessee Taxes",MIN(W203,7000)*0.027,
"Texas Taxes",MIN(W203,9000)*0.027,
"Utah Taxes",MIN(W203,41600)*0.027,
"Vermont Taxes",MIN(W203,15500)*0.01,
"Virginia Taxes",MIN(W203,8000)*0.0273,
"Washington Taxes",MIN(W203,62500)*0.027,
"West Virginia Taxes",MIN(W203,12000)*0.027,
"Wisconsin Taxes",MIN(W203,14000)*0.0305,
"Wyoming Taxes",MIN(W203,27700)*0.027
),
I$1=2023,
_xlfn.SWITCH(
W208,
"Alabama Taxes",MIN(W203,8000)*0.027,
"Alaska Taxes",MIN(W203,41500)*0.0237,
"Arizona Taxes",MIN(W203,7000)*0.02,
"Arkansas Taxes",MIN(W203,12000)*0.031,
"California Taxes",MIN(W203,7000)*0.034,
"Colorado Taxes",MIN(W203,13800)*0.017,
"Connecticut Taxes",MIN(W203,15000)*0.028,
"Delaware Taxes",MIN(W203,8500)*0.001,
"District of Columbia Taxes",MIN(W203,9000)*0.027,
"Florida Taxes",MIN(W203,7000)*0.027,
"Georgia Taxes",MIN(W203,9500)*0.027,
"Hawaii Taxes",MIN(W203,46800)*0.04,
"Idaho Taxes",MIN(W203,41500)*0.01071,
"Illinois Taxes",MIN(W203,12900)*0.0395,
"Indiana Taxes",MIN(W203,9500)*0.025,
"Iowa Taxes",MIN(W203,29500)*0.01,
"Kansas Taxes",MIN(W203,14000)*0.027,
"Kentucky Taxes",MIN(W203,11000)*0.027,
"Louisiana Taxes",MIN(W203,7500)*0.0009,
"Maine Taxes",MIN(W203,12000)*0.0219,
"Maryland Taxes",MIN(W203,8500)*0.023,
"Massachusetts Taxes",MIN(W203,15000)*0.0143,
"Michigan Taxes",MIN(W203,9500)*0.027,
"Minnesota Taxes",MIN(W203,35000)*0.001,
"Mississippi Taxes",MIN(W203,14000)*0.01,
"Missouri Taxes",MIN(W203,13500)*0.027,
"Montana Taxes",MIN(W203,34500)*0.0013,
"Nebraska Taxes",MIN(W203,9000)*0.0125,
"Nevada Taxes",MIN(W203,33100)*0.0295,
"New Hampshire Taxes",MIN(W203,14000)*0.027,
"New Jersey Taxes",MIN(W203,35700)*0.031,
"New Mexico Taxes",MIN(W203,25400)*0.01,
"New York Taxes",MIN(W203,11500)*0.026,
"North Carolina Taxes",MIN(W203,25400)*0.01,
"North Dakota Taxes",MIN(W203,39200)*0.0113,
"Ohio Taxes",MIN(W203,9000)*0.027,
"Oklahoma Taxes",MIN(W203,17500)*0.015,
"Oregon Taxes",MIN(W203,43000)*0.021,
"Pennsylvania Taxes",MIN(W203,10000)*0.03822,
"Rhode Island Taxes",MIN(W203,24000)*0.0109,
"South Carolina Taxes",MIN(W203,14000)*0.0045,
"South Dakota Taxes",MIN(W203,15000)*0.012,
"Tennessee Taxes",MIN(W203,7000)*0.027,
"Texas Taxes",MIN(W203,9000)*0.027,
"Utah Taxes",MIN(W203,35700)*0.003,
"Vermont Taxes",MIN(W203,16000)*0.01,
"Virginia Taxes",MIN(W203,8000)*0.025,
"Washington Taxes",MIN(W203,56200)*0.0125,
"West Virginia Taxes",MIN(W203,12000)*0.027,
"Wisconsin Taxes",MIN(W203,14000)*0.0305,
"Wyoming Taxes",MIN(W203,25800)*0.018
),
I$1=2024,
_xlfn.SWITCH(
W208,
"Alabama Taxes",MIN(W203,8000)*0.027,
"Alaska Taxes",MIN(W203,41500)*0.0237,
"Arizona Taxes",MIN(W203,7000)*0.02,
"Arkansas Taxes",MIN(W203,12000)*0.031,
"California Taxes",MIN(W203,7000)*0.034,
"Colorado Taxes",MIN(W203,13800)*0.017,
"Connecticut Taxes",MIN(W203,15000)*0.028,
"Delaware Taxes",MIN(W203,8500)*0.001,
"District of Columbia Taxes",MIN(W203,9000)*0.027,
"Florida Taxes",MIN(W203,7000)*0.027,
"Georgia Taxes",MIN(W203,9500)*0.027,
"Hawaii Taxes",MIN(W203,46800)*0.04,
"Idaho Taxes",MIN(W203,41500)*0.01071,
"Illinois Taxes",MIN(W203,12900)*0.0395,
"Indiana Taxes",MIN(W203,9500)*0.025,
"Iowa Taxes",MIN(W203,29500)*0.01,
"Kansas Taxes",MIN(W203,14000)*0.027,
"Kentucky Taxes",MIN(W203,11000)*0.027,
"Louisiana Taxes",MIN(W203,7500)*0.0009,
"Maine Taxes",MIN(W203,12000)*0.0219,
"Maryland Taxes",MIN(W203,8500)*0.023,
"Massachusetts Taxes",MIN(W203,15000)*0.0143,
"Michigan Taxes",MIN(W203,9500)*0.027,
"Minnesota Taxes",MIN(W203,35000)*0.001,
"Mississippi Taxes",MIN(W203,14000)*0.01,
"Missouri Taxes",MIN(W203,13500)*0.027,
"Montana Taxes",MIN(W203,34500)*0.0013,
"Nebraska Taxes",MIN(W203,9000)*0.0125,
"Nevada Taxes",MIN(W203,33100)*0.0295,
"New Hampshire Taxes",MIN(W203,14000)*0.027,
"New Jersey Taxes",MIN(W203,35700)*0.031,
"New Mexico Taxes",MIN(W203,25400)*0.01,
"New York Taxes",MIN(W203,11500)*0.026,
"North Carolina Taxes",MIN(W203,25400)*0.01,
"North Dakota Taxes",MIN(W203,39200)*0.0113,
"Ohio Taxes",MIN(W203,9000)*0.027,
"Oklahoma Taxes",MIN(W203,17500)*0.015,
"Oregon Taxes",MIN(W203,43000)*0.021,
"Pennsylvania Taxes",MIN(W203,10000)*0.03822,
"Rhode Island Taxes",MIN(W203,24000)*0.0109,
"South Carolina Taxes",MIN(W203,14000)*0.0045,
"South Dakota Taxes",MIN(W203,15000)*0.012,
"Tennessee Taxes",MIN(W203,7000)*0.027,
"Texas Taxes",MIN(W203,9000)*0.027,
"Utah Taxes",MIN(W203,35700)*0.003,
"Vermont Taxes",MIN(W203,16000)*0.01,
"Virginia Taxes",MIN(W203,8000)*0.025,
"Washington Taxes",MIN(W203,56200)*0.0125,
"West Virginia Taxes",MIN(W203,12000)*0.027,
"Wisconsin Taxes",MIN(W203,14000)*0.0305,
"Wyoming Taxes",MIN(W203,25800)*0.018
)
),0))</f>
        <v>0</v>
      </c>
      <c r="X211" s="102" cm="1">
        <f t="array" ref="X211">IF(X202="W-2",0,_xlfn.IFNA(_xlfn.IFS(
J$1=2022,
_xlfn.SWITCH(
X208,
"Alabama Taxes",MIN(X203,8000)*0.027,
"Alaska Taxes",MIN(X203,45200)*0.0237,
"Arizona Taxes",MIN(X203,7000)*0.02,
"Arkansas Taxes",MIN(X203,10000)*0.031,
"California Taxes",MIN(X203,7000)*0.034,
"Colorado Taxes",MIN(X203,17000)*0.017,
"Connecticut Taxes",MIN(X203,15000)*0.03,
"Delaware Taxes",MIN(X203,16500)*0.018,
"District of Columbia Taxes",MIN(X203,9000)*0.027,
"Florida Taxes",MIN(X203,7000)*0.027,
"Georgia Taxes",MIN(X203,9500)*0.0264,
"Hawaii Taxes",MIN(X203,51600)*0.03,
"Idaho Taxes",MIN(X203,46500)*0.0097,
"Illinois Taxes",MIN(X203,12960)*0.03525,
"Indiana Taxes",MIN(X203,9500)*0.025,
"Iowa Taxes",MIN(X203,34800)*0.01,
"Kansas Taxes",MIN(X203,14000)*0.027,
"Kentucky Taxes",MIN(X203,11100)*0.027,
"Louisiana Taxes",MIN(X203,7700)*0.027,
"Maine Taxes",MIN(X203,12000)*0.0224,
"Maryland Taxes",MIN(X203,8500)*0.026,
"Massachusetts Taxes",MIN(X203,15000)*0.0242,
"Michigan Taxes",MIN(X203,9500)*0.027,
"Minnesota Taxes",MIN(X203,38000)*0.027,
"Mississippi Taxes",MIN(X203,14000)*0.01,
"Missouri Taxes",MIN(X203,11000)*0.02376,
"Montana Taxes",MIN(X203,38100)*0.027,
"Nebraska Taxes",MIN(X203,24000)*0.0125,
"Nevada Taxes",MIN(X203,36600)*0.0295,
"New Hampshire Taxes",MIN(X203,14000)*0.027,
"New Jersey Taxes",MIN(X203,39800)*0.028,
"New Mexico Taxes",MIN(X203,28700)*0.01,
"New York Taxes",MIN(X203,12000)*0.03125,
"North Carolina Taxes",MIN(X203,28000)*0.01,
"North Dakota Taxes",MIN(X203,38400)*0.0102,
"Ohio Taxes",MIN(X203,9000)*0.027,
"Oklahoma Taxes",MIN(X203,24800)*0.015,
"Oregon Taxes",MIN(X203,47700)*0.024,
"Pennsylvania Taxes",MIN(X203,10000)*0.03689,
"Rhode Island Taxes",MIN(X203,24600)*0.0098,
"South Carolina Taxes",MIN(X203,14000)*0.0049,
"South Dakota Taxes",MIN(X203,15000)*0.012,
"Tennessee Taxes",MIN(X203,7000)*0.027,
"Texas Taxes",MIN(X203,9000)*0.027,
"Utah Taxes",MIN(X203,41600)*0.027,
"Vermont Taxes",MIN(X203,15500)*0.01,
"Virginia Taxes",MIN(X203,8000)*0.0273,
"Washington Taxes",MIN(X203,62500)*0.027,
"West Virginia Taxes",MIN(X203,12000)*0.027,
"Wisconsin Taxes",MIN(X203,14000)*0.0305,
"Wyoming Taxes",MIN(X203,27700)*0.027
),
J$1=2023,
_xlfn.SWITCH(
X208,
"Alabama Taxes",MIN(X203,8000)*0.027,
"Alaska Taxes",MIN(X203,41500)*0.0237,
"Arizona Taxes",MIN(X203,7000)*0.02,
"Arkansas Taxes",MIN(X203,12000)*0.031,
"California Taxes",MIN(X203,7000)*0.034,
"Colorado Taxes",MIN(X203,13800)*0.017,
"Connecticut Taxes",MIN(X203,15000)*0.028,
"Delaware Taxes",MIN(X203,8500)*0.001,
"District of Columbia Taxes",MIN(X203,9000)*0.027,
"Florida Taxes",MIN(X203,7000)*0.027,
"Georgia Taxes",MIN(X203,9500)*0.027,
"Hawaii Taxes",MIN(X203,46800)*0.04,
"Idaho Taxes",MIN(X203,41500)*0.01071,
"Illinois Taxes",MIN(X203,12900)*0.0395,
"Indiana Taxes",MIN(X203,9500)*0.025,
"Iowa Taxes",MIN(X203,29500)*0.01,
"Kansas Taxes",MIN(X203,14000)*0.027,
"Kentucky Taxes",MIN(X203,11000)*0.027,
"Louisiana Taxes",MIN(X203,7500)*0.0009,
"Maine Taxes",MIN(X203,12000)*0.0219,
"Maryland Taxes",MIN(X203,8500)*0.023,
"Massachusetts Taxes",MIN(X203,15000)*0.0143,
"Michigan Taxes",MIN(X203,9500)*0.027,
"Minnesota Taxes",MIN(X203,35000)*0.001,
"Mississippi Taxes",MIN(X203,14000)*0.01,
"Missouri Taxes",MIN(X203,13500)*0.027,
"Montana Taxes",MIN(X203,34500)*0.0013,
"Nebraska Taxes",MIN(X203,9000)*0.0125,
"Nevada Taxes",MIN(X203,33100)*0.0295,
"New Hampshire Taxes",MIN(X203,14000)*0.027,
"New Jersey Taxes",MIN(X203,35700)*0.031,
"New Mexico Taxes",MIN(X203,25400)*0.01,
"New York Taxes",MIN(X203,11500)*0.026,
"North Carolina Taxes",MIN(X203,25400)*0.01,
"North Dakota Taxes",MIN(X203,39200)*0.0113,
"Ohio Taxes",MIN(X203,9000)*0.027,
"Oklahoma Taxes",MIN(X203,17500)*0.015,
"Oregon Taxes",MIN(X203,43000)*0.021,
"Pennsylvania Taxes",MIN(X203,10000)*0.03822,
"Rhode Island Taxes",MIN(X203,24000)*0.0109,
"South Carolina Taxes",MIN(X203,14000)*0.0045,
"South Dakota Taxes",MIN(X203,15000)*0.012,
"Tennessee Taxes",MIN(X203,7000)*0.027,
"Texas Taxes",MIN(X203,9000)*0.027,
"Utah Taxes",MIN(X203,35700)*0.003,
"Vermont Taxes",MIN(X203,16000)*0.01,
"Virginia Taxes",MIN(X203,8000)*0.025,
"Washington Taxes",MIN(X203,56200)*0.0125,
"West Virginia Taxes",MIN(X203,12000)*0.027,
"Wisconsin Taxes",MIN(X203,14000)*0.0305,
"Wyoming Taxes",MIN(X203,25800)*0.018
),
J$1=2024,
_xlfn.SWITCH(
X208,
"Alabama Taxes",MIN(X203,8000)*0.027,
"Alaska Taxes",MIN(X203,41500)*0.0237,
"Arizona Taxes",MIN(X203,7000)*0.02,
"Arkansas Taxes",MIN(X203,12000)*0.031,
"California Taxes",MIN(X203,7000)*0.034,
"Colorado Taxes",MIN(X203,13800)*0.017,
"Connecticut Taxes",MIN(X203,15000)*0.028,
"Delaware Taxes",MIN(X203,8500)*0.001,
"District of Columbia Taxes",MIN(X203,9000)*0.027,
"Florida Taxes",MIN(X203,7000)*0.027,
"Georgia Taxes",MIN(X203,9500)*0.027,
"Hawaii Taxes",MIN(X203,46800)*0.04,
"Idaho Taxes",MIN(X203,41500)*0.01071,
"Illinois Taxes",MIN(X203,12900)*0.0395,
"Indiana Taxes",MIN(X203,9500)*0.025,
"Iowa Taxes",MIN(X203,29500)*0.01,
"Kansas Taxes",MIN(X203,14000)*0.027,
"Kentucky Taxes",MIN(X203,11000)*0.027,
"Louisiana Taxes",MIN(X203,7500)*0.0009,
"Maine Taxes",MIN(X203,12000)*0.0219,
"Maryland Taxes",MIN(X203,8500)*0.023,
"Massachusetts Taxes",MIN(X203,15000)*0.0143,
"Michigan Taxes",MIN(X203,9500)*0.027,
"Minnesota Taxes",MIN(X203,35000)*0.001,
"Mississippi Taxes",MIN(X203,14000)*0.01,
"Missouri Taxes",MIN(X203,13500)*0.027,
"Montana Taxes",MIN(X203,34500)*0.0013,
"Nebraska Taxes",MIN(X203,9000)*0.0125,
"Nevada Taxes",MIN(X203,33100)*0.0295,
"New Hampshire Taxes",MIN(X203,14000)*0.027,
"New Jersey Taxes",MIN(X203,35700)*0.031,
"New Mexico Taxes",MIN(X203,25400)*0.01,
"New York Taxes",MIN(X203,11500)*0.026,
"North Carolina Taxes",MIN(X203,25400)*0.01,
"North Dakota Taxes",MIN(X203,39200)*0.0113,
"Ohio Taxes",MIN(X203,9000)*0.027,
"Oklahoma Taxes",MIN(X203,17500)*0.015,
"Oregon Taxes",MIN(X203,43000)*0.021,
"Pennsylvania Taxes",MIN(X203,10000)*0.03822,
"Rhode Island Taxes",MIN(X203,24000)*0.0109,
"South Carolina Taxes",MIN(X203,14000)*0.0045,
"South Dakota Taxes",MIN(X203,15000)*0.012,
"Tennessee Taxes",MIN(X203,7000)*0.027,
"Texas Taxes",MIN(X203,9000)*0.027,
"Utah Taxes",MIN(X203,35700)*0.003,
"Vermont Taxes",MIN(X203,16000)*0.01,
"Virginia Taxes",MIN(X203,8000)*0.025,
"Washington Taxes",MIN(X203,56200)*0.0125,
"West Virginia Taxes",MIN(X203,12000)*0.027,
"Wisconsin Taxes",MIN(X203,14000)*0.0305,
"Wyoming Taxes",MIN(X203,25800)*0.018
)
),0))</f>
        <v>0</v>
      </c>
      <c r="Y211" s="102" cm="1">
        <f t="array" ref="Y211">IF(Y202="W-2",0,_xlfn.IFNA(_xlfn.IFS(
Y$156=2022,
_xlfn.SWITCH(
Y208,
"Alabama Taxes",MIN(Y203,8000)*0.027,
"Alaska Taxes",MIN(Y203,45200)*0.0237,
"Arizona Taxes",MIN(Y203,7000)*0.02,
"Arkansas Taxes",MIN(Y203,10000)*0.031,
"California Taxes",MIN(Y203,7000)*0.034,
"Colorado Taxes",MIN(Y203,17000)*0.017,
"Connecticut Taxes",MIN(Y203,15000)*0.03,
"Delaware Taxes",MIN(Y203,16500)*0.018,
"District of Columbia Taxes",MIN(Y203,9000)*0.027,
"Florida Taxes",MIN(Y203,7000)*0.027,
"Georgia Taxes",MIN(Y203,9500)*0.0264,
"Hawaii Taxes",MIN(Y203,51600)*0.03,
"Idaho Taxes",MIN(Y203,46500)*0.0097,
"Illinois Taxes",MIN(Y203,12960)*0.03525,
"Indiana Taxes",MIN(Y203,9500)*0.025,
"Iowa Taxes",MIN(Y203,34800)*0.01,
"Kansas Taxes",MIN(Y203,14000)*0.027,
"Kentucky Taxes",MIN(Y203,11100)*0.027,
"Louisiana Taxes",MIN(Y203,7700)*0.027,
"Maine Taxes",MIN(Y203,12000)*0.0224,
"Maryland Taxes",MIN(Y203,8500)*0.026,
"Massachusetts Taxes",MIN(Y203,15000)*0.0242,
"Michigan Taxes",MIN(Y203,9500)*0.027,
"Minnesota Taxes",MIN(Y203,38000)*0.027,
"Mississippi Taxes",MIN(Y203,14000)*0.01,
"Missouri Taxes",MIN(Y203,11000)*0.02376,
"Montana Taxes",MIN(Y203,38100)*0.027,
"Nebraska Taxes",MIN(Y203,24000)*0.0125,
"Nevada Taxes",MIN(Y203,36600)*0.0295,
"New Hampshire Taxes",MIN(Y203,14000)*0.027,
"New Jersey Taxes",MIN(Y203,39800)*0.028,
"New Mexico Taxes",MIN(Y203,28700)*0.01,
"New York Taxes",MIN(Y203,12000)*0.03125,
"North Carolina Taxes",MIN(Y203,28000)*0.01,
"North Dakota Taxes",MIN(Y203,38400)*0.0102,
"Ohio Taxes",MIN(Y203,9000)*0.027,
"Oklahoma Taxes",MIN(Y203,24800)*0.015,
"Oregon Taxes",MIN(Y203,47700)*0.024,
"Pennsylvania Taxes",MIN(Y203,10000)*0.03689,
"Rhode Island Taxes",MIN(Y203,24600)*0.0098,
"South Carolina Taxes",MIN(Y203,14000)*0.0049,
"South Dakota Taxes",MIN(Y203,15000)*0.012,
"Tennessee Taxes",MIN(Y203,7000)*0.027,
"Texas Taxes",MIN(Y203,9000)*0.027,
"Utah Taxes",MIN(Y203,41600)*0.027,
"Vermont Taxes",MIN(Y203,15500)*0.01,
"Virginia Taxes",MIN(Y203,8000)*0.0273,
"Washington Taxes",MIN(Y203,62500)*0.027,
"West Virginia Taxes",MIN(Y203,12000)*0.027,
"Wisconsin Taxes",MIN(Y203,14000)*0.0305,
"Wyoming Taxes",MIN(Y203,27700)*0.027
),
Y$156=2023,
_xlfn.SWITCH(
Y208,
"Alabama Taxes",MIN(Y203,8000)*0.027,
"Alaska Taxes",MIN(Y203,41500)*0.0237,
"Arizona Taxes",MIN(Y203,7000)*0.02,
"Arkansas Taxes",MIN(Y203,12000)*0.031,
"California Taxes",MIN(Y203,7000)*0.034,
"Colorado Taxes",MIN(Y203,13800)*0.017,
"Connecticut Taxes",MIN(Y203,15000)*0.028,
"Delaware Taxes",MIN(Y203,8500)*0.001,
"District of Columbia Taxes",MIN(Y203,9000)*0.027,
"Florida Taxes",MIN(Y203,7000)*0.027,
"Georgia Taxes",MIN(Y203,9500)*0.027,
"Hawaii Taxes",MIN(Y203,46800)*0.04,
"Idaho Taxes",MIN(Y203,41500)*0.01071,
"Illinois Taxes",MIN(Y203,12900)*0.0395,
"Indiana Taxes",MIN(Y203,9500)*0.025,
"Iowa Taxes",MIN(Y203,29500)*0.01,
"Kansas Taxes",MIN(Y203,14000)*0.027,
"Kentucky Taxes",MIN(Y203,11000)*0.027,
"Louisiana Taxes",MIN(Y203,7500)*0.0009,
"Maine Taxes",MIN(Y203,12000)*0.0219,
"Maryland Taxes",MIN(Y203,8500)*0.023,
"Massachusetts Taxes",MIN(Y203,15000)*0.0143,
"Michigan Taxes",MIN(Y203,9500)*0.027,
"Minnesota Taxes",MIN(Y203,35000)*0.001,
"Mississippi Taxes",MIN(Y203,14000)*0.01,
"Missouri Taxes",MIN(Y203,13500)*0.027,
"Montana Taxes",MIN(Y203,34500)*0.0013,
"Nebraska Taxes",MIN(Y203,9000)*0.0125,
"Nevada Taxes",MIN(Y203,33100)*0.0295,
"New Hampshire Taxes",MIN(Y203,14000)*0.027,
"New Jersey Taxes",MIN(Y203,35700)*0.031,
"New Mexico Taxes",MIN(Y203,25400)*0.01,
"New York Taxes",MIN(Y203,11500)*0.026,
"North Carolina Taxes",MIN(Y203,25400)*0.01,
"North Dakota Taxes",MIN(Y203,39200)*0.0113,
"Ohio Taxes",MIN(Y203,9000)*0.027,
"Oklahoma Taxes",MIN(Y203,17500)*0.015,
"Oregon Taxes",MIN(Y203,43000)*0.021,
"Pennsylvania Taxes",MIN(Y203,10000)*0.03822,
"Rhode Island Taxes",MIN(Y203,24000)*0.0109,
"South Carolina Taxes",MIN(Y203,14000)*0.0045,
"South Dakota Taxes",MIN(Y203,15000)*0.012,
"Tennessee Taxes",MIN(Y203,7000)*0.027,
"Texas Taxes",MIN(Y203,9000)*0.027,
"Utah Taxes",MIN(Y203,35700)*0.003,
"Vermont Taxes",MIN(Y203,16000)*0.01,
"Virginia Taxes",MIN(Y203,8000)*0.025,
"Washington Taxes",MIN(Y203,56200)*0.0125,
"West Virginia Taxes",MIN(Y203,12000)*0.027,
"Wisconsin Taxes",MIN(Y203,14000)*0.0305,
"Wyoming Taxes",MIN(Y203,25800)*0.018
),
Y$156=2024,
_xlfn.SWITCH(
Y208,
"Alabama Taxes",MIN(Y203,8000)*0.027,
"Alaska Taxes",MIN(Y203,41500)*0.0237,
"Arizona Taxes",MIN(Y203,7000)*0.02,
"Arkansas Taxes",MIN(Y203,12000)*0.031,
"California Taxes",MIN(Y203,7000)*0.034,
"Colorado Taxes",MIN(Y203,13800)*0.017,
"Connecticut Taxes",MIN(Y203,15000)*0.028,
"Delaware Taxes",MIN(Y203,8500)*0.001,
"District of Columbia Taxes",MIN(Y203,9000)*0.027,
"Florida Taxes",MIN(Y203,7000)*0.027,
"Georgia Taxes",MIN(Y203,9500)*0.027,
"Hawaii Taxes",MIN(Y203,46800)*0.04,
"Idaho Taxes",MIN(Y203,41500)*0.01071,
"Illinois Taxes",MIN(Y203,12900)*0.0395,
"Indiana Taxes",MIN(Y203,9500)*0.025,
"Iowa Taxes",MIN(Y203,29500)*0.01,
"Kansas Taxes",MIN(Y203,14000)*0.027,
"Kentucky Taxes",MIN(Y203,11000)*0.027,
"Louisiana Taxes",MIN(Y203,7500)*0.0009,
"Maine Taxes",MIN(Y203,12000)*0.0219,
"Maryland Taxes",MIN(Y203,8500)*0.023,
"Massachusetts Taxes",MIN(Y203,15000)*0.0143,
"Michigan Taxes",MIN(Y203,9500)*0.027,
"Minnesota Taxes",MIN(Y203,35000)*0.001,
"Mississippi Taxes",MIN(Y203,14000)*0.01,
"Missouri Taxes",MIN(Y203,13500)*0.027,
"Montana Taxes",MIN(Y203,34500)*0.0013,
"Nebraska Taxes",MIN(Y203,9000)*0.0125,
"Nevada Taxes",MIN(Y203,33100)*0.0295,
"New Hampshire Taxes",MIN(Y203,14000)*0.027,
"New Jersey Taxes",MIN(Y203,35700)*0.031,
"New Mexico Taxes",MIN(Y203,25400)*0.01,
"New York Taxes",MIN(Y203,11500)*0.026,
"North Carolina Taxes",MIN(Y203,25400)*0.01,
"North Dakota Taxes",MIN(Y203,39200)*0.0113,
"Ohio Taxes",MIN(Y203,9000)*0.027,
"Oklahoma Taxes",MIN(Y203,17500)*0.015,
"Oregon Taxes",MIN(Y203,43000)*0.021,
"Pennsylvania Taxes",MIN(Y203,10000)*0.03822,
"Rhode Island Taxes",MIN(Y203,24000)*0.0109,
"South Carolina Taxes",MIN(Y203,14000)*0.0045,
"South Dakota Taxes",MIN(Y203,15000)*0.012,
"Tennessee Taxes",MIN(Y203,7000)*0.027,
"Texas Taxes",MIN(Y203,9000)*0.027,
"Utah Taxes",MIN(Y203,35700)*0.003,
"Vermont Taxes",MIN(Y203,16000)*0.01,
"Virginia Taxes",MIN(Y203,8000)*0.025,
"Washington Taxes",MIN(Y203,56200)*0.0125,
"West Virginia Taxes",MIN(Y203,12000)*0.027,
"Wisconsin Taxes",MIN(Y203,14000)*0.0305,
"Wyoming Taxes",MIN(Y203,25800)*0.018
)
),0))</f>
        <v>0</v>
      </c>
      <c r="Z211" s="102" cm="1">
        <f t="array" ref="Z211">IF(Z202="W-2",0,_xlfn.IFNA(_xlfn.IFS(
Z$156=2022,
_xlfn.SWITCH(
Z208,
"Alabama Taxes",MIN(Z203,8000)*0.027,
"Alaska Taxes",MIN(Z203,45200)*0.0237,
"Arizona Taxes",MIN(Z203,7000)*0.02,
"Arkansas Taxes",MIN(Z203,10000)*0.031,
"California Taxes",MIN(Z203,7000)*0.034,
"Colorado Taxes",MIN(Z203,17000)*0.017,
"Connecticut Taxes",MIN(Z203,15000)*0.03,
"Delaware Taxes",MIN(Z203,16500)*0.018,
"District of Columbia Taxes",MIN(Z203,9000)*0.027,
"Florida Taxes",MIN(Z203,7000)*0.027,
"Georgia Taxes",MIN(Z203,9500)*0.0264,
"Hawaii Taxes",MIN(Z203,51600)*0.03,
"Idaho Taxes",MIN(Z203,46500)*0.0097,
"Illinois Taxes",MIN(Z203,12960)*0.03525,
"Indiana Taxes",MIN(Z203,9500)*0.025,
"Iowa Taxes",MIN(Z203,34800)*0.01,
"Kansas Taxes",MIN(Z203,14000)*0.027,
"Kentucky Taxes",MIN(Z203,11100)*0.027,
"Louisiana Taxes",MIN(Z203,7700)*0.027,
"Maine Taxes",MIN(Z203,12000)*0.0224,
"Maryland Taxes",MIN(Z203,8500)*0.026,
"Massachusetts Taxes",MIN(Z203,15000)*0.0242,
"Michigan Taxes",MIN(Z203,9500)*0.027,
"Minnesota Taxes",MIN(Z203,38000)*0.027,
"Mississippi Taxes",MIN(Z203,14000)*0.01,
"Missouri Taxes",MIN(Z203,11000)*0.02376,
"Montana Taxes",MIN(Z203,38100)*0.027,
"Nebraska Taxes",MIN(Z203,24000)*0.0125,
"Nevada Taxes",MIN(Z203,36600)*0.0295,
"New Hampshire Taxes",MIN(Z203,14000)*0.027,
"New Jersey Taxes",MIN(Z203,39800)*0.028,
"New Mexico Taxes",MIN(Z203,28700)*0.01,
"New York Taxes",MIN(Z203,12000)*0.03125,
"North Carolina Taxes",MIN(Z203,28000)*0.01,
"North Dakota Taxes",MIN(Z203,38400)*0.0102,
"Ohio Taxes",MIN(Z203,9000)*0.027,
"Oklahoma Taxes",MIN(Z203,24800)*0.015,
"Oregon Taxes",MIN(Z203,47700)*0.024,
"Pennsylvania Taxes",MIN(Z203,10000)*0.03689,
"Rhode Island Taxes",MIN(Z203,24600)*0.0098,
"South Carolina Taxes",MIN(Z203,14000)*0.0049,
"South Dakota Taxes",MIN(Z203,15000)*0.012,
"Tennessee Taxes",MIN(Z203,7000)*0.027,
"Texas Taxes",MIN(Z203,9000)*0.027,
"Utah Taxes",MIN(Z203,41600)*0.027,
"Vermont Taxes",MIN(Z203,15500)*0.01,
"Virginia Taxes",MIN(Z203,8000)*0.0273,
"Washington Taxes",MIN(Z203,62500)*0.027,
"West Virginia Taxes",MIN(Z203,12000)*0.027,
"Wisconsin Taxes",MIN(Z203,14000)*0.0305,
"Wyoming Taxes",MIN(Z203,27700)*0.027
),
Z$156=2023,
_xlfn.SWITCH(
Z208,
"Alabama Taxes",MIN(Z203,8000)*0.027,
"Alaska Taxes",MIN(Z203,41500)*0.0237,
"Arizona Taxes",MIN(Z203,7000)*0.02,
"Arkansas Taxes",MIN(Z203,12000)*0.031,
"California Taxes",MIN(Z203,7000)*0.034,
"Colorado Taxes",MIN(Z203,13800)*0.017,
"Connecticut Taxes",MIN(Z203,15000)*0.028,
"Delaware Taxes",MIN(Z203,8500)*0.001,
"District of Columbia Taxes",MIN(Z203,9000)*0.027,
"Florida Taxes",MIN(Z203,7000)*0.027,
"Georgia Taxes",MIN(Z203,9500)*0.027,
"Hawaii Taxes",MIN(Z203,46800)*0.04,
"Idaho Taxes",MIN(Z203,41500)*0.01071,
"Illinois Taxes",MIN(Z203,12900)*0.0395,
"Indiana Taxes",MIN(Z203,9500)*0.025,
"Iowa Taxes",MIN(Z203,29500)*0.01,
"Kansas Taxes",MIN(Z203,14000)*0.027,
"Kentucky Taxes",MIN(Z203,11000)*0.027,
"Louisiana Taxes",MIN(Z203,7500)*0.0009,
"Maine Taxes",MIN(Z203,12000)*0.0219,
"Maryland Taxes",MIN(Z203,8500)*0.023,
"Massachusetts Taxes",MIN(Z203,15000)*0.0143,
"Michigan Taxes",MIN(Z203,9500)*0.027,
"Minnesota Taxes",MIN(Z203,35000)*0.001,
"Mississippi Taxes",MIN(Z203,14000)*0.01,
"Missouri Taxes",MIN(Z203,13500)*0.027,
"Montana Taxes",MIN(Z203,34500)*0.0013,
"Nebraska Taxes",MIN(Z203,9000)*0.0125,
"Nevada Taxes",MIN(Z203,33100)*0.0295,
"New Hampshire Taxes",MIN(Z203,14000)*0.027,
"New Jersey Taxes",MIN(Z203,35700)*0.031,
"New Mexico Taxes",MIN(Z203,25400)*0.01,
"New York Taxes",MIN(Z203,11500)*0.026,
"North Carolina Taxes",MIN(Z203,25400)*0.01,
"North Dakota Taxes",MIN(Z203,39200)*0.0113,
"Ohio Taxes",MIN(Z203,9000)*0.027,
"Oklahoma Taxes",MIN(Z203,17500)*0.015,
"Oregon Taxes",MIN(Z203,43000)*0.021,
"Pennsylvania Taxes",MIN(Z203,10000)*0.03822,
"Rhode Island Taxes",MIN(Z203,24000)*0.0109,
"South Carolina Taxes",MIN(Z203,14000)*0.0045,
"South Dakota Taxes",MIN(Z203,15000)*0.012,
"Tennessee Taxes",MIN(Z203,7000)*0.027,
"Texas Taxes",MIN(Z203,9000)*0.027,
"Utah Taxes",MIN(Z203,35700)*0.003,
"Vermont Taxes",MIN(Z203,16000)*0.01,
"Virginia Taxes",MIN(Z203,8000)*0.025,
"Washington Taxes",MIN(Z203,56200)*0.0125,
"West Virginia Taxes",MIN(Z203,12000)*0.027,
"Wisconsin Taxes",MIN(Z203,14000)*0.0305,
"Wyoming Taxes",MIN(Z203,25800)*0.018
),
Z$156=2024,
_xlfn.SWITCH(
Z208,
"Alabama Taxes",MIN(Z203,8000)*0.027,
"Alaska Taxes",MIN(Z203,41500)*0.0237,
"Arizona Taxes",MIN(Z203,7000)*0.02,
"Arkansas Taxes",MIN(Z203,12000)*0.031,
"California Taxes",MIN(Z203,7000)*0.034,
"Colorado Taxes",MIN(Z203,13800)*0.017,
"Connecticut Taxes",MIN(Z203,15000)*0.028,
"Delaware Taxes",MIN(Z203,8500)*0.001,
"District of Columbia Taxes",MIN(Z203,9000)*0.027,
"Florida Taxes",MIN(Z203,7000)*0.027,
"Georgia Taxes",MIN(Z203,9500)*0.027,
"Hawaii Taxes",MIN(Z203,46800)*0.04,
"Idaho Taxes",MIN(Z203,41500)*0.01071,
"Illinois Taxes",MIN(Z203,12900)*0.0395,
"Indiana Taxes",MIN(Z203,9500)*0.025,
"Iowa Taxes",MIN(Z203,29500)*0.01,
"Kansas Taxes",MIN(Z203,14000)*0.027,
"Kentucky Taxes",MIN(Z203,11000)*0.027,
"Louisiana Taxes",MIN(Z203,7500)*0.0009,
"Maine Taxes",MIN(Z203,12000)*0.0219,
"Maryland Taxes",MIN(Z203,8500)*0.023,
"Massachusetts Taxes",MIN(Z203,15000)*0.0143,
"Michigan Taxes",MIN(Z203,9500)*0.027,
"Minnesota Taxes",MIN(Z203,35000)*0.001,
"Mississippi Taxes",MIN(Z203,14000)*0.01,
"Missouri Taxes",MIN(Z203,13500)*0.027,
"Montana Taxes",MIN(Z203,34500)*0.0013,
"Nebraska Taxes",MIN(Z203,9000)*0.0125,
"Nevada Taxes",MIN(Z203,33100)*0.0295,
"New Hampshire Taxes",MIN(Z203,14000)*0.027,
"New Jersey Taxes",MIN(Z203,35700)*0.031,
"New Mexico Taxes",MIN(Z203,25400)*0.01,
"New York Taxes",MIN(Z203,11500)*0.026,
"North Carolina Taxes",MIN(Z203,25400)*0.01,
"North Dakota Taxes",MIN(Z203,39200)*0.0113,
"Ohio Taxes",MIN(Z203,9000)*0.027,
"Oklahoma Taxes",MIN(Z203,17500)*0.015,
"Oregon Taxes",MIN(Z203,43000)*0.021,
"Pennsylvania Taxes",MIN(Z203,10000)*0.03822,
"Rhode Island Taxes",MIN(Z203,24000)*0.0109,
"South Carolina Taxes",MIN(Z203,14000)*0.0045,
"South Dakota Taxes",MIN(Z203,15000)*0.012,
"Tennessee Taxes",MIN(Z203,7000)*0.027,
"Texas Taxes",MIN(Z203,9000)*0.027,
"Utah Taxes",MIN(Z203,35700)*0.003,
"Vermont Taxes",MIN(Z203,16000)*0.01,
"Virginia Taxes",MIN(Z203,8000)*0.025,
"Washington Taxes",MIN(Z203,56200)*0.0125,
"West Virginia Taxes",MIN(Z203,12000)*0.027,
"Wisconsin Taxes",MIN(Z203,14000)*0.0305,
"Wyoming Taxes",MIN(Z203,25800)*0.018
)
),0))</f>
        <v>0</v>
      </c>
      <c r="AA211" s="102" cm="1">
        <f t="array" ref="AA211">IF(AA202="W-2",0,_xlfn.IFNA(_xlfn.IFS(
AA$156=2022,
_xlfn.SWITCH(
AA208,
"Alabama Taxes",MIN(AA203,8000)*0.027,
"Alaska Taxes",MIN(AA203,45200)*0.0237,
"Arizona Taxes",MIN(AA203,7000)*0.02,
"Arkansas Taxes",MIN(AA203,10000)*0.031,
"California Taxes",MIN(AA203,7000)*0.034,
"Colorado Taxes",MIN(AA203,17000)*0.017,
"Connecticut Taxes",MIN(AA203,15000)*0.03,
"Delaware Taxes",MIN(AA203,16500)*0.018,
"District of Columbia Taxes",MIN(AA203,9000)*0.027,
"Florida Taxes",MIN(AA203,7000)*0.027,
"Georgia Taxes",MIN(AA203,9500)*0.0264,
"Hawaii Taxes",MIN(AA203,51600)*0.03,
"Idaho Taxes",MIN(AA203,46500)*0.0097,
"Illinois Taxes",MIN(AA203,12960)*0.03525,
"Indiana Taxes",MIN(AA203,9500)*0.025,
"Iowa Taxes",MIN(AA203,34800)*0.01,
"Kansas Taxes",MIN(AA203,14000)*0.027,
"Kentucky Taxes",MIN(AA203,11100)*0.027,
"Louisiana Taxes",MIN(AA203,7700)*0.027,
"Maine Taxes",MIN(AA203,12000)*0.0224,
"Maryland Taxes",MIN(AA203,8500)*0.026,
"Massachusetts Taxes",MIN(AA203,15000)*0.0242,
"Michigan Taxes",MIN(AA203,9500)*0.027,
"Minnesota Taxes",MIN(AA203,38000)*0.027,
"Mississippi Taxes",MIN(AA203,14000)*0.01,
"Missouri Taxes",MIN(AA203,11000)*0.02376,
"Montana Taxes",MIN(AA203,38100)*0.027,
"Nebraska Taxes",MIN(AA203,24000)*0.0125,
"Nevada Taxes",MIN(AA203,36600)*0.0295,
"New Hampshire Taxes",MIN(AA203,14000)*0.027,
"New Jersey Taxes",MIN(AA203,39800)*0.028,
"New Mexico Taxes",MIN(AA203,28700)*0.01,
"New York Taxes",MIN(AA203,12000)*0.03125,
"North Carolina Taxes",MIN(AA203,28000)*0.01,
"North Dakota Taxes",MIN(AA203,38400)*0.0102,
"Ohio Taxes",MIN(AA203,9000)*0.027,
"Oklahoma Taxes",MIN(AA203,24800)*0.015,
"Oregon Taxes",MIN(AA203,47700)*0.024,
"Pennsylvania Taxes",MIN(AA203,10000)*0.03689,
"Rhode Island Taxes",MIN(AA203,24600)*0.0098,
"South Carolina Taxes",MIN(AA203,14000)*0.0049,
"South Dakota Taxes",MIN(AA203,15000)*0.012,
"Tennessee Taxes",MIN(AA203,7000)*0.027,
"Texas Taxes",MIN(AA203,9000)*0.027,
"Utah Taxes",MIN(AA203,41600)*0.027,
"Vermont Taxes",MIN(AA203,15500)*0.01,
"Virginia Taxes",MIN(AA203,8000)*0.0273,
"Washington Taxes",MIN(AA203,62500)*0.027,
"West Virginia Taxes",MIN(AA203,12000)*0.027,
"Wisconsin Taxes",MIN(AA203,14000)*0.0305,
"Wyoming Taxes",MIN(AA203,27700)*0.027
),
AA$156=2023,
_xlfn.SWITCH(
AA208,
"Alabama Taxes",MIN(AA203,8000)*0.027,
"Alaska Taxes",MIN(AA203,41500)*0.0237,
"Arizona Taxes",MIN(AA203,7000)*0.02,
"Arkansas Taxes",MIN(AA203,12000)*0.031,
"California Taxes",MIN(AA203,7000)*0.034,
"Colorado Taxes",MIN(AA203,13800)*0.017,
"Connecticut Taxes",MIN(AA203,15000)*0.028,
"Delaware Taxes",MIN(AA203,8500)*0.001,
"District of Columbia Taxes",MIN(AA203,9000)*0.027,
"Florida Taxes",MIN(AA203,7000)*0.027,
"Georgia Taxes",MIN(AA203,9500)*0.027,
"Hawaii Taxes",MIN(AA203,46800)*0.04,
"Idaho Taxes",MIN(AA203,41500)*0.01071,
"Illinois Taxes",MIN(AA203,12900)*0.0395,
"Indiana Taxes",MIN(AA203,9500)*0.025,
"Iowa Taxes",MIN(AA203,29500)*0.01,
"Kansas Taxes",MIN(AA203,14000)*0.027,
"Kentucky Taxes",MIN(AA203,11000)*0.027,
"Louisiana Taxes",MIN(AA203,7500)*0.0009,
"Maine Taxes",MIN(AA203,12000)*0.0219,
"Maryland Taxes",MIN(AA203,8500)*0.023,
"Massachusetts Taxes",MIN(AA203,15000)*0.0143,
"Michigan Taxes",MIN(AA203,9500)*0.027,
"Minnesota Taxes",MIN(AA203,35000)*0.001,
"Mississippi Taxes",MIN(AA203,14000)*0.01,
"Missouri Taxes",MIN(AA203,13500)*0.027,
"Montana Taxes",MIN(AA203,34500)*0.0013,
"Nebraska Taxes",MIN(AA203,9000)*0.0125,
"Nevada Taxes",MIN(AA203,33100)*0.0295,
"New Hampshire Taxes",MIN(AA203,14000)*0.027,
"New Jersey Taxes",MIN(AA203,35700)*0.031,
"New Mexico Taxes",MIN(AA203,25400)*0.01,
"New York Taxes",MIN(AA203,11500)*0.026,
"North Carolina Taxes",MIN(AA203,25400)*0.01,
"North Dakota Taxes",MIN(AA203,39200)*0.0113,
"Ohio Taxes",MIN(AA203,9000)*0.027,
"Oklahoma Taxes",MIN(AA203,17500)*0.015,
"Oregon Taxes",MIN(AA203,43000)*0.021,
"Pennsylvania Taxes",MIN(AA203,10000)*0.03822,
"Rhode Island Taxes",MIN(AA203,24000)*0.0109,
"South Carolina Taxes",MIN(AA203,14000)*0.0045,
"South Dakota Taxes",MIN(AA203,15000)*0.012,
"Tennessee Taxes",MIN(AA203,7000)*0.027,
"Texas Taxes",MIN(AA203,9000)*0.027,
"Utah Taxes",MIN(AA203,35700)*0.003,
"Vermont Taxes",MIN(AA203,16000)*0.01,
"Virginia Taxes",MIN(AA203,8000)*0.025,
"Washington Taxes",MIN(AA203,56200)*0.0125,
"West Virginia Taxes",MIN(AA203,12000)*0.027,
"Wisconsin Taxes",MIN(AA203,14000)*0.0305,
"Wyoming Taxes",MIN(AA203,25800)*0.018
),
AA$156=2024,
_xlfn.SWITCH(
AA208,
"Alabama Taxes",MIN(AA203,8000)*0.027,
"Alaska Taxes",MIN(AA203,41500)*0.0237,
"Arizona Taxes",MIN(AA203,7000)*0.02,
"Arkansas Taxes",MIN(AA203,12000)*0.031,
"California Taxes",MIN(AA203,7000)*0.034,
"Colorado Taxes",MIN(AA203,13800)*0.017,
"Connecticut Taxes",MIN(AA203,15000)*0.028,
"Delaware Taxes",MIN(AA203,8500)*0.001,
"District of Columbia Taxes",MIN(AA203,9000)*0.027,
"Florida Taxes",MIN(AA203,7000)*0.027,
"Georgia Taxes",MIN(AA203,9500)*0.027,
"Hawaii Taxes",MIN(AA203,46800)*0.04,
"Idaho Taxes",MIN(AA203,41500)*0.01071,
"Illinois Taxes",MIN(AA203,12900)*0.0395,
"Indiana Taxes",MIN(AA203,9500)*0.025,
"Iowa Taxes",MIN(AA203,29500)*0.01,
"Kansas Taxes",MIN(AA203,14000)*0.027,
"Kentucky Taxes",MIN(AA203,11000)*0.027,
"Louisiana Taxes",MIN(AA203,7500)*0.0009,
"Maine Taxes",MIN(AA203,12000)*0.0219,
"Maryland Taxes",MIN(AA203,8500)*0.023,
"Massachusetts Taxes",MIN(AA203,15000)*0.0143,
"Michigan Taxes",MIN(AA203,9500)*0.027,
"Minnesota Taxes",MIN(AA203,35000)*0.001,
"Mississippi Taxes",MIN(AA203,14000)*0.01,
"Missouri Taxes",MIN(AA203,13500)*0.027,
"Montana Taxes",MIN(AA203,34500)*0.0013,
"Nebraska Taxes",MIN(AA203,9000)*0.0125,
"Nevada Taxes",MIN(AA203,33100)*0.0295,
"New Hampshire Taxes",MIN(AA203,14000)*0.027,
"New Jersey Taxes",MIN(AA203,35700)*0.031,
"New Mexico Taxes",MIN(AA203,25400)*0.01,
"New York Taxes",MIN(AA203,11500)*0.026,
"North Carolina Taxes",MIN(AA203,25400)*0.01,
"North Dakota Taxes",MIN(AA203,39200)*0.0113,
"Ohio Taxes",MIN(AA203,9000)*0.027,
"Oklahoma Taxes",MIN(AA203,17500)*0.015,
"Oregon Taxes",MIN(AA203,43000)*0.021,
"Pennsylvania Taxes",MIN(AA203,10000)*0.03822,
"Rhode Island Taxes",MIN(AA203,24000)*0.0109,
"South Carolina Taxes",MIN(AA203,14000)*0.0045,
"South Dakota Taxes",MIN(AA203,15000)*0.012,
"Tennessee Taxes",MIN(AA203,7000)*0.027,
"Texas Taxes",MIN(AA203,9000)*0.027,
"Utah Taxes",MIN(AA203,35700)*0.003,
"Vermont Taxes",MIN(AA203,16000)*0.01,
"Virginia Taxes",MIN(AA203,8000)*0.025,
"Washington Taxes",MIN(AA203,56200)*0.0125,
"West Virginia Taxes",MIN(AA203,12000)*0.027,
"Wisconsin Taxes",MIN(AA203,14000)*0.0305,
"Wyoming Taxes",MIN(AA203,25800)*0.018
)
),0))</f>
        <v>0</v>
      </c>
      <c r="AB211" s="102" cm="1">
        <f t="array" ref="AB211">IF(AB202="W-2",0,_xlfn.IFNA(_xlfn.IFS(
AB$156=2022,
_xlfn.SWITCH(
AB208,
"Alabama Taxes",MIN(AB203,8000)*0.027,
"Alaska Taxes",MIN(AB203,45200)*0.0237,
"Arizona Taxes",MIN(AB203,7000)*0.02,
"Arkansas Taxes",MIN(AB203,10000)*0.031,
"California Taxes",MIN(AB203,7000)*0.034,
"Colorado Taxes",MIN(AB203,17000)*0.017,
"Connecticut Taxes",MIN(AB203,15000)*0.03,
"Delaware Taxes",MIN(AB203,16500)*0.018,
"District of Columbia Taxes",MIN(AB203,9000)*0.027,
"Florida Taxes",MIN(AB203,7000)*0.027,
"Georgia Taxes",MIN(AB203,9500)*0.0264,
"Hawaii Taxes",MIN(AB203,51600)*0.03,
"Idaho Taxes",MIN(AB203,46500)*0.0097,
"Illinois Taxes",MIN(AB203,12960)*0.03525,
"Indiana Taxes",MIN(AB203,9500)*0.025,
"Iowa Taxes",MIN(AB203,34800)*0.01,
"Kansas Taxes",MIN(AB203,14000)*0.027,
"Kentucky Taxes",MIN(AB203,11100)*0.027,
"Louisiana Taxes",MIN(AB203,7700)*0.027,
"Maine Taxes",MIN(AB203,12000)*0.0224,
"Maryland Taxes",MIN(AB203,8500)*0.026,
"Massachusetts Taxes",MIN(AB203,15000)*0.0242,
"Michigan Taxes",MIN(AB203,9500)*0.027,
"Minnesota Taxes",MIN(AB203,38000)*0.027,
"Mississippi Taxes",MIN(AB203,14000)*0.01,
"Missouri Taxes",MIN(AB203,11000)*0.02376,
"Montana Taxes",MIN(AB203,38100)*0.027,
"Nebraska Taxes",MIN(AB203,24000)*0.0125,
"Nevada Taxes",MIN(AB203,36600)*0.0295,
"New Hampshire Taxes",MIN(AB203,14000)*0.027,
"New Jersey Taxes",MIN(AB203,39800)*0.028,
"New Mexico Taxes",MIN(AB203,28700)*0.01,
"New York Taxes",MIN(AB203,12000)*0.03125,
"North Carolina Taxes",MIN(AB203,28000)*0.01,
"North Dakota Taxes",MIN(AB203,38400)*0.0102,
"Ohio Taxes",MIN(AB203,9000)*0.027,
"Oklahoma Taxes",MIN(AB203,24800)*0.015,
"Oregon Taxes",MIN(AB203,47700)*0.024,
"Pennsylvania Taxes",MIN(AB203,10000)*0.03689,
"Rhode Island Taxes",MIN(AB203,24600)*0.0098,
"South Carolina Taxes",MIN(AB203,14000)*0.0049,
"South Dakota Taxes",MIN(AB203,15000)*0.012,
"Tennessee Taxes",MIN(AB203,7000)*0.027,
"Texas Taxes",MIN(AB203,9000)*0.027,
"Utah Taxes",MIN(AB203,41600)*0.027,
"Vermont Taxes",MIN(AB203,15500)*0.01,
"Virginia Taxes",MIN(AB203,8000)*0.0273,
"Washington Taxes",MIN(AB203,62500)*0.027,
"West Virginia Taxes",MIN(AB203,12000)*0.027,
"Wisconsin Taxes",MIN(AB203,14000)*0.0305,
"Wyoming Taxes",MIN(AB203,27700)*0.027
),
AB$156=2023,
_xlfn.SWITCH(
AB208,
"Alabama Taxes",MIN(AB203,8000)*0.027,
"Alaska Taxes",MIN(AB203,41500)*0.0237,
"Arizona Taxes",MIN(AB203,7000)*0.02,
"Arkansas Taxes",MIN(AB203,12000)*0.031,
"California Taxes",MIN(AB203,7000)*0.034,
"Colorado Taxes",MIN(AB203,13800)*0.017,
"Connecticut Taxes",MIN(AB203,15000)*0.028,
"Delaware Taxes",MIN(AB203,8500)*0.001,
"District of Columbia Taxes",MIN(AB203,9000)*0.027,
"Florida Taxes",MIN(AB203,7000)*0.027,
"Georgia Taxes",MIN(AB203,9500)*0.027,
"Hawaii Taxes",MIN(AB203,46800)*0.04,
"Idaho Taxes",MIN(AB203,41500)*0.01071,
"Illinois Taxes",MIN(AB203,12900)*0.0395,
"Indiana Taxes",MIN(AB203,9500)*0.025,
"Iowa Taxes",MIN(AB203,29500)*0.01,
"Kansas Taxes",MIN(AB203,14000)*0.027,
"Kentucky Taxes",MIN(AB203,11000)*0.027,
"Louisiana Taxes",MIN(AB203,7500)*0.0009,
"Maine Taxes",MIN(AB203,12000)*0.0219,
"Maryland Taxes",MIN(AB203,8500)*0.023,
"Massachusetts Taxes",MIN(AB203,15000)*0.0143,
"Michigan Taxes",MIN(AB203,9500)*0.027,
"Minnesota Taxes",MIN(AB203,35000)*0.001,
"Mississippi Taxes",MIN(AB203,14000)*0.01,
"Missouri Taxes",MIN(AB203,13500)*0.027,
"Montana Taxes",MIN(AB203,34500)*0.0013,
"Nebraska Taxes",MIN(AB203,9000)*0.0125,
"Nevada Taxes",MIN(AB203,33100)*0.0295,
"New Hampshire Taxes",MIN(AB203,14000)*0.027,
"New Jersey Taxes",MIN(AB203,35700)*0.031,
"New Mexico Taxes",MIN(AB203,25400)*0.01,
"New York Taxes",MIN(AB203,11500)*0.026,
"North Carolina Taxes",MIN(AB203,25400)*0.01,
"North Dakota Taxes",MIN(AB203,39200)*0.0113,
"Ohio Taxes",MIN(AB203,9000)*0.027,
"Oklahoma Taxes",MIN(AB203,17500)*0.015,
"Oregon Taxes",MIN(AB203,43000)*0.021,
"Pennsylvania Taxes",MIN(AB203,10000)*0.03822,
"Rhode Island Taxes",MIN(AB203,24000)*0.0109,
"South Carolina Taxes",MIN(AB203,14000)*0.0045,
"South Dakota Taxes",MIN(AB203,15000)*0.012,
"Tennessee Taxes",MIN(AB203,7000)*0.027,
"Texas Taxes",MIN(AB203,9000)*0.027,
"Utah Taxes",MIN(AB203,35700)*0.003,
"Vermont Taxes",MIN(AB203,16000)*0.01,
"Virginia Taxes",MIN(AB203,8000)*0.025,
"Washington Taxes",MIN(AB203,56200)*0.0125,
"West Virginia Taxes",MIN(AB203,12000)*0.027,
"Wisconsin Taxes",MIN(AB203,14000)*0.0305,
"Wyoming Taxes",MIN(AB203,25800)*0.018
),
AB$156=2024,
_xlfn.SWITCH(
AB208,
"Alabama Taxes",MIN(AB203,8000)*0.027,
"Alaska Taxes",MIN(AB203,41500)*0.0237,
"Arizona Taxes",MIN(AB203,7000)*0.02,
"Arkansas Taxes",MIN(AB203,12000)*0.031,
"California Taxes",MIN(AB203,7000)*0.034,
"Colorado Taxes",MIN(AB203,13800)*0.017,
"Connecticut Taxes",MIN(AB203,15000)*0.028,
"Delaware Taxes",MIN(AB203,8500)*0.001,
"District of Columbia Taxes",MIN(AB203,9000)*0.027,
"Florida Taxes",MIN(AB203,7000)*0.027,
"Georgia Taxes",MIN(AB203,9500)*0.027,
"Hawaii Taxes",MIN(AB203,46800)*0.04,
"Idaho Taxes",MIN(AB203,41500)*0.01071,
"Illinois Taxes",MIN(AB203,12900)*0.0395,
"Indiana Taxes",MIN(AB203,9500)*0.025,
"Iowa Taxes",MIN(AB203,29500)*0.01,
"Kansas Taxes",MIN(AB203,14000)*0.027,
"Kentucky Taxes",MIN(AB203,11000)*0.027,
"Louisiana Taxes",MIN(AB203,7500)*0.0009,
"Maine Taxes",MIN(AB203,12000)*0.0219,
"Maryland Taxes",MIN(AB203,8500)*0.023,
"Massachusetts Taxes",MIN(AB203,15000)*0.0143,
"Michigan Taxes",MIN(AB203,9500)*0.027,
"Minnesota Taxes",MIN(AB203,35000)*0.001,
"Mississippi Taxes",MIN(AB203,14000)*0.01,
"Missouri Taxes",MIN(AB203,13500)*0.027,
"Montana Taxes",MIN(AB203,34500)*0.0013,
"Nebraska Taxes",MIN(AB203,9000)*0.0125,
"Nevada Taxes",MIN(AB203,33100)*0.0295,
"New Hampshire Taxes",MIN(AB203,14000)*0.027,
"New Jersey Taxes",MIN(AB203,35700)*0.031,
"New Mexico Taxes",MIN(AB203,25400)*0.01,
"New York Taxes",MIN(AB203,11500)*0.026,
"North Carolina Taxes",MIN(AB203,25400)*0.01,
"North Dakota Taxes",MIN(AB203,39200)*0.0113,
"Ohio Taxes",MIN(AB203,9000)*0.027,
"Oklahoma Taxes",MIN(AB203,17500)*0.015,
"Oregon Taxes",MIN(AB203,43000)*0.021,
"Pennsylvania Taxes",MIN(AB203,10000)*0.03822,
"Rhode Island Taxes",MIN(AB203,24000)*0.0109,
"South Carolina Taxes",MIN(AB203,14000)*0.0045,
"South Dakota Taxes",MIN(AB203,15000)*0.012,
"Tennessee Taxes",MIN(AB203,7000)*0.027,
"Texas Taxes",MIN(AB203,9000)*0.027,
"Utah Taxes",MIN(AB203,35700)*0.003,
"Vermont Taxes",MIN(AB203,16000)*0.01,
"Virginia Taxes",MIN(AB203,8000)*0.025,
"Washington Taxes",MIN(AB203,56200)*0.0125,
"West Virginia Taxes",MIN(AB203,12000)*0.027,
"Wisconsin Taxes",MIN(AB203,14000)*0.0305,
"Wyoming Taxes",MIN(AB203,25800)*0.018
)
),0))</f>
        <v>0</v>
      </c>
      <c r="AC211" s="102" cm="1">
        <f t="array" ref="AC211">IF(AC202="W-2",0,_xlfn.IFNA(_xlfn.IFS(
AC$156=2022,
_xlfn.SWITCH(
AC208,
"Alabama Taxes",MIN(AC203,8000)*0.027,
"Alaska Taxes",MIN(AC203,45200)*0.0237,
"Arizona Taxes",MIN(AC203,7000)*0.02,
"Arkansas Taxes",MIN(AC203,10000)*0.031,
"California Taxes",MIN(AC203,7000)*0.034,
"Colorado Taxes",MIN(AC203,17000)*0.017,
"Connecticut Taxes",MIN(AC203,15000)*0.03,
"Delaware Taxes",MIN(AC203,16500)*0.018,
"District of Columbia Taxes",MIN(AC203,9000)*0.027,
"Florida Taxes",MIN(AC203,7000)*0.027,
"Georgia Taxes",MIN(AC203,9500)*0.0264,
"Hawaii Taxes",MIN(AC203,51600)*0.03,
"Idaho Taxes",MIN(AC203,46500)*0.0097,
"Illinois Taxes",MIN(AC203,12960)*0.03525,
"Indiana Taxes",MIN(AC203,9500)*0.025,
"Iowa Taxes",MIN(AC203,34800)*0.01,
"Kansas Taxes",MIN(AC203,14000)*0.027,
"Kentucky Taxes",MIN(AC203,11100)*0.027,
"Louisiana Taxes",MIN(AC203,7700)*0.027,
"Maine Taxes",MIN(AC203,12000)*0.0224,
"Maryland Taxes",MIN(AC203,8500)*0.026,
"Massachusetts Taxes",MIN(AC203,15000)*0.0242,
"Michigan Taxes",MIN(AC203,9500)*0.027,
"Minnesota Taxes",MIN(AC203,38000)*0.027,
"Mississippi Taxes",MIN(AC203,14000)*0.01,
"Missouri Taxes",MIN(AC203,11000)*0.02376,
"Montana Taxes",MIN(AC203,38100)*0.027,
"Nebraska Taxes",MIN(AC203,24000)*0.0125,
"Nevada Taxes",MIN(AC203,36600)*0.0295,
"New Hampshire Taxes",MIN(AC203,14000)*0.027,
"New Jersey Taxes",MIN(AC203,39800)*0.028,
"New Mexico Taxes",MIN(AC203,28700)*0.01,
"New York Taxes",MIN(AC203,12000)*0.03125,
"North Carolina Taxes",MIN(AC203,28000)*0.01,
"North Dakota Taxes",MIN(AC203,38400)*0.0102,
"Ohio Taxes",MIN(AC203,9000)*0.027,
"Oklahoma Taxes",MIN(AC203,24800)*0.015,
"Oregon Taxes",MIN(AC203,47700)*0.024,
"Pennsylvania Taxes",MIN(AC203,10000)*0.03689,
"Rhode Island Taxes",MIN(AC203,24600)*0.0098,
"South Carolina Taxes",MIN(AC203,14000)*0.0049,
"South Dakota Taxes",MIN(AC203,15000)*0.012,
"Tennessee Taxes",MIN(AC203,7000)*0.027,
"Texas Taxes",MIN(AC203,9000)*0.027,
"Utah Taxes",MIN(AC203,41600)*0.027,
"Vermont Taxes",MIN(AC203,15500)*0.01,
"Virginia Taxes",MIN(AC203,8000)*0.0273,
"Washington Taxes",MIN(AC203,62500)*0.027,
"West Virginia Taxes",MIN(AC203,12000)*0.027,
"Wisconsin Taxes",MIN(AC203,14000)*0.0305,
"Wyoming Taxes",MIN(AC203,27700)*0.027
),
AC$156=2023,
_xlfn.SWITCH(
AC208,
"Alabama Taxes",MIN(AC203,8000)*0.027,
"Alaska Taxes",MIN(AC203,41500)*0.0237,
"Arizona Taxes",MIN(AC203,7000)*0.02,
"Arkansas Taxes",MIN(AC203,12000)*0.031,
"California Taxes",MIN(AC203,7000)*0.034,
"Colorado Taxes",MIN(AC203,13800)*0.017,
"Connecticut Taxes",MIN(AC203,15000)*0.028,
"Delaware Taxes",MIN(AC203,8500)*0.001,
"District of Columbia Taxes",MIN(AC203,9000)*0.027,
"Florida Taxes",MIN(AC203,7000)*0.027,
"Georgia Taxes",MIN(AC203,9500)*0.027,
"Hawaii Taxes",MIN(AC203,46800)*0.04,
"Idaho Taxes",MIN(AC203,41500)*0.01071,
"Illinois Taxes",MIN(AC203,12900)*0.0395,
"Indiana Taxes",MIN(AC203,9500)*0.025,
"Iowa Taxes",MIN(AC203,29500)*0.01,
"Kansas Taxes",MIN(AC203,14000)*0.027,
"Kentucky Taxes",MIN(AC203,11000)*0.027,
"Louisiana Taxes",MIN(AC203,7500)*0.0009,
"Maine Taxes",MIN(AC203,12000)*0.0219,
"Maryland Taxes",MIN(AC203,8500)*0.023,
"Massachusetts Taxes",MIN(AC203,15000)*0.0143,
"Michigan Taxes",MIN(AC203,9500)*0.027,
"Minnesota Taxes",MIN(AC203,35000)*0.001,
"Mississippi Taxes",MIN(AC203,14000)*0.01,
"Missouri Taxes",MIN(AC203,13500)*0.027,
"Montana Taxes",MIN(AC203,34500)*0.0013,
"Nebraska Taxes",MIN(AC203,9000)*0.0125,
"Nevada Taxes",MIN(AC203,33100)*0.0295,
"New Hampshire Taxes",MIN(AC203,14000)*0.027,
"New Jersey Taxes",MIN(AC203,35700)*0.031,
"New Mexico Taxes",MIN(AC203,25400)*0.01,
"New York Taxes",MIN(AC203,11500)*0.026,
"North Carolina Taxes",MIN(AC203,25400)*0.01,
"North Dakota Taxes",MIN(AC203,39200)*0.0113,
"Ohio Taxes",MIN(AC203,9000)*0.027,
"Oklahoma Taxes",MIN(AC203,17500)*0.015,
"Oregon Taxes",MIN(AC203,43000)*0.021,
"Pennsylvania Taxes",MIN(AC203,10000)*0.03822,
"Rhode Island Taxes",MIN(AC203,24000)*0.0109,
"South Carolina Taxes",MIN(AC203,14000)*0.0045,
"South Dakota Taxes",MIN(AC203,15000)*0.012,
"Tennessee Taxes",MIN(AC203,7000)*0.027,
"Texas Taxes",MIN(AC203,9000)*0.027,
"Utah Taxes",MIN(AC203,35700)*0.003,
"Vermont Taxes",MIN(AC203,16000)*0.01,
"Virginia Taxes",MIN(AC203,8000)*0.025,
"Washington Taxes",MIN(AC203,56200)*0.0125,
"West Virginia Taxes",MIN(AC203,12000)*0.027,
"Wisconsin Taxes",MIN(AC203,14000)*0.0305,
"Wyoming Taxes",MIN(AC203,25800)*0.018
),
AC$156=2024,
_xlfn.SWITCH(
AC208,
"Alabama Taxes",MIN(AC203,8000)*0.027,
"Alaska Taxes",MIN(AC203,41500)*0.0237,
"Arizona Taxes",MIN(AC203,7000)*0.02,
"Arkansas Taxes",MIN(AC203,12000)*0.031,
"California Taxes",MIN(AC203,7000)*0.034,
"Colorado Taxes",MIN(AC203,13800)*0.017,
"Connecticut Taxes",MIN(AC203,15000)*0.028,
"Delaware Taxes",MIN(AC203,8500)*0.001,
"District of Columbia Taxes",MIN(AC203,9000)*0.027,
"Florida Taxes",MIN(AC203,7000)*0.027,
"Georgia Taxes",MIN(AC203,9500)*0.027,
"Hawaii Taxes",MIN(AC203,46800)*0.04,
"Idaho Taxes",MIN(AC203,41500)*0.01071,
"Illinois Taxes",MIN(AC203,12900)*0.0395,
"Indiana Taxes",MIN(AC203,9500)*0.025,
"Iowa Taxes",MIN(AC203,29500)*0.01,
"Kansas Taxes",MIN(AC203,14000)*0.027,
"Kentucky Taxes",MIN(AC203,11000)*0.027,
"Louisiana Taxes",MIN(AC203,7500)*0.0009,
"Maine Taxes",MIN(AC203,12000)*0.0219,
"Maryland Taxes",MIN(AC203,8500)*0.023,
"Massachusetts Taxes",MIN(AC203,15000)*0.0143,
"Michigan Taxes",MIN(AC203,9500)*0.027,
"Minnesota Taxes",MIN(AC203,35000)*0.001,
"Mississippi Taxes",MIN(AC203,14000)*0.01,
"Missouri Taxes",MIN(AC203,13500)*0.027,
"Montana Taxes",MIN(AC203,34500)*0.0013,
"Nebraska Taxes",MIN(AC203,9000)*0.0125,
"Nevada Taxes",MIN(AC203,33100)*0.0295,
"New Hampshire Taxes",MIN(AC203,14000)*0.027,
"New Jersey Taxes",MIN(AC203,35700)*0.031,
"New Mexico Taxes",MIN(AC203,25400)*0.01,
"New York Taxes",MIN(AC203,11500)*0.026,
"North Carolina Taxes",MIN(AC203,25400)*0.01,
"North Dakota Taxes",MIN(AC203,39200)*0.0113,
"Ohio Taxes",MIN(AC203,9000)*0.027,
"Oklahoma Taxes",MIN(AC203,17500)*0.015,
"Oregon Taxes",MIN(AC203,43000)*0.021,
"Pennsylvania Taxes",MIN(AC203,10000)*0.03822,
"Rhode Island Taxes",MIN(AC203,24000)*0.0109,
"South Carolina Taxes",MIN(AC203,14000)*0.0045,
"South Dakota Taxes",MIN(AC203,15000)*0.012,
"Tennessee Taxes",MIN(AC203,7000)*0.027,
"Texas Taxes",MIN(AC203,9000)*0.027,
"Utah Taxes",MIN(AC203,35700)*0.003,
"Vermont Taxes",MIN(AC203,16000)*0.01,
"Virginia Taxes",MIN(AC203,8000)*0.025,
"Washington Taxes",MIN(AC203,56200)*0.0125,
"West Virginia Taxes",MIN(AC203,12000)*0.027,
"Wisconsin Taxes",MIN(AC203,14000)*0.0305,
"Wyoming Taxes",MIN(AC203,25800)*0.018
)
),0))</f>
        <v>0</v>
      </c>
    </row>
    <row r="212" spans="2:29" ht="21.75" thickBot="1" x14ac:dyDescent="0.4">
      <c r="B212" s="38">
        <v>2023</v>
      </c>
      <c r="D212" s="32">
        <v>2</v>
      </c>
      <c r="E212" s="33">
        <f t="shared" ref="E212:E228" si="787">E211</f>
        <v>7.6399999999999996E-2</v>
      </c>
      <c r="F212" s="34" t="e">
        <f>$I$148+H211</f>
        <v>#VALUE!</v>
      </c>
      <c r="G212" t="e">
        <f t="shared" si="785"/>
        <v>#VALUE!</v>
      </c>
      <c r="H212" s="34" t="e">
        <f t="shared" si="786"/>
        <v>#VALUE!</v>
      </c>
      <c r="L212" t="str">
        <f>A39</f>
        <v xml:space="preserve">Business 1 Income - </v>
      </c>
      <c r="O212" t="s">
        <v>222</v>
      </c>
      <c r="P212" s="102">
        <f>IF(P202="W-2", 0, IF($U$157="Yes", MIN(P203,7000)*(0.06-0.054), IF($U$157="No", MIN(P203,7000)*0.06, 0)))</f>
        <v>0</v>
      </c>
      <c r="Q212" s="102">
        <f>IF(Q202="W-2", 0, IF($U$157="Yes", MIN(Q203,7000)*(0.06-0.054), IF($U$157="No", MIN(Q203,7000)*0.06, 0)))</f>
        <v>0</v>
      </c>
      <c r="R212" s="102">
        <f>IF(R202="W-2", 0, IF($U$157="Yes", MIN(R203,7000)*(0.06-0.054), IF($U$157="No", MIN(R203,7000)*0.06, 0)))</f>
        <v>0</v>
      </c>
      <c r="S212" s="102">
        <f t="shared" ref="S212:U212" si="788">IF(S202="W-2", 0, IF($U$157="Yes", MIN(S203,7000)*(0.06-0.054), IF($U$157="No", MIN(S203,7000)*0.06, 0)))</f>
        <v>0</v>
      </c>
      <c r="T212" s="102">
        <f t="shared" si="788"/>
        <v>0</v>
      </c>
      <c r="U212" s="102">
        <f t="shared" si="788"/>
        <v>0</v>
      </c>
      <c r="V212" s="102">
        <f>IF(V202="W-2", 0, IF($U$157="Yes", MIN(V203,7000)*(0.06-0.054), IF($U$157="No", MIN(V203,7000)*0.06, 0)))</f>
        <v>0</v>
      </c>
      <c r="W212" s="102">
        <f>IF(W202="W-2", 0, IF($U$157="Yes", MIN(W203,7000)*(0.06-0.054), IF($U$157="No", MIN(W203,7000)*0.06, 0)))</f>
        <v>0</v>
      </c>
      <c r="X212" s="102">
        <f t="shared" ref="X212" si="789">IF(X202="W-2", 0, IF($U$157="Yes", MIN(X203,7000)*(0.06-0.054), IF($U$157="No", MIN(X203,7000)*0.06, 0)))</f>
        <v>0</v>
      </c>
      <c r="Y212" s="102">
        <f>IF(Y202="W-2", 0, IF($U$157="Yes", MIN(Y203,7000)*(0.06-0.054), IF($U$157="No", MIN(Y203,7000)*0.06, 0)))</f>
        <v>0</v>
      </c>
      <c r="Z212" s="102">
        <f>IF(Z202="W-2", 0, IF($U$157="Yes", MIN(Z203,7000)*(0.06-0.054), IF($U$157="No", MIN(Z203,7000)*0.06, 0)))</f>
        <v>0</v>
      </c>
      <c r="AA212" s="102">
        <f>IF(AA202="W-2", 0, IF($U$157="Yes", MIN(AA203,7000)*(0.06-0.054), IF($U$157="No", MIN(AA203,7000)*0.06, 0)))</f>
        <v>0</v>
      </c>
      <c r="AB212" s="102">
        <f>IF(AB202="W-2", 0, IF($U$157="Yes", MIN(AB203,7000)*(0.06-0.054), IF($U$157="No", MIN(AB203,7000)*0.06, 0)))</f>
        <v>0</v>
      </c>
      <c r="AC212" s="102">
        <f>IF(AC202="W-2", 0, IF($U$157="Yes", MIN(AC203,7000)*(0.06-0.054), IF($U$157="No", MIN(AC203,7000)*0.06, 0)))</f>
        <v>0</v>
      </c>
    </row>
    <row r="213" spans="2:29" ht="21.75" thickBot="1" x14ac:dyDescent="0.4">
      <c r="B213" s="38">
        <v>2024</v>
      </c>
      <c r="D213" s="32">
        <v>3</v>
      </c>
      <c r="E213" s="33">
        <f t="shared" si="787"/>
        <v>7.6399999999999996E-2</v>
      </c>
      <c r="F213" s="34" t="e">
        <f t="shared" ref="F213:F230" si="790">$I$148+H212</f>
        <v>#VALUE!</v>
      </c>
      <c r="G213" t="e">
        <f t="shared" si="785"/>
        <v>#VALUE!</v>
      </c>
      <c r="H213" s="34" t="e">
        <f t="shared" si="786"/>
        <v>#VALUE!</v>
      </c>
      <c r="L213" t="str">
        <f>A41</f>
        <v xml:space="preserve">Business 2 Income - </v>
      </c>
      <c r="P213" s="82"/>
      <c r="Q213" s="82"/>
      <c r="R213" s="82"/>
      <c r="S213" s="82"/>
      <c r="T213" s="82"/>
      <c r="U213" s="82"/>
      <c r="V213" s="82"/>
      <c r="W213" s="82"/>
      <c r="X213" s="82"/>
      <c r="Y213" s="82"/>
      <c r="Z213" s="82"/>
      <c r="AA213" s="82"/>
      <c r="AB213" s="82"/>
      <c r="AC213" s="82"/>
    </row>
    <row r="214" spans="2:29" ht="21" x14ac:dyDescent="0.35">
      <c r="B214" s="38" t="s">
        <v>81</v>
      </c>
      <c r="C214" t="str">
        <f>A40 &amp; " " &amp; A60</f>
        <v>Business 1 Expenses -  Retirement Deduction</v>
      </c>
      <c r="D214" s="32">
        <v>4</v>
      </c>
      <c r="E214" s="33">
        <f t="shared" si="787"/>
        <v>7.6399999999999996E-2</v>
      </c>
      <c r="F214" s="34" t="e">
        <f t="shared" si="790"/>
        <v>#VALUE!</v>
      </c>
      <c r="G214" t="e">
        <f t="shared" si="785"/>
        <v>#VALUE!</v>
      </c>
      <c r="H214" s="34" t="e">
        <f t="shared" si="786"/>
        <v>#VALUE!</v>
      </c>
      <c r="L214" t="str">
        <f>A43</f>
        <v xml:space="preserve">Schedule C-1 Income - </v>
      </c>
      <c r="P214" s="254" t="s">
        <v>410</v>
      </c>
      <c r="Q214" s="254" t="s">
        <v>410</v>
      </c>
      <c r="R214" s="254" t="s">
        <v>410</v>
      </c>
      <c r="S214" s="254" t="s">
        <v>410</v>
      </c>
      <c r="T214" s="254" t="s">
        <v>410</v>
      </c>
      <c r="U214" s="254" t="s">
        <v>410</v>
      </c>
      <c r="V214" s="254" t="s">
        <v>410</v>
      </c>
      <c r="W214" s="254" t="s">
        <v>410</v>
      </c>
      <c r="X214" s="254" t="s">
        <v>410</v>
      </c>
      <c r="Y214" s="254" t="s">
        <v>410</v>
      </c>
      <c r="Z214" s="254" t="s">
        <v>410</v>
      </c>
      <c r="AA214" s="254" t="s">
        <v>410</v>
      </c>
      <c r="AB214" s="254" t="s">
        <v>410</v>
      </c>
      <c r="AC214" s="254" t="s">
        <v>410</v>
      </c>
    </row>
    <row r="215" spans="2:29" x14ac:dyDescent="0.25">
      <c r="C215" t="str">
        <f>A42 &amp; " " &amp; A60</f>
        <v>Business 2 Expenses -  Retirement Deduction</v>
      </c>
      <c r="D215" s="32">
        <v>5</v>
      </c>
      <c r="E215" s="33">
        <f t="shared" si="787"/>
        <v>7.6399999999999996E-2</v>
      </c>
      <c r="F215" s="34" t="e">
        <f t="shared" si="790"/>
        <v>#VALUE!</v>
      </c>
      <c r="G215" t="e">
        <f t="shared" si="785"/>
        <v>#VALUE!</v>
      </c>
      <c r="H215" s="34" t="e">
        <f t="shared" si="786"/>
        <v>#VALUE!</v>
      </c>
      <c r="L215" t="str">
        <f>A45</f>
        <v xml:space="preserve">Schedule C-2 Income - </v>
      </c>
      <c r="N215" s="125" t="s">
        <v>51</v>
      </c>
      <c r="O215" t="s">
        <v>236</v>
      </c>
      <c r="P215" s="101">
        <f>SUM(B43:B44)</f>
        <v>0</v>
      </c>
      <c r="Q215" s="101">
        <f>SUM(C43:C44)</f>
        <v>0</v>
      </c>
      <c r="R215" s="101">
        <f>SUM(D43:D44)</f>
        <v>0</v>
      </c>
      <c r="S215" s="101">
        <f t="shared" ref="S215:U215" si="791">SUM(E43:E44)</f>
        <v>0</v>
      </c>
      <c r="T215" s="101">
        <f t="shared" si="791"/>
        <v>0</v>
      </c>
      <c r="U215" s="101">
        <f t="shared" si="791"/>
        <v>0</v>
      </c>
      <c r="V215" s="101">
        <f>SUM(H43:H44)</f>
        <v>0</v>
      </c>
      <c r="W215" s="101">
        <f>SUM(I43:I44)</f>
        <v>0</v>
      </c>
      <c r="X215" s="101">
        <f>SUM(J43:J44)</f>
        <v>0</v>
      </c>
      <c r="Y215" s="101">
        <v>0</v>
      </c>
      <c r="Z215" s="101">
        <v>0</v>
      </c>
      <c r="AA215" s="101">
        <v>0</v>
      </c>
      <c r="AB215" s="101">
        <v>0</v>
      </c>
      <c r="AC215" s="101">
        <v>0</v>
      </c>
    </row>
    <row r="216" spans="2:29" x14ac:dyDescent="0.25">
      <c r="C216" t="s">
        <v>529</v>
      </c>
      <c r="D216" s="32">
        <v>6</v>
      </c>
      <c r="E216" s="33">
        <f t="shared" si="787"/>
        <v>7.6399999999999996E-2</v>
      </c>
      <c r="F216" s="34" t="e">
        <f t="shared" si="790"/>
        <v>#VALUE!</v>
      </c>
      <c r="G216" t="e">
        <f t="shared" si="785"/>
        <v>#VALUE!</v>
      </c>
      <c r="H216" s="34" t="e">
        <f t="shared" si="786"/>
        <v>#VALUE!</v>
      </c>
      <c r="L216" t="str">
        <f>A47</f>
        <v>Schedule E-1 Income -</v>
      </c>
      <c r="O216" s="37">
        <v>0.92349999999999999</v>
      </c>
      <c r="P216" s="106">
        <f>IF(P215 * 0.9235 &lt; 0, 0, P215 * 0.9235)</f>
        <v>0</v>
      </c>
      <c r="Q216" s="106">
        <f>IF(Q215 * 0.9235 &lt; 0, 0, Q215 * 0.9235)</f>
        <v>0</v>
      </c>
      <c r="R216" s="106">
        <f>IF(R215 * 0.9235 &lt; 0, 0, R215 * 0.9235)</f>
        <v>0</v>
      </c>
      <c r="S216" s="106">
        <f t="shared" ref="S216:U216" si="792">IF(S215 * 0.9235 &lt; 0, 0, S215 * 0.9235)</f>
        <v>0</v>
      </c>
      <c r="T216" s="106">
        <f t="shared" si="792"/>
        <v>0</v>
      </c>
      <c r="U216" s="106">
        <f t="shared" si="792"/>
        <v>0</v>
      </c>
      <c r="V216" s="106">
        <f t="shared" ref="V216" si="793">IF(V215 * 0.9235 &lt; 0, 0, V215 * 0.9235)</f>
        <v>0</v>
      </c>
      <c r="W216" s="106">
        <f t="shared" ref="W216" si="794">IF(W215 * 0.9235 &lt; 0, 0, W215 * 0.9235)</f>
        <v>0</v>
      </c>
      <c r="X216" s="106">
        <f t="shared" ref="X216" si="795">IF(X215 * 0.9235 &lt; 0, 0, X215 * 0.9235)</f>
        <v>0</v>
      </c>
      <c r="Y216" s="106">
        <f t="shared" ref="Y216" si="796">IF(Y215 * 0.9235 &lt; 0, 0, Y215 * 0.9235)</f>
        <v>0</v>
      </c>
      <c r="Z216" s="106">
        <f t="shared" ref="Z216" si="797">IF(Z215 * 0.9235 &lt; 0, 0, Z215 * 0.9235)</f>
        <v>0</v>
      </c>
      <c r="AA216" s="106">
        <f t="shared" ref="AA216" si="798">IF(AA215 * 0.9235 &lt; 0, 0, AA215 * 0.9235)</f>
        <v>0</v>
      </c>
      <c r="AB216" s="106">
        <f t="shared" ref="AB216" si="799">IF(AB215 * 0.9235 &lt; 0, 0, AB215 * 0.9235)</f>
        <v>0</v>
      </c>
      <c r="AC216" s="106">
        <f t="shared" ref="AC216" si="800">IF(AC215 * 0.9235 &lt; 0, 0, AC215 * 0.9235)</f>
        <v>0</v>
      </c>
    </row>
    <row r="217" spans="2:29" x14ac:dyDescent="0.25">
      <c r="D217" s="32">
        <v>7</v>
      </c>
      <c r="E217" s="33">
        <f t="shared" si="787"/>
        <v>7.6399999999999996E-2</v>
      </c>
      <c r="F217" s="34" t="e">
        <f t="shared" si="790"/>
        <v>#VALUE!</v>
      </c>
      <c r="G217" t="e">
        <f t="shared" si="785"/>
        <v>#VALUE!</v>
      </c>
      <c r="H217" s="34" t="e">
        <f t="shared" si="786"/>
        <v>#VALUE!</v>
      </c>
      <c r="L217" t="str">
        <f>A49</f>
        <v xml:space="preserve">Schedule E-2 Income - </v>
      </c>
      <c r="O217" t="s">
        <v>207</v>
      </c>
      <c r="P217" s="103">
        <f>IF(P215 * 0.9235 * 0.029 &lt; 0, 0, P215 * 0.9235 * 0.029)</f>
        <v>0</v>
      </c>
      <c r="Q217" s="103">
        <f>IF(Q215 * 0.9235 * 0.029 &lt; 0, 0, Q215 * 0.9235 * 0.029)</f>
        <v>0</v>
      </c>
      <c r="R217" s="103">
        <f>IF(R215 * 0.9235 * 0.029 &lt; 0, 0, R215 * 0.9235 * 0.029)</f>
        <v>0</v>
      </c>
      <c r="S217" s="103">
        <f t="shared" ref="S217:U217" si="801">IF(S215 * 0.9235 * 0.029 &lt; 0, 0, S215 * 0.9235 * 0.029)</f>
        <v>0</v>
      </c>
      <c r="T217" s="103">
        <f t="shared" si="801"/>
        <v>0</v>
      </c>
      <c r="U217" s="103">
        <f t="shared" si="801"/>
        <v>0</v>
      </c>
      <c r="V217" s="103">
        <f t="shared" ref="V217:W217" si="802">IF(V215 * 0.9235 * 0.029 &lt; 0, 0, V215 * 0.9235 * 0.029)</f>
        <v>0</v>
      </c>
      <c r="W217" s="103">
        <f t="shared" si="802"/>
        <v>0</v>
      </c>
      <c r="X217" s="103">
        <f t="shared" ref="X217" si="803">IF(X215 * 0.9235 * 0.029 &lt; 0, 0, X215 * 0.9235 * 0.029)</f>
        <v>0</v>
      </c>
      <c r="Y217" s="103">
        <f>IF(Y215 * 0.9235 * 0.029 &lt; 0, 0, Y215 * 0.9235 * 0.029)</f>
        <v>0</v>
      </c>
      <c r="Z217" s="103">
        <f t="shared" ref="Z217:AC217" si="804">IF(Z215 * 0.9235 * 0.029 &lt; 0, 0, Z215 * 0.9235 * 0.029)</f>
        <v>0</v>
      </c>
      <c r="AA217" s="103">
        <f t="shared" si="804"/>
        <v>0</v>
      </c>
      <c r="AB217" s="103">
        <f t="shared" si="804"/>
        <v>0</v>
      </c>
      <c r="AC217" s="103">
        <f t="shared" si="804"/>
        <v>0</v>
      </c>
    </row>
    <row r="218" spans="2:29" ht="15.75" thickBot="1" x14ac:dyDescent="0.3">
      <c r="C218" t="s">
        <v>529</v>
      </c>
      <c r="D218" s="32">
        <v>8</v>
      </c>
      <c r="E218" s="33">
        <f t="shared" si="787"/>
        <v>7.6399999999999996E-2</v>
      </c>
      <c r="F218" s="34" t="e">
        <f t="shared" si="790"/>
        <v>#VALUE!</v>
      </c>
      <c r="G218" t="e">
        <f t="shared" si="785"/>
        <v>#VALUE!</v>
      </c>
      <c r="H218" s="34" t="e">
        <f t="shared" si="786"/>
        <v>#VALUE!</v>
      </c>
      <c r="L218" t="s">
        <v>82</v>
      </c>
      <c r="O218" t="s">
        <v>209</v>
      </c>
      <c r="P218" s="231" t="str">
        <f>IF(B$1=2022,
   IF(MIN(MAX(0, 147000 - (
      IF(P$162=P$214, P$164, 0) +
      IF(P$175=P$214, P$177, 0) +
      IF(P$188=P$214, P$190, 0) +
      IF(P$201=P$214, P$203, 0)
   )), P$216)*0.124 &lt; 0, 0, MIN(MAX(0, 147000 - (
      IF(P$162=P$214, P$164, 0) +
      IF(P$175=P$214, P$177, 0) +
      IF(P$188=P$214, P$190, 0) +
      IF(P$201=P$214, P$203, 0)
   )), P$216)*0.124),
   IF(B$1=2023,
      IF(MIN(MAX(0, 160200 - (
         IF(P$162=P$214, P$164, 0) +
         IF(P$175=P$214, P$177, 0) +
         IF(P$188=P$214, P$190, 0) +
         IF(P$201=P$214, P$203, 0)
      )), P$216)*0.124 &lt; 0, 0, MIN(MAX(0, 160200 - (
         IF(P$162=P$214, P$164, 0) +
         IF(P$175=P$214, P$177, 0) +
         IF(P$188=P$214, P$190, 0) +
         IF(P$201=P$214, P$203, 0)
      )), P$216)*0.124),
      IF(B$1=2024,
         IF(MIN(MAX(0, 168600 - (
            IF(P$162=P$214, P$164, 0) +
            IF(P$175=P$214, P$177, 0) +
            IF(P$188=P$214, P$190, 0) +
            IF(P$201=P$214, P$203, 0)
         )), P$216)*0.124 &lt; 0, 0, MIN(MAX(0, 168600 - (
            IF(P$162=P$214, P$164, 0) +
            IF(P$175=P$214, P$177, 0) +
            IF(P$188=P$214, P$190, 0) +
            IF(P$201=P$214, P$203, 0)
         )), P$216)*0.124),
         "-"
      )
   )
)</f>
        <v>-</v>
      </c>
      <c r="Q218" s="231" t="str">
        <f>IF(C$1=2022,
   IF(MIN(MAX(0, 147000 - (
      IF(Q$162=Q$214, Q$164, 0) +
      IF(Q$175=Q$214, Q$177, 0) +
      IF(Q$188=Q$214, Q$190, 0) +
      IF(Q$201=Q$214, Q$203, 0)
   )), Q$216)*0.124 &lt; 0, 0, MIN(MAX(0, 147000 - (
      IF(Q$162=Q$214, Q$164, 0) +
      IF(Q$175=Q$214, Q$177, 0) +
      IF(Q$188=Q$214, Q$190, 0) +
      IF(Q$201=Q$214, Q$203, 0)
   )), Q$216)*0.124),
   IF(C$1=2023,
      IF(MIN(MAX(0, 160200 - (
         IF(Q$162=Q$214, Q$164, 0) +
         IF(Q$175=Q$214, Q$177, 0) +
         IF(Q$188=Q$214, Q$190, 0) +
         IF(Q$201=Q$214, Q$203, 0)
      )), Q$216)*0.124 &lt; 0, 0, MIN(MAX(0, 160200 - (
         IF(Q$162=Q$214, Q$164, 0) +
         IF(Q$175=Q$214, Q$177, 0) +
         IF(Q$188=Q$214, Q$190, 0) +
         IF(Q$201=Q$214, Q$203, 0)
      )), Q$216)*0.124),
      IF(C$1=2024,
         IF(MIN(MAX(0, 168600 - (
            IF(Q$162=Q$214, Q$164, 0) +
            IF(Q$175=Q$214, Q$177, 0) +
            IF(Q$188=Q$214, Q$190, 0) +
            IF(Q$201=Q$214, Q$203, 0)
         )), Q$216)*0.124 &lt; 0, 0, MIN(MAX(0, 168600 - (
            IF(Q$162=Q$214, Q$164, 0) +
            IF(Q$175=Q$214, Q$177, 0) +
            IF(Q$188=Q$214, Q$190, 0) +
            IF(Q$201=Q$214, Q$203, 0)
         )), Q$216)*0.124),
         "-"
      )
   )
)</f>
        <v>-</v>
      </c>
      <c r="R218" s="231" t="str">
        <f>IF(D$1=2022,
   IF(MIN(MAX(0, 147000 - (
      IF(R$162=R$214, R$164, 0) +
      IF(R$175=R$214, R$177, 0) +
      IF(R$188=R$214, R$190, 0) +
      IF(R$201=R$214, R$203, 0)
   )), R$216)*0.124 &lt; 0, 0, MIN(MAX(0, 147000 - (
      IF(R$162=R$214, R$164, 0) +
      IF(R$175=R$214, R$177, 0) +
      IF(R$188=R$214, R$190, 0) +
      IF(R$201=R$214, R$203, 0)
   )), R$216)*0.124),
   IF(D$1=2023,
      IF(MIN(MAX(0, 160200 - (
         IF(R$162=R$214, R$164, 0) +
         IF(R$175=R$214, R$177, 0) +
         IF(R$188=R$214, R$190, 0) +
         IF(R$201=R$214, R$203, 0)
      )), R$216)*0.124 &lt; 0, 0, MIN(MAX(0, 160200 - (
         IF(R$162=R$214, R$164, 0) +
         IF(R$175=R$214, R$177, 0) +
         IF(R$188=R$214, R$190, 0) +
         IF(R$201=R$214, R$203, 0)
      )), R$216)*0.124),
      IF(D$1=2024,
         IF(MIN(MAX(0, 168600 - (
            IF(R$162=R$214, R$164, 0) +
            IF(R$175=R$214, R$177, 0) +
            IF(R$188=R$214, R$190, 0) +
            IF(R$201=R$214, R$203, 0)
         )), R$216)*0.124 &lt; 0, 0, MIN(MAX(0, 168600 - (
            IF(R$162=R$214, R$164, 0) +
            IF(R$175=R$214, R$177, 0) +
            IF(R$188=R$214, R$190, 0) +
            IF(R$201=R$214, R$203, 0)
         )), R$216)*0.124),
         "-"
      )
   )
)</f>
        <v>-</v>
      </c>
      <c r="S218" s="231" t="str">
        <f t="shared" ref="S218:U218" si="805">IF(E$1=2022,
   IF(MIN(MAX(0, 147000 - (
      IF(S$162=S$214, S$164, 0) +
      IF(S$175=S$214, S$177, 0) +
      IF(S$188=S$214, S$190, 0) +
      IF(S$201=S$214, S$203, 0)
   )), S$216)*0.124 &lt; 0, 0, MIN(MAX(0, 147000 - (
      IF(S$162=S$214, S$164, 0) +
      IF(S$175=S$214, S$177, 0) +
      IF(S$188=S$214, S$190, 0) +
      IF(S$201=S$214, S$203, 0)
   )), S$216)*0.124),
   IF(E$1=2023,
      IF(MIN(MAX(0, 160200 - (
         IF(S$162=S$214, S$164, 0) +
         IF(S$175=S$214, S$177, 0) +
         IF(S$188=S$214, S$190, 0) +
         IF(S$201=S$214, S$203, 0)
      )), S$216)*0.124 &lt; 0, 0, MIN(MAX(0, 160200 - (
         IF(S$162=S$214, S$164, 0) +
         IF(S$175=S$214, S$177, 0) +
         IF(S$188=S$214, S$190, 0) +
         IF(S$201=S$214, S$203, 0)
      )), S$216)*0.124),
      IF(E$1=2024,
         IF(MIN(MAX(0, 168600 - (
            IF(S$162=S$214, S$164, 0) +
            IF(S$175=S$214, S$177, 0) +
            IF(S$188=S$214, S$190, 0) +
            IF(S$201=S$214, S$203, 0)
         )), S$216)*0.124 &lt; 0, 0, MIN(MAX(0, 168600 - (
            IF(S$162=S$214, S$164, 0) +
            IF(S$175=S$214, S$177, 0) +
            IF(S$188=S$214, S$190, 0) +
            IF(S$201=S$214, S$203, 0)
         )), S$216)*0.124),
         "-"
      )
   )
)</f>
        <v>-</v>
      </c>
      <c r="T218" s="231" t="str">
        <f t="shared" si="805"/>
        <v>-</v>
      </c>
      <c r="U218" s="231" t="str">
        <f t="shared" si="805"/>
        <v>-</v>
      </c>
      <c r="V218" s="231" t="str">
        <f>IF(H$1=2022,
   IF(MIN(MAX(0, 147000 - (
      IF(V$162=V$214, V$164, 0) +
      IF(V$175=V$214, V$177, 0) +
      IF(V$188=V$214, V$190, 0) +
      IF(V$201=V$214, V$203, 0)
   )), V$216)*0.124 &lt; 0, 0, MIN(MAX(0, 147000 - (
      IF(V$162=V$214, V$164, 0) +
      IF(V$175=V$214, V$177, 0) +
      IF(V$188=V$214, V$190, 0) +
      IF(V$201=V$214, V$203, 0)
   )), V$216)*0.124),
   IF(H$1=2023,
      IF(MIN(MAX(0, 160200 - (
         IF(V$162=V$214, V$164, 0) +
         IF(V$175=V$214, V$177, 0) +
         IF(V$188=V$214, V$190, 0) +
         IF(V$201=V$214, V$203, 0)
      )), V$216)*0.124 &lt; 0, 0, MIN(MAX(0, 160200 - (
         IF(V$162=V$214, V$164, 0) +
         IF(V$175=V$214, V$177, 0) +
         IF(V$188=V$214, V$190, 0) +
         IF(V$201=V$214, V$203, 0)
      )), V$216)*0.124),
      IF(H$1=2024,
         IF(MIN(MAX(0, 168600 - (
            IF(V$162=V$214, V$164, 0) +
            IF(V$175=V$214, V$177, 0) +
            IF(V$188=V$214, V$190, 0) +
            IF(V$201=V$214, V$203, 0)
         )), V$216)*0.124 &lt; 0, 0, MIN(MAX(0, 168600 - (
            IF(V$162=V$214, V$164, 0) +
            IF(V$175=V$214, V$177, 0) +
            IF(V$188=V$214, V$190, 0) +
            IF(V$201=V$214, V$203, 0)
         )), V$216)*0.124),
         "-"
      )
   )
)</f>
        <v>-</v>
      </c>
      <c r="W218" s="231" t="str">
        <f>IF(I$1=2022,
   IF(MIN(MAX(0, 147000 - (
      IF(W$162=W$214, W$164, 0) +
      IF(W$175=W$214, W$177, 0) +
      IF(W$188=W$214, W$190, 0) +
      IF(W$201=W$214, W$203, 0)
   )), W$216)*0.124 &lt; 0, 0, MIN(MAX(0, 147000 - (
      IF(W$162=W$214, W$164, 0) +
      IF(W$175=W$214, W$177, 0) +
      IF(W$188=W$214, W$190, 0) +
      IF(W$201=W$214, W$203, 0)
   )), W$216)*0.124),
   IF(I$1=2023,
      IF(MIN(MAX(0, 160200 - (
         IF(W$162=W$214, W$164, 0) +
         IF(W$175=W$214, W$177, 0) +
         IF(W$188=W$214, W$190, 0) +
         IF(W$201=W$214, W$203, 0)
      )), W$216)*0.124 &lt; 0, 0, MIN(MAX(0, 160200 - (
         IF(W$162=W$214, W$164, 0) +
         IF(W$175=W$214, W$177, 0) +
         IF(W$188=W$214, W$190, 0) +
         IF(W$201=W$214, W$203, 0)
      )), W$216)*0.124),
      IF(I$1=2024,
         IF(MIN(MAX(0, 168600 - (
            IF(W$162=W$214, W$164, 0) +
            IF(W$175=W$214, W$177, 0) +
            IF(W$188=W$214, W$190, 0) +
            IF(W$201=W$214, W$203, 0)
         )), W$216)*0.124 &lt; 0, 0, MIN(MAX(0, 168600 - (
            IF(W$162=W$214, W$164, 0) +
            IF(W$175=W$214, W$177, 0) +
            IF(W$188=W$214, W$190, 0) +
            IF(W$201=W$214, W$203, 0)
         )), W$216)*0.124),
         "-"
      )
   )
)</f>
        <v>-</v>
      </c>
      <c r="X218" s="231" t="str">
        <f>IF(J$1=2022,
   IF(MIN(MAX(0, 147000 - (
      IF(X$162=X$214, X$164, 0) +
      IF(X$175=X$214, X$177, 0) +
      IF(X$188=X$214, X$190, 0) +
      IF(X$201=X$214, X$203, 0)
   )), X$216)*0.124 &lt; 0, 0, MIN(MAX(0, 147000 - (
      IF(X$162=X$214, X$164, 0) +
      IF(X$175=X$214, X$177, 0) +
      IF(X$188=X$214, X$190, 0) +
      IF(X$201=X$214, X$203, 0)
   )), X$216)*0.124),
   IF(J$1=2023,
      IF(MIN(MAX(0, 160200 - (
         IF(X$162=X$214, X$164, 0) +
         IF(X$175=X$214, X$177, 0) +
         IF(X$188=X$214, X$190, 0) +
         IF(X$201=X$214, X$203, 0)
      )), X$216)*0.124 &lt; 0, 0, MIN(MAX(0, 160200 - (
         IF(X$162=X$214, X$164, 0) +
         IF(X$175=X$214, X$177, 0) +
         IF(X$188=X$214, X$190, 0) +
         IF(X$201=X$214, X$203, 0)
      )), X$216)*0.124),
      IF(J$1=2024,
         IF(MIN(MAX(0, 168600 - (
            IF(X$162=X$214, X$164, 0) +
            IF(X$175=X$214, X$177, 0) +
            IF(X$188=X$214, X$190, 0) +
            IF(X$201=X$214, X$203, 0)
         )), X$216)*0.124 &lt; 0, 0, MIN(MAX(0, 168600 - (
            IF(X$162=X$214, X$164, 0) +
            IF(X$175=X$214, X$177, 0) +
            IF(X$188=X$214, X$190, 0) +
            IF(X$201=X$214, X$203, 0)
         )), X$216)*0.124),
         "-"
      )
   )
)</f>
        <v>-</v>
      </c>
      <c r="Y218" s="231" t="str">
        <f>IF(Y$156=2022,
   IF(MIN(MAX(0, 147000 - (
      IF(Y$162=Y$214, Y$164, 0) +
      IF(Y$175=Y$214, Y$177, 0) +
      IF(Y$188=Y$214, Y$190, 0) +
      IF(Y$201=Y$214, Y$203, 0)
   )), Y$216)*0.124 &lt; 0, 0, MIN(MAX(0, 147000 - (
      IF(Y$162=Y$214, Y$164, 0) +
      IF(Y$175=Y$214, Y$177, 0) +
      IF(Y$188=Y$214, Y$190, 0) +
      IF(Y$201=Y$214, Y$203, 0)
   )), Y$216)*0.124),
   IF(Y$156=2023,
      IF(MIN(MAX(0, 160200 - (
         IF(Y$162=Y$214, Y$164, 0) +
         IF(Y$175=Y$214, Y$177, 0) +
         IF(Y$188=Y$214, Y$190, 0) +
         IF(Y$201=Y$214, Y$203, 0)
      )), Y$216)*0.124 &lt; 0, 0, MIN(MAX(0, 160200 - (
         IF(Y$162=Y$214, Y$164, 0) +
         IF(Y$175=Y$214, Y$177, 0) +
         IF(Y$188=Y$214, Y$190, 0) +
         IF(Y$201=Y$214, Y$203, 0)
      )), Y$216)*0.124),
      IF(Y$156=2024,
         IF(MIN(MAX(0, 168600 - (
            IF(Y$162=Y$214, Y$164, 0) +
            IF(Y$175=Y$214, Y$177, 0) +
            IF(Y$188=Y$214, Y$190, 0) +
            IF(Y$201=Y$214, Y$203, 0)
         )), Y$216)*0.124 &lt; 0, 0, MIN(MAX(0, 168600 - (
            IF(Y$162=Y$214, Y$164, 0) +
            IF(Y$175=Y$214, Y$177, 0) +
            IF(Y$188=Y$214, Y$190, 0) +
            IF(Y$201=Y$214, Y$203, 0)
         )), Y$216)*0.124),
         "-"
      )
   )
)</f>
        <v>-</v>
      </c>
      <c r="Z218" s="231" t="str">
        <f>IF(Z$156=2022,
   IF(MIN(MAX(0, 147000 - (
      IF(Z$162=Z$214, Z$164, 0) +
      IF(Z$175=Z$214, Z$177, 0) +
      IF(Z$188=Z$214, Z$190, 0) +
      IF(Z$201=Z$214, Z$203, 0)
   )), Z$216)*0.124 &lt; 0, 0, MIN(MAX(0, 147000 - (
      IF(Z$162=Z$214, Z$164, 0) +
      IF(Z$175=Z$214, Z$177, 0) +
      IF(Z$188=Z$214, Z$190, 0) +
      IF(Z$201=Z$214, Z$203, 0)
   )), Z$216)*0.124),
   IF(Z$156=2023,
      IF(MIN(MAX(0, 160200 - (
         IF(Z$162=Z$214, Z$164, 0) +
         IF(Z$175=Z$214, Z$177, 0) +
         IF(Z$188=Z$214, Z$190, 0) +
         IF(Z$201=Z$214, Z$203, 0)
      )), Z$216)*0.124 &lt; 0, 0, MIN(MAX(0, 160200 - (
         IF(Z$162=Z$214, Z$164, 0) +
         IF(Z$175=Z$214, Z$177, 0) +
         IF(Z$188=Z$214, Z$190, 0) +
         IF(Z$201=Z$214, Z$203, 0)
      )), Z$216)*0.124),
      IF(Z$156=2024,
         IF(MIN(MAX(0, 168600 - (
            IF(Z$162=Z$214, Z$164, 0) +
            IF(Z$175=Z$214, Z$177, 0) +
            IF(Z$188=Z$214, Z$190, 0) +
            IF(Z$201=Z$214, Z$203, 0)
         )), Z$216)*0.124 &lt; 0, 0, MIN(MAX(0, 168600 - (
            IF(Z$162=Z$214, Z$164, 0) +
            IF(Z$175=Z$214, Z$177, 0) +
            IF(Z$188=Z$214, Z$190, 0) +
            IF(Z$201=Z$214, Z$203, 0)
         )), Z$216)*0.124),
         "-"
      )
   )
)</f>
        <v>-</v>
      </c>
      <c r="AA218" s="231" t="str">
        <f>IF(AA$156=2022,
   IF(MIN(MAX(0, 147000 - (
      IF(AA$162=AA$214, AA$164, 0) +
      IF(AA$175=AA$214, AA$177, 0) +
      IF(AA$188=AA$214, AA$190, 0) +
      IF(AA$201=AA$214, AA$203, 0)
   )), AA$216)*0.124 &lt; 0, 0, MIN(MAX(0, 147000 - (
      IF(AA$162=AA$214, AA$164, 0) +
      IF(AA$175=AA$214, AA$177, 0) +
      IF(AA$188=AA$214, AA$190, 0) +
      IF(AA$201=AA$214, AA$203, 0)
   )), AA$216)*0.124),
   IF(AA$156=2023,
      IF(MIN(MAX(0, 160200 - (
         IF(AA$162=AA$214, AA$164, 0) +
         IF(AA$175=AA$214, AA$177, 0) +
         IF(AA$188=AA$214, AA$190, 0) +
         IF(AA$201=AA$214, AA$203, 0)
      )), AA$216)*0.124 &lt; 0, 0, MIN(MAX(0, 160200 - (
         IF(AA$162=AA$214, AA$164, 0) +
         IF(AA$175=AA$214, AA$177, 0) +
         IF(AA$188=AA$214, AA$190, 0) +
         IF(AA$201=AA$214, AA$203, 0)
      )), AA$216)*0.124),
      IF(AA$156=2024,
         IF(MIN(MAX(0, 168600 - (
            IF(AA$162=AA$214, AA$164, 0) +
            IF(AA$175=AA$214, AA$177, 0) +
            IF(AA$188=AA$214, AA$190, 0) +
            IF(AA$201=AA$214, AA$203, 0)
         )), AA$216)*0.124 &lt; 0, 0, MIN(MAX(0, 168600 - (
            IF(AA$162=AA$214, AA$164, 0) +
            IF(AA$175=AA$214, AA$177, 0) +
            IF(AA$188=AA$214, AA$190, 0) +
            IF(AA$201=AA$214, AA$203, 0)
         )), AA$216)*0.124),
         "-"
      )
   )
)</f>
        <v>-</v>
      </c>
      <c r="AB218" s="231" t="str">
        <f>IF(AB$156=2022,
   IF(MIN(MAX(0, 147000 - (
      IF(AB$162=AB$214, AB$164, 0) +
      IF(AB$175=AB$214, AB$177, 0) +
      IF(AB$188=AB$214, AB$190, 0) +
      IF(AB$201=AB$214, AB$203, 0)
   )), AB$216)*0.124 &lt; 0, 0, MIN(MAX(0, 147000 - (
      IF(AB$162=AB$214, AB$164, 0) +
      IF(AB$175=AB$214, AB$177, 0) +
      IF(AB$188=AB$214, AB$190, 0) +
      IF(AB$201=AB$214, AB$203, 0)
   )), AB$216)*0.124),
   IF(AB$156=2023,
      IF(MIN(MAX(0, 160200 - (
         IF(AB$162=AB$214, AB$164, 0) +
         IF(AB$175=AB$214, AB$177, 0) +
         IF(AB$188=AB$214, AB$190, 0) +
         IF(AB$201=AB$214, AB$203, 0)
      )), AB$216)*0.124 &lt; 0, 0, MIN(MAX(0, 160200 - (
         IF(AB$162=AB$214, AB$164, 0) +
         IF(AB$175=AB$214, AB$177, 0) +
         IF(AB$188=AB$214, AB$190, 0) +
         IF(AB$201=AB$214, AB$203, 0)
      )), AB$216)*0.124),
      IF(AB$156=2024,
         IF(MIN(MAX(0, 168600 - (
            IF(AB$162=AB$214, AB$164, 0) +
            IF(AB$175=AB$214, AB$177, 0) +
            IF(AB$188=AB$214, AB$190, 0) +
            IF(AB$201=AB$214, AB$203, 0)
         )), AB$216)*0.124 &lt; 0, 0, MIN(MAX(0, 168600 - (
            IF(AB$162=AB$214, AB$164, 0) +
            IF(AB$175=AB$214, AB$177, 0) +
            IF(AB$188=AB$214, AB$190, 0) +
            IF(AB$201=AB$214, AB$203, 0)
         )), AB$216)*0.124),
         "-"
      )
   )
)</f>
        <v>-</v>
      </c>
      <c r="AC218" s="231" t="str">
        <f>IF(AC$156=2022,
   IF(MIN(MAX(0, 147000 - (
      IF(AC$162=AC$214, AC$164, 0) +
      IF(AC$175=AC$214, AC$177, 0) +
      IF(AC$188=AC$214, AC$190, 0) +
      IF(AC$201=AC$214, AC$203, 0)
   )), AC$216)*0.124 &lt; 0, 0, MIN(MAX(0, 147000 - (
      IF(AC$162=AC$214, AC$164, 0) +
      IF(AC$175=AC$214, AC$177, 0) +
      IF(AC$188=AC$214, AC$190, 0) +
      IF(AC$201=AC$214, AC$203, 0)
   )), AC$216)*0.124),
   IF(AC$156=2023,
      IF(MIN(MAX(0, 160200 - (
         IF(AC$162=AC$214, AC$164, 0) +
         IF(AC$175=AC$214, AC$177, 0) +
         IF(AC$188=AC$214, AC$190, 0) +
         IF(AC$201=AC$214, AC$203, 0)
      )), AC$216)*0.124 &lt; 0, 0, MIN(MAX(0, 160200 - (
         IF(AC$162=AC$214, AC$164, 0) +
         IF(AC$175=AC$214, AC$177, 0) +
         IF(AC$188=AC$214, AC$190, 0) +
         IF(AC$201=AC$214, AC$203, 0)
      )), AC$216)*0.124),
      IF(AC$156=2024,
         IF(MIN(MAX(0, 168600 - (
            IF(AC$162=AC$214, AC$164, 0) +
            IF(AC$175=AC$214, AC$177, 0) +
            IF(AC$188=AC$214, AC$190, 0) +
            IF(AC$201=AC$214, AC$203, 0)
         )), AC$216)*0.124 &lt; 0, 0, MIN(MAX(0, 168600 - (
            IF(AC$162=AC$214, AC$164, 0) +
            IF(AC$175=AC$214, AC$177, 0) +
            IF(AC$188=AC$214, AC$190, 0) +
            IF(AC$201=AC$214, AC$203, 0)
         )), AC$216)*0.124),
         "-"
      )
   )
)</f>
        <v>-</v>
      </c>
    </row>
    <row r="219" spans="2:29" ht="15.75" thickBot="1" x14ac:dyDescent="0.3">
      <c r="C219" t="str">
        <f>A40</f>
        <v xml:space="preserve">Business 1 Expenses - </v>
      </c>
      <c r="D219" s="32">
        <v>9</v>
      </c>
      <c r="E219" s="33">
        <f t="shared" si="787"/>
        <v>7.6399999999999996E-2</v>
      </c>
      <c r="F219" s="34" t="e">
        <f t="shared" si="790"/>
        <v>#VALUE!</v>
      </c>
      <c r="G219" t="e">
        <f t="shared" si="785"/>
        <v>#VALUE!</v>
      </c>
      <c r="H219" s="34" t="e">
        <f t="shared" si="786"/>
        <v>#VALUE!</v>
      </c>
      <c r="P219" s="82"/>
      <c r="Q219" s="82"/>
      <c r="R219" s="82"/>
      <c r="S219" s="82"/>
      <c r="T219" s="82"/>
      <c r="U219" s="82"/>
      <c r="V219" s="82"/>
      <c r="W219" s="82"/>
      <c r="X219" s="82"/>
      <c r="Y219" s="82"/>
      <c r="Z219" s="82"/>
      <c r="AA219" s="82"/>
      <c r="AB219" s="82"/>
      <c r="AC219" s="82"/>
    </row>
    <row r="220" spans="2:29" x14ac:dyDescent="0.25">
      <c r="C220" t="str">
        <f>A42</f>
        <v xml:space="preserve">Business 2 Expenses - </v>
      </c>
      <c r="D220" s="32">
        <v>10</v>
      </c>
      <c r="E220" s="33">
        <f t="shared" si="787"/>
        <v>7.6399999999999996E-2</v>
      </c>
      <c r="F220" s="34" t="e">
        <f t="shared" si="790"/>
        <v>#VALUE!</v>
      </c>
      <c r="G220" t="e">
        <f t="shared" si="785"/>
        <v>#VALUE!</v>
      </c>
      <c r="H220" s="34" t="e">
        <f t="shared" si="786"/>
        <v>#VALUE!</v>
      </c>
      <c r="P220" s="254" t="s">
        <v>519</v>
      </c>
      <c r="Q220" s="254" t="s">
        <v>519</v>
      </c>
      <c r="R220" s="254" t="s">
        <v>519</v>
      </c>
      <c r="S220" s="254" t="s">
        <v>519</v>
      </c>
      <c r="T220" s="254" t="s">
        <v>519</v>
      </c>
      <c r="U220" s="254" t="s">
        <v>519</v>
      </c>
      <c r="V220" s="254" t="s">
        <v>519</v>
      </c>
      <c r="W220" s="254" t="s">
        <v>519</v>
      </c>
      <c r="X220" s="254" t="s">
        <v>519</v>
      </c>
      <c r="Y220" s="254" t="s">
        <v>410</v>
      </c>
      <c r="Z220" s="254" t="s">
        <v>410</v>
      </c>
      <c r="AA220" s="254" t="s">
        <v>410</v>
      </c>
      <c r="AB220" s="254" t="s">
        <v>410</v>
      </c>
      <c r="AC220" s="254" t="s">
        <v>410</v>
      </c>
    </row>
    <row r="221" spans="2:29" x14ac:dyDescent="0.25">
      <c r="C221" t="str">
        <f>A44</f>
        <v xml:space="preserve">Schedule C-1 Expenses - </v>
      </c>
      <c r="D221" s="32">
        <v>11</v>
      </c>
      <c r="E221" s="33">
        <f t="shared" si="787"/>
        <v>7.6399999999999996E-2</v>
      </c>
      <c r="F221" s="34" t="e">
        <f t="shared" si="790"/>
        <v>#VALUE!</v>
      </c>
      <c r="G221" t="e">
        <f t="shared" si="785"/>
        <v>#VALUE!</v>
      </c>
      <c r="H221" s="34" t="e">
        <f t="shared" si="786"/>
        <v>#VALUE!</v>
      </c>
      <c r="N221" s="125" t="s">
        <v>51</v>
      </c>
      <c r="O221" t="s">
        <v>236</v>
      </c>
      <c r="P221" s="101">
        <f>SUM(B45:B46)</f>
        <v>0</v>
      </c>
      <c r="Q221" s="101">
        <f>SUM(C45:C46)</f>
        <v>0</v>
      </c>
      <c r="R221" s="101">
        <f>SUM(D45:D46)</f>
        <v>0</v>
      </c>
      <c r="S221" s="101">
        <f t="shared" ref="S221:U221" si="806">SUM(E45:E46)</f>
        <v>0</v>
      </c>
      <c r="T221" s="101">
        <f t="shared" si="806"/>
        <v>0</v>
      </c>
      <c r="U221" s="101">
        <f t="shared" si="806"/>
        <v>0</v>
      </c>
      <c r="V221" s="101">
        <f>SUM(H45:H46)</f>
        <v>0</v>
      </c>
      <c r="W221" s="101">
        <f>SUM(I45:I46)</f>
        <v>0</v>
      </c>
      <c r="X221" s="101">
        <f>SUM(J45:J46)</f>
        <v>0</v>
      </c>
      <c r="Y221" s="101">
        <v>0</v>
      </c>
      <c r="Z221" s="101">
        <v>0</v>
      </c>
      <c r="AA221" s="101">
        <v>0</v>
      </c>
      <c r="AB221" s="101">
        <v>0</v>
      </c>
      <c r="AC221" s="101">
        <v>0</v>
      </c>
    </row>
    <row r="222" spans="2:29" x14ac:dyDescent="0.25">
      <c r="C222" t="str">
        <f>A46</f>
        <v xml:space="preserve">Schedule C-2 Expenses - </v>
      </c>
      <c r="D222" s="32">
        <v>12</v>
      </c>
      <c r="E222" s="33">
        <f t="shared" si="787"/>
        <v>7.6399999999999996E-2</v>
      </c>
      <c r="F222" s="34" t="e">
        <f t="shared" si="790"/>
        <v>#VALUE!</v>
      </c>
      <c r="G222" t="e">
        <f t="shared" si="785"/>
        <v>#VALUE!</v>
      </c>
      <c r="H222" s="34" t="e">
        <f t="shared" si="786"/>
        <v>#VALUE!</v>
      </c>
      <c r="O222" s="37">
        <v>0.92349999999999999</v>
      </c>
      <c r="P222" s="106">
        <f>IF(P221 * 0.9235 &lt; 0, 0, P221 * 0.9235)</f>
        <v>0</v>
      </c>
      <c r="Q222" s="106">
        <f>IF(Q221 * 0.9235 &lt; 0, 0, Q221 * 0.9235)</f>
        <v>0</v>
      </c>
      <c r="R222" s="106">
        <f>IF(R221 * 0.9235 &lt; 0, 0, R221 * 0.9235)</f>
        <v>0</v>
      </c>
      <c r="S222" s="106">
        <f t="shared" ref="S222:U222" si="807">IF(S221 * 0.9235 &lt; 0, 0, S221 * 0.9235)</f>
        <v>0</v>
      </c>
      <c r="T222" s="106">
        <f t="shared" si="807"/>
        <v>0</v>
      </c>
      <c r="U222" s="106">
        <f t="shared" si="807"/>
        <v>0</v>
      </c>
      <c r="V222" s="106">
        <f>IF(V221 * 0.9235 &lt; 0, 0, V221 * 0.9235)</f>
        <v>0</v>
      </c>
      <c r="W222" s="106">
        <f>IF(W221 * 0.9235 &lt; 0, 0, W221 * 0.9235)</f>
        <v>0</v>
      </c>
      <c r="X222" s="106">
        <f t="shared" ref="X222" si="808">IF(X221 * 0.9235 &lt; 0, 0, X221 * 0.9235)</f>
        <v>0</v>
      </c>
      <c r="Y222" s="106">
        <f t="shared" ref="Y222" si="809">IF(Y221 * 0.9235 &lt; 0, 0, Y221 * 0.9235)</f>
        <v>0</v>
      </c>
      <c r="Z222" s="106">
        <f t="shared" ref="Z222" si="810">IF(Z221 * 0.9235 &lt; 0, 0, Z221 * 0.9235)</f>
        <v>0</v>
      </c>
      <c r="AA222" s="106">
        <f t="shared" ref="AA222" si="811">IF(AA221 * 0.9235 &lt; 0, 0, AA221 * 0.9235)</f>
        <v>0</v>
      </c>
      <c r="AB222" s="106">
        <f t="shared" ref="AB222" si="812">IF(AB221 * 0.9235 &lt; 0, 0, AB221 * 0.9235)</f>
        <v>0</v>
      </c>
      <c r="AC222" s="106">
        <f t="shared" ref="AC222" si="813">IF(AC221 * 0.9235 &lt; 0, 0, AC221 * 0.9235)</f>
        <v>0</v>
      </c>
    </row>
    <row r="223" spans="2:29" x14ac:dyDescent="0.25">
      <c r="C223" t="str">
        <f>A48</f>
        <v>Schedule E-1 Expenses -</v>
      </c>
      <c r="D223" s="32">
        <v>13</v>
      </c>
      <c r="E223" s="33">
        <f t="shared" si="787"/>
        <v>7.6399999999999996E-2</v>
      </c>
      <c r="F223" s="34" t="e">
        <f t="shared" si="790"/>
        <v>#VALUE!</v>
      </c>
      <c r="G223" t="e">
        <f t="shared" si="785"/>
        <v>#VALUE!</v>
      </c>
      <c r="H223" s="34" t="e">
        <f t="shared" si="786"/>
        <v>#VALUE!</v>
      </c>
      <c r="O223" t="s">
        <v>207</v>
      </c>
      <c r="P223" s="103">
        <f>IF(P221 * 0.9235 * 0.029 &lt; 0, 0, P221 * 0.9235 * 0.029)</f>
        <v>0</v>
      </c>
      <c r="Q223" s="103">
        <f>IF(Q221 * 0.9235 * 0.029 &lt; 0, 0, Q221 * 0.9235 * 0.029)</f>
        <v>0</v>
      </c>
      <c r="R223" s="103">
        <f>IF(R221 * 0.9235 * 0.029 &lt; 0, 0, R221 * 0.9235 * 0.029)</f>
        <v>0</v>
      </c>
      <c r="S223" s="103">
        <f t="shared" ref="S223:U223" si="814">IF(S221 * 0.9235 * 0.029 &lt; 0, 0, S221 * 0.9235 * 0.029)</f>
        <v>0</v>
      </c>
      <c r="T223" s="103">
        <f t="shared" si="814"/>
        <v>0</v>
      </c>
      <c r="U223" s="103">
        <f t="shared" si="814"/>
        <v>0</v>
      </c>
      <c r="V223" s="103">
        <f>IF(V221 * 0.9235 * 0.029 &lt; 0, 0, V221 * 0.9235 * 0.029)</f>
        <v>0</v>
      </c>
      <c r="W223" s="103">
        <f>IF(W221 * 0.9235 * 0.029 &lt; 0, 0, W221 * 0.9235 * 0.029)</f>
        <v>0</v>
      </c>
      <c r="X223" s="103">
        <f t="shared" ref="X223" si="815">IF(X221 * 0.9235 * 0.029 &lt; 0, 0, X221 * 0.9235 * 0.029)</f>
        <v>0</v>
      </c>
      <c r="Y223" s="103">
        <f>IF(Y221 * 0.9235 * 0.029 &lt; 0, 0, Y221 * 0.9235 * 0.029)</f>
        <v>0</v>
      </c>
      <c r="Z223" s="103">
        <f t="shared" ref="Z223:AC223" si="816">IF(Z221 * 0.9235 * 0.029 &lt; 0, 0, Z221 * 0.9235 * 0.029)</f>
        <v>0</v>
      </c>
      <c r="AA223" s="103">
        <f t="shared" si="816"/>
        <v>0</v>
      </c>
      <c r="AB223" s="103">
        <f t="shared" si="816"/>
        <v>0</v>
      </c>
      <c r="AC223" s="103">
        <f t="shared" si="816"/>
        <v>0</v>
      </c>
    </row>
    <row r="224" spans="2:29" ht="15.75" thickBot="1" x14ac:dyDescent="0.3">
      <c r="C224" t="str">
        <f>A50</f>
        <v xml:space="preserve">Schedule E-2 Expenses - </v>
      </c>
      <c r="D224" s="32">
        <v>14</v>
      </c>
      <c r="E224" s="33">
        <f t="shared" si="787"/>
        <v>7.6399999999999996E-2</v>
      </c>
      <c r="F224" s="34" t="e">
        <f t="shared" si="790"/>
        <v>#VALUE!</v>
      </c>
      <c r="G224" t="e">
        <f t="shared" si="785"/>
        <v>#VALUE!</v>
      </c>
      <c r="H224" s="34" t="e">
        <f t="shared" si="786"/>
        <v>#VALUE!</v>
      </c>
      <c r="O224" t="s">
        <v>209</v>
      </c>
      <c r="P224" s="231" t="str">
        <f>IF(B$1=2022,
   IF(MIN(MAX(0, 147000 - (
      IF(P$162=P$220, P$164, 0) +
      IF(P$175=P$220, P$177, 0) +
      IF(P$188=P$220, P$190, 0) +
      IF(P$201=P$220, P$203, 0) +
      IF(P$214=P$220, P$216, 0)
   )), P$222)*0.124 &lt; 0, 0, MIN(MAX(0, 147000 - (
      IF(P$162=P$220, P$164, 0) +
      IF(P$175=P$220, P$177, 0) +
      IF(P$188=P$220, P$190, 0) +
      IF(P$201=P$220, P$203, 0) +
      IF(P$214=P$220, P$216, 0)
   )), P$222)*0.124),
   IF(B$1=2023,
      IF(MIN(MAX(0, 160200 - (
         IF(P$162=P$220, P$164, 0) +
         IF(P$175=P$220, P$177, 0) +
         IF(P$188=P$220, P$190, 0) +
         IF(P$201=P$220, P$203, 0) +
         IF(P$214=P$220, P$216, 0)
      )), P$222)*0.124 &lt; 0, 0, MIN(MAX(0, 160200 - (
         IF(P$162=P$220, P$164, 0) +
         IF(P$175=P$220, P$177, 0) +
         IF(P$188=P$220, P$190, 0) +
         IF(P$201=P$220, P$203, 0) +
         IF(P$214=P$220, P$216, 0)
      )), P$222)*0.124),
      IF(B$1=2024,
         IF(MIN(MAX(0, 168600 - (
            IF(P$162=P$220, P$164, 0) +
            IF(P$175=P$220, P$177, 0) +
            IF(P$188=P$220, P$190, 0) +
            IF(P$201=P$220, P$203, 0) +
            IF(P$214=P$220, P$216, 0)
         )), P$222)*0.124 &lt; 0, 0, MIN(MAX(0, 168600 - (
            IF(P$162=P$220, P$164, 0) +
            IF(P$175=P$220, P$177, 0) +
            IF(P$188=P$220, P$190, 0) +
            IF(P$201=P$220, P$203, 0) +
            IF(P$214=P$220, P$216, 0)
         )), P$222)*0.124),
         "-"
      )
   )
)</f>
        <v>-</v>
      </c>
      <c r="Q224" s="231" t="str">
        <f>IF(C$1=2022,
   IF(MIN(MAX(0, 147000 - (
      IF(Q$162=Q$220, Q$164, 0) +
      IF(Q$175=Q$220, Q$177, 0) +
      IF(Q$188=Q$220, Q$190, 0) +
      IF(Q$201=Q$220, Q$203, 0) +
      IF(Q$214=Q$220, Q$216, 0)
   )), Q$222)*0.124 &lt; 0, 0, MIN(MAX(0, 147000 - (
      IF(Q$162=Q$220, Q$164, 0) +
      IF(Q$175=Q$220, Q$177, 0) +
      IF(Q$188=Q$220, Q$190, 0) +
      IF(Q$201=Q$220, Q$203, 0) +
      IF(Q$214=Q$220, Q$216, 0)
   )), Q$222)*0.124),
   IF(C$1=2023,
      IF(MIN(MAX(0, 160200 - (
         IF(Q$162=Q$220, Q$164, 0) +
         IF(Q$175=Q$220, Q$177, 0) +
         IF(Q$188=Q$220, Q$190, 0) +
         IF(Q$201=Q$220, Q$203, 0) +
         IF(Q$214=Q$220, Q$216, 0)
      )), Q$222)*0.124 &lt; 0, 0, MIN(MAX(0, 160200 - (
         IF(Q$162=Q$220, Q$164, 0) +
         IF(Q$175=Q$220, Q$177, 0) +
         IF(Q$188=Q$220, Q$190, 0) +
         IF(Q$201=Q$220, Q$203, 0) +
         IF(Q$214=Q$220, Q$216, 0)
      )), Q$222)*0.124),
      IF(C$1=2024,
         IF(MIN(MAX(0, 168600 - (
            IF(Q$162=Q$220, Q$164, 0) +
            IF(Q$175=Q$220, Q$177, 0) +
            IF(Q$188=Q$220, Q$190, 0) +
            IF(Q$201=Q$220, Q$203, 0) +
            IF(Q$214=Q$220, Q$216, 0)
         )), Q$222)*0.124 &lt; 0, 0, MIN(MAX(0, 168600 - (
            IF(Q$162=Q$220, Q$164, 0) +
            IF(Q$175=Q$220, Q$177, 0) +
            IF(Q$188=Q$220, Q$190, 0) +
            IF(Q$201=Q$220, Q$203, 0) +
            IF(Q$214=Q$220, Q$216, 0)
         )), Q$222)*0.124),
         "-"
      )
   )
)</f>
        <v>-</v>
      </c>
      <c r="R224" s="231" t="str">
        <f>IF(D$1=2022,
   IF(MIN(MAX(0, 147000 - (
      IF(R$162=R$220, R$164, 0) +
      IF(R$175=R$220, R$177, 0) +
      IF(R$188=R$220, R$190, 0) +
      IF(R$201=R$220, R$203, 0) +
      IF(R$214=R$220, R$216, 0)
   )), R$222)*0.124 &lt; 0, 0, MIN(MAX(0, 147000 - (
      IF(R$162=R$220, R$164, 0) +
      IF(R$175=R$220, R$177, 0) +
      IF(R$188=R$220, R$190, 0) +
      IF(R$201=R$220, R$203, 0) +
      IF(R$214=R$220, R$216, 0)
   )), R$222)*0.124),
   IF(D$1=2023,
      IF(MIN(MAX(0, 160200 - (
         IF(R$162=R$220, R$164, 0) +
         IF(R$175=R$220, R$177, 0) +
         IF(R$188=R$220, R$190, 0) +
         IF(R$201=R$220, R$203, 0) +
         IF(R$214=R$220, R$216, 0)
      )), R$222)*0.124 &lt; 0, 0, MIN(MAX(0, 160200 - (
         IF(R$162=R$220, R$164, 0) +
         IF(R$175=R$220, R$177, 0) +
         IF(R$188=R$220, R$190, 0) +
         IF(R$201=R$220, R$203, 0) +
         IF(R$214=R$220, R$216, 0)
      )), R$222)*0.124),
      IF(D$1=2024,
         IF(MIN(MAX(0, 168600 - (
            IF(R$162=R$220, R$164, 0) +
            IF(R$175=R$220, R$177, 0) +
            IF(R$188=R$220, R$190, 0) +
            IF(R$201=R$220, R$203, 0) +
            IF(R$214=R$220, R$216, 0)
         )), R$222)*0.124 &lt; 0, 0, MIN(MAX(0, 168600 - (
            IF(R$162=R$220, R$164, 0) +
            IF(R$175=R$220, R$177, 0) +
            IF(R$188=R$220, R$190, 0) +
            IF(R$201=R$220, R$203, 0) +
            IF(R$214=R$220, R$216, 0)
         )), R$222)*0.124),
         "-"
      )
   )
)</f>
        <v>-</v>
      </c>
      <c r="S224" s="231" t="str">
        <f t="shared" ref="S224:U224" si="817">IF(E$1=2022,
   IF(MIN(MAX(0, 147000 - (
      IF(S$162=S$220, S$164, 0) +
      IF(S$175=S$220, S$177, 0) +
      IF(S$188=S$220, S$190, 0) +
      IF(S$201=S$220, S$203, 0) +
      IF(S$214=S$220, S$216, 0)
   )), S$222)*0.124 &lt; 0, 0, MIN(MAX(0, 147000 - (
      IF(S$162=S$220, S$164, 0) +
      IF(S$175=S$220, S$177, 0) +
      IF(S$188=S$220, S$190, 0) +
      IF(S$201=S$220, S$203, 0) +
      IF(S$214=S$220, S$216, 0)
   )), S$222)*0.124),
   IF(E$1=2023,
      IF(MIN(MAX(0, 160200 - (
         IF(S$162=S$220, S$164, 0) +
         IF(S$175=S$220, S$177, 0) +
         IF(S$188=S$220, S$190, 0) +
         IF(S$201=S$220, S$203, 0) +
         IF(S$214=S$220, S$216, 0)
      )), S$222)*0.124 &lt; 0, 0, MIN(MAX(0, 160200 - (
         IF(S$162=S$220, S$164, 0) +
         IF(S$175=S$220, S$177, 0) +
         IF(S$188=S$220, S$190, 0) +
         IF(S$201=S$220, S$203, 0) +
         IF(S$214=S$220, S$216, 0)
      )), S$222)*0.124),
      IF(E$1=2024,
         IF(MIN(MAX(0, 168600 - (
            IF(S$162=S$220, S$164, 0) +
            IF(S$175=S$220, S$177, 0) +
            IF(S$188=S$220, S$190, 0) +
            IF(S$201=S$220, S$203, 0) +
            IF(S$214=S$220, S$216, 0)
         )), S$222)*0.124 &lt; 0, 0, MIN(MAX(0, 168600 - (
            IF(S$162=S$220, S$164, 0) +
            IF(S$175=S$220, S$177, 0) +
            IF(S$188=S$220, S$190, 0) +
            IF(S$201=S$220, S$203, 0) +
            IF(S$214=S$220, S$216, 0)
         )), S$222)*0.124),
         "-"
      )
   )
)</f>
        <v>-</v>
      </c>
      <c r="T224" s="231" t="str">
        <f t="shared" si="817"/>
        <v>-</v>
      </c>
      <c r="U224" s="231" t="str">
        <f t="shared" si="817"/>
        <v>-</v>
      </c>
      <c r="V224" s="231" t="str">
        <f>IF(H$1=2022,
   IF(MIN(MAX(0, 147000 - (
      IF(V$162=V$220, V$164, 0) +
      IF(V$175=V$220, V$177, 0) +
      IF(V$188=V$220, V$190, 0) +
      IF(V$201=V$220, V$203, 0) +
      IF(V$214=V$220, V$216, 0)
   )), V$222)*0.124 &lt; 0, 0, MIN(MAX(0, 147000 - (
      IF(V$162=V$220, V$164, 0) +
      IF(V$175=V$220, V$177, 0) +
      IF(V$188=V$220, V$190, 0) +
      IF(V$201=V$220, V$203, 0) +
      IF(V$214=V$220, V$216, 0)
   )), V$222)*0.124),
   IF(H$1=2023,
      IF(MIN(MAX(0, 160200 - (
         IF(V$162=V$220, V$164, 0) +
         IF(V$175=V$220, V$177, 0) +
         IF(V$188=V$220, V$190, 0) +
         IF(V$201=V$220, V$203, 0) +
         IF(V$214=V$220, V$216, 0)
      )), V$222)*0.124 &lt; 0, 0, MIN(MAX(0, 160200 - (
         IF(V$162=V$220, V$164, 0) +
         IF(V$175=V$220, V$177, 0) +
         IF(V$188=V$220, V$190, 0) +
         IF(V$201=V$220, V$203, 0) +
         IF(V$214=V$220, V$216, 0)
      )), V$222)*0.124),
      IF(H$1=2024,
         IF(MIN(MAX(0, 168600 - (
            IF(V$162=V$220, V$164, 0) +
            IF(V$175=V$220, V$177, 0) +
            IF(V$188=V$220, V$190, 0) +
            IF(V$201=V$220, V$203, 0) +
            IF(V$214=V$220, V$216, 0)
         )), V$222)*0.124 &lt; 0, 0, MIN(MAX(0, 168600 - (
            IF(V$162=V$220, V$164, 0) +
            IF(V$175=V$220, V$177, 0) +
            IF(V$188=V$220, V$190, 0) +
            IF(V$201=V$220, V$203, 0) +
            IF(V$214=V$220, V$216, 0)
         )), V$222)*0.124),
         "-"
      )
   )
)</f>
        <v>-</v>
      </c>
      <c r="W224" s="231" t="str">
        <f>IF(I$1=2022,
   IF(MIN(MAX(0, 147000 - (
      IF(W$162=W$220, W$164, 0) +
      IF(W$175=W$220, W$177, 0) +
      IF(W$188=W$220, W$190, 0) +
      IF(W$201=W$220, W$203, 0) +
      IF(W$214=W$220, W$216, 0)
   )), W$222)*0.124 &lt; 0, 0, MIN(MAX(0, 147000 - (
      IF(W$162=W$220, W$164, 0) +
      IF(W$175=W$220, W$177, 0) +
      IF(W$188=W$220, W$190, 0) +
      IF(W$201=W$220, W$203, 0) +
      IF(W$214=W$220, W$216, 0)
   )), W$222)*0.124),
   IF(I$1=2023,
      IF(MIN(MAX(0, 160200 - (
         IF(W$162=W$220, W$164, 0) +
         IF(W$175=W$220, W$177, 0) +
         IF(W$188=W$220, W$190, 0) +
         IF(W$201=W$220, W$203, 0) +
         IF(W$214=W$220, W$216, 0)
      )), W$222)*0.124 &lt; 0, 0, MIN(MAX(0, 160200 - (
         IF(W$162=W$220, W$164, 0) +
         IF(W$175=W$220, W$177, 0) +
         IF(W$188=W$220, W$190, 0) +
         IF(W$201=W$220, W$203, 0) +
         IF(W$214=W$220, W$216, 0)
      )), W$222)*0.124),
      IF(I$1=2024,
         IF(MIN(MAX(0, 168600 - (
            IF(W$162=W$220, W$164, 0) +
            IF(W$175=W$220, W$177, 0) +
            IF(W$188=W$220, W$190, 0) +
            IF(W$201=W$220, W$203, 0) +
            IF(W$214=W$220, W$216, 0)
         )), W$222)*0.124 &lt; 0, 0, MIN(MAX(0, 168600 - (
            IF(W$162=W$220, W$164, 0) +
            IF(W$175=W$220, W$177, 0) +
            IF(W$188=W$220, W$190, 0) +
            IF(W$201=W$220, W$203, 0) +
            IF(W$214=W$220, W$216, 0)
         )), W$222)*0.124),
         "-"
      )
   )
)</f>
        <v>-</v>
      </c>
      <c r="X224" s="231" t="str">
        <f>IF(J$1=2022,
   IF(MIN(MAX(0, 147000 - (
      IF(X$162=X$220, X$164, 0) +
      IF(X$175=X$220, X$177, 0) +
      IF(X$188=X$220, X$190, 0) +
      IF(X$201=X$220, X$203, 0) +
      IF(X$214=X$220, X$216, 0)
   )), X$222)*0.124 &lt; 0, 0, MIN(MAX(0, 147000 - (
      IF(X$162=X$220, X$164, 0) +
      IF(X$175=X$220, X$177, 0) +
      IF(X$188=X$220, X$190, 0) +
      IF(X$201=X$220, X$203, 0) +
      IF(X$214=X$220, X$216, 0)
   )), X$222)*0.124),
   IF(J$1=2023,
      IF(MIN(MAX(0, 160200 - (
         IF(X$162=X$220, X$164, 0) +
         IF(X$175=X$220, X$177, 0) +
         IF(X$188=X$220, X$190, 0) +
         IF(X$201=X$220, X$203, 0) +
         IF(X$214=X$220, X$216, 0)
      )), X$222)*0.124 &lt; 0, 0, MIN(MAX(0, 160200 - (
         IF(X$162=X$220, X$164, 0) +
         IF(X$175=X$220, X$177, 0) +
         IF(X$188=X$220, X$190, 0) +
         IF(X$201=X$220, X$203, 0) +
         IF(X$214=X$220, X$216, 0)
      )), X$222)*0.124),
      IF(J$1=2024,
         IF(MIN(MAX(0, 168600 - (
            IF(X$162=X$220, X$164, 0) +
            IF(X$175=X$220, X$177, 0) +
            IF(X$188=X$220, X$190, 0) +
            IF(X$201=X$220, X$203, 0) +
            IF(X$214=X$220, X$216, 0)
         )), X$222)*0.124 &lt; 0, 0, MIN(MAX(0, 168600 - (
            IF(X$162=X$220, X$164, 0) +
            IF(X$175=X$220, X$177, 0) +
            IF(X$188=X$220, X$190, 0) +
            IF(X$201=X$220, X$203, 0) +
            IF(X$214=X$220, X$216, 0)
         )), X$222)*0.124),
         "-"
      )
   )
)</f>
        <v>-</v>
      </c>
      <c r="Y224" s="231" t="str">
        <f>IF(Y$156=2022,
   IF(MIN(MAX(0, 147000 - (
      IF(Y$162=Y$220, Y$164, 0) +
      IF(Y$175=Y$220, Y$177, 0) +
      IF(Y$188=Y$220, Y$190, 0) +
      IF(Y$201=Y$220, Y$203, 0) +
      IF(Y$214=Y$220, Y$216, 0)
   )), Y$222)*0.124 &lt; 0, 0, MIN(MAX(0, 147000 - (
      IF(Y$162=Y$220, Y$164, 0) +
      IF(Y$175=Y$220, Y$177, 0) +
      IF(Y$188=Y$220, Y$190, 0) +
      IF(Y$201=Y$220, Y$203, 0) +
      IF(Y$214=Y$220, Y$216, 0)
   )), Y$222)*0.124),
   IF(Y$156=2023,
      IF(MIN(MAX(0, 160200 - (
         IF(Y$162=Y$220, Y$164, 0) +
         IF(Y$175=Y$220, Y$177, 0) +
         IF(Y$188=Y$220, Y$190, 0) +
         IF(Y$201=Y$220, Y$203, 0) +
         IF(Y$214=Y$220, Y$216, 0)
      )), Y$222)*0.124 &lt; 0, 0, MIN(MAX(0, 160200 - (
         IF(Y$162=Y$220, Y$164, 0) +
         IF(Y$175=Y$220, Y$177, 0) +
         IF(Y$188=Y$220, Y$190, 0) +
         IF(Y$201=Y$220, Y$203, 0) +
         IF(Y$214=Y$220, Y$216, 0)
      )), Y$222)*0.124),
      IF(Y$156=2024,
         IF(MIN(MAX(0, 168600 - (
            IF(Y$162=Y$220, Y$164, 0) +
            IF(Y$175=Y$220, Y$177, 0) +
            IF(Y$188=Y$220, Y$190, 0) +
            IF(Y$201=Y$220, Y$203, 0) +
            IF(Y$214=Y$220, Y$216, 0)
         )), Y$222)*0.124 &lt; 0, 0, MIN(MAX(0, 168600 - (
            IF(Y$162=Y$220, Y$164, 0) +
            IF(Y$175=Y$220, Y$177, 0) +
            IF(Y$188=Y$220, Y$190, 0) +
            IF(Y$201=Y$220, Y$203, 0) +
            IF(Y$214=Y$220, Y$216, 0)
         )), Y$222)*0.124),
         "-"
      )
   )
)</f>
        <v>-</v>
      </c>
      <c r="Z224" s="231" t="str">
        <f>IF(Z$156=2022,
   IF(MIN(MAX(0, 147000 - (
      IF(Z$162=Z$220, Z$164, 0) +
      IF(Z$175=Z$220, Z$177, 0) +
      IF(Z$188=Z$220, Z$190, 0) +
      IF(Z$201=Z$220, Z$203, 0) +
      IF(Z$214=Z$220, Z$216, 0)
   )), Z$222)*0.124 &lt; 0, 0, MIN(MAX(0, 147000 - (
      IF(Z$162=Z$220, Z$164, 0) +
      IF(Z$175=Z$220, Z$177, 0) +
      IF(Z$188=Z$220, Z$190, 0) +
      IF(Z$201=Z$220, Z$203, 0) +
      IF(Z$214=Z$220, Z$216, 0)
   )), Z$222)*0.124),
   IF(Z$156=2023,
      IF(MIN(MAX(0, 160200 - (
         IF(Z$162=Z$220, Z$164, 0) +
         IF(Z$175=Z$220, Z$177, 0) +
         IF(Z$188=Z$220, Z$190, 0) +
         IF(Z$201=Z$220, Z$203, 0) +
         IF(Z$214=Z$220, Z$216, 0)
      )), Z$222)*0.124 &lt; 0, 0, MIN(MAX(0, 160200 - (
         IF(Z$162=Z$220, Z$164, 0) +
         IF(Z$175=Z$220, Z$177, 0) +
         IF(Z$188=Z$220, Z$190, 0) +
         IF(Z$201=Z$220, Z$203, 0) +
         IF(Z$214=Z$220, Z$216, 0)
      )), Z$222)*0.124),
      IF(Z$156=2024,
         IF(MIN(MAX(0, 168600 - (
            IF(Z$162=Z$220, Z$164, 0) +
            IF(Z$175=Z$220, Z$177, 0) +
            IF(Z$188=Z$220, Z$190, 0) +
            IF(Z$201=Z$220, Z$203, 0) +
            IF(Z$214=Z$220, Z$216, 0)
         )), Z$222)*0.124 &lt; 0, 0, MIN(MAX(0, 168600 - (
            IF(Z$162=Z$220, Z$164, 0) +
            IF(Z$175=Z$220, Z$177, 0) +
            IF(Z$188=Z$220, Z$190, 0) +
            IF(Z$201=Z$220, Z$203, 0) +
            IF(Z$214=Z$220, Z$216, 0)
         )), Z$222)*0.124),
         "-"
      )
   )
)</f>
        <v>-</v>
      </c>
      <c r="AA224" s="231" t="str">
        <f>IF(AA$156=2022,
   IF(MIN(MAX(0, 147000 - (
      IF(AA$162=AA$220, AA$164, 0) +
      IF(AA$175=AA$220, AA$177, 0) +
      IF(AA$188=AA$220, AA$190, 0) +
      IF(AA$201=AA$220, AA$203, 0) +
      IF(AA$214=AA$220, AA$216, 0)
   )), AA$222)*0.124 &lt; 0, 0, MIN(MAX(0, 147000 - (
      IF(AA$162=AA$220, AA$164, 0) +
      IF(AA$175=AA$220, AA$177, 0) +
      IF(AA$188=AA$220, AA$190, 0) +
      IF(AA$201=AA$220, AA$203, 0) +
      IF(AA$214=AA$220, AA$216, 0)
   )), AA$222)*0.124),
   IF(AA$156=2023,
      IF(MIN(MAX(0, 160200 - (
         IF(AA$162=AA$220, AA$164, 0) +
         IF(AA$175=AA$220, AA$177, 0) +
         IF(AA$188=AA$220, AA$190, 0) +
         IF(AA$201=AA$220, AA$203, 0) +
         IF(AA$214=AA$220, AA$216, 0)
      )), AA$222)*0.124 &lt; 0, 0, MIN(MAX(0, 160200 - (
         IF(AA$162=AA$220, AA$164, 0) +
         IF(AA$175=AA$220, AA$177, 0) +
         IF(AA$188=AA$220, AA$190, 0) +
         IF(AA$201=AA$220, AA$203, 0) +
         IF(AA$214=AA$220, AA$216, 0)
      )), AA$222)*0.124),
      IF(AA$156=2024,
         IF(MIN(MAX(0, 168600 - (
            IF(AA$162=AA$220, AA$164, 0) +
            IF(AA$175=AA$220, AA$177, 0) +
            IF(AA$188=AA$220, AA$190, 0) +
            IF(AA$201=AA$220, AA$203, 0) +
            IF(AA$214=AA$220, AA$216, 0)
         )), AA$222)*0.124 &lt; 0, 0, MIN(MAX(0, 168600 - (
            IF(AA$162=AA$220, AA$164, 0) +
            IF(AA$175=AA$220, AA$177, 0) +
            IF(AA$188=AA$220, AA$190, 0) +
            IF(AA$201=AA$220, AA$203, 0) +
            IF(AA$214=AA$220, AA$216, 0)
         )), AA$222)*0.124),
         "-"
      )
   )
)</f>
        <v>-</v>
      </c>
      <c r="AB224" s="231" t="str">
        <f>IF(AB$156=2022,
   IF(MIN(MAX(0, 147000 - (
      IF(AB$162=AB$220, AB$164, 0) +
      IF(AB$175=AB$220, AB$177, 0) +
      IF(AB$188=AB$220, AB$190, 0) +
      IF(AB$201=AB$220, AB$203, 0) +
      IF(AB$214=AB$220, AB$216, 0)
   )), AB$222)*0.124 &lt; 0, 0, MIN(MAX(0, 147000 - (
      IF(AB$162=AB$220, AB$164, 0) +
      IF(AB$175=AB$220, AB$177, 0) +
      IF(AB$188=AB$220, AB$190, 0) +
      IF(AB$201=AB$220, AB$203, 0) +
      IF(AB$214=AB$220, AB$216, 0)
   )), AB$222)*0.124),
   IF(AB$156=2023,
      IF(MIN(MAX(0, 160200 - (
         IF(AB$162=AB$220, AB$164, 0) +
         IF(AB$175=AB$220, AB$177, 0) +
         IF(AB$188=AB$220, AB$190, 0) +
         IF(AB$201=AB$220, AB$203, 0) +
         IF(AB$214=AB$220, AB$216, 0)
      )), AB$222)*0.124 &lt; 0, 0, MIN(MAX(0, 160200 - (
         IF(AB$162=AB$220, AB$164, 0) +
         IF(AB$175=AB$220, AB$177, 0) +
         IF(AB$188=AB$220, AB$190, 0) +
         IF(AB$201=AB$220, AB$203, 0) +
         IF(AB$214=AB$220, AB$216, 0)
      )), AB$222)*0.124),
      IF(AB$156=2024,
         IF(MIN(MAX(0, 168600 - (
            IF(AB$162=AB$220, AB$164, 0) +
            IF(AB$175=AB$220, AB$177, 0) +
            IF(AB$188=AB$220, AB$190, 0) +
            IF(AB$201=AB$220, AB$203, 0) +
            IF(AB$214=AB$220, AB$216, 0)
         )), AB$222)*0.124 &lt; 0, 0, MIN(MAX(0, 168600 - (
            IF(AB$162=AB$220, AB$164, 0) +
            IF(AB$175=AB$220, AB$177, 0) +
            IF(AB$188=AB$220, AB$190, 0) +
            IF(AB$201=AB$220, AB$203, 0) +
            IF(AB$214=AB$220, AB$216, 0)
         )), AB$222)*0.124),
         "-"
      )
   )
)</f>
        <v>-</v>
      </c>
      <c r="AC224" s="231" t="str">
        <f>IF(AC$156=2022,
   IF(MIN(MAX(0, 147000 - (
      IF(AC$162=AC$220, AC$164, 0) +
      IF(AC$175=AC$220, AC$177, 0) +
      IF(AC$188=AC$220, AC$190, 0) +
      IF(AC$201=AC$220, AC$203, 0) +
      IF(AC$214=AC$220, AC$216, 0)
   )), AC$222)*0.124 &lt; 0, 0, MIN(MAX(0, 147000 - (
      IF(AC$162=AC$220, AC$164, 0) +
      IF(AC$175=AC$220, AC$177, 0) +
      IF(AC$188=AC$220, AC$190, 0) +
      IF(AC$201=AC$220, AC$203, 0) +
      IF(AC$214=AC$220, AC$216, 0)
   )), AC$222)*0.124),
   IF(AC$156=2023,
      IF(MIN(MAX(0, 160200 - (
         IF(AC$162=AC$220, AC$164, 0) +
         IF(AC$175=AC$220, AC$177, 0) +
         IF(AC$188=AC$220, AC$190, 0) +
         IF(AC$201=AC$220, AC$203, 0) +
         IF(AC$214=AC$220, AC$216, 0)
      )), AC$222)*0.124 &lt; 0, 0, MIN(MAX(0, 160200 - (
         IF(AC$162=AC$220, AC$164, 0) +
         IF(AC$175=AC$220, AC$177, 0) +
         IF(AC$188=AC$220, AC$190, 0) +
         IF(AC$201=AC$220, AC$203, 0) +
         IF(AC$214=AC$220, AC$216, 0)
      )), AC$222)*0.124),
      IF(AC$156=2024,
         IF(MIN(MAX(0, 168600 - (
            IF(AC$162=AC$220, AC$164, 0) +
            IF(AC$175=AC$220, AC$177, 0) +
            IF(AC$188=AC$220, AC$190, 0) +
            IF(AC$201=AC$220, AC$203, 0) +
            IF(AC$214=AC$220, AC$216, 0)
         )), AC$222)*0.124 &lt; 0, 0, MIN(MAX(0, 168600 - (
            IF(AC$162=AC$220, AC$164, 0) +
            IF(AC$175=AC$220, AC$177, 0) +
            IF(AC$188=AC$220, AC$190, 0) +
            IF(AC$201=AC$220, AC$203, 0) +
            IF(AC$214=AC$220, AC$216, 0)
         )), AC$222)*0.124),
         "-"
      )
   )
)</f>
        <v>-</v>
      </c>
    </row>
    <row r="225" spans="3:29" ht="15.75" thickBot="1" x14ac:dyDescent="0.3">
      <c r="C225" t="s">
        <v>529</v>
      </c>
      <c r="D225" s="32">
        <v>15</v>
      </c>
      <c r="E225" s="33">
        <f t="shared" si="787"/>
        <v>7.6399999999999996E-2</v>
      </c>
      <c r="F225" s="34" t="e">
        <f t="shared" si="790"/>
        <v>#VALUE!</v>
      </c>
      <c r="G225" t="e">
        <f t="shared" si="785"/>
        <v>#VALUE!</v>
      </c>
      <c r="H225" s="34" t="e">
        <f t="shared" si="786"/>
        <v>#VALUE!</v>
      </c>
      <c r="P225" s="82"/>
      <c r="Q225" s="82"/>
      <c r="R225" s="82"/>
      <c r="S225" s="82"/>
      <c r="T225" s="82"/>
      <c r="U225" s="82"/>
      <c r="V225" s="82"/>
      <c r="W225" s="82"/>
      <c r="X225" s="82"/>
      <c r="Y225" s="82"/>
      <c r="Z225" s="82"/>
      <c r="AA225" s="82"/>
      <c r="AB225" s="82"/>
      <c r="AC225" s="82"/>
    </row>
    <row r="226" spans="3:29" x14ac:dyDescent="0.25">
      <c r="D226" s="32">
        <v>16</v>
      </c>
      <c r="E226" s="33">
        <f t="shared" si="787"/>
        <v>7.6399999999999996E-2</v>
      </c>
      <c r="F226" s="34" t="e">
        <f t="shared" si="790"/>
        <v>#VALUE!</v>
      </c>
      <c r="G226" t="e">
        <f t="shared" si="785"/>
        <v>#VALUE!</v>
      </c>
      <c r="H226" s="34" t="e">
        <f t="shared" si="786"/>
        <v>#VALUE!</v>
      </c>
      <c r="P226" s="254" t="s">
        <v>410</v>
      </c>
      <c r="Q226" s="254" t="s">
        <v>410</v>
      </c>
      <c r="R226" s="254" t="s">
        <v>410</v>
      </c>
      <c r="S226" s="254" t="s">
        <v>410</v>
      </c>
      <c r="T226" s="254" t="s">
        <v>410</v>
      </c>
      <c r="U226" s="254" t="s">
        <v>410</v>
      </c>
      <c r="V226" s="254" t="s">
        <v>410</v>
      </c>
      <c r="W226" s="254" t="s">
        <v>410</v>
      </c>
      <c r="X226" s="254" t="s">
        <v>410</v>
      </c>
      <c r="Y226" s="254" t="s">
        <v>410</v>
      </c>
      <c r="Z226" s="254" t="s">
        <v>410</v>
      </c>
      <c r="AA226" s="254" t="s">
        <v>410</v>
      </c>
      <c r="AB226" s="254" t="s">
        <v>410</v>
      </c>
      <c r="AC226" s="254" t="s">
        <v>410</v>
      </c>
    </row>
    <row r="227" spans="3:29" x14ac:dyDescent="0.25">
      <c r="D227" s="32">
        <v>17</v>
      </c>
      <c r="E227" s="33">
        <f t="shared" si="787"/>
        <v>7.6399999999999996E-2</v>
      </c>
      <c r="F227" s="34" t="e">
        <f t="shared" si="790"/>
        <v>#VALUE!</v>
      </c>
      <c r="G227" t="e">
        <f t="shared" si="785"/>
        <v>#VALUE!</v>
      </c>
      <c r="H227" s="34" t="e">
        <f t="shared" si="786"/>
        <v>#VALUE!</v>
      </c>
      <c r="N227" s="125" t="s">
        <v>51</v>
      </c>
      <c r="O227" t="s">
        <v>236</v>
      </c>
      <c r="P227" s="101">
        <v>0</v>
      </c>
      <c r="Q227" s="101">
        <v>0</v>
      </c>
      <c r="R227" s="101">
        <v>0</v>
      </c>
      <c r="S227" s="101">
        <v>0</v>
      </c>
      <c r="T227" s="101">
        <v>0</v>
      </c>
      <c r="U227" s="101">
        <v>0</v>
      </c>
      <c r="V227" s="101">
        <v>0</v>
      </c>
      <c r="W227" s="101">
        <v>0</v>
      </c>
      <c r="X227" s="101">
        <v>0</v>
      </c>
      <c r="Y227" s="101">
        <v>0</v>
      </c>
      <c r="Z227" s="101">
        <v>0</v>
      </c>
      <c r="AA227" s="101">
        <v>0</v>
      </c>
      <c r="AB227" s="101">
        <v>0</v>
      </c>
      <c r="AC227" s="101">
        <v>0</v>
      </c>
    </row>
    <row r="228" spans="3:29" x14ac:dyDescent="0.25">
      <c r="D228" s="32">
        <v>18</v>
      </c>
      <c r="E228" s="33">
        <f t="shared" si="787"/>
        <v>7.6399999999999996E-2</v>
      </c>
      <c r="F228" s="34" t="e">
        <f t="shared" si="790"/>
        <v>#VALUE!</v>
      </c>
      <c r="G228" t="e">
        <f t="shared" si="785"/>
        <v>#VALUE!</v>
      </c>
      <c r="H228" s="34" t="e">
        <f t="shared" si="786"/>
        <v>#VALUE!</v>
      </c>
      <c r="O228" s="37">
        <v>0.92349999999999999</v>
      </c>
      <c r="P228" s="106">
        <f>IF(P227 * 0.9235 &lt; 0, 0, P227 * 0.9235)</f>
        <v>0</v>
      </c>
      <c r="Q228" s="106">
        <f t="shared" ref="Q228" si="818">IF(Q227 * 0.9235 &lt; 0, 0, Q227 * 0.9235)</f>
        <v>0</v>
      </c>
      <c r="R228" s="106">
        <f t="shared" ref="R228" si="819">IF(R227 * 0.9235 &lt; 0, 0, R227 * 0.9235)</f>
        <v>0</v>
      </c>
      <c r="S228" s="106">
        <f t="shared" ref="S228" si="820">IF(S227 * 0.9235 &lt; 0, 0, S227 * 0.9235)</f>
        <v>0</v>
      </c>
      <c r="T228" s="106">
        <f t="shared" ref="T228" si="821">IF(T227 * 0.9235 &lt; 0, 0, T227 * 0.9235)</f>
        <v>0</v>
      </c>
      <c r="U228" s="106">
        <f t="shared" ref="U228" si="822">IF(U227 * 0.9235 &lt; 0, 0, U227 * 0.9235)</f>
        <v>0</v>
      </c>
      <c r="V228" s="106">
        <f t="shared" ref="V228" si="823">IF(V227 * 0.9235 &lt; 0, 0, V227 * 0.9235)</f>
        <v>0</v>
      </c>
      <c r="W228" s="106">
        <f t="shared" ref="W228" si="824">IF(W227 * 0.9235 &lt; 0, 0, W227 * 0.9235)</f>
        <v>0</v>
      </c>
      <c r="X228" s="106">
        <f t="shared" ref="X228" si="825">IF(X227 * 0.9235 &lt; 0, 0, X227 * 0.9235)</f>
        <v>0</v>
      </c>
      <c r="Y228" s="106">
        <f t="shared" ref="Y228" si="826">IF(Y227 * 0.9235 &lt; 0, 0, Y227 * 0.9235)</f>
        <v>0</v>
      </c>
      <c r="Z228" s="106">
        <f t="shared" ref="Z228" si="827">IF(Z227 * 0.9235 &lt; 0, 0, Z227 * 0.9235)</f>
        <v>0</v>
      </c>
      <c r="AA228" s="106">
        <f t="shared" ref="AA228" si="828">IF(AA227 * 0.9235 &lt; 0, 0, AA227 * 0.9235)</f>
        <v>0</v>
      </c>
      <c r="AB228" s="106">
        <f t="shared" ref="AB228" si="829">IF(AB227 * 0.9235 &lt; 0, 0, AB227 * 0.9235)</f>
        <v>0</v>
      </c>
      <c r="AC228" s="106">
        <f t="shared" ref="AC228" si="830">IF(AC227 * 0.9235 &lt; 0, 0, AC227 * 0.9235)</f>
        <v>0</v>
      </c>
    </row>
    <row r="229" spans="3:29" x14ac:dyDescent="0.25">
      <c r="D229" s="32">
        <v>19</v>
      </c>
      <c r="E229" s="33">
        <f>E228</f>
        <v>7.6399999999999996E-2</v>
      </c>
      <c r="F229" s="34" t="e">
        <f t="shared" si="790"/>
        <v>#VALUE!</v>
      </c>
      <c r="G229" t="e">
        <f t="shared" si="785"/>
        <v>#VALUE!</v>
      </c>
      <c r="H229" s="34" t="e">
        <f>F229+G229</f>
        <v>#VALUE!</v>
      </c>
      <c r="O229" t="s">
        <v>207</v>
      </c>
      <c r="P229" s="103">
        <f>IF(P227 * 0.9235 * 0.029 &lt; 0, 0, P227 * 0.9235 * 0.029)</f>
        <v>0</v>
      </c>
      <c r="Q229" s="103">
        <f>IF(Q227 * 0.9235 * 0.029 &lt; 0, 0, Q227 * 0.9235 * 0.029)</f>
        <v>0</v>
      </c>
      <c r="R229" s="103">
        <f>IF(R227 * 0.9235 * 0.029 &lt; 0, 0, R227 * 0.9235 * 0.029)</f>
        <v>0</v>
      </c>
      <c r="S229" s="103">
        <f t="shared" ref="S229:U229" si="831">IF(S227 * 0.9235 * 0.029 &lt; 0, 0, S227 * 0.9235 * 0.029)</f>
        <v>0</v>
      </c>
      <c r="T229" s="103">
        <f t="shared" si="831"/>
        <v>0</v>
      </c>
      <c r="U229" s="103">
        <f t="shared" si="831"/>
        <v>0</v>
      </c>
      <c r="V229" s="103">
        <f>IF(V227 * 0.9235 * 0.029 &lt; 0, 0, V227 * 0.9235 * 0.029)</f>
        <v>0</v>
      </c>
      <c r="W229" s="103">
        <f>IF(W227 * 0.9235 * 0.029 &lt; 0, 0, W227 * 0.9235 * 0.029)</f>
        <v>0</v>
      </c>
      <c r="X229" s="103">
        <f t="shared" ref="X229" si="832">IF(X227 * 0.9235 * 0.029 &lt; 0, 0, X227 * 0.9235 * 0.029)</f>
        <v>0</v>
      </c>
      <c r="Y229" s="103">
        <f>IF(Y227 * 0.9235 * 0.029 &lt; 0, 0, Y227 * 0.9235 * 0.029)</f>
        <v>0</v>
      </c>
      <c r="Z229" s="103">
        <f t="shared" ref="Z229:AC229" si="833">IF(Z227 * 0.9235 * 0.029 &lt; 0, 0, Z227 * 0.9235 * 0.029)</f>
        <v>0</v>
      </c>
      <c r="AA229" s="103">
        <f t="shared" si="833"/>
        <v>0</v>
      </c>
      <c r="AB229" s="103">
        <f t="shared" si="833"/>
        <v>0</v>
      </c>
      <c r="AC229" s="103">
        <f t="shared" si="833"/>
        <v>0</v>
      </c>
    </row>
    <row r="230" spans="3:29" ht="15.75" thickBot="1" x14ac:dyDescent="0.3">
      <c r="D230" s="32">
        <v>20</v>
      </c>
      <c r="E230" s="33">
        <f>E229</f>
        <v>7.6399999999999996E-2</v>
      </c>
      <c r="F230" s="34" t="e">
        <f t="shared" si="790"/>
        <v>#VALUE!</v>
      </c>
      <c r="G230" t="e">
        <f t="shared" si="785"/>
        <v>#VALUE!</v>
      </c>
      <c r="H230" s="46" t="e">
        <f>F230+G230</f>
        <v>#VALUE!</v>
      </c>
      <c r="O230" t="s">
        <v>209</v>
      </c>
      <c r="P230" s="231" t="str">
        <f>IF(B$1=2022,
   IF(MIN(MAX(0, 147000 - (
      IF(P$162=P$226, P$164, 0) +
      IF(P$175=P$226, P$177, 0) +
      IF(P$188=P$226, P$190, 0) +
      IF(P$201=P$226, P$203, 0) +
      IF(P$214=P$226, P$216, 0) +
      IF(P$220=P$226, P$222, 0)
   )), P$228)*0.124 &lt; 0, 0, MIN(MAX(0, 147000 - (
      IF(P$162=P$226, P$164, 0) +
      IF(P$175=P$226, P$177, 0) +
      IF(P$188=P$226, P$190, 0) +
      IF(P$201=P$226, P$203, 0) +
      IF(P$214=P$226, P$216, 0) +
      IF(P$220=P$226, P$222, 0)
   )), P$228)*0.124),
   IF(B$1=2023,
      IF(MIN(MAX(0, 160200 - (
         IF(P$162=P$226, P$164, 0) +
         IF(P$175=P$226, P$177, 0) +
         IF(P$188=P$226, P$190, 0) +
         IF(P$201=P$226, P$203, 0) +
         IF(P$214=P$226, P$216, 0) +
         IF(P$220=P$226, P$222, 0)
      )), P$228)*0.124 &lt; 0, 0, MIN(MAX(0, 160200 - (
         IF(P$162=P$226, P$164, 0) +
         IF(P$175=P$226, P$177, 0) +
         IF(P$188=P$226, P$190, 0) +
         IF(P$201=P$226, P$203, 0) +
         IF(P$214=P$226, P$216, 0) +
         IF(P$220=P$226, P$222, 0)
      )), P$228)*0.124),
      IF(B$1=2024,
         IF(MIN(MAX(0, 168600 - (
            IF(P$162=P$226, P$164, 0) +
            IF(P$175=P$226, P$177, 0) +
            IF(P$188=P$226, P$190, 0) +
            IF(P$201=P$226, P$203, 0) +
            IF(P$214=P$226, P$216, 0) +
            IF(P$220=P$226, P$222, 0)
         )), P$228)*0.124 &lt; 0, 0, MIN(MAX(0, 168600 - (
            IF(P$162=P$226, P$164, 0) +
            IF(P$175=P$226, P$177, 0) +
            IF(P$188=P$226, P$190, 0) +
            IF(P$201=P$226, P$203, 0) +
            IF(P$214=P$226, P$216, 0) +
            IF(P$220=P$226, P$222, 0)
         )), P$228)*0.124),
         "-"
      )
   )
)</f>
        <v>-</v>
      </c>
      <c r="Q230" s="231" t="str">
        <f>IF(C$1=2022,
   IF(MIN(MAX(0, 147000 - (
      IF(Q$162=Q$226, Q$164, 0) +
      IF(Q$175=Q$226, Q$177, 0) +
      IF(Q$188=Q$226, Q$190, 0) +
      IF(Q$201=Q$226, Q$203, 0) +
      IF(Q$214=Q$226, Q$216, 0) +
      IF(Q$220=Q$226, Q$222, 0)
   )), Q$228)*0.124 &lt; 0, 0, MIN(MAX(0, 147000 - (
      IF(Q$162=Q$226, Q$164, 0) +
      IF(Q$175=Q$226, Q$177, 0) +
      IF(Q$188=Q$226, Q$190, 0) +
      IF(Q$201=Q$226, Q$203, 0) +
      IF(Q$214=Q$226, Q$216, 0) +
      IF(Q$220=Q$226, Q$222, 0)
   )), Q$228)*0.124),
   IF(C$1=2023,
      IF(MIN(MAX(0, 160200 - (
         IF(Q$162=Q$226, Q$164, 0) +
         IF(Q$175=Q$226, Q$177, 0) +
         IF(Q$188=Q$226, Q$190, 0) +
         IF(Q$201=Q$226, Q$203, 0) +
         IF(Q$214=Q$226, Q$216, 0) +
         IF(Q$220=Q$226, Q$222, 0)
      )), Q$228)*0.124 &lt; 0, 0, MIN(MAX(0, 160200 - (
         IF(Q$162=Q$226, Q$164, 0) +
         IF(Q$175=Q$226, Q$177, 0) +
         IF(Q$188=Q$226, Q$190, 0) +
         IF(Q$201=Q$226, Q$203, 0) +
         IF(Q$214=Q$226, Q$216, 0) +
         IF(Q$220=Q$226, Q$222, 0)
      )), Q$228)*0.124),
      IF(C$1=2024,
         IF(MIN(MAX(0, 168600 - (
            IF(Q$162=Q$226, Q$164, 0) +
            IF(Q$175=Q$226, Q$177, 0) +
            IF(Q$188=Q$226, Q$190, 0) +
            IF(Q$201=Q$226, Q$203, 0) +
            IF(Q$214=Q$226, Q$216, 0) +
            IF(Q$220=Q$226, Q$222, 0)
         )), Q$228)*0.124 &lt; 0, 0, MIN(MAX(0, 168600 - (
            IF(Q$162=Q$226, Q$164, 0) +
            IF(Q$175=Q$226, Q$177, 0) +
            IF(Q$188=Q$226, Q$190, 0) +
            IF(Q$201=Q$226, Q$203, 0) +
            IF(Q$214=Q$226, Q$216, 0) +
            IF(Q$220=Q$226, Q$222, 0)
         )), Q$228)*0.124),
         "-"
      )
   )
)</f>
        <v>-</v>
      </c>
      <c r="R230" s="231" t="str">
        <f>IF(D$1=2022,
   IF(MIN(MAX(0, 147000 - (
      IF(R$162=R$226, R$164, 0) +
      IF(R$175=R$226, R$177, 0) +
      IF(R$188=R$226, R$190, 0) +
      IF(R$201=R$226, R$203, 0) +
      IF(R$214=R$226, R$216, 0) +
      IF(R$220=R$226, R$222, 0)
   )), R$228)*0.124 &lt; 0, 0, MIN(MAX(0, 147000 - (
      IF(R$162=R$226, R$164, 0) +
      IF(R$175=R$226, R$177, 0) +
      IF(R$188=R$226, R$190, 0) +
      IF(R$201=R$226, R$203, 0) +
      IF(R$214=R$226, R$216, 0) +
      IF(R$220=R$226, R$222, 0)
   )), R$228)*0.124),
   IF(D$1=2023,
      IF(MIN(MAX(0, 160200 - (
         IF(R$162=R$226, R$164, 0) +
         IF(R$175=R$226, R$177, 0) +
         IF(R$188=R$226, R$190, 0) +
         IF(R$201=R$226, R$203, 0) +
         IF(R$214=R$226, R$216, 0) +
         IF(R$220=R$226, R$222, 0)
      )), R$228)*0.124 &lt; 0, 0, MIN(MAX(0, 160200 - (
         IF(R$162=R$226, R$164, 0) +
         IF(R$175=R$226, R$177, 0) +
         IF(R$188=R$226, R$190, 0) +
         IF(R$201=R$226, R$203, 0) +
         IF(R$214=R$226, R$216, 0) +
         IF(R$220=R$226, R$222, 0)
      )), R$228)*0.124),
      IF(D$1=2024,
         IF(MIN(MAX(0, 168600 - (
            IF(R$162=R$226, R$164, 0) +
            IF(R$175=R$226, R$177, 0) +
            IF(R$188=R$226, R$190, 0) +
            IF(R$201=R$226, R$203, 0) +
            IF(R$214=R$226, R$216, 0) +
            IF(R$220=R$226, R$222, 0)
         )), R$228)*0.124 &lt; 0, 0, MIN(MAX(0, 168600 - (
            IF(R$162=R$226, R$164, 0) +
            IF(R$175=R$226, R$177, 0) +
            IF(R$188=R$226, R$190, 0) +
            IF(R$201=R$226, R$203, 0) +
            IF(R$214=R$226, R$216, 0) +
            IF(R$220=R$226, R$222, 0)
         )), R$228)*0.124),
         "-"
      )
   )
)</f>
        <v>-</v>
      </c>
      <c r="S230" s="231" t="str">
        <f t="shared" ref="S230:U230" si="834">IF(E$1=2022,
   IF(MIN(MAX(0, 147000 - (
      IF(S$162=S$226, S$164, 0) +
      IF(S$175=S$226, S$177, 0) +
      IF(S$188=S$226, S$190, 0) +
      IF(S$201=S$226, S$203, 0) +
      IF(S$214=S$226, S$216, 0) +
      IF(S$220=S$226, S$222, 0)
   )), S$228)*0.124 &lt; 0, 0, MIN(MAX(0, 147000 - (
      IF(S$162=S$226, S$164, 0) +
      IF(S$175=S$226, S$177, 0) +
      IF(S$188=S$226, S$190, 0) +
      IF(S$201=S$226, S$203, 0) +
      IF(S$214=S$226, S$216, 0) +
      IF(S$220=S$226, S$222, 0)
   )), S$228)*0.124),
   IF(E$1=2023,
      IF(MIN(MAX(0, 160200 - (
         IF(S$162=S$226, S$164, 0) +
         IF(S$175=S$226, S$177, 0) +
         IF(S$188=S$226, S$190, 0) +
         IF(S$201=S$226, S$203, 0) +
         IF(S$214=S$226, S$216, 0) +
         IF(S$220=S$226, S$222, 0)
      )), S$228)*0.124 &lt; 0, 0, MIN(MAX(0, 160200 - (
         IF(S$162=S$226, S$164, 0) +
         IF(S$175=S$226, S$177, 0) +
         IF(S$188=S$226, S$190, 0) +
         IF(S$201=S$226, S$203, 0) +
         IF(S$214=S$226, S$216, 0) +
         IF(S$220=S$226, S$222, 0)
      )), S$228)*0.124),
      IF(E$1=2024,
         IF(MIN(MAX(0, 168600 - (
            IF(S$162=S$226, S$164, 0) +
            IF(S$175=S$226, S$177, 0) +
            IF(S$188=S$226, S$190, 0) +
            IF(S$201=S$226, S$203, 0) +
            IF(S$214=S$226, S$216, 0) +
            IF(S$220=S$226, S$222, 0)
         )), S$228)*0.124 &lt; 0, 0, MIN(MAX(0, 168600 - (
            IF(S$162=S$226, S$164, 0) +
            IF(S$175=S$226, S$177, 0) +
            IF(S$188=S$226, S$190, 0) +
            IF(S$201=S$226, S$203, 0) +
            IF(S$214=S$226, S$216, 0) +
            IF(S$220=S$226, S$222, 0)
         )), S$228)*0.124),
         "-"
      )
   )
)</f>
        <v>-</v>
      </c>
      <c r="T230" s="231" t="str">
        <f t="shared" si="834"/>
        <v>-</v>
      </c>
      <c r="U230" s="231" t="str">
        <f t="shared" si="834"/>
        <v>-</v>
      </c>
      <c r="V230" s="231" t="str">
        <f>IF(H$1=2022,
   IF(MIN(MAX(0, 147000 - (
      IF(V$162=V$226, V$164, 0) +
      IF(V$175=V$226, V$177, 0) +
      IF(V$188=V$226, V$190, 0) +
      IF(V$201=V$226, V$203, 0) +
      IF(V$214=V$226, V$216, 0) +
      IF(V$220=V$226, V$222, 0)
   )), V$228)*0.124 &lt; 0, 0, MIN(MAX(0, 147000 - (
      IF(V$162=V$226, V$164, 0) +
      IF(V$175=V$226, V$177, 0) +
      IF(V$188=V$226, V$190, 0) +
      IF(V$201=V$226, V$203, 0) +
      IF(V$214=V$226, V$216, 0) +
      IF(V$220=V$226, V$222, 0)
   )), V$228)*0.124),
   IF(H$1=2023,
      IF(MIN(MAX(0, 160200 - (
         IF(V$162=V$226, V$164, 0) +
         IF(V$175=V$226, V$177, 0) +
         IF(V$188=V$226, V$190, 0) +
         IF(V$201=V$226, V$203, 0) +
         IF(V$214=V$226, V$216, 0) +
         IF(V$220=V$226, V$222, 0)
      )), V$228)*0.124 &lt; 0, 0, MIN(MAX(0, 160200 - (
         IF(V$162=V$226, V$164, 0) +
         IF(V$175=V$226, V$177, 0) +
         IF(V$188=V$226, V$190, 0) +
         IF(V$201=V$226, V$203, 0) +
         IF(V$214=V$226, V$216, 0) +
         IF(V$220=V$226, V$222, 0)
      )), V$228)*0.124),
      IF(H$1=2024,
         IF(MIN(MAX(0, 168600 - (
            IF(V$162=V$226, V$164, 0) +
            IF(V$175=V$226, V$177, 0) +
            IF(V$188=V$226, V$190, 0) +
            IF(V$201=V$226, V$203, 0) +
            IF(V$214=V$226, V$216, 0) +
            IF(V$220=V$226, V$222, 0)
         )), V$228)*0.124 &lt; 0, 0, MIN(MAX(0, 168600 - (
            IF(V$162=V$226, V$164, 0) +
            IF(V$175=V$226, V$177, 0) +
            IF(V$188=V$226, V$190, 0) +
            IF(V$201=V$226, V$203, 0) +
            IF(V$214=V$226, V$216, 0) +
            IF(V$220=V$226, V$222, 0)
         )), V$228)*0.124),
         "-"
      )
   )
)</f>
        <v>-</v>
      </c>
      <c r="W230" s="231" t="str">
        <f>IF(I$1=2022,
   IF(MIN(MAX(0, 147000 - (
      IF(W$162=W$226, W$164, 0) +
      IF(W$175=W$226, W$177, 0) +
      IF(W$188=W$226, W$190, 0) +
      IF(W$201=W$226, W$203, 0) +
      IF(W$214=W$226, W$216, 0) +
      IF(W$220=W$226, W$222, 0)
   )), W$228)*0.124 &lt; 0, 0, MIN(MAX(0, 147000 - (
      IF(W$162=W$226, W$164, 0) +
      IF(W$175=W$226, W$177, 0) +
      IF(W$188=W$226, W$190, 0) +
      IF(W$201=W$226, W$203, 0) +
      IF(W$214=W$226, W$216, 0) +
      IF(W$220=W$226, W$222, 0)
   )), W$228)*0.124),
   IF(I$1=2023,
      IF(MIN(MAX(0, 160200 - (
         IF(W$162=W$226, W$164, 0) +
         IF(W$175=W$226, W$177, 0) +
         IF(W$188=W$226, W$190, 0) +
         IF(W$201=W$226, W$203, 0) +
         IF(W$214=W$226, W$216, 0) +
         IF(W$220=W$226, W$222, 0)
      )), W$228)*0.124 &lt; 0, 0, MIN(MAX(0, 160200 - (
         IF(W$162=W$226, W$164, 0) +
         IF(W$175=W$226, W$177, 0) +
         IF(W$188=W$226, W$190, 0) +
         IF(W$201=W$226, W$203, 0) +
         IF(W$214=W$226, W$216, 0) +
         IF(W$220=W$226, W$222, 0)
      )), W$228)*0.124),
      IF(I$1=2024,
         IF(MIN(MAX(0, 168600 - (
            IF(W$162=W$226, W$164, 0) +
            IF(W$175=W$226, W$177, 0) +
            IF(W$188=W$226, W$190, 0) +
            IF(W$201=W$226, W$203, 0) +
            IF(W$214=W$226, W$216, 0) +
            IF(W$220=W$226, W$222, 0)
         )), W$228)*0.124 &lt; 0, 0, MIN(MAX(0, 168600 - (
            IF(W$162=W$226, W$164, 0) +
            IF(W$175=W$226, W$177, 0) +
            IF(W$188=W$226, W$190, 0) +
            IF(W$201=W$226, W$203, 0) +
            IF(W$214=W$226, W$216, 0) +
            IF(W$220=W$226, W$222, 0)
         )), W$228)*0.124),
         "-"
      )
   )
)</f>
        <v>-</v>
      </c>
      <c r="X230" s="231" t="str">
        <f>IF(J$1=2022,
   IF(MIN(MAX(0, 147000 - (
      IF(X$162=X$226, X$164, 0) +
      IF(X$175=X$226, X$177, 0) +
      IF(X$188=X$226, X$190, 0) +
      IF(X$201=X$226, X$203, 0) +
      IF(X$214=X$226, X$216, 0) +
      IF(X$220=X$226, X$222, 0)
   )), X$228)*0.124 &lt; 0, 0, MIN(MAX(0, 147000 - (
      IF(X$162=X$226, X$164, 0) +
      IF(X$175=X$226, X$177, 0) +
      IF(X$188=X$226, X$190, 0) +
      IF(X$201=X$226, X$203, 0) +
      IF(X$214=X$226, X$216, 0) +
      IF(X$220=X$226, X$222, 0)
   )), X$228)*0.124),
   IF(J$1=2023,
      IF(MIN(MAX(0, 160200 - (
         IF(X$162=X$226, X$164, 0) +
         IF(X$175=X$226, X$177, 0) +
         IF(X$188=X$226, X$190, 0) +
         IF(X$201=X$226, X$203, 0) +
         IF(X$214=X$226, X$216, 0) +
         IF(X$220=X$226, X$222, 0)
      )), X$228)*0.124 &lt; 0, 0, MIN(MAX(0, 160200 - (
         IF(X$162=X$226, X$164, 0) +
         IF(X$175=X$226, X$177, 0) +
         IF(X$188=X$226, X$190, 0) +
         IF(X$201=X$226, X$203, 0) +
         IF(X$214=X$226, X$216, 0) +
         IF(X$220=X$226, X$222, 0)
      )), X$228)*0.124),
      IF(J$1=2024,
         IF(MIN(MAX(0, 168600 - (
            IF(X$162=X$226, X$164, 0) +
            IF(X$175=X$226, X$177, 0) +
            IF(X$188=X$226, X$190, 0) +
            IF(X$201=X$226, X$203, 0) +
            IF(X$214=X$226, X$216, 0) +
            IF(X$220=X$226, X$222, 0)
         )), X$228)*0.124 &lt; 0, 0, MIN(MAX(0, 168600 - (
            IF(X$162=X$226, X$164, 0) +
            IF(X$175=X$226, X$177, 0) +
            IF(X$188=X$226, X$190, 0) +
            IF(X$201=X$226, X$203, 0) +
            IF(X$214=X$226, X$216, 0) +
            IF(X$220=X$226, X$222, 0)
         )), X$228)*0.124),
         "-"
      )
   )
)</f>
        <v>-</v>
      </c>
      <c r="Y230" s="231" t="str">
        <f>IF(Y$156=2022,
   IF(MIN(MAX(0, 147000 - (
      IF(Y$162=Y$226, Y$164, 0) +
      IF(Y$175=Y$226, Y$177, 0) +
      IF(Y$188=Y$226, Y$190, 0) +
      IF(Y$201=Y$226, Y$203, 0) +
      IF(Y$214=Y$226, Y$216, 0) +
      IF(Y$220=Y$226, Y$222, 0)
   )), Y$228)*0.124 &lt; 0, 0, MIN(MAX(0, 147000 - (
      IF(Y$162=Y$226, Y$164, 0) +
      IF(Y$175=Y$226, Y$177, 0) +
      IF(Y$188=Y$226, Y$190, 0) +
      IF(Y$201=Y$226, Y$203, 0) +
      IF(Y$214=Y$226, Y$216, 0) +
      IF(Y$220=Y$226, Y$222, 0)
   )), Y$228)*0.124),
   IF(Y$156=2023,
      IF(MIN(MAX(0, 160200 - (
         IF(Y$162=Y$226, Y$164, 0) +
         IF(Y$175=Y$226, Y$177, 0) +
         IF(Y$188=Y$226, Y$190, 0) +
         IF(Y$201=Y$226, Y$203, 0) +
         IF(Y$214=Y$226, Y$216, 0) +
         IF(Y$220=Y$226, Y$222, 0)
      )), Y$228)*0.124 &lt; 0, 0, MIN(MAX(0, 160200 - (
         IF(Y$162=Y$226, Y$164, 0) +
         IF(Y$175=Y$226, Y$177, 0) +
         IF(Y$188=Y$226, Y$190, 0) +
         IF(Y$201=Y$226, Y$203, 0) +
         IF(Y$214=Y$226, Y$216, 0) +
         IF(Y$220=Y$226, Y$222, 0)
      )), Y$228)*0.124),
      IF(Y$156=2024,
         IF(MIN(MAX(0, 168600 - (
            IF(Y$162=Y$226, Y$164, 0) +
            IF(Y$175=Y$226, Y$177, 0) +
            IF(Y$188=Y$226, Y$190, 0) +
            IF(Y$201=Y$226, Y$203, 0) +
            IF(Y$214=Y$226, Y$216, 0) +
            IF(Y$220=Y$226, Y$222, 0)
         )), Y$228)*0.124 &lt; 0, 0, MIN(MAX(0, 168600 - (
            IF(Y$162=Y$226, Y$164, 0) +
            IF(Y$175=Y$226, Y$177, 0) +
            IF(Y$188=Y$226, Y$190, 0) +
            IF(Y$201=Y$226, Y$203, 0) +
            IF(Y$214=Y$226, Y$216, 0) +
            IF(Y$220=Y$226, Y$222, 0)
         )), Y$228)*0.124),
         "-"
      )
   )
)</f>
        <v>-</v>
      </c>
      <c r="Z230" s="231" t="str">
        <f>IF(Z$156=2022,
   IF(MIN(MAX(0, 147000 - (
      IF(Z$162=Z$226, Z$164, 0) +
      IF(Z$175=Z$226, Z$177, 0) +
      IF(Z$188=Z$226, Z$190, 0) +
      IF(Z$201=Z$226, Z$203, 0) +
      IF(Z$214=Z$226, Z$216, 0) +
      IF(Z$220=Z$226, Z$222, 0)
   )), Z$228)*0.124 &lt; 0, 0, MIN(MAX(0, 147000 - (
      IF(Z$162=Z$226, Z$164, 0) +
      IF(Z$175=Z$226, Z$177, 0) +
      IF(Z$188=Z$226, Z$190, 0) +
      IF(Z$201=Z$226, Z$203, 0) +
      IF(Z$214=Z$226, Z$216, 0) +
      IF(Z$220=Z$226, Z$222, 0)
   )), Z$228)*0.124),
   IF(Z$156=2023,
      IF(MIN(MAX(0, 160200 - (
         IF(Z$162=Z$226, Z$164, 0) +
         IF(Z$175=Z$226, Z$177, 0) +
         IF(Z$188=Z$226, Z$190, 0) +
         IF(Z$201=Z$226, Z$203, 0) +
         IF(Z$214=Z$226, Z$216, 0) +
         IF(Z$220=Z$226, Z$222, 0)
      )), Z$228)*0.124 &lt; 0, 0, MIN(MAX(0, 160200 - (
         IF(Z$162=Z$226, Z$164, 0) +
         IF(Z$175=Z$226, Z$177, 0) +
         IF(Z$188=Z$226, Z$190, 0) +
         IF(Z$201=Z$226, Z$203, 0) +
         IF(Z$214=Z$226, Z$216, 0) +
         IF(Z$220=Z$226, Z$222, 0)
      )), Z$228)*0.124),
      IF(Z$156=2024,
         IF(MIN(MAX(0, 168600 - (
            IF(Z$162=Z$226, Z$164, 0) +
            IF(Z$175=Z$226, Z$177, 0) +
            IF(Z$188=Z$226, Z$190, 0) +
            IF(Z$201=Z$226, Z$203, 0) +
            IF(Z$214=Z$226, Z$216, 0) +
            IF(Z$220=Z$226, Z$222, 0)
         )), Z$228)*0.124 &lt; 0, 0, MIN(MAX(0, 168600 - (
            IF(Z$162=Z$226, Z$164, 0) +
            IF(Z$175=Z$226, Z$177, 0) +
            IF(Z$188=Z$226, Z$190, 0) +
            IF(Z$201=Z$226, Z$203, 0) +
            IF(Z$214=Z$226, Z$216, 0) +
            IF(Z$220=Z$226, Z$222, 0)
         )), Z$228)*0.124),
         "-"
      )
   )
)</f>
        <v>-</v>
      </c>
      <c r="AA230" s="231" t="str">
        <f>IF(AA$156=2022,
   IF(MIN(MAX(0, 147000 - (
      IF(AA$162=AA$226, AA$164, 0) +
      IF(AA$175=AA$226, AA$177, 0) +
      IF(AA$188=AA$226, AA$190, 0) +
      IF(AA$201=AA$226, AA$203, 0) +
      IF(AA$214=AA$226, AA$216, 0) +
      IF(AA$220=AA$226, AA$222, 0)
   )), AA$228)*0.124 &lt; 0, 0, MIN(MAX(0, 147000 - (
      IF(AA$162=AA$226, AA$164, 0) +
      IF(AA$175=AA$226, AA$177, 0) +
      IF(AA$188=AA$226, AA$190, 0) +
      IF(AA$201=AA$226, AA$203, 0) +
      IF(AA$214=AA$226, AA$216, 0) +
      IF(AA$220=AA$226, AA$222, 0)
   )), AA$228)*0.124),
   IF(AA$156=2023,
      IF(MIN(MAX(0, 160200 - (
         IF(AA$162=AA$226, AA$164, 0) +
         IF(AA$175=AA$226, AA$177, 0) +
         IF(AA$188=AA$226, AA$190, 0) +
         IF(AA$201=AA$226, AA$203, 0) +
         IF(AA$214=AA$226, AA$216, 0) +
         IF(AA$220=AA$226, AA$222, 0)
      )), AA$228)*0.124 &lt; 0, 0, MIN(MAX(0, 160200 - (
         IF(AA$162=AA$226, AA$164, 0) +
         IF(AA$175=AA$226, AA$177, 0) +
         IF(AA$188=AA$226, AA$190, 0) +
         IF(AA$201=AA$226, AA$203, 0) +
         IF(AA$214=AA$226, AA$216, 0) +
         IF(AA$220=AA$226, AA$222, 0)
      )), AA$228)*0.124),
      IF(AA$156=2024,
         IF(MIN(MAX(0, 168600 - (
            IF(AA$162=AA$226, AA$164, 0) +
            IF(AA$175=AA$226, AA$177, 0) +
            IF(AA$188=AA$226, AA$190, 0) +
            IF(AA$201=AA$226, AA$203, 0) +
            IF(AA$214=AA$226, AA$216, 0) +
            IF(AA$220=AA$226, AA$222, 0)
         )), AA$228)*0.124 &lt; 0, 0, MIN(MAX(0, 168600 - (
            IF(AA$162=AA$226, AA$164, 0) +
            IF(AA$175=AA$226, AA$177, 0) +
            IF(AA$188=AA$226, AA$190, 0) +
            IF(AA$201=AA$226, AA$203, 0) +
            IF(AA$214=AA$226, AA$216, 0) +
            IF(AA$220=AA$226, AA$222, 0)
         )), AA$228)*0.124),
         "-"
      )
   )
)</f>
        <v>-</v>
      </c>
      <c r="AB230" s="231" t="str">
        <f>IF(AB$156=2022,
   IF(MIN(MAX(0, 147000 - (
      IF(AB$162=AB$226, AB$164, 0) +
      IF(AB$175=AB$226, AB$177, 0) +
      IF(AB$188=AB$226, AB$190, 0) +
      IF(AB$201=AB$226, AB$203, 0) +
      IF(AB$214=AB$226, AB$216, 0) +
      IF(AB$220=AB$226, AB$222, 0)
   )), AB$228)*0.124 &lt; 0, 0, MIN(MAX(0, 147000 - (
      IF(AB$162=AB$226, AB$164, 0) +
      IF(AB$175=AB$226, AB$177, 0) +
      IF(AB$188=AB$226, AB$190, 0) +
      IF(AB$201=AB$226, AB$203, 0) +
      IF(AB$214=AB$226, AB$216, 0) +
      IF(AB$220=AB$226, AB$222, 0)
   )), AB$228)*0.124),
   IF(AB$156=2023,
      IF(MIN(MAX(0, 160200 - (
         IF(AB$162=AB$226, AB$164, 0) +
         IF(AB$175=AB$226, AB$177, 0) +
         IF(AB$188=AB$226, AB$190, 0) +
         IF(AB$201=AB$226, AB$203, 0) +
         IF(AB$214=AB$226, AB$216, 0) +
         IF(AB$220=AB$226, AB$222, 0)
      )), AB$228)*0.124 &lt; 0, 0, MIN(MAX(0, 160200 - (
         IF(AB$162=AB$226, AB$164, 0) +
         IF(AB$175=AB$226, AB$177, 0) +
         IF(AB$188=AB$226, AB$190, 0) +
         IF(AB$201=AB$226, AB$203, 0) +
         IF(AB$214=AB$226, AB$216, 0) +
         IF(AB$220=AB$226, AB$222, 0)
      )), AB$228)*0.124),
      IF(AB$156=2024,
         IF(MIN(MAX(0, 168600 - (
            IF(AB$162=AB$226, AB$164, 0) +
            IF(AB$175=AB$226, AB$177, 0) +
            IF(AB$188=AB$226, AB$190, 0) +
            IF(AB$201=AB$226, AB$203, 0) +
            IF(AB$214=AB$226, AB$216, 0) +
            IF(AB$220=AB$226, AB$222, 0)
         )), AB$228)*0.124 &lt; 0, 0, MIN(MAX(0, 168600 - (
            IF(AB$162=AB$226, AB$164, 0) +
            IF(AB$175=AB$226, AB$177, 0) +
            IF(AB$188=AB$226, AB$190, 0) +
            IF(AB$201=AB$226, AB$203, 0) +
            IF(AB$214=AB$226, AB$216, 0) +
            IF(AB$220=AB$226, AB$222, 0)
         )), AB$228)*0.124),
         "-"
      )
   )
)</f>
        <v>-</v>
      </c>
      <c r="AC230" s="231" t="str">
        <f>IF(AC$156=2022,
   IF(MIN(MAX(0, 147000 - (
      IF(AC$162=AC$226, AC$164, 0) +
      IF(AC$175=AC$226, AC$177, 0) +
      IF(AC$188=AC$226, AC$190, 0) +
      IF(AC$201=AC$226, AC$203, 0) +
      IF(AC$214=AC$226, AC$216, 0) +
      IF(AC$220=AC$226, AC$222, 0)
   )), AC$228)*0.124 &lt; 0, 0, MIN(MAX(0, 147000 - (
      IF(AC$162=AC$226, AC$164, 0) +
      IF(AC$175=AC$226, AC$177, 0) +
      IF(AC$188=AC$226, AC$190, 0) +
      IF(AC$201=AC$226, AC$203, 0) +
      IF(AC$214=AC$226, AC$216, 0) +
      IF(AC$220=AC$226, AC$222, 0)
   )), AC$228)*0.124),
   IF(AC$156=2023,
      IF(MIN(MAX(0, 160200 - (
         IF(AC$162=AC$226, AC$164, 0) +
         IF(AC$175=AC$226, AC$177, 0) +
         IF(AC$188=AC$226, AC$190, 0) +
         IF(AC$201=AC$226, AC$203, 0) +
         IF(AC$214=AC$226, AC$216, 0) +
         IF(AC$220=AC$226, AC$222, 0)
      )), AC$228)*0.124 &lt; 0, 0, MIN(MAX(0, 160200 - (
         IF(AC$162=AC$226, AC$164, 0) +
         IF(AC$175=AC$226, AC$177, 0) +
         IF(AC$188=AC$226, AC$190, 0) +
         IF(AC$201=AC$226, AC$203, 0) +
         IF(AC$214=AC$226, AC$216, 0) +
         IF(AC$220=AC$226, AC$222, 0)
      )), AC$228)*0.124),
      IF(AC$156=2024,
         IF(MIN(MAX(0, 168600 - (
            IF(AC$162=AC$226, AC$164, 0) +
            IF(AC$175=AC$226, AC$177, 0) +
            IF(AC$188=AC$226, AC$190, 0) +
            IF(AC$201=AC$226, AC$203, 0) +
            IF(AC$214=AC$226, AC$216, 0) +
            IF(AC$220=AC$226, AC$222, 0)
         )), AC$228)*0.124 &lt; 0, 0, MIN(MAX(0, 168600 - (
            IF(AC$162=AC$226, AC$164, 0) +
            IF(AC$175=AC$226, AC$177, 0) +
            IF(AC$188=AC$226, AC$190, 0) +
            IF(AC$201=AC$226, AC$203, 0) +
            IF(AC$214=AC$226, AC$216, 0) +
            IF(AC$220=AC$226, AC$222, 0)
         )), AC$228)*0.124),
         "-"
      )
   )
)</f>
        <v>-</v>
      </c>
    </row>
    <row r="231" spans="3:29" ht="15.75" thickBot="1" x14ac:dyDescent="0.3">
      <c r="P231" s="82"/>
      <c r="Q231" s="82"/>
      <c r="R231" s="82"/>
      <c r="S231" s="82"/>
      <c r="T231" s="82"/>
      <c r="U231" s="82"/>
      <c r="V231" s="82"/>
      <c r="W231" s="82"/>
      <c r="X231" s="82"/>
      <c r="Y231" s="82"/>
      <c r="Z231" s="82"/>
      <c r="AA231" s="82"/>
      <c r="AB231" s="82"/>
      <c r="AC231" s="82"/>
    </row>
    <row r="232" spans="3:29" x14ac:dyDescent="0.25">
      <c r="P232" s="254" t="s">
        <v>519</v>
      </c>
      <c r="Q232" s="254" t="s">
        <v>519</v>
      </c>
      <c r="R232" s="254" t="s">
        <v>519</v>
      </c>
      <c r="S232" s="254" t="s">
        <v>519</v>
      </c>
      <c r="T232" s="254" t="s">
        <v>519</v>
      </c>
      <c r="U232" s="254" t="s">
        <v>519</v>
      </c>
      <c r="V232" s="254" t="s">
        <v>519</v>
      </c>
      <c r="W232" s="254" t="s">
        <v>519</v>
      </c>
      <c r="X232" s="254" t="s">
        <v>519</v>
      </c>
      <c r="Y232" s="254" t="s">
        <v>410</v>
      </c>
      <c r="Z232" s="254" t="s">
        <v>410</v>
      </c>
      <c r="AA232" s="254" t="s">
        <v>410</v>
      </c>
      <c r="AB232" s="254" t="s">
        <v>410</v>
      </c>
      <c r="AC232" s="254" t="s">
        <v>410</v>
      </c>
    </row>
    <row r="233" spans="3:29" x14ac:dyDescent="0.25">
      <c r="N233" s="125" t="s">
        <v>51</v>
      </c>
      <c r="O233" t="s">
        <v>236</v>
      </c>
      <c r="P233" s="101">
        <v>0</v>
      </c>
      <c r="Q233" s="101">
        <v>0</v>
      </c>
      <c r="R233" s="101">
        <v>0</v>
      </c>
      <c r="S233" s="101">
        <v>0</v>
      </c>
      <c r="T233" s="101">
        <v>0</v>
      </c>
      <c r="U233" s="101">
        <v>0</v>
      </c>
      <c r="V233" s="101">
        <v>0</v>
      </c>
      <c r="W233" s="101">
        <v>0</v>
      </c>
      <c r="X233" s="101">
        <v>0</v>
      </c>
      <c r="Y233" s="101">
        <v>0</v>
      </c>
      <c r="Z233" s="101">
        <v>0</v>
      </c>
      <c r="AA233" s="101">
        <v>0</v>
      </c>
      <c r="AB233" s="101">
        <v>0</v>
      </c>
      <c r="AC233" s="101">
        <v>0</v>
      </c>
    </row>
    <row r="234" spans="3:29" x14ac:dyDescent="0.25">
      <c r="O234" s="37">
        <v>0.92349999999999999</v>
      </c>
      <c r="P234" s="106">
        <f>IF(P233 * 0.9235 &lt; 0, 0, P233 * 0.9235)</f>
        <v>0</v>
      </c>
      <c r="Q234" s="106">
        <f t="shared" ref="Q234" si="835">IF(Q233 * 0.9235 &lt; 0, 0, Q233 * 0.9235)</f>
        <v>0</v>
      </c>
      <c r="R234" s="106">
        <f t="shared" ref="R234" si="836">IF(R233 * 0.9235 &lt; 0, 0, R233 * 0.9235)</f>
        <v>0</v>
      </c>
      <c r="S234" s="106">
        <f t="shared" ref="S234" si="837">IF(S233 * 0.9235 &lt; 0, 0, S233 * 0.9235)</f>
        <v>0</v>
      </c>
      <c r="T234" s="106">
        <f t="shared" ref="T234" si="838">IF(T233 * 0.9235 &lt; 0, 0, T233 * 0.9235)</f>
        <v>0</v>
      </c>
      <c r="U234" s="106">
        <f t="shared" ref="U234" si="839">IF(U233 * 0.9235 &lt; 0, 0, U233 * 0.9235)</f>
        <v>0</v>
      </c>
      <c r="V234" s="106">
        <f t="shared" ref="V234" si="840">IF(V233 * 0.9235 &lt; 0, 0, V233 * 0.9235)</f>
        <v>0</v>
      </c>
      <c r="W234" s="106">
        <f t="shared" ref="W234" si="841">IF(W233 * 0.9235 &lt; 0, 0, W233 * 0.9235)</f>
        <v>0</v>
      </c>
      <c r="X234" s="106">
        <f t="shared" ref="X234" si="842">IF(X233 * 0.9235 &lt; 0, 0, X233 * 0.9235)</f>
        <v>0</v>
      </c>
      <c r="Y234" s="106">
        <f t="shared" ref="Y234" si="843">IF(Y233 * 0.9235 &lt; 0, 0, Y233 * 0.9235)</f>
        <v>0</v>
      </c>
      <c r="Z234" s="106">
        <f t="shared" ref="Z234" si="844">IF(Z233 * 0.9235 &lt; 0, 0, Z233 * 0.9235)</f>
        <v>0</v>
      </c>
      <c r="AA234" s="106">
        <f t="shared" ref="AA234" si="845">IF(AA233 * 0.9235 &lt; 0, 0, AA233 * 0.9235)</f>
        <v>0</v>
      </c>
      <c r="AB234" s="106">
        <f t="shared" ref="AB234" si="846">IF(AB233 * 0.9235 &lt; 0, 0, AB233 * 0.9235)</f>
        <v>0</v>
      </c>
      <c r="AC234" s="106">
        <f t="shared" ref="AC234" si="847">IF(AC233 * 0.9235 &lt; 0, 0, AC233 * 0.9235)</f>
        <v>0</v>
      </c>
    </row>
    <row r="235" spans="3:29" x14ac:dyDescent="0.25">
      <c r="O235" t="s">
        <v>207</v>
      </c>
      <c r="P235" s="103">
        <f>IF(P233 * 0.9235 * 0.029 &lt; 0, 0, P233 * 0.9235 * 0.029)</f>
        <v>0</v>
      </c>
      <c r="Q235" s="103">
        <f>IF(Q233 * 0.9235 * 0.029 &lt; 0, 0, Q233 * 0.9235 * 0.029)</f>
        <v>0</v>
      </c>
      <c r="R235" s="103">
        <f>IF(R233 * 0.9235 * 0.029 &lt; 0, 0, R233 * 0.9235 * 0.029)</f>
        <v>0</v>
      </c>
      <c r="S235" s="103">
        <f t="shared" ref="S235:U235" si="848">IF(S233 * 0.9235 * 0.029 &lt; 0, 0, S233 * 0.9235 * 0.029)</f>
        <v>0</v>
      </c>
      <c r="T235" s="103">
        <f t="shared" si="848"/>
        <v>0</v>
      </c>
      <c r="U235" s="103">
        <f t="shared" si="848"/>
        <v>0</v>
      </c>
      <c r="V235" s="103">
        <f>IF(V233 * 0.9235 * 0.029 &lt; 0, 0, V233 * 0.9235 * 0.029)</f>
        <v>0</v>
      </c>
      <c r="W235" s="103">
        <f>IF(W233 * 0.9235 * 0.029 &lt; 0, 0, W233 * 0.9235 * 0.029)</f>
        <v>0</v>
      </c>
      <c r="X235" s="103">
        <f t="shared" ref="X235" si="849">IF(X233 * 0.9235 * 0.029 &lt; 0, 0, X233 * 0.9235 * 0.029)</f>
        <v>0</v>
      </c>
      <c r="Y235" s="103">
        <f>IF(Y233 * 0.9235 * 0.029 &lt; 0, 0, Y233 * 0.9235 * 0.029)</f>
        <v>0</v>
      </c>
      <c r="Z235" s="103">
        <f t="shared" ref="Z235:AC235" si="850">IF(Z233 * 0.9235 * 0.029 &lt; 0, 0, Z233 * 0.9235 * 0.029)</f>
        <v>0</v>
      </c>
      <c r="AA235" s="103">
        <f t="shared" si="850"/>
        <v>0</v>
      </c>
      <c r="AB235" s="103">
        <f t="shared" si="850"/>
        <v>0</v>
      </c>
      <c r="AC235" s="103">
        <f t="shared" si="850"/>
        <v>0</v>
      </c>
    </row>
    <row r="236" spans="3:29" ht="15.75" thickBot="1" x14ac:dyDescent="0.3">
      <c r="O236" t="s">
        <v>209</v>
      </c>
      <c r="P236" s="231" t="str">
        <f>IF(B$1=2022,
   IF(MIN(MAX(0, 147000 - (
      IF(P$162=P$232, P$164, 0) +
      IF(P$175=P$232, P$177, 0) +
      IF(P$188=P$232, P$190, 0) +
      IF(P$201=P$232, P$203, 0) +
      IF(P$214=P$232, P$216, 0) +
      IF(P$220=P$232, P$222, 0) +
      IF(P$226=P$232, P$228, 0)
   )), P$234)*0.124 &lt; 0, 0, MIN(MAX(0, 147000 - (
      IF(P$162=P$232, P$164, 0) +
      IF(P$175=P$232, P$177, 0) +
      IF(P$188=P$232, P$190, 0) +
      IF(P$201=P$232, P$203, 0) +
      IF(P$214=P$232, P$216, 0) +
      IF(P$220=P$232, P$222, 0) +
      IF(P$226=P$232, P$228, 0)
   )), P$234)*0.124),
   IF(B$1=2023,
      IF(MIN(MAX(0, 160200 - (
         IF(P$162=P$232, P$164, 0) +
         IF(P$175=P$232, P$177, 0) +
         IF(P$188=P$232, P$190, 0) +
         IF(P$201=P$232, P$203, 0) +
         IF(P$214=P$232, P$216, 0) +
         IF(P$220=P$232, P$222, 0) +
         IF(P$226=P$232, P$228, 0)
      )), P$234)*0.124 &lt; 0, 0, MIN(MAX(0, 160200 - (
         IF(P$162=P$232, P$164, 0) +
         IF(P$175=P$232, P$177, 0) +
         IF(P$188=P$232, P$190, 0) +
         IF(P$201=P$232, P$203, 0) +
         IF(P$214=P$232, P$216, 0) +
         IF(P$220=P$232, P$222, 0) +
         IF(P$226=P$232, P$228, 0)
      )), P$234)*0.124),
      IF(B$1=2024,
         IF(MIN(MAX(0, 168600 - (
            IF(P$162=P$232, P$164, 0) +
            IF(P$175=P$232, P$177, 0) +
            IF(P$188=P$232, P$190, 0) +
            IF(P$201=P$232, P$203, 0) +
            IF(P$214=P$232, P$216, 0) +
            IF(P$220=P$232, P$222, 0) +
            IF(P$226=P$232, P$228, 0)
         )), P$234)*0.124 &lt; 0, 0, MIN(MAX(0, 168600 - (
            IF(P$162=P$232, P$164, 0) +
            IF(P$175=P$232, P$177, 0) +
            IF(P$188=P$232, P$190, 0) +
            IF(P$201=P$232, P$203, 0) +
            IF(P$214=P$232, P$216, 0) +
            IF(P$220=P$232, P$222, 0) +
            IF(P$226=P$232, P$228, 0)
         )), P$234)*0.124),
         "-"
      )
   )
)</f>
        <v>-</v>
      </c>
      <c r="Q236" s="231" t="str">
        <f>IF(C$1=2022,
   IF(MIN(MAX(0, 147000 - (
      IF(Q$162=Q$232, Q$164, 0) +
      IF(Q$175=Q$232, Q$177, 0) +
      IF(Q$188=Q$232, Q$190, 0) +
      IF(Q$201=Q$232, Q$203, 0) +
      IF(Q$214=Q$232, Q$216, 0) +
      IF(Q$220=Q$232, Q$222, 0) +
      IF(Q$226=Q$232, Q$228, 0)
   )), Q$234)*0.124 &lt; 0, 0, MIN(MAX(0, 147000 - (
      IF(Q$162=Q$232, Q$164, 0) +
      IF(Q$175=Q$232, Q$177, 0) +
      IF(Q$188=Q$232, Q$190, 0) +
      IF(Q$201=Q$232, Q$203, 0) +
      IF(Q$214=Q$232, Q$216, 0) +
      IF(Q$220=Q$232, Q$222, 0) +
      IF(Q$226=Q$232, Q$228, 0)
   )), Q$234)*0.124),
   IF(C$1=2023,
      IF(MIN(MAX(0, 160200 - (
         IF(Q$162=Q$232, Q$164, 0) +
         IF(Q$175=Q$232, Q$177, 0) +
         IF(Q$188=Q$232, Q$190, 0) +
         IF(Q$201=Q$232, Q$203, 0) +
         IF(Q$214=Q$232, Q$216, 0) +
         IF(Q$220=Q$232, Q$222, 0) +
         IF(Q$226=Q$232, Q$228, 0)
      )), Q$234)*0.124 &lt; 0, 0, MIN(MAX(0, 160200 - (
         IF(Q$162=Q$232, Q$164, 0) +
         IF(Q$175=Q$232, Q$177, 0) +
         IF(Q$188=Q$232, Q$190, 0) +
         IF(Q$201=Q$232, Q$203, 0) +
         IF(Q$214=Q$232, Q$216, 0) +
         IF(Q$220=Q$232, Q$222, 0) +
         IF(Q$226=Q$232, Q$228, 0)
      )), Q$234)*0.124),
      IF(C$1=2024,
         IF(MIN(MAX(0, 168600 - (
            IF(Q$162=Q$232, Q$164, 0) +
            IF(Q$175=Q$232, Q$177, 0) +
            IF(Q$188=Q$232, Q$190, 0) +
            IF(Q$201=Q$232, Q$203, 0) +
            IF(Q$214=Q$232, Q$216, 0) +
            IF(Q$220=Q$232, Q$222, 0) +
            IF(Q$226=Q$232, Q$228, 0)
         )), Q$234)*0.124 &lt; 0, 0, MIN(MAX(0, 168600 - (
            IF(Q$162=Q$232, Q$164, 0) +
            IF(Q$175=Q$232, Q$177, 0) +
            IF(Q$188=Q$232, Q$190, 0) +
            IF(Q$201=Q$232, Q$203, 0) +
            IF(Q$214=Q$232, Q$216, 0) +
            IF(Q$220=Q$232, Q$222, 0) +
            IF(Q$226=Q$232, Q$228, 0)
         )), Q$234)*0.124),
         "-"
      )
   )
)</f>
        <v>-</v>
      </c>
      <c r="R236" s="231" t="str">
        <f>IF(D$1=2022,
   IF(MIN(MAX(0, 147000 - (
      IF(R$162=R$232, R$164, 0) +
      IF(R$175=R$232, R$177, 0) +
      IF(R$188=R$232, R$190, 0) +
      IF(R$201=R$232, R$203, 0) +
      IF(R$214=R$232, R$216, 0) +
      IF(R$220=R$232, R$222, 0) +
      IF(R$226=R$232, R$228, 0)
   )), R$234)*0.124 &lt; 0, 0, MIN(MAX(0, 147000 - (
      IF(R$162=R$232, R$164, 0) +
      IF(R$175=R$232, R$177, 0) +
      IF(R$188=R$232, R$190, 0) +
      IF(R$201=R$232, R$203, 0) +
      IF(R$214=R$232, R$216, 0) +
      IF(R$220=R$232, R$222, 0) +
      IF(R$226=R$232, R$228, 0)
   )), R$234)*0.124),
   IF(D$1=2023,
      IF(MIN(MAX(0, 160200 - (
         IF(R$162=R$232, R$164, 0) +
         IF(R$175=R$232, R$177, 0) +
         IF(R$188=R$232, R$190, 0) +
         IF(R$201=R$232, R$203, 0) +
         IF(R$214=R$232, R$216, 0) +
         IF(R$220=R$232, R$222, 0) +
         IF(R$226=R$232, R$228, 0)
      )), R$234)*0.124 &lt; 0, 0, MIN(MAX(0, 160200 - (
         IF(R$162=R$232, R$164, 0) +
         IF(R$175=R$232, R$177, 0) +
         IF(R$188=R$232, R$190, 0) +
         IF(R$201=R$232, R$203, 0) +
         IF(R$214=R$232, R$216, 0) +
         IF(R$220=R$232, R$222, 0) +
         IF(R$226=R$232, R$228, 0)
      )), R$234)*0.124),
      IF(D$1=2024,
         IF(MIN(MAX(0, 168600 - (
            IF(R$162=R$232, R$164, 0) +
            IF(R$175=R$232, R$177, 0) +
            IF(R$188=R$232, R$190, 0) +
            IF(R$201=R$232, R$203, 0) +
            IF(R$214=R$232, R$216, 0) +
            IF(R$220=R$232, R$222, 0) +
            IF(R$226=R$232, R$228, 0)
         )), R$234)*0.124 &lt; 0, 0, MIN(MAX(0, 168600 - (
            IF(R$162=R$232, R$164, 0) +
            IF(R$175=R$232, R$177, 0) +
            IF(R$188=R$232, R$190, 0) +
            IF(R$201=R$232, R$203, 0) +
            IF(R$214=R$232, R$216, 0) +
            IF(R$220=R$232, R$222, 0) +
            IF(R$226=R$232, R$228, 0)
         )), R$234)*0.124),
         "-"
      )
   )
)</f>
        <v>-</v>
      </c>
      <c r="S236" s="231" t="str">
        <f t="shared" ref="S236:U236" si="851">IF(E$1=2022,
   IF(MIN(MAX(0, 147000 - (
      IF(S$162=S$232, S$164, 0) +
      IF(S$175=S$232, S$177, 0) +
      IF(S$188=S$232, S$190, 0) +
      IF(S$201=S$232, S$203, 0) +
      IF(S$214=S$232, S$216, 0) +
      IF(S$220=S$232, S$222, 0) +
      IF(S$226=S$232, S$228, 0)
   )), S$234)*0.124 &lt; 0, 0, MIN(MAX(0, 147000 - (
      IF(S$162=S$232, S$164, 0) +
      IF(S$175=S$232, S$177, 0) +
      IF(S$188=S$232, S$190, 0) +
      IF(S$201=S$232, S$203, 0) +
      IF(S$214=S$232, S$216, 0) +
      IF(S$220=S$232, S$222, 0) +
      IF(S$226=S$232, S$228, 0)
   )), S$234)*0.124),
   IF(E$1=2023,
      IF(MIN(MAX(0, 160200 - (
         IF(S$162=S$232, S$164, 0) +
         IF(S$175=S$232, S$177, 0) +
         IF(S$188=S$232, S$190, 0) +
         IF(S$201=S$232, S$203, 0) +
         IF(S$214=S$232, S$216, 0) +
         IF(S$220=S$232, S$222, 0) +
         IF(S$226=S$232, S$228, 0)
      )), S$234)*0.124 &lt; 0, 0, MIN(MAX(0, 160200 - (
         IF(S$162=S$232, S$164, 0) +
         IF(S$175=S$232, S$177, 0) +
         IF(S$188=S$232, S$190, 0) +
         IF(S$201=S$232, S$203, 0) +
         IF(S$214=S$232, S$216, 0) +
         IF(S$220=S$232, S$222, 0) +
         IF(S$226=S$232, S$228, 0)
      )), S$234)*0.124),
      IF(E$1=2024,
         IF(MIN(MAX(0, 168600 - (
            IF(S$162=S$232, S$164, 0) +
            IF(S$175=S$232, S$177, 0) +
            IF(S$188=S$232, S$190, 0) +
            IF(S$201=S$232, S$203, 0) +
            IF(S$214=S$232, S$216, 0) +
            IF(S$220=S$232, S$222, 0) +
            IF(S$226=S$232, S$228, 0)
         )), S$234)*0.124 &lt; 0, 0, MIN(MAX(0, 168600 - (
            IF(S$162=S$232, S$164, 0) +
            IF(S$175=S$232, S$177, 0) +
            IF(S$188=S$232, S$190, 0) +
            IF(S$201=S$232, S$203, 0) +
            IF(S$214=S$232, S$216, 0) +
            IF(S$220=S$232, S$222, 0) +
            IF(S$226=S$232, S$228, 0)
         )), S$234)*0.124),
         "-"
      )
   )
)</f>
        <v>-</v>
      </c>
      <c r="T236" s="231" t="str">
        <f t="shared" si="851"/>
        <v>-</v>
      </c>
      <c r="U236" s="231" t="str">
        <f t="shared" si="851"/>
        <v>-</v>
      </c>
      <c r="V236" s="231" t="str">
        <f>IF(H$1=2022,
   IF(MIN(MAX(0, 147000 - (
      IF(V$162=V$232, V$164, 0) +
      IF(V$175=V$232, V$177, 0) +
      IF(V$188=V$232, V$190, 0) +
      IF(V$201=V$232, V$203, 0) +
      IF(V$214=V$232, V$216, 0) +
      IF(V$220=V$232, V$222, 0) +
      IF(V$226=V$232, V$228, 0)
   )), V$234)*0.124 &lt; 0, 0, MIN(MAX(0, 147000 - (
      IF(V$162=V$232, V$164, 0) +
      IF(V$175=V$232, V$177, 0) +
      IF(V$188=V$232, V$190, 0) +
      IF(V$201=V$232, V$203, 0) +
      IF(V$214=V$232, V$216, 0) +
      IF(V$220=V$232, V$222, 0) +
      IF(V$226=V$232, V$228, 0)
   )), V$234)*0.124),
   IF(H$1=2023,
      IF(MIN(MAX(0, 160200 - (
         IF(V$162=V$232, V$164, 0) +
         IF(V$175=V$232, V$177, 0) +
         IF(V$188=V$232, V$190, 0) +
         IF(V$201=V$232, V$203, 0) +
         IF(V$214=V$232, V$216, 0) +
         IF(V$220=V$232, V$222, 0) +
         IF(V$226=V$232, V$228, 0)
      )), V$234)*0.124 &lt; 0, 0, MIN(MAX(0, 160200 - (
         IF(V$162=V$232, V$164, 0) +
         IF(V$175=V$232, V$177, 0) +
         IF(V$188=V$232, V$190, 0) +
         IF(V$201=V$232, V$203, 0) +
         IF(V$214=V$232, V$216, 0) +
         IF(V$220=V$232, V$222, 0) +
         IF(V$226=V$232, V$228, 0)
      )), V$234)*0.124),
      IF(H$1=2024,
         IF(MIN(MAX(0, 168600 - (
            IF(V$162=V$232, V$164, 0) +
            IF(V$175=V$232, V$177, 0) +
            IF(V$188=V$232, V$190, 0) +
            IF(V$201=V$232, V$203, 0) +
            IF(V$214=V$232, V$216, 0) +
            IF(V$220=V$232, V$222, 0) +
            IF(V$226=V$232, V$228, 0)
         )), V$234)*0.124 &lt; 0, 0, MIN(MAX(0, 168600 - (
            IF(V$162=V$232, V$164, 0) +
            IF(V$175=V$232, V$177, 0) +
            IF(V$188=V$232, V$190, 0) +
            IF(V$201=V$232, V$203, 0) +
            IF(V$214=V$232, V$216, 0) +
            IF(V$220=V$232, V$222, 0) +
            IF(V$226=V$232, V$228, 0)
         )), V$234)*0.124),
         "-"
      )
   )
)</f>
        <v>-</v>
      </c>
      <c r="W236" s="231" t="str">
        <f>IF(I$1=2022,
   IF(MIN(MAX(0, 147000 - (
      IF(W$162=W$232, W$164, 0) +
      IF(W$175=W$232, W$177, 0) +
      IF(W$188=W$232, W$190, 0) +
      IF(W$201=W$232, W$203, 0) +
      IF(W$214=W$232, W$216, 0) +
      IF(W$220=W$232, W$222, 0) +
      IF(W$226=W$232, W$228, 0)
   )), W$234)*0.124 &lt; 0, 0, MIN(MAX(0, 147000 - (
      IF(W$162=W$232, W$164, 0) +
      IF(W$175=W$232, W$177, 0) +
      IF(W$188=W$232, W$190, 0) +
      IF(W$201=W$232, W$203, 0) +
      IF(W$214=W$232, W$216, 0) +
      IF(W$220=W$232, W$222, 0) +
      IF(W$226=W$232, W$228, 0)
   )), W$234)*0.124),
   IF(I$1=2023,
      IF(MIN(MAX(0, 160200 - (
         IF(W$162=W$232, W$164, 0) +
         IF(W$175=W$232, W$177, 0) +
         IF(W$188=W$232, W$190, 0) +
         IF(W$201=W$232, W$203, 0) +
         IF(W$214=W$232, W$216, 0) +
         IF(W$220=W$232, W$222, 0) +
         IF(W$226=W$232, W$228, 0)
      )), W$234)*0.124 &lt; 0, 0, MIN(MAX(0, 160200 - (
         IF(W$162=W$232, W$164, 0) +
         IF(W$175=W$232, W$177, 0) +
         IF(W$188=W$232, W$190, 0) +
         IF(W$201=W$232, W$203, 0) +
         IF(W$214=W$232, W$216, 0) +
         IF(W$220=W$232, W$222, 0) +
         IF(W$226=W$232, W$228, 0)
      )), W$234)*0.124),
      IF(I$1=2024,
         IF(MIN(MAX(0, 168600 - (
            IF(W$162=W$232, W$164, 0) +
            IF(W$175=W$232, W$177, 0) +
            IF(W$188=W$232, W$190, 0) +
            IF(W$201=W$232, W$203, 0) +
            IF(W$214=W$232, W$216, 0) +
            IF(W$220=W$232, W$222, 0) +
            IF(W$226=W$232, W$228, 0)
         )), W$234)*0.124 &lt; 0, 0, MIN(MAX(0, 168600 - (
            IF(W$162=W$232, W$164, 0) +
            IF(W$175=W$232, W$177, 0) +
            IF(W$188=W$232, W$190, 0) +
            IF(W$201=W$232, W$203, 0) +
            IF(W$214=W$232, W$216, 0) +
            IF(W$220=W$232, W$222, 0) +
            IF(W$226=W$232, W$228, 0)
         )), W$234)*0.124),
         "-"
      )
   )
)</f>
        <v>-</v>
      </c>
      <c r="X236" s="231" t="str">
        <f>IF(J$1=2022,
   IF(MIN(MAX(0, 147000 - (
      IF(X$162=X$232, X$164, 0) +
      IF(X$175=X$232, X$177, 0) +
      IF(X$188=X$232, X$190, 0) +
      IF(X$201=X$232, X$203, 0) +
      IF(X$214=X$232, X$216, 0) +
      IF(X$220=X$232, X$222, 0) +
      IF(X$226=X$232, X$228, 0)
   )), X$234)*0.124 &lt; 0, 0, MIN(MAX(0, 147000 - (
      IF(X$162=X$232, X$164, 0) +
      IF(X$175=X$232, X$177, 0) +
      IF(X$188=X$232, X$190, 0) +
      IF(X$201=X$232, X$203, 0) +
      IF(X$214=X$232, X$216, 0) +
      IF(X$220=X$232, X$222, 0) +
      IF(X$226=X$232, X$228, 0)
   )), X$234)*0.124),
   IF(J$1=2023,
      IF(MIN(MAX(0, 160200 - (
         IF(X$162=X$232, X$164, 0) +
         IF(X$175=X$232, X$177, 0) +
         IF(X$188=X$232, X$190, 0) +
         IF(X$201=X$232, X$203, 0) +
         IF(X$214=X$232, X$216, 0) +
         IF(X$220=X$232, X$222, 0) +
         IF(X$226=X$232, X$228, 0)
      )), X$234)*0.124 &lt; 0, 0, MIN(MAX(0, 160200 - (
         IF(X$162=X$232, X$164, 0) +
         IF(X$175=X$232, X$177, 0) +
         IF(X$188=X$232, X$190, 0) +
         IF(X$201=X$232, X$203, 0) +
         IF(X$214=X$232, X$216, 0) +
         IF(X$220=X$232, X$222, 0) +
         IF(X$226=X$232, X$228, 0)
      )), X$234)*0.124),
      IF(J$1=2024,
         IF(MIN(MAX(0, 168600 - (
            IF(X$162=X$232, X$164, 0) +
            IF(X$175=X$232, X$177, 0) +
            IF(X$188=X$232, X$190, 0) +
            IF(X$201=X$232, X$203, 0) +
            IF(X$214=X$232, X$216, 0) +
            IF(X$220=X$232, X$222, 0) +
            IF(X$226=X$232, X$228, 0)
         )), X$234)*0.124 &lt; 0, 0, MIN(MAX(0, 168600 - (
            IF(X$162=X$232, X$164, 0) +
            IF(X$175=X$232, X$177, 0) +
            IF(X$188=X$232, X$190, 0) +
            IF(X$201=X$232, X$203, 0) +
            IF(X$214=X$232, X$216, 0) +
            IF(X$220=X$232, X$222, 0) +
            IF(X$226=X$232, X$228, 0)
         )), X$234)*0.124),
         "-"
      )
   )
)</f>
        <v>-</v>
      </c>
      <c r="Y236" s="231" t="str">
        <f>IF(Y$156=2022,
   IF(MIN(MAX(0, 147000 - (
      IF(Y$162=Y$232, Y$164, 0) +
      IF(Y$175=Y$232, Y$177, 0) +
      IF(Y$188=Y$232, Y$190, 0) +
      IF(Y$201=Y$232, Y$203, 0) +
      IF(Y$214=Y$232, Y$216, 0) +
      IF(Y$220=Y$232, Y$222, 0) +
      IF(Y$226=Y$232, Y$228, 0)
   )), Y$234)*0.124 &lt; 0, 0, MIN(MAX(0, 147000 - (
      IF(Y$162=Y$232, Y$164, 0) +
      IF(Y$175=Y$232, Y$177, 0) +
      IF(Y$188=Y$232, Y$190, 0) +
      IF(Y$201=Y$232, Y$203, 0) +
      IF(Y$214=Y$232, Y$216, 0) +
      IF(Y$220=Y$232, Y$222, 0) +
      IF(Y$226=Y$232, Y$228, 0)
   )), Y$234)*0.124),
   IF(Y$156=2023,
      IF(MIN(MAX(0, 160200 - (
         IF(Y$162=Y$232, Y$164, 0) +
         IF(Y$175=Y$232, Y$177, 0) +
         IF(Y$188=Y$232, Y$190, 0) +
         IF(Y$201=Y$232, Y$203, 0) +
         IF(Y$214=Y$232, Y$216, 0) +
         IF(Y$220=Y$232, Y$222, 0) +
         IF(Y$226=Y$232, Y$228, 0)
      )), Y$234)*0.124 &lt; 0, 0, MIN(MAX(0, 160200 - (
         IF(Y$162=Y$232, Y$164, 0) +
         IF(Y$175=Y$232, Y$177, 0) +
         IF(Y$188=Y$232, Y$190, 0) +
         IF(Y$201=Y$232, Y$203, 0) +
         IF(Y$214=Y$232, Y$216, 0) +
         IF(Y$220=Y$232, Y$222, 0) +
         IF(Y$226=Y$232, Y$228, 0)
      )), Y$234)*0.124),
      IF(Y$156=2024,
         IF(MIN(MAX(0, 168600 - (
            IF(Y$162=Y$232, Y$164, 0) +
            IF(Y$175=Y$232, Y$177, 0) +
            IF(Y$188=Y$232, Y$190, 0) +
            IF(Y$201=Y$232, Y$203, 0) +
            IF(Y$214=Y$232, Y$216, 0) +
            IF(Y$220=Y$232, Y$222, 0) +
            IF(Y$226=Y$232, Y$228, 0)
         )), Y$234)*0.124 &lt; 0, 0, MIN(MAX(0, 168600 - (
            IF(Y$162=Y$232, Y$164, 0) +
            IF(Y$175=Y$232, Y$177, 0) +
            IF(Y$188=Y$232, Y$190, 0) +
            IF(Y$201=Y$232, Y$203, 0) +
            IF(Y$214=Y$232, Y$216, 0) +
            IF(Y$220=Y$232, Y$222, 0) +
            IF(Y$226=Y$232, Y$228, 0)
         )), Y$234)*0.124),
         "-"
      )
   )
)</f>
        <v>-</v>
      </c>
      <c r="Z236" s="231" t="str">
        <f>IF(Z$156=2022,
   IF(MIN(MAX(0, 147000 - (
      IF(Z$162=Z$232, Z$164, 0) +
      IF(Z$175=Z$232, Z$177, 0) +
      IF(Z$188=Z$232, Z$190, 0) +
      IF(Z$201=Z$232, Z$203, 0) +
      IF(Z$214=Z$232, Z$216, 0) +
      IF(Z$220=Z$232, Z$222, 0) +
      IF(Z$226=Z$232, Z$228, 0)
   )), Z$234)*0.124 &lt; 0, 0, MIN(MAX(0, 147000 - (
      IF(Z$162=Z$232, Z$164, 0) +
      IF(Z$175=Z$232, Z$177, 0) +
      IF(Z$188=Z$232, Z$190, 0) +
      IF(Z$201=Z$232, Z$203, 0) +
      IF(Z$214=Z$232, Z$216, 0) +
      IF(Z$220=Z$232, Z$222, 0) +
      IF(Z$226=Z$232, Z$228, 0)
   )), Z$234)*0.124),
   IF(Z$156=2023,
      IF(MIN(MAX(0, 160200 - (
         IF(Z$162=Z$232, Z$164, 0) +
         IF(Z$175=Z$232, Z$177, 0) +
         IF(Z$188=Z$232, Z$190, 0) +
         IF(Z$201=Z$232, Z$203, 0) +
         IF(Z$214=Z$232, Z$216, 0) +
         IF(Z$220=Z$232, Z$222, 0) +
         IF(Z$226=Z$232, Z$228, 0)
      )), Z$234)*0.124 &lt; 0, 0, MIN(MAX(0, 160200 - (
         IF(Z$162=Z$232, Z$164, 0) +
         IF(Z$175=Z$232, Z$177, 0) +
         IF(Z$188=Z$232, Z$190, 0) +
         IF(Z$201=Z$232, Z$203, 0) +
         IF(Z$214=Z$232, Z$216, 0) +
         IF(Z$220=Z$232, Z$222, 0) +
         IF(Z$226=Z$232, Z$228, 0)
      )), Z$234)*0.124),
      IF(Z$156=2024,
         IF(MIN(MAX(0, 168600 - (
            IF(Z$162=Z$232, Z$164, 0) +
            IF(Z$175=Z$232, Z$177, 0) +
            IF(Z$188=Z$232, Z$190, 0) +
            IF(Z$201=Z$232, Z$203, 0) +
            IF(Z$214=Z$232, Z$216, 0) +
            IF(Z$220=Z$232, Z$222, 0) +
            IF(Z$226=Z$232, Z$228, 0)
         )), Z$234)*0.124 &lt; 0, 0, MIN(MAX(0, 168600 - (
            IF(Z$162=Z$232, Z$164, 0) +
            IF(Z$175=Z$232, Z$177, 0) +
            IF(Z$188=Z$232, Z$190, 0) +
            IF(Z$201=Z$232, Z$203, 0) +
            IF(Z$214=Z$232, Z$216, 0) +
            IF(Z$220=Z$232, Z$222, 0) +
            IF(Z$226=Z$232, Z$228, 0)
         )), Z$234)*0.124),
         "-"
      )
   )
)</f>
        <v>-</v>
      </c>
      <c r="AA236" s="231" t="str">
        <f>IF(AA$156=2022,
   IF(MIN(MAX(0, 147000 - (
      IF(AA$162=AA$232, AA$164, 0) +
      IF(AA$175=AA$232, AA$177, 0) +
      IF(AA$188=AA$232, AA$190, 0) +
      IF(AA$201=AA$232, AA$203, 0) +
      IF(AA$214=AA$232, AA$216, 0) +
      IF(AA$220=AA$232, AA$222, 0) +
      IF(AA$226=AA$232, AA$228, 0)
   )), AA$234)*0.124 &lt; 0, 0, MIN(MAX(0, 147000 - (
      IF(AA$162=AA$232, AA$164, 0) +
      IF(AA$175=AA$232, AA$177, 0) +
      IF(AA$188=AA$232, AA$190, 0) +
      IF(AA$201=AA$232, AA$203, 0) +
      IF(AA$214=AA$232, AA$216, 0) +
      IF(AA$220=AA$232, AA$222, 0) +
      IF(AA$226=AA$232, AA$228, 0)
   )), AA$234)*0.124),
   IF(AA$156=2023,
      IF(MIN(MAX(0, 160200 - (
         IF(AA$162=AA$232, AA$164, 0) +
         IF(AA$175=AA$232, AA$177, 0) +
         IF(AA$188=AA$232, AA$190, 0) +
         IF(AA$201=AA$232, AA$203, 0) +
         IF(AA$214=AA$232, AA$216, 0) +
         IF(AA$220=AA$232, AA$222, 0) +
         IF(AA$226=AA$232, AA$228, 0)
      )), AA$234)*0.124 &lt; 0, 0, MIN(MAX(0, 160200 - (
         IF(AA$162=AA$232, AA$164, 0) +
         IF(AA$175=AA$232, AA$177, 0) +
         IF(AA$188=AA$232, AA$190, 0) +
         IF(AA$201=AA$232, AA$203, 0) +
         IF(AA$214=AA$232, AA$216, 0) +
         IF(AA$220=AA$232, AA$222, 0) +
         IF(AA$226=AA$232, AA$228, 0)
      )), AA$234)*0.124),
      IF(AA$156=2024,
         IF(MIN(MAX(0, 168600 - (
            IF(AA$162=AA$232, AA$164, 0) +
            IF(AA$175=AA$232, AA$177, 0) +
            IF(AA$188=AA$232, AA$190, 0) +
            IF(AA$201=AA$232, AA$203, 0) +
            IF(AA$214=AA$232, AA$216, 0) +
            IF(AA$220=AA$232, AA$222, 0) +
            IF(AA$226=AA$232, AA$228, 0)
         )), AA$234)*0.124 &lt; 0, 0, MIN(MAX(0, 168600 - (
            IF(AA$162=AA$232, AA$164, 0) +
            IF(AA$175=AA$232, AA$177, 0) +
            IF(AA$188=AA$232, AA$190, 0) +
            IF(AA$201=AA$232, AA$203, 0) +
            IF(AA$214=AA$232, AA$216, 0) +
            IF(AA$220=AA$232, AA$222, 0) +
            IF(AA$226=AA$232, AA$228, 0)
         )), AA$234)*0.124),
         "-"
      )
   )
)</f>
        <v>-</v>
      </c>
      <c r="AB236" s="231" t="str">
        <f>IF(AB$156=2022,
   IF(MIN(MAX(0, 147000 - (
      IF(AB$162=AB$232, AB$164, 0) +
      IF(AB$175=AB$232, AB$177, 0) +
      IF(AB$188=AB$232, AB$190, 0) +
      IF(AB$201=AB$232, AB$203, 0) +
      IF(AB$214=AB$232, AB$216, 0) +
      IF(AB$220=AB$232, AB$222, 0) +
      IF(AB$226=AB$232, AB$228, 0)
   )), AB$234)*0.124 &lt; 0, 0, MIN(MAX(0, 147000 - (
      IF(AB$162=AB$232, AB$164, 0) +
      IF(AB$175=AB$232, AB$177, 0) +
      IF(AB$188=AB$232, AB$190, 0) +
      IF(AB$201=AB$232, AB$203, 0) +
      IF(AB$214=AB$232, AB$216, 0) +
      IF(AB$220=AB$232, AB$222, 0) +
      IF(AB$226=AB$232, AB$228, 0)
   )), AB$234)*0.124),
   IF(AB$156=2023,
      IF(MIN(MAX(0, 160200 - (
         IF(AB$162=AB$232, AB$164, 0) +
         IF(AB$175=AB$232, AB$177, 0) +
         IF(AB$188=AB$232, AB$190, 0) +
         IF(AB$201=AB$232, AB$203, 0) +
         IF(AB$214=AB$232, AB$216, 0) +
         IF(AB$220=AB$232, AB$222, 0) +
         IF(AB$226=AB$232, AB$228, 0)
      )), AB$234)*0.124 &lt; 0, 0, MIN(MAX(0, 160200 - (
         IF(AB$162=AB$232, AB$164, 0) +
         IF(AB$175=AB$232, AB$177, 0) +
         IF(AB$188=AB$232, AB$190, 0) +
         IF(AB$201=AB$232, AB$203, 0) +
         IF(AB$214=AB$232, AB$216, 0) +
         IF(AB$220=AB$232, AB$222, 0) +
         IF(AB$226=AB$232, AB$228, 0)
      )), AB$234)*0.124),
      IF(AB$156=2024,
         IF(MIN(MAX(0, 168600 - (
            IF(AB$162=AB$232, AB$164, 0) +
            IF(AB$175=AB$232, AB$177, 0) +
            IF(AB$188=AB$232, AB$190, 0) +
            IF(AB$201=AB$232, AB$203, 0) +
            IF(AB$214=AB$232, AB$216, 0) +
            IF(AB$220=AB$232, AB$222, 0) +
            IF(AB$226=AB$232, AB$228, 0)
         )), AB$234)*0.124 &lt; 0, 0, MIN(MAX(0, 168600 - (
            IF(AB$162=AB$232, AB$164, 0) +
            IF(AB$175=AB$232, AB$177, 0) +
            IF(AB$188=AB$232, AB$190, 0) +
            IF(AB$201=AB$232, AB$203, 0) +
            IF(AB$214=AB$232, AB$216, 0) +
            IF(AB$220=AB$232, AB$222, 0) +
            IF(AB$226=AB$232, AB$228, 0)
         )), AB$234)*0.124),
         "-"
      )
   )
)</f>
        <v>-</v>
      </c>
      <c r="AC236" s="231" t="str">
        <f>IF(AC$156=2022,
   IF(MIN(MAX(0, 147000 - (
      IF(AC$162=AC$232, AC$164, 0) +
      IF(AC$175=AC$232, AC$177, 0) +
      IF(AC$188=AC$232, AC$190, 0) +
      IF(AC$201=AC$232, AC$203, 0) +
      IF(AC$214=AC$232, AC$216, 0) +
      IF(AC$220=AC$232, AC$222, 0) +
      IF(AC$226=AC$232, AC$228, 0)
   )), AC$234)*0.124 &lt; 0, 0, MIN(MAX(0, 147000 - (
      IF(AC$162=AC$232, AC$164, 0) +
      IF(AC$175=AC$232, AC$177, 0) +
      IF(AC$188=AC$232, AC$190, 0) +
      IF(AC$201=AC$232, AC$203, 0) +
      IF(AC$214=AC$232, AC$216, 0) +
      IF(AC$220=AC$232, AC$222, 0) +
      IF(AC$226=AC$232, AC$228, 0)
   )), AC$234)*0.124),
   IF(AC$156=2023,
      IF(MIN(MAX(0, 160200 - (
         IF(AC$162=AC$232, AC$164, 0) +
         IF(AC$175=AC$232, AC$177, 0) +
         IF(AC$188=AC$232, AC$190, 0) +
         IF(AC$201=AC$232, AC$203, 0) +
         IF(AC$214=AC$232, AC$216, 0) +
         IF(AC$220=AC$232, AC$222, 0) +
         IF(AC$226=AC$232, AC$228, 0)
      )), AC$234)*0.124 &lt; 0, 0, MIN(MAX(0, 160200 - (
         IF(AC$162=AC$232, AC$164, 0) +
         IF(AC$175=AC$232, AC$177, 0) +
         IF(AC$188=AC$232, AC$190, 0) +
         IF(AC$201=AC$232, AC$203, 0) +
         IF(AC$214=AC$232, AC$216, 0) +
         IF(AC$220=AC$232, AC$222, 0) +
         IF(AC$226=AC$232, AC$228, 0)
      )), AC$234)*0.124),
      IF(AC$156=2024,
         IF(MIN(MAX(0, 168600 - (
            IF(AC$162=AC$232, AC$164, 0) +
            IF(AC$175=AC$232, AC$177, 0) +
            IF(AC$188=AC$232, AC$190, 0) +
            IF(AC$201=AC$232, AC$203, 0) +
            IF(AC$214=AC$232, AC$216, 0) +
            IF(AC$220=AC$232, AC$222, 0) +
            IF(AC$226=AC$232, AC$228, 0)
         )), AC$234)*0.124 &lt; 0, 0, MIN(MAX(0, 168600 - (
            IF(AC$162=AC$232, AC$164, 0) +
            IF(AC$175=AC$232, AC$177, 0) +
            IF(AC$188=AC$232, AC$190, 0) +
            IF(AC$201=AC$232, AC$203, 0) +
            IF(AC$214=AC$232, AC$216, 0) +
            IF(AC$220=AC$232, AC$222, 0) +
            IF(AC$226=AC$232, AC$228, 0)
         )), AC$234)*0.124),
         "-"
      )
   )
)</f>
        <v>-</v>
      </c>
    </row>
    <row r="237" spans="3:29" ht="15.75" thickBot="1" x14ac:dyDescent="0.3">
      <c r="P237" s="91" t="s">
        <v>85</v>
      </c>
      <c r="Q237" s="91" t="s">
        <v>86</v>
      </c>
      <c r="R237" s="91" t="s">
        <v>87</v>
      </c>
      <c r="S237" s="91" t="s">
        <v>88</v>
      </c>
      <c r="T237" s="91" t="s">
        <v>89</v>
      </c>
      <c r="U237" s="91" t="s">
        <v>90</v>
      </c>
      <c r="V237" s="91" t="s">
        <v>91</v>
      </c>
      <c r="W237" s="91" t="s">
        <v>92</v>
      </c>
      <c r="X237" s="91" t="s">
        <v>518</v>
      </c>
      <c r="Y237" s="109" t="s">
        <v>247</v>
      </c>
      <c r="Z237" s="109" t="s">
        <v>247</v>
      </c>
      <c r="AA237" s="109" t="s">
        <v>247</v>
      </c>
      <c r="AB237" s="109" t="s">
        <v>247</v>
      </c>
      <c r="AC237" s="109" t="s">
        <v>247</v>
      </c>
    </row>
    <row r="238" spans="3:29" x14ac:dyDescent="0.25">
      <c r="O238" t="s">
        <v>333</v>
      </c>
      <c r="P238" s="145">
        <f>MIN(
    MAX(
        IF((ISNUMBER(P$167) * (P$167 &gt; 0) * (OR(P$162="Client 1", P$162=""))), P$167, 0) +
        IF((ISNUMBER(P$180) * (P$180 &gt; 0) * (OR(P$175="Client 1", P$175=""))), P$180, 0) +
        IF((ISNUMBER(P$193) * (P$193 &gt; 0) * (OR(P$188="Client 1", P$188=""))), P$193, 0) +
        IF((ISNUMBER(P$206) * (P$206 &gt; 0) * (OR(P$201="Client 1", P$201=""))), P$206, 0),
        0
    ),
    IF(B$1=2022, 9114,
        IF(B$1=2023, 9932.4,
            IF(B$1=2024, 10453.2, 0)
        )
    )
)</f>
        <v>0</v>
      </c>
      <c r="Q238" s="145">
        <f>MIN(
    MAX(
        IF((ISNUMBER(Q$167) * (Q$167 &gt; 0) * (OR(Q$162="Client 1", Q$162=""))), Q$167, 0) +
        IF((ISNUMBER(Q$180) * (Q$180 &gt; 0) * (OR(Q$175="Client 1", Q$175=""))), Q$180, 0) +
        IF((ISNUMBER(Q$193) * (Q$193 &gt; 0) * (OR(Q$188="Client 1", Q$188=""))), Q$193, 0) +
        IF((ISNUMBER(Q$206) * (Q$206 &gt; 0) * (OR(Q$201="Client 1", Q$201=""))), Q$206, 0),
        0
    ),
    IF(C$1=2022, 9114,
        IF(C$1=2023, 9932.4,
            IF(C$1=2024, 10453.2, 0)
        )
    )
)</f>
        <v>0</v>
      </c>
      <c r="R238" s="145">
        <f>MIN(
    MAX(
        IF((ISNUMBER(R$167) * (R$167 &gt; 0) * (OR(R$162="Client 1", R$162=""))), R$167, 0) +
        IF((ISNUMBER(R$180) * (R$180 &gt; 0) * (OR(R$175="Client 1", R$175=""))), R$180, 0) +
        IF((ISNUMBER(R$193) * (R$193 &gt; 0) * (OR(R$188="Client 1", R$188=""))), R$193, 0) +
        IF((ISNUMBER(R$206) * (R$206 &gt; 0) * (OR(R$201="Client 1", R$201=""))), R$206, 0),
        0
    ),
    IF(D$1=2022, 9114,
        IF(D$1=2023, 9932.4,
            IF(D$1=2024, 10453.2, 0)
        )
    )
)</f>
        <v>0</v>
      </c>
      <c r="S238" s="145">
        <f t="shared" ref="S238:U238" si="852">MIN(
    MAX(
        IF((ISNUMBER(S$167) * (S$167 &gt; 0) * (OR(S$162="Client 1", S$162=""))), S$167, 0) +
        IF((ISNUMBER(S$180) * (S$180 &gt; 0) * (OR(S$175="Client 1", S$175=""))), S$180, 0) +
        IF((ISNUMBER(S$193) * (S$193 &gt; 0) * (OR(S$188="Client 1", S$188=""))), S$193, 0) +
        IF((ISNUMBER(S$206) * (S$206 &gt; 0) * (OR(S$201="Client 1", S$201=""))), S$206, 0),
        0
    ),
    IF(E$1=2022, 9114,
        IF(E$1=2023, 9932.4,
            IF(E$1=2024, 10453.2, 0)
        )
    )
)</f>
        <v>0</v>
      </c>
      <c r="T238" s="145">
        <f t="shared" si="852"/>
        <v>0</v>
      </c>
      <c r="U238" s="145">
        <f t="shared" si="852"/>
        <v>0</v>
      </c>
      <c r="V238" s="145">
        <f>MIN(
    MAX(
        IF((ISNUMBER(V$167) * (V$167 &gt; 0) * (OR(V$162="Client 1", V$162=""))), V$167, 0) +
        IF((ISNUMBER(V$180) * (V$180 &gt; 0) * (OR(V$175="Client 1", V$175=""))), V$180, 0) +
        IF((ISNUMBER(V$193) * (V$193 &gt; 0) * (OR(V$188="Client 1", V$188=""))), V$193, 0) +
        IF((ISNUMBER(V$206) * (V$206 &gt; 0) * (OR(V$201="Client 1", V$201=""))), V$206, 0),
        0
    ),
    IF(H$1=2022, 9114,
        IF(H$1=2023, 9932.4,
            IF(H$1=2024, 10453.2, 0)
        )
    )
)</f>
        <v>0</v>
      </c>
      <c r="W238" s="145">
        <f>MIN(
    MAX(
        IF((ISNUMBER(W$167) * (W$167 &gt; 0) * (OR(W$162="Client 1", W$162=""))), W$167, 0) +
        IF((ISNUMBER(W$180) * (W$180 &gt; 0) * (OR(W$175="Client 1", W$175=""))), W$180, 0) +
        IF((ISNUMBER(W$193) * (W$193 &gt; 0) * (OR(W$188="Client 1", W$188=""))), W$193, 0) +
        IF((ISNUMBER(W$206) * (W$206 &gt; 0) * (OR(W$201="Client 1", W$201=""))), W$206, 0),
        0
    ),
    IF(I$1=2022, 9114,
        IF(I$1=2023, 9932.4,
            IF(I$1=2024, 10453.2, 0)
        )
    )
)</f>
        <v>0</v>
      </c>
      <c r="X238" s="145">
        <f>MIN(
    MAX(
        IF((ISNUMBER(X$167) * (X$167 &gt; 0) * (OR(X$162="Client 1", X$162=""))), X$167, 0) +
        IF((ISNUMBER(X$180) * (X$180 &gt; 0) * (OR(X$175="Client 1", X$175=""))), X$180, 0) +
        IF((ISNUMBER(X$193) * (X$193 &gt; 0) * (OR(X$188="Client 1", X$188=""))), X$193, 0) +
        IF((ISNUMBER(X$206) * (X$206 &gt; 0) * (OR(X$201="Client 1", X$201=""))), X$206, 0),
        0
    ),
    IF(J$1=2022, 9114,
        IF(J$1=2023, 9932.4,
            IF(J$1=2024, 10453.2, 0)
        )
    )
)</f>
        <v>0</v>
      </c>
      <c r="Y238" s="145">
        <f>MIN(
    MAX(
        IF((ISNUMBER(Y$167) * (Y$167 &gt; 0) * (OR(Y$162="Client 1", Y$162=""))), Y$167, 0) +
        IF((ISNUMBER(Y$180) * (Y$180 &gt; 0) * (OR(Y$175="Client 1", Y$175=""))), Y$180, 0) +
        IF((ISNUMBER(Y$193) * (Y$193 &gt; 0) * (OR(Y$188="Client 1", Y$188=""))), Y$193, 0) +
        IF((ISNUMBER(Y$206) * (Y$206 &gt; 0) * (OR(Y$201="Client 1", Y$201=""))), Y$206, 0),
        0
    ),
    IF(Y$156=2022, 9114,
        IF(Y$156=2023, 9932.4,
            IF(Y$156=2024, 10453.2, 0)
        )
    )
)</f>
        <v>0</v>
      </c>
      <c r="Z238" s="145">
        <f>MIN(
    MAX(
        IF((ISNUMBER(Z$167) * (Z$167 &gt; 0) * (OR(Z$162="Client 1", Z$162=""))), Z$167, 0) +
        IF((ISNUMBER(Z$180) * (Z$180 &gt; 0) * (OR(Z$175="Client 1", Z$175=""))), Z$180, 0) +
        IF((ISNUMBER(Z$193) * (Z$193 &gt; 0) * (OR(Z$188="Client 1", Z$188=""))), Z$193, 0) +
        IF((ISNUMBER(Z$206) * (Z$206 &gt; 0) * (OR(Z$201="Client 1", Z$201=""))), Z$206, 0),
        0
    ),
    IF(Z$156=2022, 9114,
        IF(Z$156=2023, 9932.4,
            IF(Z$156=2024, 10453.2, 0)
        )
    )
)</f>
        <v>0</v>
      </c>
      <c r="AA238" s="145">
        <f>MIN(
    MAX(
        IF((ISNUMBER(AA$167) * (AA$167 &gt; 0) * (OR(AA$162="Client 1", AA$162=""))), AA$167, 0) +
        IF((ISNUMBER(AA$180) * (AA$180 &gt; 0) * (OR(AA$175="Client 1", AA$175=""))), AA$180, 0) +
        IF((ISNUMBER(AA$193) * (AA$193 &gt; 0) * (OR(AA$188="Client 1", AA$188=""))), AA$193, 0) +
        IF((ISNUMBER(AA$206) * (AA$206 &gt; 0) * (OR(AA$201="Client 1", AA$201=""))), AA$206, 0),
        0
    ),
    IF(AA$156=2022, 9114,
        IF(AA$156=2023, 9932.4,
            IF(AA$156=2024, 10453.2, 0)
        )
    )
)</f>
        <v>0</v>
      </c>
      <c r="AB238" s="145">
        <f>MIN(
    MAX(
        IF((ISNUMBER(AB$167) * (AB$167 &gt; 0) * (OR(AB$162="Client 1", AB$162=""))), AB$167, 0) +
        IF((ISNUMBER(AB$180) * (AB$180 &gt; 0) * (OR(AB$175="Client 1", AB$175=""))), AB$180, 0) +
        IF((ISNUMBER(AB$193) * (AB$193 &gt; 0) * (OR(AB$188="Client 1", AB$188=""))), AB$193, 0) +
        IF((ISNUMBER(AB$206) * (AB$206 &gt; 0) * (OR(AB$201="Client 1", AB$201=""))), AB$206, 0),
        0
    ),
    IF(AB$156=2022, 9114,
        IF(AB$156=2023, 9932.4,
            IF(AB$156=2024, 10453.2, 0)
        )
    )
)</f>
        <v>0</v>
      </c>
      <c r="AC238" s="145">
        <f>MIN(
    MAX(
        IF((ISNUMBER(AC$167) * (AC$167 &gt; 0) * (OR(AC$162="Client 1", AC$162=""))), AC$167, 0) +
        IF((ISNUMBER(AC$180) * (AC$180 &gt; 0) * (OR(AC$175="Client 1", AC$175=""))), AC$180, 0) +
        IF((ISNUMBER(AC$193) * (AC$193 &gt; 0) * (OR(AC$188="Client 1", AC$188=""))), AC$193, 0) +
        IF((ISNUMBER(AC$206) * (AC$206 &gt; 0) * (OR(AC$201="Client 1", AC$201=""))), AC$206, 0),
        0
    ),
    IF(AC$156=2022, 9114,
        IF(AC$156=2023, 9932.4,
            IF(AC$156=2024, 10453.2, 0)
        )
    )
)</f>
        <v>0</v>
      </c>
    </row>
    <row r="239" spans="3:29" x14ac:dyDescent="0.25">
      <c r="D239" s="30" t="s">
        <v>57</v>
      </c>
      <c r="E239" s="31" t="s">
        <v>58</v>
      </c>
      <c r="F239" s="31" t="s">
        <v>59</v>
      </c>
      <c r="G239" s="31" t="s">
        <v>60</v>
      </c>
      <c r="H239" s="31" t="s">
        <v>70</v>
      </c>
      <c r="I239" s="48" t="str">
        <f>B23</f>
        <v/>
      </c>
      <c r="O239" t="s">
        <v>334</v>
      </c>
      <c r="P239" s="146">
        <f>MAX(
    IF((ISNUMBER(P$167) * (P$167 &gt; 0) * (OR(P$162="Client 1", P$162=""))), P$167, 0) +
    IF((ISNUMBER(P$180) * (P$180 &gt; 0) * (OR(P$175="Client 1", P$175=""))), P$180, 0) +
    IF((ISNUMBER(P$193) * (P$193 &gt; 0) * (OR(P$188="Client 1", P$188=""))), P$193, 0) +
    IF((ISNUMBER(P$206) * (P$206 &gt; 0) * (OR(P$201="Client 1", P$201=""))), P$206, 0) -
    IF(ISNUMBER(P$238), P$238, 0),
    0
)</f>
        <v>0</v>
      </c>
      <c r="Q239" s="146">
        <f>MAX(
    IF((ISNUMBER(Q$167) * (Q$167 &gt; 0) * (OR(Q$162="Client 1", Q$162=""))), Q$167, 0) +
    IF((ISNUMBER(Q$180) * (Q$180 &gt; 0) * (OR(Q$175="Client 1", Q$175=""))), Q$180, 0) +
    IF((ISNUMBER(Q$193) * (Q$193 &gt; 0) * (OR(Q$188="Client 1", Q$188=""))), Q$193, 0) +
    IF((ISNUMBER(Q$206) * (Q$206 &gt; 0) * (OR(Q$201="Client 1", Q$201=""))), Q$206, 0) -
    IF(ISNUMBER(Q$238), Q$238, 0),
    0
)</f>
        <v>0</v>
      </c>
      <c r="R239" s="146">
        <f>MAX(
    IF((ISNUMBER(R$167) * (R$167 &gt; 0) * (OR(R$162="Client 1", R$162=""))), R$167, 0) +
    IF((ISNUMBER(R$180) * (R$180 &gt; 0) * (OR(R$175="Client 1", R$175=""))), R$180, 0) +
    IF((ISNUMBER(R$193) * (R$193 &gt; 0) * (OR(R$188="Client 1", R$188=""))), R$193, 0) +
    IF((ISNUMBER(R$206) * (R$206 &gt; 0) * (OR(R$201="Client 1", R$201=""))), R$206, 0) -
    IF(ISNUMBER(R$238), R$238, 0),
    0
)</f>
        <v>0</v>
      </c>
      <c r="S239" s="146">
        <f t="shared" ref="S239:U239" si="853">MAX(
    IF((ISNUMBER(S$167) * (S$167 &gt; 0) * (OR(S$162="Client 1", S$162=""))), S$167, 0) +
    IF((ISNUMBER(S$180) * (S$180 &gt; 0) * (OR(S$175="Client 1", S$175=""))), S$180, 0) +
    IF((ISNUMBER(S$193) * (S$193 &gt; 0) * (OR(S$188="Client 1", S$188=""))), S$193, 0) +
    IF((ISNUMBER(S$206) * (S$206 &gt; 0) * (OR(S$201="Client 1", S$201=""))), S$206, 0) -
    IF(ISNUMBER(S$238), S$238, 0),
    0
)</f>
        <v>0</v>
      </c>
      <c r="T239" s="146">
        <f t="shared" si="853"/>
        <v>0</v>
      </c>
      <c r="U239" s="146">
        <f t="shared" si="853"/>
        <v>0</v>
      </c>
      <c r="V239" s="146">
        <f t="shared" ref="V239:AC239" si="854">MAX(
    IF((ISNUMBER(V$167) * (V$167 &gt; 0) * (OR(V$162="Client 1", V$162=""))), V$167, 0) +
    IF((ISNUMBER(V$180) * (V$180 &gt; 0) * (OR(V$175="Client 1", V$175=""))), V$180, 0) +
    IF((ISNUMBER(V$193) * (V$193 &gt; 0) * (OR(V$188="Client 1", V$188=""))), V$193, 0) +
    IF((ISNUMBER(V$206) * (V$206 &gt; 0) * (OR(V$201="Client 1", V$201=""))), V$206, 0) -
    IF(ISNUMBER(V$238), V$238, 0),
    0
)</f>
        <v>0</v>
      </c>
      <c r="W239" s="146">
        <f t="shared" si="854"/>
        <v>0</v>
      </c>
      <c r="X239" s="146">
        <f t="shared" si="854"/>
        <v>0</v>
      </c>
      <c r="Y239" s="146">
        <f t="shared" si="854"/>
        <v>0</v>
      </c>
      <c r="Z239" s="146">
        <f t="shared" si="854"/>
        <v>0</v>
      </c>
      <c r="AA239" s="146">
        <f t="shared" si="854"/>
        <v>0</v>
      </c>
      <c r="AB239" s="146">
        <f t="shared" si="854"/>
        <v>0</v>
      </c>
      <c r="AC239" s="146">
        <f t="shared" si="854"/>
        <v>0</v>
      </c>
    </row>
    <row r="240" spans="3:29" x14ac:dyDescent="0.25">
      <c r="D240" s="32">
        <v>1</v>
      </c>
      <c r="E240" s="33">
        <v>7.6399999999999996E-2</v>
      </c>
      <c r="F240" s="34" t="e">
        <f>J148</f>
        <v>#VALUE!</v>
      </c>
      <c r="G240" t="e">
        <f t="shared" ref="G240:G259" si="855">(F240*E240)*(1-$I$159)</f>
        <v>#VALUE!</v>
      </c>
      <c r="H240" s="34" t="e">
        <f t="shared" ref="H240:H258" si="856">F240+G240</f>
        <v>#VALUE!</v>
      </c>
      <c r="O240" t="s">
        <v>335</v>
      </c>
      <c r="P240" s="146">
        <f>MIN(
    MAX(
        IF((ISNUMBER(P$170) * (P$170 &gt; 0) * (OR(P$162="Client 1", P$162=""))), P$170, 0) +
        IF((ISNUMBER(P$183) * (P$183 &gt; 0) * (OR(P$175="Client 1", P$175=""))), P$183, 0) +
        IF((ISNUMBER(P$196) * (P$196 &gt; 0) * (OR(P$188="Client 1", P$188=""))), P$196, 0) +
        IF((ISNUMBER(P$209) * (P$209 &gt; 0) * (OR(P$201="Client 1", P$201=""))), P$209, 0),
        0
    ),
    IF(B$1=2022, 9114,
        IF(B$1=2023, 9932.4,
            IF(B$1=2024, 10453.2, 0)
        )
    )
)</f>
        <v>0</v>
      </c>
      <c r="Q240" s="146">
        <f>MIN(
    MAX(
        IF((ISNUMBER(Q$170) * (Q$170 &gt; 0) * (OR(Q$162="Client 1", Q$162=""))), Q$170, 0) +
        IF((ISNUMBER(Q$183) * (Q$183 &gt; 0) * (OR(Q$175="Client 1", Q$175=""))), Q$183, 0) +
        IF((ISNUMBER(Q$196) * (Q$196 &gt; 0) * (OR(Q$188="Client 1", Q$188=""))), Q$196, 0) +
        IF((ISNUMBER(Q$209) * (Q$209 &gt; 0) * (OR(Q$201="Client 1", Q$201=""))), Q$209, 0),
        0
    ),
    IF(C$1=2022, 9114,
        IF(C$1=2023, 9932.4,
            IF(C$1=2024, 10453.2, 0)
        )
    )
)</f>
        <v>0</v>
      </c>
      <c r="R240" s="146">
        <f>MIN(
    MAX(
        IF((ISNUMBER(R$170) * (R$170 &gt; 0) * (OR(R$162="Client 1", R$162=""))), R$170, 0) +
        IF((ISNUMBER(R$183) * (R$183 &gt; 0) * (OR(R$175="Client 1", R$175=""))), R$183, 0) +
        IF((ISNUMBER(R$196) * (R$196 &gt; 0) * (OR(R$188="Client 1", R$188=""))), R$196, 0) +
        IF((ISNUMBER(R$209) * (R$209 &gt; 0) * (OR(R$201="Client 1", R$201=""))), R$209, 0),
        0
    ),
    IF(D$1=2022, 9114,
        IF(D$1=2023, 9932.4,
            IF(D$1=2024, 10453.2, 0)
        )
    )
)</f>
        <v>0</v>
      </c>
      <c r="S240" s="146">
        <f t="shared" ref="S240:U240" si="857">MIN(
    MAX(
        IF((ISNUMBER(S$170) * (S$170 &gt; 0) * (OR(S$162="Client 1", S$162=""))), S$170, 0) +
        IF((ISNUMBER(S$183) * (S$183 &gt; 0) * (OR(S$175="Client 1", S$175=""))), S$183, 0) +
        IF((ISNUMBER(S$196) * (S$196 &gt; 0) * (OR(S$188="Client 1", S$188=""))), S$196, 0) +
        IF((ISNUMBER(S$209) * (S$209 &gt; 0) * (OR(S$201="Client 1", S$201=""))), S$209, 0),
        0
    ),
    IF(E$1=2022, 9114,
        IF(E$1=2023, 9932.4,
            IF(E$1=2024, 10453.2, 0)
        )
    )
)</f>
        <v>0</v>
      </c>
      <c r="T240" s="146">
        <f t="shared" si="857"/>
        <v>0</v>
      </c>
      <c r="U240" s="146">
        <f t="shared" si="857"/>
        <v>0</v>
      </c>
      <c r="V240" s="146">
        <f>MIN(
    MAX(
        IF((ISNUMBER(V$170) * (V$170 &gt; 0) * (OR(V$162="Client 1", V$162=""))), V$170, 0) +
        IF((ISNUMBER(V$183) * (V$183 &gt; 0) * (OR(V$175="Client 1", V$175=""))), V$183, 0) +
        IF((ISNUMBER(V$196) * (V$196 &gt; 0) * (OR(V$188="Client 1", V$188=""))), V$196, 0) +
        IF((ISNUMBER(V$209) * (V$209 &gt; 0) * (OR(V$201="Client 1", V$201=""))), V$209, 0),
        0
    ),
    IF(H$1=2022, 9114,
        IF(H$1=2023, 9932.4,
            IF(H$1=2024, 10453.2, 0)
        )
    )
)</f>
        <v>0</v>
      </c>
      <c r="W240" s="146">
        <f>MIN(
    MAX(
        IF((ISNUMBER(W$170) * (W$170 &gt; 0) * (OR(W$162="Client 1", W$162=""))), W$170, 0) +
        IF((ISNUMBER(W$183) * (W$183 &gt; 0) * (OR(W$175="Client 1", W$175=""))), W$183, 0) +
        IF((ISNUMBER(W$196) * (W$196 &gt; 0) * (OR(W$188="Client 1", W$188=""))), W$196, 0) +
        IF((ISNUMBER(W$209) * (W$209 &gt; 0) * (OR(W$201="Client 1", W$201=""))), W$209, 0),
        0
    ),
    IF(I$1=2022, 9114,
        IF(I$1=2023, 9932.4,
            IF(I$1=2024, 10453.2, 0)
        )
    )
)</f>
        <v>0</v>
      </c>
      <c r="X240" s="146">
        <f>MIN(
    MAX(
        IF((ISNUMBER(X$170) * (X$170 &gt; 0) * (OR(X$162="Client 1", X$162=""))), X$170, 0) +
        IF((ISNUMBER(X$183) * (X$183 &gt; 0) * (OR(X$175="Client 1", X$175=""))), X$183, 0) +
        IF((ISNUMBER(X$196) * (X$196 &gt; 0) * (OR(X$188="Client 1", X$188=""))), X$196, 0) +
        IF((ISNUMBER(X$209) * (X$209 &gt; 0) * (OR(X$201="Client 1", X$201=""))), X$209, 0),
        0
    ),
    IF(J$1=2022, 9114,
        IF(J$1=2023, 9932.4,
            IF(J$1=2024, 10453.2, 0)
        )
    )
)</f>
        <v>0</v>
      </c>
      <c r="Y240" s="146">
        <f>MIN(
    MAX(
        IF((ISNUMBER(Y$170) * (Y$170 &gt; 0) * (OR(Y$162="Client 1", Y$162=""))), Y$170, 0) +
        IF((ISNUMBER(Y$183) * (Y$183 &gt; 0) * (OR(Y$175="Client 1", Y$175=""))), Y$183, 0) +
        IF((ISNUMBER(Y$196) * (Y$196 &gt; 0) * (OR(Y$188="Client 1", Y$188=""))), Y$196, 0) +
        IF((ISNUMBER(Y$209) * (Y$209 &gt; 0) * (OR(Y$201="Client 1", Y$201=""))), Y$209, 0),
        0
    ),
    IF(Y$156=2022, 9114,
        IF(Y$156=2023, 9932.4,
            IF(Y$156=2024, 10453.2, 0)
        )
    )
)</f>
        <v>0</v>
      </c>
      <c r="Z240" s="146">
        <f>MIN(
    MAX(
        IF((ISNUMBER(Z$170) * (Z$170 &gt; 0) * (OR(Z$162="Client 1", Z$162=""))), Z$170, 0) +
        IF((ISNUMBER(Z$183) * (Z$183 &gt; 0) * (OR(Z$175="Client 1", Z$175=""))), Z$183, 0) +
        IF((ISNUMBER(Z$196) * (Z$196 &gt; 0) * (OR(Z$188="Client 1", Z$188=""))), Z$196, 0) +
        IF((ISNUMBER(Z$209) * (Z$209 &gt; 0) * (OR(Z$201="Client 1", Z$201=""))), Z$209, 0),
        0
    ),
    IF(Z$156=2022, 9114,
        IF(Z$156=2023, 9932.4,
            IF(Z$156=2024, 10453.2, 0)
        )
    )
)</f>
        <v>0</v>
      </c>
      <c r="AA240" s="146">
        <f>MIN(
    MAX(
        IF((ISNUMBER(AA$170) * (AA$170 &gt; 0) * (OR(AA$162="Client 1", AA$162=""))), AA$170, 0) +
        IF((ISNUMBER(AA$183) * (AA$183 &gt; 0) * (OR(AA$175="Client 1", AA$175=""))), AA$183, 0) +
        IF((ISNUMBER(AA$196) * (AA$196 &gt; 0) * (OR(AA$188="Client 1", AA$188=""))), AA$196, 0) +
        IF((ISNUMBER(AA$209) * (AA$209 &gt; 0) * (OR(AA$201="Client 1", AA$201=""))), AA$209, 0),
        0
    ),
    IF(AA$156=2022, 9114,
        IF(AA$156=2023, 9932.4,
            IF(AA$156=2024, 10453.2, 0)
        )
    )
)</f>
        <v>0</v>
      </c>
      <c r="AB240" s="146">
        <f>MIN(
    MAX(
        IF((ISNUMBER(AB$170) * (AB$170 &gt; 0) * (OR(AB$162="Client 1", AB$162=""))), AB$170, 0) +
        IF((ISNUMBER(AB$183) * (AB$183 &gt; 0) * (OR(AB$175="Client 1", AB$175=""))), AB$183, 0) +
        IF((ISNUMBER(AB$196) * (AB$196 &gt; 0) * (OR(AB$188="Client 1", AB$188=""))), AB$196, 0) +
        IF((ISNUMBER(AB$209) * (AB$209 &gt; 0) * (OR(AB$201="Client 1", AB$201=""))), AB$209, 0),
        0
    ),
    IF(AB$156=2022, 9114,
        IF(AB$156=2023, 9932.4,
            IF(AB$156=2024, 10453.2, 0)
        )
    )
)</f>
        <v>0</v>
      </c>
      <c r="AC240" s="146">
        <f>MIN(
    MAX(
        IF((ISNUMBER(AC$170) * (AC$170 &gt; 0) * (OR(AC$162="Client 1", AC$162=""))), AC$170, 0) +
        IF((ISNUMBER(AC$183) * (AC$183 &gt; 0) * (OR(AC$175="Client 1", AC$175=""))), AC$183, 0) +
        IF((ISNUMBER(AC$196) * (AC$196 &gt; 0) * (OR(AC$188="Client 1", AC$188=""))), AC$196, 0) +
        IF((ISNUMBER(AC$209) * (AC$209 &gt; 0) * (OR(AC$201="Client 1", AC$201=""))), AC$209, 0),
        0
    ),
    IF(AC$156=2022, 9114,
        IF(AC$156=2023, 9932.4,
            IF(AC$156=2024, 10453.2, 0)
        )
    )
)</f>
        <v>0</v>
      </c>
    </row>
    <row r="241" spans="4:29" ht="15.75" thickBot="1" x14ac:dyDescent="0.3">
      <c r="D241" s="32">
        <v>2</v>
      </c>
      <c r="E241" s="33">
        <f t="shared" ref="E241:E259" si="858">E240</f>
        <v>7.6399999999999996E-2</v>
      </c>
      <c r="F241" s="34" t="e">
        <f>$J$148+H240</f>
        <v>#VALUE!</v>
      </c>
      <c r="G241" t="e">
        <f t="shared" si="855"/>
        <v>#VALUE!</v>
      </c>
      <c r="H241" s="34" t="e">
        <f t="shared" si="856"/>
        <v>#VALUE!</v>
      </c>
      <c r="O241" t="s">
        <v>336</v>
      </c>
      <c r="P241" s="147">
        <f>MAX(
    IF((ISNUMBER(P$170) * (P$170 &gt; 0) * (OR(P$162="Client 1", P$162=""))), P$170, 0) +
    IF((ISNUMBER(P$183) * (P$183 &gt; 0) * (OR(P$175="Client 1", P$175=""))), P$183, 0) +
    IF((ISNUMBER(P$196) * (P$196 &gt; 0) * (OR(P$188="Client 1", P$188=""))), P$196, 0) +
    IF((ISNUMBER(P$209) * (P$209 &gt; 0) * (OR(P$201="Client 1", P$201=""))), P$209, 0) -
    IF(ISNUMBER(P$240), P$240, 0),
    0
)</f>
        <v>0</v>
      </c>
      <c r="Q241" s="147">
        <f>MAX(
    IF((ISNUMBER(Q$170) * (Q$170 &gt; 0) * (OR(Q$162="Client 1", Q$162=""))), Q$170, 0) +
    IF((ISNUMBER(Q$183) * (Q$183 &gt; 0) * (OR(Q$175="Client 1", Q$175=""))), Q$183, 0) +
    IF((ISNUMBER(Q$196) * (Q$196 &gt; 0) * (OR(Q$188="Client 1", Q$188=""))), Q$196, 0) +
    IF((ISNUMBER(Q$209) * (Q$209 &gt; 0) * (OR(Q$201="Client 1", Q$201=""))), Q$209, 0) -
    IF(ISNUMBER(Q$240), Q$240, 0),
    0
)</f>
        <v>0</v>
      </c>
      <c r="R241" s="147">
        <f>MAX(
    IF((ISNUMBER(R$170) * (R$170 &gt; 0) * (OR(R$162="Client 1", R$162=""))), R$170, 0) +
    IF((ISNUMBER(R$183) * (R$183 &gt; 0) * (OR(R$175="Client 1", R$175=""))), R$183, 0) +
    IF((ISNUMBER(R$196) * (R$196 &gt; 0) * (OR(R$188="Client 1", R$188=""))), R$196, 0) +
    IF((ISNUMBER(R$209) * (R$209 &gt; 0) * (OR(R$201="Client 1", R$201=""))), R$209, 0) -
    IF(ISNUMBER(R$240), R$240, 0),
    0
)</f>
        <v>0</v>
      </c>
      <c r="S241" s="147">
        <f t="shared" ref="S241:U241" si="859">MAX(
    IF((ISNUMBER(S$170) * (S$170 &gt; 0) * (OR(S$162="Client 1", S$162=""))), S$170, 0) +
    IF((ISNUMBER(S$183) * (S$183 &gt; 0) * (OR(S$175="Client 1", S$175=""))), S$183, 0) +
    IF((ISNUMBER(S$196) * (S$196 &gt; 0) * (OR(S$188="Client 1", S$188=""))), S$196, 0) +
    IF((ISNUMBER(S$209) * (S$209 &gt; 0) * (OR(S$201="Client 1", S$201=""))), S$209, 0) -
    IF(ISNUMBER(S$240), S$240, 0),
    0
)</f>
        <v>0</v>
      </c>
      <c r="T241" s="147">
        <f t="shared" si="859"/>
        <v>0</v>
      </c>
      <c r="U241" s="147">
        <f t="shared" si="859"/>
        <v>0</v>
      </c>
      <c r="V241" s="147">
        <f t="shared" ref="V241:AC241" si="860">MAX(
    IF((ISNUMBER(V$170) * (V$170 &gt; 0) * (OR(V$162="Client 1", V$162=""))), V$170, 0) +
    IF((ISNUMBER(V$183) * (V$183 &gt; 0) * (OR(V$175="Client 1", V$175=""))), V$183, 0) +
    IF((ISNUMBER(V$196) * (V$196 &gt; 0) * (OR(V$188="Client 1", V$188=""))), V$196, 0) +
    IF((ISNUMBER(V$209) * (V$209 &gt; 0) * (OR(V$201="Client 1", V$201=""))), V$209, 0) -
    IF(ISNUMBER(V$240), V$240, 0),
    0
)</f>
        <v>0</v>
      </c>
      <c r="W241" s="147">
        <f t="shared" si="860"/>
        <v>0</v>
      </c>
      <c r="X241" s="147">
        <f t="shared" si="860"/>
        <v>0</v>
      </c>
      <c r="Y241" s="147">
        <f t="shared" si="860"/>
        <v>0</v>
      </c>
      <c r="Z241" s="147">
        <f t="shared" si="860"/>
        <v>0</v>
      </c>
      <c r="AA241" s="147">
        <f t="shared" si="860"/>
        <v>0</v>
      </c>
      <c r="AB241" s="147">
        <f t="shared" si="860"/>
        <v>0</v>
      </c>
      <c r="AC241" s="147">
        <f t="shared" si="860"/>
        <v>0</v>
      </c>
    </row>
    <row r="242" spans="4:29" ht="15.75" thickBot="1" x14ac:dyDescent="0.3">
      <c r="D242" s="32">
        <v>3</v>
      </c>
      <c r="E242" s="33">
        <f t="shared" si="858"/>
        <v>7.6399999999999996E-2</v>
      </c>
      <c r="F242" s="34" t="e">
        <f t="shared" ref="F242:F259" si="861">$J$148+H241</f>
        <v>#VALUE!</v>
      </c>
      <c r="G242" t="e">
        <f t="shared" si="855"/>
        <v>#VALUE!</v>
      </c>
      <c r="H242" s="34" t="e">
        <f t="shared" si="856"/>
        <v>#VALUE!</v>
      </c>
      <c r="P242" s="91" t="s">
        <v>85</v>
      </c>
      <c r="Q242" s="91" t="s">
        <v>86</v>
      </c>
      <c r="R242" s="91" t="s">
        <v>87</v>
      </c>
      <c r="S242" s="91" t="s">
        <v>88</v>
      </c>
      <c r="T242" s="91" t="s">
        <v>89</v>
      </c>
      <c r="U242" s="91" t="s">
        <v>90</v>
      </c>
      <c r="V242" s="91" t="s">
        <v>91</v>
      </c>
      <c r="W242" s="91" t="s">
        <v>92</v>
      </c>
      <c r="X242" s="91" t="s">
        <v>518</v>
      </c>
      <c r="Y242" s="109" t="s">
        <v>247</v>
      </c>
      <c r="Z242" s="109" t="s">
        <v>247</v>
      </c>
      <c r="AA242" s="109" t="s">
        <v>247</v>
      </c>
      <c r="AB242" s="109" t="s">
        <v>247</v>
      </c>
      <c r="AC242" s="109" t="s">
        <v>247</v>
      </c>
    </row>
    <row r="243" spans="4:29" x14ac:dyDescent="0.25">
      <c r="D243" s="32">
        <v>4</v>
      </c>
      <c r="E243" s="33">
        <f t="shared" si="858"/>
        <v>7.6399999999999996E-2</v>
      </c>
      <c r="F243" s="34" t="e">
        <f t="shared" si="861"/>
        <v>#VALUE!</v>
      </c>
      <c r="G243" t="e">
        <f t="shared" si="855"/>
        <v>#VALUE!</v>
      </c>
      <c r="H243" s="34" t="e">
        <f t="shared" si="856"/>
        <v>#VALUE!</v>
      </c>
      <c r="O243" t="s">
        <v>333</v>
      </c>
      <c r="P243" s="145">
        <f>MIN(
    MAX(
        IF((ISNUMBER(P$167) * (P$167 &gt; 0) * (P$162="Client 2")), P$167, 0) +
        IF((ISNUMBER(P$180) * (P$180 &gt; 0) * (P$175="Client 2")), P$180, 0) +
        IF((ISNUMBER(P$193) * (P$193 &gt; 0) * (P$188="Client 2")), P$193, 0) +
        IF((ISNUMBER(P$206) * (P$206 &gt; 0) * (P$201="Client 2")), P$206, 0),
        0
    ),
    IF(B$1=2022, 9114,
        IF(B$1=2023, 9932.4,
            IF(B$1=2024, 10453.2, 0)
        )
    )
)</f>
        <v>0</v>
      </c>
      <c r="Q243" s="145">
        <f>MIN(
    MAX(
        IF((ISNUMBER(Q$167) * (Q$167 &gt; 0) * (Q$162="Client 2")), Q$167, 0) +
        IF((ISNUMBER(Q$180) * (Q$180 &gt; 0) * (Q$175="Client 2")), Q$180, 0) +
        IF((ISNUMBER(Q$193) * (Q$193 &gt; 0) * (Q$188="Client 2")), Q$193, 0) +
        IF((ISNUMBER(Q$206) * (Q$206 &gt; 0) * (Q$201="Client 2")), Q$206, 0),
        0
    ),
    IF(C$1=2022, 9114,
        IF(C$1=2023, 9932.4,
            IF(C$1=2024, 10453.2, 0)
        )
    )
)</f>
        <v>0</v>
      </c>
      <c r="R243" s="145">
        <f>MIN(
    MAX(
        IF((ISNUMBER(R$167) * (R$167 &gt; 0) * (R$162="Client 2")), R$167, 0) +
        IF((ISNUMBER(R$180) * (R$180 &gt; 0) * (R$175="Client 2")), R$180, 0) +
        IF((ISNUMBER(R$193) * (R$193 &gt; 0) * (R$188="Client 2")), R$193, 0) +
        IF((ISNUMBER(R$206) * (R$206 &gt; 0) * (R$201="Client 2")), R$206, 0),
        0
    ),
    IF(D$1=2022, 9114,
        IF(D$1=2023, 9932.4,
            IF(D$1=2024, 10453.2, 0)
        )
    )
)</f>
        <v>0</v>
      </c>
      <c r="S243" s="145">
        <f t="shared" ref="S243:U243" si="862">MIN(
    MAX(
        IF((ISNUMBER(S$167) * (S$167 &gt; 0) * (S$162="Client 2")), S$167, 0) +
        IF((ISNUMBER(S$180) * (S$180 &gt; 0) * (S$175="Client 2")), S$180, 0) +
        IF((ISNUMBER(S$193) * (S$193 &gt; 0) * (S$188="Client 2")), S$193, 0) +
        IF((ISNUMBER(S$206) * (S$206 &gt; 0) * (S$201="Client 2")), S$206, 0),
        0
    ),
    IF(E$1=2022, 9114,
        IF(E$1=2023, 9932.4,
            IF(E$1=2024, 10453.2, 0)
        )
    )
)</f>
        <v>0</v>
      </c>
      <c r="T243" s="145">
        <f t="shared" si="862"/>
        <v>0</v>
      </c>
      <c r="U243" s="145">
        <f t="shared" si="862"/>
        <v>0</v>
      </c>
      <c r="V243" s="145">
        <f>MIN(
    MAX(
        IF((ISNUMBER(V$167) * (V$167 &gt; 0) * (V$162="Client 2")), V$167, 0) +
        IF((ISNUMBER(V$180) * (V$180 &gt; 0) * (V$175="Client 2")), V$180, 0) +
        IF((ISNUMBER(V$193) * (V$193 &gt; 0) * (V$188="Client 2")), V$193, 0) +
        IF((ISNUMBER(V$206) * (V$206 &gt; 0) * (V$201="Client 2")), V$206, 0),
        0
    ),
    IF(H$1=2022, 9114,
        IF(H$1=2023, 9932.4,
            IF(H$1=2024, 10453.2, 0)
        )
    )
)</f>
        <v>0</v>
      </c>
      <c r="W243" s="145">
        <f>MIN(
    MAX(
        IF((ISNUMBER(W$167) * (W$167 &gt; 0) * (W$162="Client 2")), W$167, 0) +
        IF((ISNUMBER(W$180) * (W$180 &gt; 0) * (W$175="Client 2")), W$180, 0) +
        IF((ISNUMBER(W$193) * (W$193 &gt; 0) * (W$188="Client 2")), W$193, 0) +
        IF((ISNUMBER(W$206) * (W$206 &gt; 0) * (W$201="Client 2")), W$206, 0),
        0
    ),
    IF(I$1=2022, 9114,
        IF(I$1=2023, 9932.4,
            IF(I$1=2024, 10453.2, 0)
        )
    )
)</f>
        <v>0</v>
      </c>
      <c r="X243" s="145">
        <f>MIN(
    MAX(
        IF((ISNUMBER(X$167) * (X$167 &gt; 0) * (X$162="Client 2")), X$167, 0) +
        IF((ISNUMBER(X$180) * (X$180 &gt; 0) * (X$175="Client 2")), X$180, 0) +
        IF((ISNUMBER(X$193) * (X$193 &gt; 0) * (X$188="Client 2")), X$193, 0) +
        IF((ISNUMBER(X$206) * (X$206 &gt; 0) * (X$201="Client 2")), X$206, 0),
        0
    ),
    IF(J$1=2022, 9114,
        IF(J$1=2023, 9932.4,
            IF(J$1=2024, 10453.2, 0)
        )
    )
)</f>
        <v>0</v>
      </c>
      <c r="Y243" s="145">
        <f>MIN(
    MAX(
        IF((ISNUMBER(Y$167) * (Y$167 &gt; 0) * (Y$162="Client 2")), Y$167, 0) +
        IF((ISNUMBER(Y$180) * (Y$180 &gt; 0) * (Y$175="Client 2")), Y$180, 0) +
        IF((ISNUMBER(Y$193) * (Y$193 &gt; 0) * (Y$188="Client 2")), Y$193, 0) +
        IF((ISNUMBER(Y$206) * (Y$206 &gt; 0) * (Y$201="Client 2")), Y$206, 0),
        0
    ),
    IF(Y$156=2022, 9114,
        IF(Y$156=2023, 9932.4,
            IF(Y$156=2024, 10453.2, 0)
        )
    )
)</f>
        <v>0</v>
      </c>
      <c r="Z243" s="145">
        <f>MIN(
    MAX(
        IF((ISNUMBER(Z$167) * (Z$167 &gt; 0) * (Z$162="Client 2")), Z$167, 0) +
        IF((ISNUMBER(Z$180) * (Z$180 &gt; 0) * (Z$175="Client 2")), Z$180, 0) +
        IF((ISNUMBER(Z$193) * (Z$193 &gt; 0) * (Z$188="Client 2")), Z$193, 0) +
        IF((ISNUMBER(Z$206) * (Z$206 &gt; 0) * (Z$201="Client 2")), Z$206, 0),
        0
    ),
    IF(Z$156=2022, 9114,
        IF(Z$156=2023, 9932.4,
            IF(Z$156=2024, 10453.2, 0)
        )
    )
)</f>
        <v>0</v>
      </c>
      <c r="AA243" s="145">
        <f>MIN(
    MAX(
        IF((ISNUMBER(AA$167) * (AA$167 &gt; 0) * (AA$162="Client 2")), AA$167, 0) +
        IF((ISNUMBER(AA$180) * (AA$180 &gt; 0) * (AA$175="Client 2")), AA$180, 0) +
        IF((ISNUMBER(AA$193) * (AA$193 &gt; 0) * (AA$188="Client 2")), AA$193, 0) +
        IF((ISNUMBER(AA$206) * (AA$206 &gt; 0) * (AA$201="Client 2")), AA$206, 0),
        0
    ),
    IF(AA$156=2022, 9114,
        IF(AA$156=2023, 9932.4,
            IF(AA$156=2024, 10453.2, 0)
        )
    )
)</f>
        <v>0</v>
      </c>
      <c r="AB243" s="145">
        <f>MIN(
    MAX(
        IF((ISNUMBER(AB$167) * (AB$167 &gt; 0) * (AB$162="Client 2")), AB$167, 0) +
        IF((ISNUMBER(AB$180) * (AB$180 &gt; 0) * (AB$175="Client 2")), AB$180, 0) +
        IF((ISNUMBER(AB$193) * (AB$193 &gt; 0) * (AB$188="Client 2")), AB$193, 0) +
        IF((ISNUMBER(AB$206) * (AB$206 &gt; 0) * (AB$201="Client 2")), AB$206, 0),
        0
    ),
    IF(AB$156=2022, 9114,
        IF(AB$156=2023, 9932.4,
            IF(AB$156=2024, 10453.2, 0)
        )
    )
)</f>
        <v>0</v>
      </c>
      <c r="AC243" s="145">
        <f>MIN(
    MAX(
        IF((ISNUMBER(AC$167) * (AC$167 &gt; 0) * (AC$162="Client 2")), AC$167, 0) +
        IF((ISNUMBER(AC$180) * (AC$180 &gt; 0) * (AC$175="Client 2")), AC$180, 0) +
        IF((ISNUMBER(AC$193) * (AC$193 &gt; 0) * (AC$188="Client 2")), AC$193, 0) +
        IF((ISNUMBER(AC$206) * (AC$206 &gt; 0) * (AC$201="Client 2")), AC$206, 0),
        0
    ),
    IF(AC$156=2022, 9114,
        IF(AC$156=2023, 9932.4,
            IF(AC$156=2024, 10453.2, 0)
        )
    )
)</f>
        <v>0</v>
      </c>
    </row>
    <row r="244" spans="4:29" x14ac:dyDescent="0.25">
      <c r="D244" s="32">
        <v>5</v>
      </c>
      <c r="E244" s="33">
        <f t="shared" si="858"/>
        <v>7.6399999999999996E-2</v>
      </c>
      <c r="F244" s="34" t="e">
        <f t="shared" si="861"/>
        <v>#VALUE!</v>
      </c>
      <c r="G244" t="e">
        <f t="shared" si="855"/>
        <v>#VALUE!</v>
      </c>
      <c r="H244" s="34" t="e">
        <f t="shared" si="856"/>
        <v>#VALUE!</v>
      </c>
      <c r="O244" t="s">
        <v>334</v>
      </c>
      <c r="P244" s="146">
        <f>MAX(
    IF((ISNUMBER(P$167) * (P$167 &gt; 0) * (P$162="Client 2")), P$167, 0) +
    IF((ISNUMBER(P$180) * (P$180 &gt; 0) * (P$175="Client 2")), P$180, 0) +
    IF((ISNUMBER(P$193) * (P$193 &gt; 0) * (P$188="Client 2")), P$193, 0) +
    IF((ISNUMBER(P$206) * (P$206 &gt; 0) * (P$201="Client 2")), P$206, 0) -
    IF(ISNUMBER(P$243), P$243, 0),
    0
)</f>
        <v>0</v>
      </c>
      <c r="Q244" s="146">
        <f>MAX(
    IF((ISNUMBER(Q$167) * (Q$167 &gt; 0) * (Q$162="Client 2")), Q$167, 0) +
    IF((ISNUMBER(Q$180) * (Q$180 &gt; 0) * (Q$175="Client 2")), Q$180, 0) +
    IF((ISNUMBER(Q$193) * (Q$193 &gt; 0) * (Q$188="Client 2")), Q$193, 0) +
    IF((ISNUMBER(Q$206) * (Q$206 &gt; 0) * (Q$201="Client 2")), Q$206, 0) -
    IF(ISNUMBER(Q$243), Q$243, 0),
    0
)</f>
        <v>0</v>
      </c>
      <c r="R244" s="146">
        <f>MAX(
    IF((ISNUMBER(R$167) * (R$167 &gt; 0) * (R$162="Client 2")), R$167, 0) +
    IF((ISNUMBER(R$180) * (R$180 &gt; 0) * (R$175="Client 2")), R$180, 0) +
    IF((ISNUMBER(R$193) * (R$193 &gt; 0) * (R$188="Client 2")), R$193, 0) +
    IF((ISNUMBER(R$206) * (R$206 &gt; 0) * (R$201="Client 2")), R$206, 0) -
    IF(ISNUMBER(R$243), R$243, 0),
    0
)</f>
        <v>0</v>
      </c>
      <c r="S244" s="146">
        <f t="shared" ref="S244:U244" si="863">MAX(
    IF((ISNUMBER(S$167) * (S$167 &gt; 0) * (S$162="Client 2")), S$167, 0) +
    IF((ISNUMBER(S$180) * (S$180 &gt; 0) * (S$175="Client 2")), S$180, 0) +
    IF((ISNUMBER(S$193) * (S$193 &gt; 0) * (S$188="Client 2")), S$193, 0) +
    IF((ISNUMBER(S$206) * (S$206 &gt; 0) * (S$201="Client 2")), S$206, 0) -
    IF(ISNUMBER(S$243), S$243, 0),
    0
)</f>
        <v>0</v>
      </c>
      <c r="T244" s="146">
        <f t="shared" si="863"/>
        <v>0</v>
      </c>
      <c r="U244" s="146">
        <f t="shared" si="863"/>
        <v>0</v>
      </c>
      <c r="V244" s="146">
        <f t="shared" ref="V244:AC244" si="864">MAX(
    IF((ISNUMBER(V$167) * (V$167 &gt; 0) * (V$162="Client 2")), V$167, 0) +
    IF((ISNUMBER(V$180) * (V$180 &gt; 0) * (V$175="Client 2")), V$180, 0) +
    IF((ISNUMBER(V$193) * (V$193 &gt; 0) * (V$188="Client 2")), V$193, 0) +
    IF((ISNUMBER(V$206) * (V$206 &gt; 0) * (V$201="Client 2")), V$206, 0) -
    IF(ISNUMBER(V$243), V$243, 0),
    0
)</f>
        <v>0</v>
      </c>
      <c r="W244" s="146">
        <f t="shared" si="864"/>
        <v>0</v>
      </c>
      <c r="X244" s="146">
        <f t="shared" si="864"/>
        <v>0</v>
      </c>
      <c r="Y244" s="146">
        <f t="shared" si="864"/>
        <v>0</v>
      </c>
      <c r="Z244" s="146">
        <f t="shared" si="864"/>
        <v>0</v>
      </c>
      <c r="AA244" s="146">
        <f t="shared" si="864"/>
        <v>0</v>
      </c>
      <c r="AB244" s="146">
        <f t="shared" si="864"/>
        <v>0</v>
      </c>
      <c r="AC244" s="146">
        <f t="shared" si="864"/>
        <v>0</v>
      </c>
    </row>
    <row r="245" spans="4:29" x14ac:dyDescent="0.25">
      <c r="D245" s="32">
        <v>6</v>
      </c>
      <c r="E245" s="33">
        <f t="shared" si="858"/>
        <v>7.6399999999999996E-2</v>
      </c>
      <c r="F245" s="34" t="e">
        <f t="shared" si="861"/>
        <v>#VALUE!</v>
      </c>
      <c r="G245" t="e">
        <f t="shared" si="855"/>
        <v>#VALUE!</v>
      </c>
      <c r="H245" s="34" t="e">
        <f t="shared" si="856"/>
        <v>#VALUE!</v>
      </c>
      <c r="O245" t="s">
        <v>335</v>
      </c>
      <c r="P245" s="146">
        <f>MIN(
    MAX(
        IF((ISNUMBER(P$170) * (P$170 &gt; 0) * (P$162="Client 2")), P$170, 0) +
        IF((ISNUMBER(P$183) * (P$183 &gt; 0) * (P$175="Client 2")), P$183, 0) +
        IF((ISNUMBER(P$196) * (P$196 &gt; 0) * (P$188="Client 2")), P$196, 0) +
        IF((ISNUMBER(P$209) * (P$209 &gt; 0) * (P$201="Client 2")), P$209, 0),
        0
    ),
    IF(B$1=2022, 9114,
        IF(B$1=2023, 9932.4,
            IF(B$1=2024, 10453.2, 0)
        )
    )
)</f>
        <v>0</v>
      </c>
      <c r="Q245" s="146">
        <f>MIN(
    MAX(
        IF((ISNUMBER(Q$170) * (Q$170 &gt; 0) * (Q$162="Client 2")), Q$170, 0) +
        IF((ISNUMBER(Q$183) * (Q$183 &gt; 0) * (Q$175="Client 2")), Q$183, 0) +
        IF((ISNUMBER(Q$196) * (Q$196 &gt; 0) * (Q$188="Client 2")), Q$196, 0) +
        IF((ISNUMBER(Q$209) * (Q$209 &gt; 0) * (Q$201="Client 2")), Q$209, 0),
        0
    ),
    IF(C$1=2022, 9114,
        IF(C$1=2023, 9932.4,
            IF(C$1=2024, 10453.2, 0)
        )
    )
)</f>
        <v>0</v>
      </c>
      <c r="R245" s="146">
        <f>MIN(
    MAX(
        IF((ISNUMBER(R$170) * (R$170 &gt; 0) * (R$162="Client 2")), R$170, 0) +
        IF((ISNUMBER(R$183) * (R$183 &gt; 0) * (R$175="Client 2")), R$183, 0) +
        IF((ISNUMBER(R$196) * (R$196 &gt; 0) * (R$188="Client 2")), R$196, 0) +
        IF((ISNUMBER(R$209) * (R$209 &gt; 0) * (R$201="Client 2")), R$209, 0),
        0
    ),
    IF(D$1=2022, 9114,
        IF(D$1=2023, 9932.4,
            IF(D$1=2024, 10453.2, 0)
        )
    )
)</f>
        <v>0</v>
      </c>
      <c r="S245" s="146">
        <f t="shared" ref="S245:U245" si="865">MIN(
    MAX(
        IF((ISNUMBER(S$170) * (S$170 &gt; 0) * (S$162="Client 2")), S$170, 0) +
        IF((ISNUMBER(S$183) * (S$183 &gt; 0) * (S$175="Client 2")), S$183, 0) +
        IF((ISNUMBER(S$196) * (S$196 &gt; 0) * (S$188="Client 2")), S$196, 0) +
        IF((ISNUMBER(S$209) * (S$209 &gt; 0) * (S$201="Client 2")), S$209, 0),
        0
    ),
    IF(E$1=2022, 9114,
        IF(E$1=2023, 9932.4,
            IF(E$1=2024, 10453.2, 0)
        )
    )
)</f>
        <v>0</v>
      </c>
      <c r="T245" s="146">
        <f t="shared" si="865"/>
        <v>0</v>
      </c>
      <c r="U245" s="146">
        <f t="shared" si="865"/>
        <v>0</v>
      </c>
      <c r="V245" s="146">
        <f>MIN(
    MAX(
        IF((ISNUMBER(V$170) * (V$170 &gt; 0) * (V$162="Client 2")), V$170, 0) +
        IF((ISNUMBER(V$183) * (V$183 &gt; 0) * (V$175="Client 2")), V$183, 0) +
        IF((ISNUMBER(V$196) * (V$196 &gt; 0) * (V$188="Client 2")), V$196, 0) +
        IF((ISNUMBER(V$209) * (V$209 &gt; 0) * (V$201="Client 2")), V$209, 0),
        0
    ),
    IF(H$1=2022, 9114,
        IF(H$1=2023, 9932.4,
            IF(H$1=2024, 10453.2, 0)
        )
    )
)</f>
        <v>0</v>
      </c>
      <c r="W245" s="146">
        <f>MIN(
    MAX(
        IF((ISNUMBER(W$170) * (W$170 &gt; 0) * (W$162="Client 2")), W$170, 0) +
        IF((ISNUMBER(W$183) * (W$183 &gt; 0) * (W$175="Client 2")), W$183, 0) +
        IF((ISNUMBER(W$196) * (W$196 &gt; 0) * (W$188="Client 2")), W$196, 0) +
        IF((ISNUMBER(W$209) * (W$209 &gt; 0) * (W$201="Client 2")), W$209, 0),
        0
    ),
    IF(I$1=2022, 9114,
        IF(I$1=2023, 9932.4,
            IF(I$1=2024, 10453.2, 0)
        )
    )
)</f>
        <v>0</v>
      </c>
      <c r="X245" s="146">
        <f>MIN(
    MAX(
        IF((ISNUMBER(X$170) * (X$170 &gt; 0) * (X$162="Client 2")), X$170, 0) +
        IF((ISNUMBER(X$183) * (X$183 &gt; 0) * (X$175="Client 2")), X$183, 0) +
        IF((ISNUMBER(X$196) * (X$196 &gt; 0) * (X$188="Client 2")), X$196, 0) +
        IF((ISNUMBER(X$209) * (X$209 &gt; 0) * (X$201="Client 2")), X$209, 0),
        0
    ),
    IF(J$1=2022, 9114,
        IF(J$1=2023, 9932.4,
            IF(J$1=2024, 10453.2, 0)
        )
    )
)</f>
        <v>0</v>
      </c>
      <c r="Y245" s="146">
        <f>MIN(
    MAX(
        IF((ISNUMBER(Y$170) * (Y$170 &gt; 0) * (Y$162="Client 2")), Y$170, 0) +
        IF((ISNUMBER(Y$183) * (Y$183 &gt; 0) * (Y$175="Client 2")), Y$183, 0) +
        IF((ISNUMBER(Y$196) * (Y$196 &gt; 0) * (Y$188="Client 2")), Y$196, 0) +
        IF((ISNUMBER(Y$209) * (Y$209 &gt; 0) * (Y$201="Client 2")), Y$209, 0),
        0
    ),
    IF(Y$156=2022, 9114,
        IF(Y$156=2023, 9932.4,
            IF(Y$156=2024, 10453.2, 0)
        )
    )
)</f>
        <v>0</v>
      </c>
      <c r="Z245" s="146">
        <f>MIN(
    MAX(
        IF((ISNUMBER(Z$170) * (Z$170 &gt; 0) * (Z$162="Client 2")), Z$170, 0) +
        IF((ISNUMBER(Z$183) * (Z$183 &gt; 0) * (Z$175="Client 2")), Z$183, 0) +
        IF((ISNUMBER(Z$196) * (Z$196 &gt; 0) * (Z$188="Client 2")), Z$196, 0) +
        IF((ISNUMBER(Z$209) * (Z$209 &gt; 0) * (Z$201="Client 2")), Z$209, 0),
        0
    ),
    IF(Z$156=2022, 9114,
        IF(Z$156=2023, 9932.4,
            IF(Z$156=2024, 10453.2, 0)
        )
    )
)</f>
        <v>0</v>
      </c>
      <c r="AA245" s="146">
        <f>MIN(
    MAX(
        IF((ISNUMBER(AA$170) * (AA$170 &gt; 0) * (AA$162="Client 2")), AA$170, 0) +
        IF((ISNUMBER(AA$183) * (AA$183 &gt; 0) * (AA$175="Client 2")), AA$183, 0) +
        IF((ISNUMBER(AA$196) * (AA$196 &gt; 0) * (AA$188="Client 2")), AA$196, 0) +
        IF((ISNUMBER(AA$209) * (AA$209 &gt; 0) * (AA$201="Client 2")), AA$209, 0),
        0
    ),
    IF(AA$156=2022, 9114,
        IF(AA$156=2023, 9932.4,
            IF(AA$156=2024, 10453.2, 0)
        )
    )
)</f>
        <v>0</v>
      </c>
      <c r="AB245" s="146">
        <f>MIN(
    MAX(
        IF((ISNUMBER(AB$170) * (AB$170 &gt; 0) * (AB$162="Client 2")), AB$170, 0) +
        IF((ISNUMBER(AB$183) * (AB$183 &gt; 0) * (AB$175="Client 2")), AB$183, 0) +
        IF((ISNUMBER(AB$196) * (AB$196 &gt; 0) * (AB$188="Client 2")), AB$196, 0) +
        IF((ISNUMBER(AB$209) * (AB$209 &gt; 0) * (AB$201="Client 2")), AB$209, 0),
        0
    ),
    IF(AB$156=2022, 9114,
        IF(AB$156=2023, 9932.4,
            IF(AB$156=2024, 10453.2, 0)
        )
    )
)</f>
        <v>0</v>
      </c>
      <c r="AC245" s="146">
        <f>MIN(
    MAX(
        IF((ISNUMBER(AC$170) * (AC$170 &gt; 0) * (AC$162="Client 2")), AC$170, 0) +
        IF((ISNUMBER(AC$183) * (AC$183 &gt; 0) * (AC$175="Client 2")), AC$183, 0) +
        IF((ISNUMBER(AC$196) * (AC$196 &gt; 0) * (AC$188="Client 2")), AC$196, 0) +
        IF((ISNUMBER(AC$209) * (AC$209 &gt; 0) * (AC$201="Client 2")), AC$209, 0),
        0
    ),
    IF(AC$156=2022, 9114,
        IF(AC$156=2023, 9932.4,
            IF(AC$156=2024, 10453.2, 0)
        )
    )
)</f>
        <v>0</v>
      </c>
    </row>
    <row r="246" spans="4:29" ht="15.75" thickBot="1" x14ac:dyDescent="0.3">
      <c r="D246" s="32">
        <v>7</v>
      </c>
      <c r="E246" s="33">
        <f t="shared" si="858"/>
        <v>7.6399999999999996E-2</v>
      </c>
      <c r="F246" s="34" t="e">
        <f t="shared" si="861"/>
        <v>#VALUE!</v>
      </c>
      <c r="G246" t="e">
        <f t="shared" si="855"/>
        <v>#VALUE!</v>
      </c>
      <c r="H246" s="34" t="e">
        <f t="shared" si="856"/>
        <v>#VALUE!</v>
      </c>
      <c r="O246" t="s">
        <v>336</v>
      </c>
      <c r="P246" s="147">
        <f>MAX(
    IF((ISNUMBER(P$170) * (P$170 &gt; 0) * (P$162="Client 2")), P$170, 0) +
    IF((ISNUMBER(P$183) * (P$183 &gt; 0) * (P$175="Client 2")), P$183, 0) +
    IF((ISNUMBER(P$196) * (P$196 &gt; 0) * (P$188="Client 2")), P$196, 0) +
    IF((ISNUMBER(P$209) * (P$209 &gt; 0) * (P$201="Client 2")), P$209, 0) -
    IF(ISNUMBER(P$245), P$245, 0),
    0
)</f>
        <v>0</v>
      </c>
      <c r="Q246" s="147">
        <f>MAX(
    IF((ISNUMBER(Q$170) * (Q$170 &gt; 0) * (Q$162="Client 2")), Q$170, 0) +
    IF((ISNUMBER(Q$183) * (Q$183 &gt; 0) * (Q$175="Client 2")), Q$183, 0) +
    IF((ISNUMBER(Q$196) * (Q$196 &gt; 0) * (Q$188="Client 2")), Q$196, 0) +
    IF((ISNUMBER(Q$209) * (Q$209 &gt; 0) * (Q$201="Client 2")), Q$209, 0) -
    IF(ISNUMBER(Q$245), Q$245, 0),
    0
)</f>
        <v>0</v>
      </c>
      <c r="R246" s="147">
        <f>MAX(
    IF((ISNUMBER(R$170) * (R$170 &gt; 0) * (R$162="Client 2")), R$170, 0) +
    IF((ISNUMBER(R$183) * (R$183 &gt; 0) * (R$175="Client 2")), R$183, 0) +
    IF((ISNUMBER(R$196) * (R$196 &gt; 0) * (R$188="Client 2")), R$196, 0) +
    IF((ISNUMBER(R$209) * (R$209 &gt; 0) * (R$201="Client 2")), R$209, 0) -
    IF(ISNUMBER(R$245), R$245, 0),
    0
)</f>
        <v>0</v>
      </c>
      <c r="S246" s="147">
        <f t="shared" ref="S246:U246" si="866">MAX(
    IF((ISNUMBER(S$170) * (S$170 &gt; 0) * (S$162="Client 2")), S$170, 0) +
    IF((ISNUMBER(S$183) * (S$183 &gt; 0) * (S$175="Client 2")), S$183, 0) +
    IF((ISNUMBER(S$196) * (S$196 &gt; 0) * (S$188="Client 2")), S$196, 0) +
    IF((ISNUMBER(S$209) * (S$209 &gt; 0) * (S$201="Client 2")), S$209, 0) -
    IF(ISNUMBER(S$245), S$245, 0),
    0
)</f>
        <v>0</v>
      </c>
      <c r="T246" s="147">
        <f t="shared" si="866"/>
        <v>0</v>
      </c>
      <c r="U246" s="147">
        <f t="shared" si="866"/>
        <v>0</v>
      </c>
      <c r="V246" s="147">
        <f t="shared" ref="V246:AC246" si="867">MAX(
    IF((ISNUMBER(V$170) * (V$170 &gt; 0) * (V$162="Client 2")), V$170, 0) +
    IF((ISNUMBER(V$183) * (V$183 &gt; 0) * (V$175="Client 2")), V$183, 0) +
    IF((ISNUMBER(V$196) * (V$196 &gt; 0) * (V$188="Client 2")), V$196, 0) +
    IF((ISNUMBER(V$209) * (V$209 &gt; 0) * (V$201="Client 2")), V$209, 0) -
    IF(ISNUMBER(V$245), V$245, 0),
    0
)</f>
        <v>0</v>
      </c>
      <c r="W246" s="147">
        <f t="shared" si="867"/>
        <v>0</v>
      </c>
      <c r="X246" s="147">
        <f t="shared" si="867"/>
        <v>0</v>
      </c>
      <c r="Y246" s="147">
        <f t="shared" si="867"/>
        <v>0</v>
      </c>
      <c r="Z246" s="147">
        <f t="shared" si="867"/>
        <v>0</v>
      </c>
      <c r="AA246" s="147">
        <f t="shared" si="867"/>
        <v>0</v>
      </c>
      <c r="AB246" s="147">
        <f t="shared" si="867"/>
        <v>0</v>
      </c>
      <c r="AC246" s="147">
        <f t="shared" si="867"/>
        <v>0</v>
      </c>
    </row>
    <row r="247" spans="4:29" ht="15.75" thickBot="1" x14ac:dyDescent="0.3">
      <c r="D247" s="32">
        <v>8</v>
      </c>
      <c r="E247" s="33">
        <f t="shared" si="858"/>
        <v>7.6399999999999996E-2</v>
      </c>
      <c r="F247" s="34" t="e">
        <f t="shared" si="861"/>
        <v>#VALUE!</v>
      </c>
      <c r="G247" t="e">
        <f t="shared" si="855"/>
        <v>#VALUE!</v>
      </c>
      <c r="H247" s="34" t="e">
        <f t="shared" si="856"/>
        <v>#VALUE!</v>
      </c>
      <c r="P247" s="91" t="s">
        <v>85</v>
      </c>
      <c r="Q247" s="91" t="s">
        <v>86</v>
      </c>
      <c r="R247" s="91" t="s">
        <v>87</v>
      </c>
      <c r="S247" s="91" t="s">
        <v>88</v>
      </c>
      <c r="T247" s="91" t="s">
        <v>89</v>
      </c>
      <c r="U247" s="91" t="s">
        <v>90</v>
      </c>
      <c r="V247" s="91" t="s">
        <v>91</v>
      </c>
      <c r="W247" s="91" t="s">
        <v>92</v>
      </c>
      <c r="X247" s="91" t="s">
        <v>518</v>
      </c>
      <c r="Y247" s="109" t="s">
        <v>247</v>
      </c>
      <c r="Z247" s="109" t="s">
        <v>247</v>
      </c>
      <c r="AA247" s="109" t="s">
        <v>247</v>
      </c>
      <c r="AB247" s="109" t="s">
        <v>247</v>
      </c>
      <c r="AC247" s="109" t="s">
        <v>247</v>
      </c>
    </row>
    <row r="248" spans="4:29" ht="15.75" thickBot="1" x14ac:dyDescent="0.3">
      <c r="D248" s="32">
        <v>9</v>
      </c>
      <c r="E248" s="33">
        <f t="shared" si="858"/>
        <v>7.6399999999999996E-2</v>
      </c>
      <c r="F248" s="34" t="e">
        <f t="shared" si="861"/>
        <v>#VALUE!</v>
      </c>
      <c r="G248" t="e">
        <f t="shared" si="855"/>
        <v>#VALUE!</v>
      </c>
      <c r="H248" s="34" t="e">
        <f t="shared" si="856"/>
        <v>#VALUE!</v>
      </c>
      <c r="O248" s="19" t="s">
        <v>450</v>
      </c>
      <c r="P248" s="259">
        <f>P165+P178+P191+P204</f>
        <v>0</v>
      </c>
      <c r="Q248" s="259">
        <f>Q165+Q178+Q191+Q204</f>
        <v>0</v>
      </c>
      <c r="R248" s="259">
        <f>R165+R178+R191+R204</f>
        <v>0</v>
      </c>
      <c r="S248" s="259">
        <f t="shared" ref="S248:U248" si="868">S165+S178+S191+S204</f>
        <v>0</v>
      </c>
      <c r="T248" s="259">
        <f t="shared" si="868"/>
        <v>0</v>
      </c>
      <c r="U248" s="259">
        <f t="shared" si="868"/>
        <v>0</v>
      </c>
      <c r="V248" s="259">
        <f>V165+V178+V191+V204</f>
        <v>0</v>
      </c>
      <c r="W248" s="259">
        <f>W165+W178+W191+W204</f>
        <v>0</v>
      </c>
      <c r="X248" s="259">
        <f t="shared" ref="X248" si="869">X165+X178+X191+X204</f>
        <v>0</v>
      </c>
      <c r="Y248" s="259">
        <f>Y165+Y178+Y191+Y204</f>
        <v>0</v>
      </c>
      <c r="Z248" s="259">
        <f>Z165+Z178+Z191+Z204</f>
        <v>0</v>
      </c>
      <c r="AA248" s="259">
        <f>AA165+AA178+AA191+AA204</f>
        <v>0</v>
      </c>
      <c r="AB248" s="259">
        <f>AB165+AB178+AB191+AB204</f>
        <v>0</v>
      </c>
      <c r="AC248" s="259">
        <f>AC165+AC178+AC191+AC204</f>
        <v>0</v>
      </c>
    </row>
    <row r="249" spans="4:29" ht="15.75" thickBot="1" x14ac:dyDescent="0.3">
      <c r="D249" s="32">
        <v>10</v>
      </c>
      <c r="E249" s="33">
        <f t="shared" si="858"/>
        <v>7.6399999999999996E-2</v>
      </c>
      <c r="F249" s="34" t="e">
        <f t="shared" si="861"/>
        <v>#VALUE!</v>
      </c>
      <c r="G249" t="e">
        <f t="shared" si="855"/>
        <v>#VALUE!</v>
      </c>
      <c r="H249" s="34" t="e">
        <f t="shared" si="856"/>
        <v>#VALUE!</v>
      </c>
      <c r="P249" s="91" t="s">
        <v>85</v>
      </c>
      <c r="Q249" s="91" t="s">
        <v>86</v>
      </c>
      <c r="R249" s="91" t="s">
        <v>87</v>
      </c>
      <c r="S249" s="91" t="s">
        <v>88</v>
      </c>
      <c r="T249" s="91" t="s">
        <v>89</v>
      </c>
      <c r="U249" s="91" t="s">
        <v>90</v>
      </c>
      <c r="V249" s="91" t="s">
        <v>91</v>
      </c>
      <c r="W249" s="91" t="s">
        <v>92</v>
      </c>
      <c r="X249" s="91" t="s">
        <v>518</v>
      </c>
      <c r="Y249" s="109" t="s">
        <v>247</v>
      </c>
      <c r="Z249" s="109" t="s">
        <v>247</v>
      </c>
      <c r="AA249" s="109" t="s">
        <v>247</v>
      </c>
      <c r="AB249" s="109" t="s">
        <v>247</v>
      </c>
      <c r="AC249" s="109" t="s">
        <v>247</v>
      </c>
    </row>
    <row r="250" spans="4:29" x14ac:dyDescent="0.25">
      <c r="D250" s="32">
        <v>11</v>
      </c>
      <c r="E250" s="33">
        <f t="shared" si="858"/>
        <v>7.6399999999999996E-2</v>
      </c>
      <c r="F250" s="34" t="e">
        <f t="shared" si="861"/>
        <v>#VALUE!</v>
      </c>
      <c r="G250" t="e">
        <f t="shared" si="855"/>
        <v>#VALUE!</v>
      </c>
      <c r="H250" s="34" t="e">
        <f t="shared" si="856"/>
        <v>#VALUE!</v>
      </c>
      <c r="O250" t="s">
        <v>441</v>
      </c>
      <c r="P250" s="103">
        <f>ROUND(SUM(P216, P222, P228, P234), 0)</f>
        <v>0</v>
      </c>
      <c r="Q250" s="103">
        <f t="shared" ref="Q250:R251" si="870">ROUND(SUM(Q216, Q222, Q228, Q234), 0)</f>
        <v>0</v>
      </c>
      <c r="R250" s="103">
        <f t="shared" si="870"/>
        <v>0</v>
      </c>
      <c r="S250" s="103">
        <f t="shared" ref="S250:U250" si="871">ROUND(SUM(S216, S222, S228, S234), 0)</f>
        <v>0</v>
      </c>
      <c r="T250" s="103">
        <f t="shared" si="871"/>
        <v>0</v>
      </c>
      <c r="U250" s="103">
        <f t="shared" si="871"/>
        <v>0</v>
      </c>
      <c r="V250" s="103">
        <f>ROUND(SUM(V216, V222, V228, V234), 0)</f>
        <v>0</v>
      </c>
      <c r="W250" s="103">
        <f>ROUND(SUM(W216, W222, W228, W234), 0)</f>
        <v>0</v>
      </c>
      <c r="X250" s="103">
        <f t="shared" ref="X250" si="872">ROUND(SUM(X216, X222, X228, X234), 0)</f>
        <v>0</v>
      </c>
      <c r="Y250" s="103">
        <f t="shared" ref="Y250:AC251" si="873">ROUND(SUM(Y216, Y222, Y228, Y234), 0)</f>
        <v>0</v>
      </c>
      <c r="Z250" s="103">
        <f t="shared" si="873"/>
        <v>0</v>
      </c>
      <c r="AA250" s="103">
        <f t="shared" si="873"/>
        <v>0</v>
      </c>
      <c r="AB250" s="103">
        <f t="shared" si="873"/>
        <v>0</v>
      </c>
      <c r="AC250" s="103">
        <f t="shared" si="873"/>
        <v>0</v>
      </c>
    </row>
    <row r="251" spans="4:29" x14ac:dyDescent="0.25">
      <c r="D251" s="32">
        <v>12</v>
      </c>
      <c r="E251" s="33">
        <f t="shared" si="858"/>
        <v>7.6399999999999996E-2</v>
      </c>
      <c r="F251" s="34" t="e">
        <f t="shared" si="861"/>
        <v>#VALUE!</v>
      </c>
      <c r="G251" t="e">
        <f t="shared" si="855"/>
        <v>#VALUE!</v>
      </c>
      <c r="H251" s="34" t="e">
        <f t="shared" si="856"/>
        <v>#VALUE!</v>
      </c>
      <c r="O251" t="s">
        <v>446</v>
      </c>
      <c r="P251" s="103">
        <f>ROUND(SUM(P217, P223, P229, P235), 0)</f>
        <v>0</v>
      </c>
      <c r="Q251" s="103">
        <f t="shared" si="870"/>
        <v>0</v>
      </c>
      <c r="R251" s="103">
        <f t="shared" si="870"/>
        <v>0</v>
      </c>
      <c r="S251" s="103">
        <f t="shared" ref="S251:U251" si="874">ROUND(SUM(S217, S223, S229, S235), 0)</f>
        <v>0</v>
      </c>
      <c r="T251" s="103">
        <f t="shared" si="874"/>
        <v>0</v>
      </c>
      <c r="U251" s="103">
        <f t="shared" si="874"/>
        <v>0</v>
      </c>
      <c r="V251" s="103">
        <f>ROUND(SUM(V217, V223, V229, V235), 0)</f>
        <v>0</v>
      </c>
      <c r="W251" s="103">
        <f>ROUND(SUM(W217, W223, W229, W235), 0)</f>
        <v>0</v>
      </c>
      <c r="X251" s="103">
        <f t="shared" ref="X251" si="875">ROUND(SUM(X217, X223, X229, X235), 0)</f>
        <v>0</v>
      </c>
      <c r="Y251" s="103">
        <f t="shared" si="873"/>
        <v>0</v>
      </c>
      <c r="Z251" s="103">
        <f t="shared" si="873"/>
        <v>0</v>
      </c>
      <c r="AA251" s="103">
        <f t="shared" si="873"/>
        <v>0</v>
      </c>
      <c r="AB251" s="103">
        <f t="shared" si="873"/>
        <v>0</v>
      </c>
      <c r="AC251" s="103">
        <f t="shared" si="873"/>
        <v>0</v>
      </c>
    </row>
    <row r="252" spans="4:29" x14ac:dyDescent="0.25">
      <c r="D252" s="32">
        <v>13</v>
      </c>
      <c r="E252" s="33">
        <f t="shared" si="858"/>
        <v>7.6399999999999996E-2</v>
      </c>
      <c r="F252" s="34" t="e">
        <f t="shared" si="861"/>
        <v>#VALUE!</v>
      </c>
      <c r="G252" t="e">
        <f t="shared" si="855"/>
        <v>#VALUE!</v>
      </c>
      <c r="H252" s="34" t="e">
        <f t="shared" si="856"/>
        <v>#VALUE!</v>
      </c>
      <c r="O252" t="s">
        <v>447</v>
      </c>
      <c r="P252" s="103" t="str">
        <f>IFERROR(P218 + P224 + P230 + P236, "-")</f>
        <v>-</v>
      </c>
      <c r="Q252" s="103" t="str">
        <f>IFERROR(Q218 + Q224 + Q230 + Q236, "-")</f>
        <v>-</v>
      </c>
      <c r="R252" s="103" t="str">
        <f>IFERROR(R218 + R224 + R230 + R236, "-")</f>
        <v>-</v>
      </c>
      <c r="S252" s="103" t="str">
        <f t="shared" ref="S252:U252" si="876">IFERROR(S218 + S224 + S230 + S236, "-")</f>
        <v>-</v>
      </c>
      <c r="T252" s="103" t="str">
        <f t="shared" si="876"/>
        <v>-</v>
      </c>
      <c r="U252" s="103" t="str">
        <f t="shared" si="876"/>
        <v>-</v>
      </c>
      <c r="V252" s="103" t="str">
        <f>IFERROR(V218 + V224 + V230 + V236, "-")</f>
        <v>-</v>
      </c>
      <c r="W252" s="103" t="str">
        <f>IFERROR(W218 + W224 + W230 + W236, "-")</f>
        <v>-</v>
      </c>
      <c r="X252" s="103" t="str">
        <f t="shared" ref="X252" si="877">IFERROR(X218 + X224 + X230 + X236, "-")</f>
        <v>-</v>
      </c>
      <c r="Y252" s="103" t="str">
        <f>IFERROR(Y218 + Y224 + Y230 + Y236, "-")</f>
        <v>-</v>
      </c>
      <c r="Z252" s="103" t="str">
        <f>IFERROR(Z218 + Z224 + Z230 + Z236, "-")</f>
        <v>-</v>
      </c>
      <c r="AA252" s="103" t="str">
        <f>IFERROR(AA218 + AA224 + AA230 + AA236, "-")</f>
        <v>-</v>
      </c>
      <c r="AB252" s="103" t="str">
        <f>IFERROR(AB218 + AB224 + AB230 + AB236, "-")</f>
        <v>-</v>
      </c>
      <c r="AC252" s="103" t="str">
        <f>IFERROR(AC218 + AC224 + AC230 + AC236, "-")</f>
        <v>-</v>
      </c>
    </row>
    <row r="253" spans="4:29" ht="15.75" thickBot="1" x14ac:dyDescent="0.3">
      <c r="D253" s="32">
        <v>14</v>
      </c>
      <c r="E253" s="33">
        <f t="shared" si="858"/>
        <v>7.6399999999999996E-2</v>
      </c>
      <c r="F253" s="34" t="e">
        <f t="shared" si="861"/>
        <v>#VALUE!</v>
      </c>
      <c r="G253" t="e">
        <f t="shared" si="855"/>
        <v>#VALUE!</v>
      </c>
      <c r="H253" s="34" t="e">
        <f t="shared" si="856"/>
        <v>#VALUE!</v>
      </c>
      <c r="O253" s="19" t="s">
        <v>442</v>
      </c>
      <c r="P253" s="103" t="str">
        <f>IFERROR(P251+P252, "-")</f>
        <v>-</v>
      </c>
      <c r="Q253" s="103" t="str">
        <f>IFERROR(Q251+Q252, "-")</f>
        <v>-</v>
      </c>
      <c r="R253" s="103" t="str">
        <f>IFERROR(R251+R252, "-")</f>
        <v>-</v>
      </c>
      <c r="S253" s="103" t="str">
        <f t="shared" ref="S253:U253" si="878">IFERROR(S251+S252, "-")</f>
        <v>-</v>
      </c>
      <c r="T253" s="103" t="str">
        <f t="shared" si="878"/>
        <v>-</v>
      </c>
      <c r="U253" s="103" t="str">
        <f t="shared" si="878"/>
        <v>-</v>
      </c>
      <c r="V253" s="103" t="str">
        <f>IFERROR(V251+V252, "-")</f>
        <v>-</v>
      </c>
      <c r="W253" s="103" t="str">
        <f>IFERROR(W251+W252, "-")</f>
        <v>-</v>
      </c>
      <c r="X253" s="103" t="str">
        <f t="shared" ref="X253" si="879">IFERROR(X251+X252, "-")</f>
        <v>-</v>
      </c>
      <c r="Y253" s="103" t="str">
        <f>IFERROR(Y251+Y252, "-")</f>
        <v>-</v>
      </c>
      <c r="Z253" s="103" t="str">
        <f>IFERROR(Z251+Z252, "-")</f>
        <v>-</v>
      </c>
      <c r="AA253" s="103" t="str">
        <f>IFERROR(AA251+AA252, "-")</f>
        <v>-</v>
      </c>
      <c r="AB253" s="103" t="str">
        <f>IFERROR(AB251+AB252, "-")</f>
        <v>-</v>
      </c>
      <c r="AC253" s="103" t="str">
        <f>IFERROR(AC251+AC252, "-")</f>
        <v>-</v>
      </c>
    </row>
    <row r="254" spans="4:29" ht="15.75" thickBot="1" x14ac:dyDescent="0.3">
      <c r="D254" s="32">
        <v>15</v>
      </c>
      <c r="E254" s="33">
        <f t="shared" si="858"/>
        <v>7.6399999999999996E-2</v>
      </c>
      <c r="F254" s="34" t="e">
        <f t="shared" si="861"/>
        <v>#VALUE!</v>
      </c>
      <c r="G254" t="e">
        <f t="shared" si="855"/>
        <v>#VALUE!</v>
      </c>
      <c r="H254" s="34" t="e">
        <f t="shared" si="856"/>
        <v>#VALUE!</v>
      </c>
      <c r="P254" s="91" t="s">
        <v>85</v>
      </c>
      <c r="Q254" s="91" t="s">
        <v>86</v>
      </c>
      <c r="R254" s="91" t="s">
        <v>87</v>
      </c>
      <c r="S254" s="91" t="s">
        <v>88</v>
      </c>
      <c r="T254" s="91" t="s">
        <v>89</v>
      </c>
      <c r="U254" s="91" t="s">
        <v>90</v>
      </c>
      <c r="V254" s="91" t="s">
        <v>91</v>
      </c>
      <c r="W254" s="91" t="s">
        <v>92</v>
      </c>
      <c r="X254" s="91" t="s">
        <v>518</v>
      </c>
      <c r="Y254" s="109" t="s">
        <v>247</v>
      </c>
      <c r="Z254" s="109" t="s">
        <v>247</v>
      </c>
      <c r="AA254" s="109" t="s">
        <v>247</v>
      </c>
      <c r="AB254" s="109" t="s">
        <v>247</v>
      </c>
      <c r="AC254" s="109" t="s">
        <v>247</v>
      </c>
    </row>
    <row r="255" spans="4:29" ht="15" customHeight="1" thickBot="1" x14ac:dyDescent="0.3">
      <c r="D255" s="32">
        <v>16</v>
      </c>
      <c r="E255" s="33">
        <f t="shared" si="858"/>
        <v>7.6399999999999996E-2</v>
      </c>
      <c r="F255" s="34" t="e">
        <f t="shared" si="861"/>
        <v>#VALUE!</v>
      </c>
      <c r="G255" t="e">
        <f t="shared" si="855"/>
        <v>#VALUE!</v>
      </c>
      <c r="H255" s="34" t="e">
        <f t="shared" si="856"/>
        <v>#VALUE!</v>
      </c>
      <c r="O255" t="s">
        <v>471</v>
      </c>
      <c r="P255" s="169">
        <v>0</v>
      </c>
      <c r="Q255" s="169">
        <v>0</v>
      </c>
      <c r="R255" s="169">
        <v>0</v>
      </c>
      <c r="S255" s="169">
        <v>0</v>
      </c>
      <c r="T255" s="169">
        <v>0</v>
      </c>
      <c r="U255" s="169">
        <v>0</v>
      </c>
      <c r="V255" s="169">
        <v>0</v>
      </c>
      <c r="W255" s="169">
        <v>0</v>
      </c>
      <c r="X255" s="169">
        <v>0</v>
      </c>
      <c r="Y255" s="169">
        <v>0</v>
      </c>
      <c r="Z255" s="169">
        <v>0</v>
      </c>
      <c r="AA255" s="169">
        <v>0</v>
      </c>
      <c r="AB255" s="169">
        <v>0</v>
      </c>
      <c r="AC255" s="169">
        <v>0</v>
      </c>
    </row>
    <row r="256" spans="4:29" ht="15" customHeight="1" x14ac:dyDescent="0.25">
      <c r="D256" s="32">
        <v>17</v>
      </c>
      <c r="E256" s="33">
        <f t="shared" si="858"/>
        <v>7.6399999999999996E-2</v>
      </c>
      <c r="F256" s="34" t="e">
        <f t="shared" si="861"/>
        <v>#VALUE!</v>
      </c>
      <c r="G256" t="e">
        <f t="shared" si="855"/>
        <v>#VALUE!</v>
      </c>
      <c r="H256" s="34" t="e">
        <f t="shared" si="856"/>
        <v>#VALUE!</v>
      </c>
      <c r="O256" t="s">
        <v>443</v>
      </c>
      <c r="P256" s="169">
        <f>P203+P190+P177+P164</f>
        <v>0</v>
      </c>
      <c r="Q256" s="169">
        <f>Q203+Q190+Q177+Q164</f>
        <v>0</v>
      </c>
      <c r="R256" s="169">
        <f>R203+R190+R177+R164</f>
        <v>0</v>
      </c>
      <c r="S256" s="169">
        <f t="shared" ref="S256:U256" si="880">S203+S190+S177+S164</f>
        <v>0</v>
      </c>
      <c r="T256" s="169">
        <f t="shared" si="880"/>
        <v>0</v>
      </c>
      <c r="U256" s="169">
        <f t="shared" si="880"/>
        <v>0</v>
      </c>
      <c r="V256" s="169">
        <f>V203+V190+V177+V164</f>
        <v>0</v>
      </c>
      <c r="W256" s="169">
        <f>W203+W190+W177+W164</f>
        <v>0</v>
      </c>
      <c r="X256" s="169">
        <f t="shared" ref="X256" si="881">X203+X190+X177+X164</f>
        <v>0</v>
      </c>
      <c r="Y256" s="169">
        <f>Y203+Y190+Y177+Y164</f>
        <v>0</v>
      </c>
      <c r="Z256" s="169">
        <f>Z203+Z190+Z177+Z164</f>
        <v>0</v>
      </c>
      <c r="AA256" s="169">
        <f>AA203+AA190+AA177+AA164</f>
        <v>0</v>
      </c>
      <c r="AB256" s="169">
        <f>AB203+AB190+AB177+AB164</f>
        <v>0</v>
      </c>
      <c r="AC256" s="169">
        <f>AC203+AC190+AC177+AC164</f>
        <v>0</v>
      </c>
    </row>
    <row r="257" spans="4:29" x14ac:dyDescent="0.25">
      <c r="D257" s="32">
        <v>18</v>
      </c>
      <c r="E257" s="33">
        <f t="shared" si="858"/>
        <v>7.6399999999999996E-2</v>
      </c>
      <c r="F257" s="34" t="e">
        <f t="shared" si="861"/>
        <v>#VALUE!</v>
      </c>
      <c r="G257" t="e">
        <f t="shared" si="855"/>
        <v>#VALUE!</v>
      </c>
      <c r="H257" s="34" t="e">
        <f t="shared" si="856"/>
        <v>#VALUE!</v>
      </c>
      <c r="O257" t="s">
        <v>444</v>
      </c>
      <c r="P257" s="170">
        <f>P216+P222+P228+P234</f>
        <v>0</v>
      </c>
      <c r="Q257" s="170">
        <f>Q216+Q222+Q228+Q234</f>
        <v>0</v>
      </c>
      <c r="R257" s="170">
        <f>R216+R222+R228+R234</f>
        <v>0</v>
      </c>
      <c r="S257" s="170">
        <f t="shared" ref="S257:U257" si="882">S216+S222+S228+S234</f>
        <v>0</v>
      </c>
      <c r="T257" s="170">
        <f t="shared" si="882"/>
        <v>0</v>
      </c>
      <c r="U257" s="170">
        <f t="shared" si="882"/>
        <v>0</v>
      </c>
      <c r="V257" s="170">
        <f t="shared" ref="V257:AC257" si="883">V216+V222+V228+V234</f>
        <v>0</v>
      </c>
      <c r="W257" s="170">
        <f t="shared" si="883"/>
        <v>0</v>
      </c>
      <c r="X257" s="170">
        <f t="shared" si="883"/>
        <v>0</v>
      </c>
      <c r="Y257" s="170">
        <f t="shared" si="883"/>
        <v>0</v>
      </c>
      <c r="Z257" s="170">
        <f t="shared" si="883"/>
        <v>0</v>
      </c>
      <c r="AA257" s="170">
        <f t="shared" si="883"/>
        <v>0</v>
      </c>
      <c r="AB257" s="170">
        <f t="shared" si="883"/>
        <v>0</v>
      </c>
      <c r="AC257" s="170">
        <f t="shared" si="883"/>
        <v>0</v>
      </c>
    </row>
    <row r="258" spans="4:29" ht="15.75" thickBot="1" x14ac:dyDescent="0.3">
      <c r="D258" s="32">
        <v>19</v>
      </c>
      <c r="E258" s="33">
        <f t="shared" si="858"/>
        <v>7.6399999999999996E-2</v>
      </c>
      <c r="F258" s="34" t="e">
        <f t="shared" si="861"/>
        <v>#VALUE!</v>
      </c>
      <c r="G258" t="e">
        <f t="shared" si="855"/>
        <v>#VALUE!</v>
      </c>
      <c r="H258" s="34" t="e">
        <f t="shared" si="856"/>
        <v>#VALUE!</v>
      </c>
      <c r="O258" s="19" t="s">
        <v>445</v>
      </c>
      <c r="P258" s="255">
        <f>IF(
    OR(B$1=2022, B$1=2023, B$1=2024),
    IF(
        B$2="MFJ", MAX(IF(P255&gt;0, P255, P257+P256)-250000, 0) * 0.009,
        IF(
            B$2="MFS", MAX(IF(P255&gt;0, P255, P257+P256)-125000, 0) * 0.009,
            IF(
                B$2="Single", MAX(IF(P255&gt;0, P255, P257+P256)-200000, 0) * 0.009,
                IF(
                    B$2="HOH", MAX(IF(P255&gt;0, P255, P257+P256)-200000, 0) * 0.009,
                    IF(
                        B$2="QW", MAX(IF(P255&gt;0, P255, P257+P256)-200000, 0) * 0.009,
                        0
                    )
                )
            )
        )
    ),
    0
)</f>
        <v>0</v>
      </c>
      <c r="Q258" s="255">
        <f>IF(
    OR(C$1=2022, C$1=2023, C$1=2024),
    IF(
        C$2="MFJ", MAX(IF(Q255&gt;0, Q255, Q257+Q256)-250000, 0) * 0.009,
        IF(
            C$2="MFS", MAX(IF(Q255&gt;0, Q255, Q257+Q256)-125000, 0) * 0.009,
            IF(
                C$2="Single", MAX(IF(Q255&gt;0, Q255, Q257+Q256)-200000, 0) * 0.009,
                IF(
                    C$2="HOH", MAX(IF(Q255&gt;0, Q255, Q257+Q256)-200000, 0) * 0.009,
                    IF(
                        C$2="QW", MAX(IF(Q255&gt;0, Q255, Q257+Q256)-200000, 0) * 0.009,
                        0
                    )
                )
            )
        )
    ),
    0
)</f>
        <v>0</v>
      </c>
      <c r="R258" s="255">
        <f>IF(
    OR(D$1=2022, D$1=2023, D$1=2024),
    IF(
        D$2="MFJ", MAX(IF(R255&gt;0, R255, R257+R256)-250000, 0) * 0.009,
        IF(
            D$2="MFS", MAX(IF(R255&gt;0, R255, R257+R256)-125000, 0) * 0.009,
            IF(
                D$2="Single", MAX(IF(R255&gt;0, R255, R257+R256)-200000, 0) * 0.009,
                IF(
                    D$2="HOH", MAX(IF(R255&gt;0, R255, R257+R256)-200000, 0) * 0.009,
                    IF(
                        D$2="QW", MAX(IF(R255&gt;0, R255, R257+R256)-200000, 0) * 0.009,
                        0
                    )
                )
            )
        )
    ),
    0
)</f>
        <v>0</v>
      </c>
      <c r="S258" s="255">
        <f t="shared" ref="S258:U258" si="884">IF(
    OR(E$1=2022, E$1=2023, E$1=2024),
    IF(
        E$2="MFJ", MAX(IF(S255&gt;0, S255, S257+S256)-250000, 0) * 0.009,
        IF(
            E$2="MFS", MAX(IF(S255&gt;0, S255, S257+S256)-125000, 0) * 0.009,
            IF(
                E$2="Single", MAX(IF(S255&gt;0, S255, S257+S256)-200000, 0) * 0.009,
                IF(
                    E$2="HOH", MAX(IF(S255&gt;0, S255, S257+S256)-200000, 0) * 0.009,
                    IF(
                        E$2="QW", MAX(IF(S255&gt;0, S255, S257+S256)-200000, 0) * 0.009,
                        0
                    )
                )
            )
        )
    ),
    0
)</f>
        <v>0</v>
      </c>
      <c r="T258" s="255">
        <f t="shared" si="884"/>
        <v>0</v>
      </c>
      <c r="U258" s="255">
        <f t="shared" si="884"/>
        <v>0</v>
      </c>
      <c r="V258" s="255">
        <f>IF(
    OR(H$1=2022, H$1=2023, H$1=2024),
    IF(
        H$2="MFJ", MAX(IF(V255&gt;0, V255, V257+V256)-250000, 0) * 0.009,
        IF(
            H$2="MFS", MAX(IF(V255&gt;0, V255, V257+V256)-125000, 0) * 0.009,
            IF(
                H$2="Single", MAX(IF(V255&gt;0, V255, V257+V256)-200000, 0) * 0.009,
                IF(
                    H$2="HOH", MAX(IF(V255&gt;0, V255, V257+V256)-200000, 0) * 0.009,
                    IF(
                        H$2="QW", MAX(IF(V255&gt;0, V255, V257+V256)-200000, 0) * 0.009,
                        0
                    )
                )
            )
        )
    ),
    0
)</f>
        <v>0</v>
      </c>
      <c r="W258" s="255">
        <f>IF(
    OR(I$1=2022, I$1=2023, I$1=2024),
    IF(
        I$2="MFJ", MAX(IF(W255&gt;0, W255, W257+W256)-250000, 0) * 0.009,
        IF(
            I$2="MFS", MAX(IF(W255&gt;0, W255, W257+W256)-125000, 0) * 0.009,
            IF(
                I$2="Single", MAX(IF(W255&gt;0, W255, W257+W256)-200000, 0) * 0.009,
                IF(
                    I$2="HOH", MAX(IF(W255&gt;0, W255, W257+W256)-200000, 0) * 0.009,
                    IF(
                        I$2="QW", MAX(IF(W255&gt;0, W255, W257+W256)-200000, 0) * 0.009,
                        0
                    )
                )
            )
        )
    ),
    0
)</f>
        <v>0</v>
      </c>
      <c r="X258" s="255">
        <f>IF(
    OR(J$1=2022, J$1=2023, J$1=2024),
    IF(
        J$2="MFJ", MAX(IF(X255&gt;0, X255, X257+X256)-250000, 0) * 0.009,
        IF(
            J$2="MFS", MAX(IF(X255&gt;0, X255, X257+X256)-125000, 0) * 0.009,
            IF(
                J$2="Single", MAX(IF(X255&gt;0, X255, X257+X256)-200000, 0) * 0.009,
                IF(
                    J$2="HOH", MAX(IF(X255&gt;0, X255, X257+X256)-200000, 0) * 0.009,
                    IF(
                        J$2="QW", MAX(IF(X255&gt;0, X255, X257+X256)-200000, 0) * 0.009,
                        0
                    )
                )
            )
        )
    ),
    0
)</f>
        <v>0</v>
      </c>
      <c r="Y258" s="255">
        <f>IF(
    OR(Y$156=2022, Y$156=2023, Y$156=2024),
    IF(
        Y$157="MFJ", MAX(IF(Y255&gt;0, Y255, Y257+Y256)-250000, 0) * 0.009,
        IF(
            Y$157="MFS", MAX(IF(Y255&gt;0, Y255, Y257+Y256)-125000, 0) * 0.009,
            IF(
                Y$157="Single", MAX(IF(Y255&gt;0, Y255, Y257+Y256)-200000, 0) * 0.009,
                IF(
                    Y$157="HOH", MAX(IF(Y255&gt;0, Y255, Y257+Y256)-200000, 0) * 0.009,
                    IF(
                        Y$157="QW", MAX(IF(Y255&gt;0, Y255, Y257+Y256)-200000, 0) * 0.009,
                        0
                    )
                )
            )
        )
    ),
    0
)</f>
        <v>0</v>
      </c>
      <c r="Z258" s="255">
        <f>IF(
    OR(Z$156=2022, Z$156=2023, Z$156=2024),
    IF(
        Z$157="MFJ", MAX(IF(Z255&gt;0, Z255, Z257+Z256)-250000, 0) * 0.009,
        IF(
            Z$157="MFS", MAX(IF(Z255&gt;0, Z255, Z257+Z256)-125000, 0) * 0.009,
            IF(
                Z$157="Single", MAX(IF(Z255&gt;0, Z255, Z257+Z256)-200000, 0) * 0.009,
                IF(
                    Z$157="HOH", MAX(IF(Z255&gt;0, Z255, Z257+Z256)-200000, 0) * 0.009,
                    IF(
                        Z$157="QW", MAX(IF(Z255&gt;0, Z255, Z257+Z256)-200000, 0) * 0.009,
                        0
                    )
                )
            )
        )
    ),
    0
)</f>
        <v>0</v>
      </c>
      <c r="AA258" s="255">
        <f>IF(
    OR(AA$156=2022, AA$156=2023, AA$156=2024),
    IF(
        AA$157="MFJ", MAX(IF(AA255&gt;0, AA255, AA257+AA256)-250000, 0) * 0.009,
        IF(
            AA$157="MFS", MAX(IF(AA255&gt;0, AA255, AA257+AA256)-125000, 0) * 0.009,
            IF(
                AA$157="Single", MAX(IF(AA255&gt;0, AA255, AA257+AA256)-200000, 0) * 0.009,
                IF(
                    AA$157="HOH", MAX(IF(AA255&gt;0, AA255, AA257+AA256)-200000, 0) * 0.009,
                    IF(
                        AA$157="QW", MAX(IF(AA255&gt;0, AA255, AA257+AA256)-200000, 0) * 0.009,
                        0
                    )
                )
            )
        )
    ),
    0
)</f>
        <v>0</v>
      </c>
      <c r="AB258" s="255">
        <f>IF(
    OR(AB$156=2022, AB$156=2023, AB$156=2024),
    IF(
        AB$157="MFJ", MAX(IF(AB255&gt;0, AB255, AB257+AB256)-250000, 0) * 0.009,
        IF(
            AB$157="MFS", MAX(IF(AB255&gt;0, AB255, AB257+AB256)-125000, 0) * 0.009,
            IF(
                AB$157="Single", MAX(IF(AB255&gt;0, AB255, AB257+AB256)-200000, 0) * 0.009,
                IF(
                    AB$157="HOH", MAX(IF(AB255&gt;0, AB255, AB257+AB256)-200000, 0) * 0.009,
                    IF(
                        AB$157="QW", MAX(IF(AB255&gt;0, AB255, AB257+AB256)-200000, 0) * 0.009,
                        0
                    )
                )
            )
        )
    ),
    0
)</f>
        <v>0</v>
      </c>
      <c r="AC258" s="255">
        <f>IF(
    OR(AC$156=2022, AC$156=2023, AC$156=2024),
    IF(
        AC$157="MFJ", MAX(IF(AC255&gt;0, AC255, AC257+AC256)-250000, 0) * 0.009,
        IF(
            AC$157="MFS", MAX(IF(AC255&gt;0, AC255, AC257+AC256)-125000, 0) * 0.009,
            IF(
                AC$157="Single", MAX(IF(AC255&gt;0, AC255, AC257+AC256)-200000, 0) * 0.009,
                IF(
                    AC$157="HOH", MAX(IF(AC255&gt;0, AC255, AC257+AC256)-200000, 0) * 0.009,
                    IF(
                        AC$157="QW", MAX(IF(AC255&gt;0, AC255, AC257+AC256)-200000, 0) * 0.009,
                        0
                    )
                )
            )
        )
    ),
    0
)</f>
        <v>0</v>
      </c>
    </row>
    <row r="259" spans="4:29" ht="15.75" thickBot="1" x14ac:dyDescent="0.3">
      <c r="D259" s="32">
        <v>20</v>
      </c>
      <c r="E259" s="33">
        <f t="shared" si="858"/>
        <v>7.6399999999999996E-2</v>
      </c>
      <c r="F259" s="34" t="e">
        <f t="shared" si="861"/>
        <v>#VALUE!</v>
      </c>
      <c r="G259" t="e">
        <f t="shared" si="855"/>
        <v>#VALUE!</v>
      </c>
      <c r="H259" s="34" t="e">
        <f>F259+G259</f>
        <v>#VALUE!</v>
      </c>
      <c r="P259" s="91" t="s">
        <v>85</v>
      </c>
      <c r="Q259" s="91" t="s">
        <v>86</v>
      </c>
      <c r="R259" s="91" t="s">
        <v>87</v>
      </c>
      <c r="S259" s="91" t="s">
        <v>88</v>
      </c>
      <c r="T259" s="91" t="s">
        <v>89</v>
      </c>
      <c r="U259" s="91" t="s">
        <v>90</v>
      </c>
      <c r="V259" s="91" t="s">
        <v>91</v>
      </c>
      <c r="W259" s="91" t="s">
        <v>92</v>
      </c>
      <c r="X259" s="91" t="s">
        <v>518</v>
      </c>
      <c r="Y259" s="109" t="s">
        <v>247</v>
      </c>
      <c r="Z259" s="109" t="s">
        <v>247</v>
      </c>
      <c r="AA259" s="109" t="s">
        <v>247</v>
      </c>
      <c r="AB259" s="109" t="s">
        <v>247</v>
      </c>
      <c r="AC259" s="109" t="s">
        <v>247</v>
      </c>
    </row>
    <row r="260" spans="4:29" x14ac:dyDescent="0.25">
      <c r="O260" s="19" t="s">
        <v>448</v>
      </c>
      <c r="P260" s="257">
        <f>SUM(
  IF(OR(P162="Client 1", P175="Client 1", P188="Client 1", P201="Client 1"), P238, 0),
  IF(OR(P162="Client 2", P175="Client 2", P188="Client 2", P201="Client 2"), P243, 0),
  P168, P181, P194, P207
)</f>
        <v>0</v>
      </c>
      <c r="Q260" s="257">
        <f>SUM(
  IF(OR(Q162="Client 1", Q175="Client 1", Q188="Client 1", Q201="Client 1"), Q238, 0),
  IF(OR(Q162="Client 2", Q175="Client 2", Q188="Client 2", Q201="Client 2"), Q243, 0),
  Q168, Q181, Q194, Q207
)</f>
        <v>0</v>
      </c>
      <c r="R260" s="257">
        <f>SUM(
  IF(OR(R162="Client 1", R175="Client 1", R188="Client 1", R201="Client 1"), R238, 0),
  IF(OR(R162="Client 2", R175="Client 2", R188="Client 2", R201="Client 2"), R243, 0),
  R168, R181, R194, R207
)</f>
        <v>0</v>
      </c>
      <c r="S260" s="257">
        <f t="shared" ref="S260:U260" si="885">SUM(
  IF(OR(S162="Client 1", S175="Client 1", S188="Client 1", S201="Client 1"), S238, 0),
  IF(OR(S162="Client 2", S175="Client 2", S188="Client 2", S201="Client 2"), S243, 0),
  S168, S181, S194, S207
)</f>
        <v>0</v>
      </c>
      <c r="T260" s="257">
        <f t="shared" si="885"/>
        <v>0</v>
      </c>
      <c r="U260" s="257">
        <f t="shared" si="885"/>
        <v>0</v>
      </c>
      <c r="V260" s="257">
        <f>SUM(
  IF(OR(V162="Client 1", V175="Client 1", V188="Client 1", V201="Client 1"), V238, 0),
  IF(OR(V162="Client 2", V175="Client 2", V188="Client 2", V201="Client 2"), V243, 0),
  V168, V181, V194, V207
)</f>
        <v>0</v>
      </c>
      <c r="W260" s="257">
        <f>SUM(
  IF(OR(W162="Client 1", W175="Client 1", W188="Client 1", W201="Client 1"), W238, 0),
  IF(OR(W162="Client 2", W175="Client 2", W188="Client 2", W201="Client 2"), W243, 0),
  W168, W181, W194, W207
)</f>
        <v>0</v>
      </c>
      <c r="X260" s="257">
        <f t="shared" ref="X260" si="886">SUM(
  IF(OR(X162="Client 1", X175="Client 1", X188="Client 1", X201="Client 1"), X238, 0),
  IF(OR(X162="Client 2", X175="Client 2", X188="Client 2", X201="Client 2"), X243, 0),
  X168, X181, X194, X207
)</f>
        <v>0</v>
      </c>
      <c r="Y260" s="257">
        <f>SUM(
  IF(OR(Y162="Client 1", Y175="Client 1", Y188="Client 1", Y201="Client 1"), Y238, 0),
  IF(OR(Y162="Client 2", Y175="Client 2", Y188="Client 2", Y201="Client 2"), Y243, 0),
  Y168, Y181, Y194, Y207
)</f>
        <v>0</v>
      </c>
      <c r="Z260" s="257">
        <f>SUM(
  IF(OR(Z162="Client 1", Z175="Client 1", Z188="Client 1", Z201="Client 1"), Z238, 0),
  IF(OR(Z162="Client 2", Z175="Client 2", Z188="Client 2", Z201="Client 2"), Z243, 0),
  Z168, Z181, Z194, Z207
)</f>
        <v>0</v>
      </c>
      <c r="AA260" s="257">
        <f>SUM(
  IF(OR(AA162="Client 1", AA175="Client 1", AA188="Client 1", AA201="Client 1"), AA238, 0),
  IF(OR(AA162="Client 2", AA175="Client 2", AA188="Client 2", AA201="Client 2"), AA243, 0),
  AA168, AA181, AA194, AA207
)</f>
        <v>0</v>
      </c>
      <c r="AB260" s="257">
        <f>SUM(
  IF(OR(AB162="Client 1", AB175="Client 1", AB188="Client 1", AB201="Client 1"), AB238, 0),
  IF(OR(AB162="Client 2", AB175="Client 2", AB188="Client 2", AB201="Client 2"), AB243, 0),
  AB168, AB181, AB194, AB207
)</f>
        <v>0</v>
      </c>
      <c r="AC260" s="257">
        <f>SUM(
  IF(OR(AC162="Client 1", AC175="Client 1", AC188="Client 1", AC201="Client 1"), AC238, 0),
  IF(OR(AC162="Client 2", AC175="Client 2", AC188="Client 2", AC201="Client 2"), AC243, 0),
  AC168, AC181, AC194, AC207
)</f>
        <v>0</v>
      </c>
    </row>
    <row r="261" spans="4:29" ht="15.75" thickBot="1" x14ac:dyDescent="0.3">
      <c r="O261" s="19" t="s">
        <v>449</v>
      </c>
      <c r="P261" s="258">
        <f>SUM(
  IF(OR(P162="Client 1", P175="Client 1", P188="Client 1", P201="Client 1"), P240, 0),
  IF(OR(P162="Client 2", P175="Client 2", P188="Client 2", P201="Client 2"), P245, 0),
  SUM(P171:P173),
  SUM(P184:P186),
  SUM(P197:P199),
  SUM(P210:P212)
)</f>
        <v>0</v>
      </c>
      <c r="Q261" s="258">
        <f>SUM(
  IF(OR(Q162="Client 1", Q175="Client 1", Q188="Client 1", Q201="Client 1"), Q240, 0),
  IF(OR(Q162="Client 2", Q175="Client 2", Q188="Client 2", Q201="Client 2"), Q245, 0),
  SUM(Q171:Q173),
  SUM(Q184:Q186),
  SUM(Q197:Q199),
  SUM(Q210:Q212)
)</f>
        <v>0</v>
      </c>
      <c r="R261" s="258">
        <f>SUM(
  IF(OR(R162="Client 1", R175="Client 1", R188="Client 1", R201="Client 1"), R240, 0),
  IF(OR(R162="Client 2", R175="Client 2", R188="Client 2", R201="Client 2"), R245, 0),
  SUM(R171:R173),
  SUM(R184:R186),
  SUM(R197:R199),
  SUM(R210:R212)
)</f>
        <v>0</v>
      </c>
      <c r="S261" s="258">
        <f t="shared" ref="S261:U261" si="887">SUM(
  IF(OR(S162="Client 1", S175="Client 1", S188="Client 1", S201="Client 1"), S240, 0),
  IF(OR(S162="Client 2", S175="Client 2", S188="Client 2", S201="Client 2"), S245, 0),
  SUM(S171:S173),
  SUM(S184:S186),
  SUM(S197:S199),
  SUM(S210:S212)
)</f>
        <v>0</v>
      </c>
      <c r="T261" s="258">
        <f t="shared" si="887"/>
        <v>0</v>
      </c>
      <c r="U261" s="258">
        <f t="shared" si="887"/>
        <v>0</v>
      </c>
      <c r="V261" s="258">
        <f>SUM(
  IF(OR(V162="Client 1", V175="Client 1", V188="Client 1", V201="Client 1"), V240, 0),
  IF(OR(V162="Client 2", V175="Client 2", V188="Client 2", V201="Client 2"), V245, 0),
  SUM(V171:V173),
  SUM(V184:V186),
  SUM(V197:V199),
  SUM(V210:V212)
)</f>
        <v>0</v>
      </c>
      <c r="W261" s="258">
        <f>SUM(
  IF(OR(W162="Client 1", W175="Client 1", W188="Client 1", W201="Client 1"), W240, 0),
  IF(OR(W162="Client 2", W175="Client 2", W188="Client 2", W201="Client 2"), W245, 0),
  SUM(W171:W173),
  SUM(W184:W186),
  SUM(W197:W199),
  SUM(W210:W212)
)</f>
        <v>0</v>
      </c>
      <c r="X261" s="258">
        <f t="shared" ref="X261" si="888">SUM(
  IF(OR(X162="Client 1", X175="Client 1", X188="Client 1", X201="Client 1"), X240, 0),
  IF(OR(X162="Client 2", X175="Client 2", X188="Client 2", X201="Client 2"), X245, 0),
  SUM(X171:X173),
  SUM(X184:X186),
  SUM(X197:X199),
  SUM(X210:X212)
)</f>
        <v>0</v>
      </c>
      <c r="Y261" s="258">
        <f>SUM(
  IF(OR(Y162="Client 1", Y175="Client 1", Y188="Client 1", Y201="Client 1"), Y240, 0),
  IF(OR(Y162="Client 2", Y175="Client 2", Y188="Client 2", Y201="Client 2"), Y245, 0),
  SUM(Y171:Y173),
  SUM(Y184:Y186),
  SUM(Y197:Y199),
  SUM(Y210:Y212)
)</f>
        <v>0</v>
      </c>
      <c r="Z261" s="258">
        <f>SUM(
  IF(OR(Z162="Client 1", Z175="Client 1", Z188="Client 1", Z201="Client 1"), Z240, 0),
  IF(OR(Z162="Client 2", Z175="Client 2", Z188="Client 2", Z201="Client 2"), Z245, 0),
  SUM(Z171:Z173),
  SUM(Z184:Z186),
  SUM(Z197:Z199),
  SUM(Z210:Z212)
)</f>
        <v>0</v>
      </c>
      <c r="AA261" s="258">
        <f>SUM(
  IF(OR(AA162="Client 1", AA175="Client 1", AA188="Client 1", AA201="Client 1"), AA240, 0),
  IF(OR(AA162="Client 2", AA175="Client 2", AA188="Client 2", AA201="Client 2"), AA245, 0),
  SUM(AA171:AA173),
  SUM(AA184:AA186),
  SUM(AA197:AA199),
  SUM(AA210:AA212)
)</f>
        <v>0</v>
      </c>
      <c r="AB261" s="258">
        <f>SUM(
  IF(OR(AB162="Client 1", AB175="Client 1", AB188="Client 1", AB201="Client 1"), AB240, 0),
  IF(OR(AB162="Client 2", AB175="Client 2", AB188="Client 2", AB201="Client 2"), AB245, 0),
  SUM(AB171:AB173),
  SUM(AB184:AB186),
  SUM(AB197:AB199),
  SUM(AB210:AB212)
)</f>
        <v>0</v>
      </c>
      <c r="AC261" s="258">
        <f>SUM(
  IF(OR(AC162="Client 1", AC175="Client 1", AC188="Client 1", AC201="Client 1"), AC240, 0),
  IF(OR(AC162="Client 2", AC175="Client 2", AC188="Client 2", AC201="Client 2"), AC245, 0),
  SUM(AC171:AC173),
  SUM(AC184:AC186),
  SUM(AC197:AC199),
  SUM(AC210:AC212)
)</f>
        <v>0</v>
      </c>
    </row>
    <row r="263" spans="4:29" x14ac:dyDescent="0.25">
      <c r="Y263" s="6"/>
    </row>
    <row r="278" spans="29:34" ht="15.75" thickBot="1" x14ac:dyDescent="0.3">
      <c r="AF278" s="208"/>
      <c r="AG278" s="208" t="s">
        <v>375</v>
      </c>
      <c r="AH278" s="209" t="str">
        <f>IF(AND(AH370&lt;=AH419, AH370&lt;=AH468), "Current", IF(AND(AH419&lt;AH370, AH419&lt;=AH468), "W-2", "Business"))</f>
        <v>Current</v>
      </c>
    </row>
    <row r="279" spans="29:34" ht="15.75" thickBot="1" x14ac:dyDescent="0.3">
      <c r="AF279" s="91"/>
      <c r="AG279" s="91"/>
      <c r="AH279" s="91"/>
    </row>
    <row r="280" spans="29:34" x14ac:dyDescent="0.25">
      <c r="AC280" s="215"/>
      <c r="AD280" s="215"/>
      <c r="AE280" s="215"/>
      <c r="AF280" s="217" t="s">
        <v>359</v>
      </c>
      <c r="AG280" s="217" t="s">
        <v>61</v>
      </c>
      <c r="AH280" s="220">
        <v>2024</v>
      </c>
    </row>
    <row r="281" spans="29:34" x14ac:dyDescent="0.25">
      <c r="AC281" s="215"/>
      <c r="AD281" s="215"/>
      <c r="AE281" s="215"/>
      <c r="AF281" s="217" t="s">
        <v>359</v>
      </c>
      <c r="AG281" s="217" t="s">
        <v>406</v>
      </c>
      <c r="AH281" s="220" t="s">
        <v>451</v>
      </c>
    </row>
    <row r="282" spans="29:34" x14ac:dyDescent="0.25">
      <c r="AC282" s="215"/>
      <c r="AD282" s="215"/>
      <c r="AE282" s="215"/>
      <c r="AF282" s="217" t="s">
        <v>345</v>
      </c>
      <c r="AG282" s="217" t="s">
        <v>496</v>
      </c>
      <c r="AH282" s="229">
        <v>0</v>
      </c>
    </row>
    <row r="283" spans="29:34" x14ac:dyDescent="0.25">
      <c r="AC283" s="215"/>
      <c r="AD283" s="215"/>
      <c r="AE283" s="215"/>
      <c r="AF283" s="217" t="s">
        <v>345</v>
      </c>
      <c r="AG283" s="217" t="s">
        <v>497</v>
      </c>
      <c r="AH283" s="229">
        <v>0</v>
      </c>
    </row>
    <row r="284" spans="29:34" x14ac:dyDescent="0.25">
      <c r="AC284" s="215"/>
      <c r="AD284" s="215"/>
      <c r="AE284" s="215"/>
      <c r="AF284" s="217" t="s">
        <v>345</v>
      </c>
      <c r="AG284" s="217" t="s">
        <v>385</v>
      </c>
      <c r="AH284" s="229">
        <v>0</v>
      </c>
    </row>
    <row r="285" spans="29:34" x14ac:dyDescent="0.25">
      <c r="AC285" s="215"/>
      <c r="AD285" s="215"/>
      <c r="AE285" s="215"/>
      <c r="AF285" s="217" t="s">
        <v>403</v>
      </c>
      <c r="AG285" s="217" t="s">
        <v>404</v>
      </c>
      <c r="AH285" s="229">
        <v>0</v>
      </c>
    </row>
    <row r="286" spans="29:34" x14ac:dyDescent="0.25">
      <c r="AC286" s="215"/>
      <c r="AD286" s="215"/>
      <c r="AE286" s="215"/>
      <c r="AF286" s="217" t="s">
        <v>403</v>
      </c>
      <c r="AG286" s="217" t="s">
        <v>405</v>
      </c>
      <c r="AH286" s="229">
        <v>0</v>
      </c>
    </row>
    <row r="287" spans="29:34" x14ac:dyDescent="0.25">
      <c r="AC287" s="215"/>
      <c r="AD287" s="215"/>
      <c r="AE287" s="215"/>
      <c r="AF287" s="217" t="s">
        <v>403</v>
      </c>
      <c r="AG287" s="217" t="s">
        <v>74</v>
      </c>
      <c r="AH287" s="230">
        <v>0</v>
      </c>
    </row>
    <row r="288" spans="29:34" x14ac:dyDescent="0.25">
      <c r="AC288" s="215"/>
      <c r="AD288" s="215"/>
      <c r="AE288" s="215"/>
      <c r="AF288" s="217" t="s">
        <v>407</v>
      </c>
      <c r="AG288" s="217" t="s">
        <v>408</v>
      </c>
      <c r="AH288" s="219">
        <v>0.37</v>
      </c>
    </row>
    <row r="289" spans="1:34" x14ac:dyDescent="0.25">
      <c r="AC289" s="215"/>
      <c r="AD289" s="215"/>
      <c r="AE289" s="215"/>
      <c r="AF289" s="217" t="s">
        <v>359</v>
      </c>
      <c r="AG289" s="217" t="s">
        <v>361</v>
      </c>
      <c r="AH289" s="218" t="s">
        <v>68</v>
      </c>
    </row>
    <row r="290" spans="1:34" x14ac:dyDescent="0.25">
      <c r="AC290" s="215"/>
      <c r="AD290" s="215"/>
      <c r="AE290" s="215"/>
      <c r="AF290" s="217" t="s">
        <v>345</v>
      </c>
      <c r="AG290" s="217" t="s">
        <v>372</v>
      </c>
      <c r="AH290" s="219">
        <v>0.3</v>
      </c>
    </row>
    <row r="291" spans="1:34" x14ac:dyDescent="0.25">
      <c r="AC291" s="215"/>
      <c r="AD291" s="215"/>
      <c r="AE291" s="215"/>
      <c r="AF291" s="217" t="s">
        <v>359</v>
      </c>
      <c r="AG291" s="217" t="s">
        <v>387</v>
      </c>
      <c r="AH291" s="220" t="s">
        <v>504</v>
      </c>
    </row>
    <row r="292" spans="1:34" x14ac:dyDescent="0.25">
      <c r="AC292" s="215"/>
      <c r="AD292" s="215"/>
      <c r="AE292" s="215"/>
      <c r="AF292" s="217" t="s">
        <v>359</v>
      </c>
      <c r="AG292" s="217" t="s">
        <v>502</v>
      </c>
      <c r="AH292" s="220" t="s">
        <v>504</v>
      </c>
    </row>
    <row r="293" spans="1:34" x14ac:dyDescent="0.25">
      <c r="AC293" s="215"/>
      <c r="AD293" s="215"/>
      <c r="AE293" s="215"/>
      <c r="AF293" s="217" t="s">
        <v>359</v>
      </c>
      <c r="AG293" s="217" t="s">
        <v>388</v>
      </c>
      <c r="AH293" s="220" t="s">
        <v>107</v>
      </c>
    </row>
    <row r="294" spans="1:34" x14ac:dyDescent="0.25">
      <c r="AC294" s="215"/>
      <c r="AD294" s="215"/>
      <c r="AE294" s="215"/>
      <c r="AF294" s="221"/>
      <c r="AG294" s="221" t="s">
        <v>389</v>
      </c>
      <c r="AH294" s="221"/>
    </row>
    <row r="295" spans="1:34" x14ac:dyDescent="0.25">
      <c r="AC295" s="215"/>
      <c r="AD295" s="215"/>
      <c r="AE295" s="215"/>
      <c r="AF295" s="194" t="s">
        <v>345</v>
      </c>
      <c r="AG295" s="194" t="s">
        <v>390</v>
      </c>
      <c r="AH295" s="222">
        <v>0</v>
      </c>
    </row>
    <row r="296" spans="1:34" x14ac:dyDescent="0.25">
      <c r="AC296" s="215"/>
      <c r="AD296" s="215"/>
      <c r="AE296" s="215"/>
      <c r="AF296" s="185" t="s">
        <v>345</v>
      </c>
      <c r="AG296" s="185" t="s">
        <v>391</v>
      </c>
      <c r="AH296" s="187">
        <v>0</v>
      </c>
    </row>
    <row r="297" spans="1:34" x14ac:dyDescent="0.25">
      <c r="AC297" s="215"/>
      <c r="AD297" s="215"/>
      <c r="AE297" s="215"/>
      <c r="AF297" s="185" t="s">
        <v>345</v>
      </c>
      <c r="AG297" s="185" t="s">
        <v>392</v>
      </c>
      <c r="AH297" s="187">
        <v>0</v>
      </c>
    </row>
    <row r="298" spans="1:34" x14ac:dyDescent="0.25">
      <c r="AC298" s="215"/>
      <c r="AD298" s="215"/>
      <c r="AE298" s="215"/>
      <c r="AF298" s="185" t="s">
        <v>345</v>
      </c>
      <c r="AG298" s="185" t="s">
        <v>499</v>
      </c>
      <c r="AH298" s="187">
        <v>0</v>
      </c>
    </row>
    <row r="299" spans="1:34" x14ac:dyDescent="0.25">
      <c r="AC299" s="215"/>
      <c r="AD299" s="215"/>
      <c r="AE299" s="215"/>
      <c r="AF299" s="185" t="s">
        <v>345</v>
      </c>
      <c r="AG299" s="185" t="s">
        <v>393</v>
      </c>
      <c r="AH299" s="187">
        <v>0</v>
      </c>
    </row>
    <row r="300" spans="1:34" ht="15.75" thickBot="1" x14ac:dyDescent="0.3">
      <c r="AC300" s="215"/>
      <c r="AD300" s="215"/>
      <c r="AE300" s="215"/>
      <c r="AF300" s="184" t="s">
        <v>345</v>
      </c>
      <c r="AG300" s="184" t="s">
        <v>503</v>
      </c>
      <c r="AH300" s="188">
        <v>0</v>
      </c>
    </row>
    <row r="301" spans="1:34" ht="15.75" thickBot="1" x14ac:dyDescent="0.3">
      <c r="A301" t="s">
        <v>469</v>
      </c>
      <c r="B301" s="262"/>
      <c r="C301" s="262"/>
      <c r="D301" s="262"/>
      <c r="E301" s="262"/>
      <c r="F301" s="262"/>
      <c r="G301" s="262"/>
      <c r="H301" s="262"/>
      <c r="I301" s="267"/>
      <c r="J301" s="267"/>
      <c r="K301" s="267"/>
      <c r="L301" s="267"/>
      <c r="M301" s="267"/>
      <c r="AC301" s="215"/>
      <c r="AD301" s="215"/>
      <c r="AE301" s="215"/>
      <c r="AF301" s="184" t="s">
        <v>345</v>
      </c>
      <c r="AG301" s="223" t="s">
        <v>394</v>
      </c>
      <c r="AH301" s="206">
        <v>0.1</v>
      </c>
    </row>
    <row r="302" spans="1:34" ht="15.75" thickBot="1" x14ac:dyDescent="0.3">
      <c r="A302" t="s">
        <v>468</v>
      </c>
      <c r="B302" s="262"/>
      <c r="C302" s="262"/>
      <c r="D302" s="262"/>
      <c r="E302" s="262"/>
      <c r="F302" s="262"/>
      <c r="G302" s="262"/>
      <c r="H302" s="262"/>
      <c r="I302" s="267"/>
      <c r="J302" s="267"/>
      <c r="K302" s="267"/>
      <c r="L302" s="267"/>
      <c r="M302" s="267"/>
      <c r="AC302" s="215"/>
      <c r="AD302" s="215"/>
      <c r="AE302" s="215"/>
      <c r="AF302" s="184" t="s">
        <v>345</v>
      </c>
      <c r="AG302" s="223" t="s">
        <v>395</v>
      </c>
      <c r="AH302" s="224" t="s">
        <v>68</v>
      </c>
    </row>
    <row r="303" spans="1:34" ht="15.75" thickBot="1" x14ac:dyDescent="0.3">
      <c r="B303" s="86" t="s">
        <v>85</v>
      </c>
      <c r="C303" s="86" t="s">
        <v>86</v>
      </c>
      <c r="D303" s="86" t="s">
        <v>87</v>
      </c>
      <c r="E303" s="86" t="s">
        <v>88</v>
      </c>
      <c r="F303" s="86" t="s">
        <v>89</v>
      </c>
      <c r="G303" s="86" t="s">
        <v>90</v>
      </c>
      <c r="H303" s="86" t="s">
        <v>91</v>
      </c>
      <c r="I303" s="86" t="s">
        <v>92</v>
      </c>
      <c r="J303" s="86" t="s">
        <v>518</v>
      </c>
      <c r="K303" s="86" t="s">
        <v>493</v>
      </c>
      <c r="L303" s="86" t="s">
        <v>494</v>
      </c>
      <c r="M303" s="86" t="s">
        <v>495</v>
      </c>
      <c r="AC303" s="215"/>
      <c r="AD303" s="215"/>
      <c r="AE303" s="215"/>
      <c r="AF303" s="200" t="s">
        <v>345</v>
      </c>
      <c r="AG303" s="225" t="s">
        <v>501</v>
      </c>
      <c r="AH303" s="199">
        <v>0</v>
      </c>
    </row>
    <row r="304" spans="1:34" x14ac:dyDescent="0.25">
      <c r="A304" t="s">
        <v>454</v>
      </c>
      <c r="B304" s="268">
        <f t="shared" ref="B304:H304" si="889">B80</f>
        <v>0</v>
      </c>
      <c r="C304" s="268">
        <f t="shared" si="889"/>
        <v>0</v>
      </c>
      <c r="D304" s="268">
        <f t="shared" si="889"/>
        <v>0</v>
      </c>
      <c r="E304" s="268">
        <f t="shared" si="889"/>
        <v>0</v>
      </c>
      <c r="F304" s="268">
        <f t="shared" si="889"/>
        <v>0</v>
      </c>
      <c r="G304" s="268">
        <f t="shared" si="889"/>
        <v>0</v>
      </c>
      <c r="H304" s="268">
        <f t="shared" si="889"/>
        <v>0</v>
      </c>
      <c r="I304" s="269">
        <f>I80</f>
        <v>0</v>
      </c>
      <c r="J304" s="269" t="e">
        <f>J80</f>
        <v>#VALUE!</v>
      </c>
      <c r="K304" s="269">
        <f>AH365</f>
        <v>-21900</v>
      </c>
      <c r="L304" s="269">
        <f>AH414</f>
        <v>-21900</v>
      </c>
      <c r="M304" s="269">
        <f>AH463</f>
        <v>-21900</v>
      </c>
      <c r="AC304" s="215"/>
      <c r="AD304" s="215"/>
      <c r="AE304" s="215"/>
      <c r="AF304" s="191" t="s">
        <v>359</v>
      </c>
      <c r="AG304" s="191" t="s">
        <v>396</v>
      </c>
      <c r="AH304" s="192" t="s">
        <v>323</v>
      </c>
    </row>
    <row r="305" spans="1:34" x14ac:dyDescent="0.25">
      <c r="A305" t="s">
        <v>385</v>
      </c>
      <c r="B305" s="160">
        <f t="shared" ref="B305:H305" si="890">B34</f>
        <v>0</v>
      </c>
      <c r="C305" s="160">
        <f t="shared" si="890"/>
        <v>0</v>
      </c>
      <c r="D305" s="160">
        <f t="shared" si="890"/>
        <v>0</v>
      </c>
      <c r="E305" s="160">
        <f t="shared" si="890"/>
        <v>0</v>
      </c>
      <c r="F305" s="160">
        <f t="shared" si="890"/>
        <v>0</v>
      </c>
      <c r="G305" s="160">
        <f t="shared" si="890"/>
        <v>0</v>
      </c>
      <c r="H305" s="160">
        <f t="shared" si="890"/>
        <v>0</v>
      </c>
      <c r="I305" s="58">
        <f>I34</f>
        <v>0</v>
      </c>
      <c r="J305" s="58">
        <f>J34</f>
        <v>0</v>
      </c>
      <c r="K305" s="58">
        <f>$AH$284</f>
        <v>0</v>
      </c>
      <c r="L305" s="58">
        <f>$AH$284</f>
        <v>0</v>
      </c>
      <c r="M305" s="58">
        <f>$AH$284</f>
        <v>0</v>
      </c>
      <c r="AC305" s="215"/>
      <c r="AD305" s="215"/>
      <c r="AE305" s="215"/>
      <c r="AF305" s="191" t="s">
        <v>339</v>
      </c>
      <c r="AG305" s="191" t="s">
        <v>397</v>
      </c>
      <c r="AH305" s="193">
        <f>IF(AND(AH304="No Catch-Up", AG305="Total Business 401(k) Possible Contribution (With Business)"),
    IF($AH$280=2024, MIN(69000, MAX(0, _xlfn.IFS(AH298&gt;=(IF(AH298&lt;23000, AH298, 23000))+AH298*0.25, AH298*0.25, TRUE, (AH298-23000))) + IF(AH298&lt;23000, AH298, 23000)),
    IF($AH$280=2023, MIN(66000, MAX(0, _xlfn.IFS(AH298&gt;=(IF(AH298&lt;22500, AH298, 22500))+AH298*0.25, AH298*0.25, TRUE, (AH298-22500))) + IF(AH298&lt;22500, AH298, 22500)),
    IF($AH$280=2022, MIN(63000, MAX(0, _xlfn.IFS(AH298&gt;=(IF(AH298&lt;20500, AH298, 20500))+AH298*0.25, AH298*0.25, TRUE, (AH298-20500))) + IF(AH298&lt;20500, AH298, 20500)),
    "Year not configured"))),
IF(AND(AH304="Yes Catch-Up", AG305="Total Business 401(k) Possible Contribution (With Business)"),
    IF($AH$280=2024, MIN(76500, MAX(0, _xlfn.IFS(AH298&gt;=(IF(AH298&lt;30500, AH298, 30500))+AH298*0.25, AH298*0.25, TRUE, (AH298-30500))) + IF(AH298&lt;30500, AH298, 30500)),
    IF($AH$280=2023, MIN(73500, MAX(0, _xlfn.IFS(AH298&gt;=(IF(AH298&lt;30000, AH298, 30000))+AH298*0.25, AH298*0.25, TRUE, (AH298-30000))) + IF(AH298&lt;30000, AH298, 30000)),
    IF($AH$280=2022, MIN(69500, MAX(0, _xlfn.IFS(AH298&gt;=(IF(AH298&lt;27000, AH298, 27000))+AH298*0.25, AH298*0.25, TRUE, (AH298-27000))) + IF(AH298&lt;27000, AH298, 27000)),
    "Year not configured"))),
IF(AND(AH304="No Catch-Up", AG305="No Total Business 401(k) Possible Contribution (With Business)"),
    IF($AH$280=2024, MIN(23000, MAX(0, _xlfn.IFS(AH298&gt;=(IF(AH298&lt;23000, AH298, 23000))+AH298*0.25, AH298*0.25, TRUE, (AH298-23000))) + IF(AH298&lt;23000, AH298, 23000)),
    IF($AH$280=2023, MIN(22500, MAX(0, _xlfn.IFS(AH298&gt;=(IF(AH298&lt;22500, AH298, 22500))+AH298*0.25, AH298*0.25, TRUE, (AH298-22500))) + IF(AH298&lt;22500, AH298, 22500)),
    IF($AH$280=2022, MIN(20500, MAX(0, _xlfn.IFS(AH298&gt;=(IF(AH298&lt;20500, AH298, 20500))+AH298*0.25, AH298*0.25, TRUE, (AH298-20500))) + IF(AH298&lt;20500, AH298, 20500)),
    "Year not configured"))),
IF(AND(AH304="Yes Catch-Up", AG305="No Total Business 401(k) Possible Contribution (With Business)"),
    IF($AH$280=2024, MIN(30500, MAX(0, _xlfn.IFS(AH298&gt;=(IF(AH298&lt;30500, AH298, 30500))+AH298*0.25, AH298*0.25, TRUE, (AH298-30500))) + IF(AH298&lt;30500, AH298, 30500)),
    IF($AH$280=2023, MIN(30000, MAX(0, _xlfn.IFS(AH298&gt;=(IF(AH298&lt;30000, AH298, 30000))+AH298*0.25, AH298*0.25, TRUE, (AH298-30000))) + IF(AH298&lt;30000, AH298, 30000)),
    IF($AH$280=2022, MIN(27000, MAX(0, _xlfn.IFS(AH298&gt;=(IF(AH298&lt;27000, AH298, 27000))+AH298*0.25, AH298*0.25, TRUE, (AH298-27000))) + IF(AH298&lt;27000, AH298, 27000)),
    "Year not configured"))),
IF(AND(AH304="No Catch-Up", AG305="Defined Benefit 401(k) Contribution (New Maximum Contribution)"),
    IF($AH$280=2024, MIN(69000, MAX(0, _xlfn.IFS(AH298&gt;=(IF(AH298&lt;23000, AH298, 23000))+AH298*0.06, AH298*0.06, TRUE, (AH298-23000))) + IF(AH298&lt;23000, AH298, 23000)),
    IF($AH$280=2023, MIN(66000, MAX(0, _xlfn.IFS(AH298&gt;=(IF(AH298&lt;22500, AH298, 22500))+AH298*0.06, AH298*0.06, TRUE, (AH298-22500))) + IF(AH298&lt;22500, AH298, 22500)),
    IF($AH$280=2022, MIN(63000, MAX(0, _xlfn.IFS(AH298&gt;=(IF(AH298&lt;20500, AH298, 20500))+AH298*0.06, AH298*0.06, TRUE, (AH298-20500))) + IF(AH298&lt;20500, AH298, 20500)),
    "Year not configured"))),
IF(AND(AH304="Yes Catch-Up", AG305="Defined Benefit 401(k) Contribution (New Maximum Contribution)"),
    IF($AH$280=2024, MIN(76500, MAX(0, _xlfn.IFS(AH298&gt;=(IF(AH298&lt;30500, AH298, 30500))+AH298*0.06, AH298*0.06, TRUE, (AH298-30500))) + IF(AH298&lt;30500, AH298, 30500)),
    IF($AH$280=2023, MIN(73500, MAX(0, _xlfn.IFS(AH298&gt;=(IF(AH298&lt;30000, AH298, 30000))+AH298*0.06, AH298*0.06, TRUE, (AH298-30000))) + IF(AH298&lt;30000, AH298, 30000)),
    IF($AH$280=2022, MIN(69500, MAX(0, _xlfn.IFS(AH298&gt;=(IF(AH298&lt;27000, AH298, 27000))+AH298*0.06, AH298*0.06, TRUE, (AH298-27000))) + IF(AH298&lt;27000, AH298, 27000)),
    "Year not configured"))),
"Configuration not defined"))))))</f>
        <v>0</v>
      </c>
    </row>
    <row r="306" spans="1:34" x14ac:dyDescent="0.25">
      <c r="A306" s="261" t="s">
        <v>455</v>
      </c>
      <c r="B306" s="160">
        <f t="shared" ref="B306:H306" si="891">IF(OR(ISBLANK(B37), B37 &lt;= 0, AND(B38 &lt; 0, B37 + B38 &lt; 0)), 0, IF(B38 &lt; 0, MIN(B37, B37 + B38), B37))</f>
        <v>0</v>
      </c>
      <c r="C306" s="160">
        <f t="shared" si="891"/>
        <v>0</v>
      </c>
      <c r="D306" s="160">
        <f t="shared" si="891"/>
        <v>0</v>
      </c>
      <c r="E306" s="160">
        <f t="shared" si="891"/>
        <v>0</v>
      </c>
      <c r="F306" s="160">
        <f t="shared" si="891"/>
        <v>0</v>
      </c>
      <c r="G306" s="160">
        <f t="shared" si="891"/>
        <v>0</v>
      </c>
      <c r="H306" s="160">
        <f t="shared" si="891"/>
        <v>0</v>
      </c>
      <c r="I306" s="58">
        <f>IF(OR(ISBLANK(I37), I37 &lt;= 0, AND(I38 &lt; 0, I37 + I38 &lt; 0)), 0, IF(I38 &lt; 0, MIN(I37, I37 + I38), I37))</f>
        <v>0</v>
      </c>
      <c r="J306" s="58">
        <f>IF(OR(ISBLANK(J37), J37 &lt;= 0, AND(J38 &lt; 0, J37 + J38 &lt; 0)), 0, IF(J38 &lt; 0, MIN(J37, J37 + J38), J37))</f>
        <v>0</v>
      </c>
      <c r="K306" s="58">
        <f>IF(OR(ISBLANK($AH$282), $AH$282 &lt;= 0, AND($AH$283 &lt; 0, $AH$282 + $AH$283 &lt; 0)), 0, IF($AH$283 &lt; 0, MIN($AH$282, $AH$282 + $AH$283), $AH$282))</f>
        <v>0</v>
      </c>
      <c r="L306" s="58">
        <f>IF(OR(ISBLANK($AH$282), $AH$282 &lt;= 0, AND($AH$283 &lt; 0, $AH$282 + $AH$283 &lt; 0)), 0, IF($AH$283 &lt; 0, MIN($AH$282, $AH$282 + $AH$283), $AH$282))</f>
        <v>0</v>
      </c>
      <c r="M306" s="58">
        <f>IF(OR(ISBLANK($AH$282), $AH$282 &lt;= 0, AND($AH$283 &lt; 0, $AH$282 + $AH$283 &lt; 0)), 0, IF($AH$283 &lt; 0, MIN($AH$282, $AH$282 + $AH$283), $AH$282))</f>
        <v>0</v>
      </c>
      <c r="AC306" s="215"/>
      <c r="AD306" s="215"/>
      <c r="AE306" s="215"/>
      <c r="AF306" s="191" t="s">
        <v>339</v>
      </c>
      <c r="AG306" s="191" t="s">
        <v>354</v>
      </c>
      <c r="AH306" s="193">
        <f>IF(AND(AH304="No Catch-Up", AG306="Business contribution"),
    IF($AH$280=2024, MIN(69000, MAX(0, _xlfn.IFS(AH298&gt;=(IF(AH298&lt;23000, AH298, 23000))+AH298*0.25, AH298*0.25, TRUE, (AH298-23000))) + IF(AH298&lt;23000, AH298, 23000)),
    IF($AH$280=2023, MIN(66000, MAX(0, _xlfn.IFS(AH298&gt;=(IF(AH298&lt;22500, AH298, 22500))+AH298*0.25, AH298*0.25, TRUE, (AH298-22500))) + IF(AH298&lt;22500, AH298, 22500)),
    IF($AH$280=2022, MIN(63000, MAX(0, _xlfn.IFS(AH298&gt;=(IF(AH298&lt;20500, AH298, 20500))+AH298*0.25, AH298*0.25, TRUE, (AH298-20500))) + IF(AH298&lt;20500, AH298, 20500)),
    "Year not configured"))),
IF(AND(AH304="Yes Catch-Up", AG306="Business contribution"),
    IF($AH$280=2024, MIN(76500, MAX(0, _xlfn.IFS(AH298&gt;=(IF(AH298&lt;30500, AH298, 30500))+AH298*0.25, AH298*0.25, TRUE, (AH298-30500))) + IF(AH298&lt;30500, AH298, 30500)),
    IF($AH$280=2023, MIN(73500, MAX(0, _xlfn.IFS(AH298&gt;=(IF(AH298&lt;30000, AH298, 30000))+AH298*0.25, AH298*0.25, TRUE, (AH298-30000))) + IF(AH298&lt;30000, AH298, 30000)),
    IF($AH$280=2022, MIN(69500, MAX(0, _xlfn.IFS(AH298&gt;=(IF(AH298&lt;27000, AH298, 27000))+AH298*0.25, AH298*0.25, TRUE, (AH298-27000))) + IF(AH298&lt;27000, AH298, 27000)),
    "Year not configured"))),
IF(AND(AH304="No Catch-Up", AG306="Total W-2 401(k) Possible Contribution"),
    IF($AH$280=2024, MIN(23000, MAX(0, _xlfn.IFS(AH298&gt;=(IF(AH298&lt;23000, AH298, 23000))+AH298*0.25, AH298*0.25, TRUE, (AH298-23000))) + IF(AH298&lt;23000, AH298, 23000)),
    IF($AH$280=2023, MIN(22500, MAX(0, _xlfn.IFS(AH298&gt;=(IF(AH298&lt;22500, AH298, 22500))+AH298*0.25, AH298*0.25, TRUE, (AH298-22500))) + IF(AH298&lt;22500, AH298, 22500)),
    IF($AH$280=2022, MIN(20500, MAX(0, _xlfn.IFS(AH298&gt;=(IF(AH298&lt;20500, AH298, 20500))+AH298*0.25, AH298*0.25, TRUE, (AH298-20500))) + IF(AH298&lt;20500, AH298, 20500)),
    "Year not configured"))),
IF(AND(AH304="Yes Catch-Up", AG306="Total W-2 401(k) Possible Contribution"),
    IF($AH$280=2024, MIN(30500, MAX(0, _xlfn.IFS(AH298&gt;=(IF(AH298&lt;30500, AH298, 30500))+AH298*0.25, AH298*0.25, TRUE, (AH298-30500))) + IF(AH298&lt;30500, AH298, 30500)),
    IF($AH$280=2023, MIN(30000, MAX(0, _xlfn.IFS(AH298&gt;=(IF(AH298&lt;30000, AH298, 30000))+AH298*0.25, AH298*0.25, TRUE, (AH298-30000))) + IF(AH298&lt;30000, AH298, 30000)),
    IF($AH$280=2022, MIN(27000, MAX(0, _xlfn.IFS(AH298&gt;=(IF(AH298&lt;27000, AH298, 27000))+AH298*0.25, AH298*0.25, TRUE, (AH298-27000))) + IF(AH298&lt;27000, AH298, 27000)),
    "Year not configured"))),
IF(AND(AH304="No Catch-Up", AG306="Defined Benefit 401(k) Contribution (New Maximum Contribution)"),
    IF($AH$280=2024, MIN(69000, MAX(0, _xlfn.IFS(AH298&gt;=(IF(AH298&lt;23000, AH298, 23000))+AH298*0.06, AH298*0.06, TRUE, (AH298-23000))) + IF(AH298&lt;23000, AH298, 23000)),
    IF($AH$280=2023, MIN(66000, MAX(0, _xlfn.IFS(AH298&gt;=(IF(AH298&lt;22500, AH298, 22500))+AH298*0.06, AH298*0.06, TRUE, (AH298-22500))) + IF(AH298&lt;22500, AH298, 22500)),
    IF($AH$280=2022, MIN(63000, MAX(0, _xlfn.IFS(AH298&gt;=(IF(AH298&lt;20500, AH298, 20500))+AH298*0.06, AH298*0.06, TRUE, (AH298-20500))) + IF(AH298&lt;20500, AH298, 20500)),
    "Year not configured"))),
IF(AND(AH304="Yes Catch-Up", AG306="Defined Benefit 401(k) Contribution (New Maximum Contribution)"),
    IF($AH$280=2024, MIN(76500, MAX(0, _xlfn.IFS(AH298&gt;=(IF(AH298&lt;30500, AH298, 30500))+AH298*0.06, AH298*0.06, TRUE, (AH298-30500))) + IF(AH298&lt;30500, AH298, 30500)),
    IF($AH$280=2023, MIN(73500, MAX(0, _xlfn.IFS(AH298&gt;=(IF(AH298&lt;30000, AH298, 30000))+AH298*0.06, AH298*0.06, TRUE, (AH298-30000))) + IF(AH298&lt;30000, AH298, 30000)),
    IF($AH$280=2022, MIN(69500, MAX(0, _xlfn.IFS(AH298&gt;=(IF(AH298&lt;27000, AH298, 27000))+AH298*0.06, AH298*0.06, TRUE, (AH298-27000))) + IF(AH298&lt;27000, AH298, 27000)),
    "Year not configured"))),
"Configuration not defined"))))))</f>
        <v>0</v>
      </c>
    </row>
    <row r="307" spans="1:34" x14ac:dyDescent="0.25">
      <c r="A307" t="s">
        <v>456</v>
      </c>
      <c r="B307" s="160">
        <f>SUM(B305:B306)</f>
        <v>0</v>
      </c>
      <c r="C307" s="160">
        <f t="shared" ref="C307:I307" si="892">SUM(C305:C306)</f>
        <v>0</v>
      </c>
      <c r="D307" s="160">
        <f t="shared" si="892"/>
        <v>0</v>
      </c>
      <c r="E307" s="160">
        <f t="shared" si="892"/>
        <v>0</v>
      </c>
      <c r="F307" s="160">
        <f t="shared" si="892"/>
        <v>0</v>
      </c>
      <c r="G307" s="160">
        <f t="shared" si="892"/>
        <v>0</v>
      </c>
      <c r="H307" s="160">
        <f t="shared" si="892"/>
        <v>0</v>
      </c>
      <c r="I307" s="58">
        <f t="shared" si="892"/>
        <v>0</v>
      </c>
      <c r="J307" s="58">
        <f t="shared" ref="J307" si="893">SUM(J305:J306)</f>
        <v>0</v>
      </c>
      <c r="K307" s="58">
        <f>SUM(K305:K306)</f>
        <v>0</v>
      </c>
      <c r="L307" s="58">
        <f t="shared" ref="L307" si="894">SUM(L305:L306)</f>
        <v>0</v>
      </c>
      <c r="M307" s="58">
        <f>SUM(M305:M306)</f>
        <v>0</v>
      </c>
      <c r="AC307" s="215"/>
      <c r="AD307" s="215"/>
      <c r="AE307" s="215"/>
      <c r="AF307" s="191" t="s">
        <v>339</v>
      </c>
      <c r="AG307" s="226" t="s">
        <v>398</v>
      </c>
      <c r="AH307" s="193">
        <f>IF(AND(AH304="No Catch-Up", AG307="Business contribution"),
    IF($AH$280=2024, MIN(69000, MAX(0, _xlfn.IFS(AH298&gt;=(IF(AH298&lt;23000, AH298, 23000))+AH298*0.25, AH298*0.25, TRUE, (AH298-23000))) + IF(AH298&lt;23000, AH298, 23000)),
    IF($AH$280=2023, MIN(66000, MAX(0, _xlfn.IFS(AH298&gt;=(IF(AH298&lt;22500, AH298, 22500))+AH298*0.25, AH298*0.25, TRUE, (AH298-22500))) + IF(AH298&lt;22500, AH298, 22500)),
    IF($AH$280=2022, MIN(63000, MAX(0, _xlfn.IFS(AH298&gt;=(IF(AH298&lt;20500, AH298, 20500))+AH298*0.25, AH298*0.25, TRUE, (AH298-20500))) + IF(AH298&lt;20500, AH298, 20500)),
    "Year not configured"))),
IF(AND(AH304="Yes Catch-Up", AG307="Business contribution"),
    IF($AH$280=2024, MIN(76500, MAX(0, _xlfn.IFS(AH298&gt;=(IF(AH298&lt;30500, AH298, 30500))+AH298*0.25, AH298*0.25, TRUE, (AH298-30500))) + IF(AH298&lt;30500, AH298, 30500)),
    IF($AH$280=2023, MIN(73500, MAX(0, _xlfn.IFS(AH298&gt;=(IF(AH298&lt;30000, AH298, 30000))+AH298*0.25, AH298*0.25, TRUE, (AH298-30000))) + IF(AH298&lt;30000, AH298, 30000)),
    IF($AH$280=2022, MIN(69500, MAX(0, _xlfn.IFS(AH298&gt;=(IF(AH298&lt;27000, AH298, 27000))+AH298*0.25, AH298*0.25, TRUE, (AH298-27000))) + IF(AH298&lt;27000, AH298, 27000)),
    "Year not configured"))),
IF(AND(AH304="No Catch-Up", AG307="No business contribution"),
    IF($AH$280=2024, MIN(23000, MAX(0, _xlfn.IFS(AH298&gt;=(IF(AH298&lt;23000, AH298, 23000))+AH298*0.25, AH298*0.25, TRUE, (AH298-23000))) + IF(AH298&lt;23000, AH298, 23000)),
    IF($AH$280=2023, MIN(22500, MAX(0, _xlfn.IFS(AH298&gt;=(IF(AH298&lt;22500, AH298, 22500))+AH298*0.25, AH298*0.25, TRUE, (AH298-22500))) + IF(AH298&lt;22500, AH298, 22500)),
    IF($AH$280=2022, MIN(20500, MAX(0, _xlfn.IFS(AH298&gt;=(IF(AH298&lt;20500, AH298, 20500))+AH298*0.25, AH298*0.25, TRUE, (AH298-20500))) + IF(AH298&lt;20500, AH298, 20500)),
    "Year not configured"))),
IF(AND(AH304="Yes Catch-Up", AG307="No business contribution"),
    IF($AH$280=2024, MIN(30500, MAX(0, _xlfn.IFS(AH298&gt;=(IF(AH298&lt;30500, AH298, 30500))+AH298*0.25, AH298*0.25, TRUE, (AH298-30500))) + IF(AH298&lt;30500, AH298, 30500)),
    IF($AH$280=2023, MIN(30000, MAX(0, _xlfn.IFS(AH298&gt;=(IF(AH298&lt;30000, AH298, 30000))+AH298*0.25, AH298*0.25, TRUE, (AH298-30000))) + IF(AH298&lt;30000, AH298, 30000)),
    IF($AH$280=2022, MIN(27000, MAX(0, _xlfn.IFS(AH298&gt;=(IF(AH298&lt;27000, AH298, 27000))+AH298*0.25, AH298*0.25, TRUE, (AH298-27000))) + IF(AH298&lt;27000, AH298, 27000)),
    "Year not configured"))),
IF(AND(AH304="No Catch-Up", AG307="Defined Benefit 401(k) Contribution (New Maximum Contribution)"),
    IF($AH$280=2024, MIN(69000, MAX(0, _xlfn.IFS(AH298&gt;=(IF(AH298&lt;23000, AH298, 23000))+AH298*0.06, AH298*0.06, TRUE, (AH298-23000))) + IF(AH298&lt;23000, AH298, 23000)),
    IF($AH$280=2023, MIN(66000, MAX(0, _xlfn.IFS(AH298&gt;=(IF(AH298&lt;22500, AH298, 22500))+AH298*0.06, AH298*0.06, TRUE, (AH298-22500))) + IF(AH298&lt;22500, AH298, 22500)),
    IF($AH$280=2022, MIN(63000, MAX(0, _xlfn.IFS(AH298&gt;=(IF(AH298&lt;20500, AH298, 20500))+AH298*0.06, AH298*0.06, TRUE, (AH298-20500))) + IF(AH298&lt;20500, AH298, 20500)),
    "Year not configured"))),
IF(AND(AH304="Yes Catch-Up", AG307="Defined Benefit 401(k) Contribution (New Maximum Contribution)"),
    IF($AH$280=2024, MIN(76500, MAX(0, _xlfn.IFS(AH298&gt;=(IF(AH298&lt;30500, AH298, 30500))+AH298*0.06, AH298*0.06, TRUE, (AH298-30500))) + IF(AH298&lt;30500, AH298, 30500)),
    IF($AH$280=2023, MIN(73500, MAX(0, _xlfn.IFS(AH298&gt;=(IF(AH298&lt;30000, AH298, 30000))+AH298*0.06, AH298*0.06, TRUE, (AH298-30000))) + IF(AH298&lt;30000, AH298, 30000)),
    IF($AH$280=2022, MIN(69500, MAX(0, _xlfn.IFS(AH298&gt;=(IF(AH298&lt;27000, AH298, 27000))+AH298*0.06, AH298*0.06, TRUE, (AH298-27000))) + IF(AH298&lt;27000, AH298, 27000)),
    "Year not configured"))),
"Configuration not defined"))))))</f>
        <v>0</v>
      </c>
    </row>
    <row r="308" spans="1:34" x14ac:dyDescent="0.25">
      <c r="A308" t="s">
        <v>339</v>
      </c>
      <c r="B308" s="160">
        <f>B301+B302</f>
        <v>0</v>
      </c>
      <c r="C308" s="160">
        <f t="shared" ref="C308:I308" si="895">C301+C302</f>
        <v>0</v>
      </c>
      <c r="D308" s="160">
        <f t="shared" si="895"/>
        <v>0</v>
      </c>
      <c r="E308" s="160">
        <f t="shared" si="895"/>
        <v>0</v>
      </c>
      <c r="F308" s="160">
        <f t="shared" si="895"/>
        <v>0</v>
      </c>
      <c r="G308" s="160">
        <f t="shared" si="895"/>
        <v>0</v>
      </c>
      <c r="H308" s="160">
        <f t="shared" si="895"/>
        <v>0</v>
      </c>
      <c r="I308" s="58">
        <f t="shared" si="895"/>
        <v>0</v>
      </c>
      <c r="J308" s="58">
        <f t="shared" ref="J308" si="896">J301+J302</f>
        <v>0</v>
      </c>
      <c r="K308" s="58">
        <f t="shared" ref="K308" si="897">K301+K302</f>
        <v>0</v>
      </c>
      <c r="L308" s="58">
        <f t="shared" ref="L308" si="898">L301+L302</f>
        <v>0</v>
      </c>
      <c r="M308" s="58">
        <f>M301+M302</f>
        <v>0</v>
      </c>
      <c r="AC308" s="215"/>
      <c r="AD308" s="215"/>
      <c r="AE308" s="215"/>
      <c r="AF308" s="221"/>
      <c r="AG308" s="221" t="s">
        <v>399</v>
      </c>
      <c r="AH308" s="221"/>
    </row>
    <row r="309" spans="1:34" x14ac:dyDescent="0.25">
      <c r="A309" t="s">
        <v>459</v>
      </c>
      <c r="B309" s="160">
        <f>MIN(B306, B308)</f>
        <v>0</v>
      </c>
      <c r="C309" s="160">
        <f t="shared" ref="C309:I309" si="899">MIN(C306, C308)</f>
        <v>0</v>
      </c>
      <c r="D309" s="160">
        <f t="shared" si="899"/>
        <v>0</v>
      </c>
      <c r="E309" s="160">
        <f t="shared" si="899"/>
        <v>0</v>
      </c>
      <c r="F309" s="160">
        <f t="shared" si="899"/>
        <v>0</v>
      </c>
      <c r="G309" s="160">
        <f t="shared" si="899"/>
        <v>0</v>
      </c>
      <c r="H309" s="160">
        <f t="shared" si="899"/>
        <v>0</v>
      </c>
      <c r="I309" s="58">
        <f t="shared" si="899"/>
        <v>0</v>
      </c>
      <c r="J309" s="58">
        <f t="shared" ref="J309" si="900">MIN(J306, J308)</f>
        <v>0</v>
      </c>
      <c r="K309" s="58">
        <f t="shared" ref="K309" si="901">MIN(K306, K308)</f>
        <v>0</v>
      </c>
      <c r="L309" s="58">
        <f t="shared" ref="L309" si="902">MIN(L306, L308)</f>
        <v>0</v>
      </c>
      <c r="M309" s="58">
        <f>MIN(M306, M308)</f>
        <v>0</v>
      </c>
      <c r="AC309" s="215"/>
      <c r="AD309" s="215"/>
      <c r="AE309" s="215"/>
      <c r="AF309" s="194" t="s">
        <v>345</v>
      </c>
      <c r="AG309" s="194" t="s">
        <v>390</v>
      </c>
      <c r="AH309" s="222">
        <v>0</v>
      </c>
    </row>
    <row r="310" spans="1:34" x14ac:dyDescent="0.25">
      <c r="A310" t="s">
        <v>339</v>
      </c>
      <c r="B310" s="160">
        <f>B307-B309</f>
        <v>0</v>
      </c>
      <c r="C310" s="160">
        <f t="shared" ref="C310:I310" si="903">C307-C309</f>
        <v>0</v>
      </c>
      <c r="D310" s="160">
        <f t="shared" si="903"/>
        <v>0</v>
      </c>
      <c r="E310" s="160">
        <f t="shared" si="903"/>
        <v>0</v>
      </c>
      <c r="F310" s="160">
        <f t="shared" si="903"/>
        <v>0</v>
      </c>
      <c r="G310" s="160">
        <f t="shared" si="903"/>
        <v>0</v>
      </c>
      <c r="H310" s="160">
        <f t="shared" si="903"/>
        <v>0</v>
      </c>
      <c r="I310" s="58">
        <f t="shared" si="903"/>
        <v>0</v>
      </c>
      <c r="J310" s="58">
        <f t="shared" ref="J310" si="904">J307-J309</f>
        <v>0</v>
      </c>
      <c r="K310" s="58">
        <f t="shared" ref="K310" si="905">K307-K309</f>
        <v>0</v>
      </c>
      <c r="L310" s="58">
        <f t="shared" ref="L310" si="906">L307-L309</f>
        <v>0</v>
      </c>
      <c r="M310" s="58">
        <f>M307-M309</f>
        <v>0</v>
      </c>
      <c r="AC310" s="215"/>
      <c r="AD310" s="215"/>
      <c r="AE310" s="215"/>
      <c r="AF310" s="185" t="s">
        <v>345</v>
      </c>
      <c r="AG310" s="185" t="s">
        <v>400</v>
      </c>
      <c r="AH310" s="187">
        <v>0</v>
      </c>
    </row>
    <row r="311" spans="1:34" x14ac:dyDescent="0.25">
      <c r="A311" t="s">
        <v>457</v>
      </c>
      <c r="B311" s="160">
        <f>MAX(0, B304 - B307)</f>
        <v>0</v>
      </c>
      <c r="C311" s="160">
        <f t="shared" ref="C311:I311" si="907">MAX(0, C304 - C307)</f>
        <v>0</v>
      </c>
      <c r="D311" s="160">
        <f t="shared" si="907"/>
        <v>0</v>
      </c>
      <c r="E311" s="160">
        <f t="shared" si="907"/>
        <v>0</v>
      </c>
      <c r="F311" s="160">
        <f t="shared" si="907"/>
        <v>0</v>
      </c>
      <c r="G311" s="160">
        <f t="shared" si="907"/>
        <v>0</v>
      </c>
      <c r="H311" s="160">
        <f t="shared" si="907"/>
        <v>0</v>
      </c>
      <c r="I311" s="58">
        <f t="shared" si="907"/>
        <v>0</v>
      </c>
      <c r="J311" s="58" t="e">
        <f t="shared" ref="J311" si="908">MAX(0, J304 - J307)</f>
        <v>#VALUE!</v>
      </c>
      <c r="K311" s="58">
        <f t="shared" ref="K311" si="909">MAX(0, K304 - K307)</f>
        <v>0</v>
      </c>
      <c r="L311" s="58">
        <f t="shared" ref="L311" si="910">MAX(0, L304 - L307)</f>
        <v>0</v>
      </c>
      <c r="M311" s="58">
        <f>MAX(0, M304 - M307)</f>
        <v>0</v>
      </c>
      <c r="AC311" s="215"/>
      <c r="AD311" s="215"/>
      <c r="AE311" s="215"/>
      <c r="AF311" s="185" t="s">
        <v>345</v>
      </c>
      <c r="AG311" s="185" t="s">
        <v>392</v>
      </c>
      <c r="AH311" s="187">
        <v>0</v>
      </c>
    </row>
    <row r="312" spans="1:34" x14ac:dyDescent="0.25">
      <c r="A312" t="s">
        <v>458</v>
      </c>
      <c r="B312" s="160" t="str">
        <f t="shared" ref="B312:I312" si="911">IF(B1=2022,
  IF(B2="MFJ",
    83350,
  IF(OR(B2="Single", B2="MFS"),
    41675,
  IF(B2="HOH",
    55800,
  "Invalid Filing Status"))),
IF(B1=2023,
  IF(B2="MFJ",
    89250,
  IF(B2="Single",
    44625,
  IF(B2="MFS",
    44625,
  IF(B2="HOH",
    59750,
  "Invalid Filing Status")))),
IF(B1=2024,
  IF(B2="MFJ",
    94050,
  IF(B2="Single",
    47025,
  IF(B2="MFS",
    47025,
  IF(B2="HOH",
    63000,
  "Invalid Filing Status")))),
"Invalid Year")))</f>
        <v>Invalid Year</v>
      </c>
      <c r="C312" s="160" t="str">
        <f t="shared" si="911"/>
        <v>Invalid Year</v>
      </c>
      <c r="D312" s="160" t="str">
        <f t="shared" si="911"/>
        <v>Invalid Year</v>
      </c>
      <c r="E312" s="160" t="str">
        <f t="shared" si="911"/>
        <v>Invalid Year</v>
      </c>
      <c r="F312" s="160" t="str">
        <f t="shared" si="911"/>
        <v>Invalid Year</v>
      </c>
      <c r="G312" s="160" t="str">
        <f t="shared" si="911"/>
        <v>Invalid Year</v>
      </c>
      <c r="H312" s="160" t="str">
        <f t="shared" si="911"/>
        <v>Invalid Year</v>
      </c>
      <c r="I312" s="58" t="str">
        <f t="shared" si="911"/>
        <v>Invalid Year</v>
      </c>
      <c r="J312" s="58" t="str">
        <f t="shared" ref="J312" si="912">IF(J1=2022,
  IF(J2="MFJ",
    83350,
  IF(OR(J2="Single", J2="MFS"),
    41675,
  IF(J2="HOH",
    55800,
  "Invalid Filing Status"))),
IF(J1=2023,
  IF(J2="MFJ",
    89250,
  IF(J2="Single",
    44625,
  IF(J2="MFS",
    44625,
  IF(J2="HOH",
    59750,
  "Invalid Filing Status")))),
IF(J1=2024,
  IF(J2="MFJ",
    94050,
  IF(J2="Single",
    47025,
  IF(J2="MFS",
    47025,
  IF(J2="HOH",
    63000,
  "Invalid Filing Status")))),
"Invalid Year")))</f>
        <v>Invalid Year</v>
      </c>
      <c r="K312" s="58">
        <f>IF($AH$280=2022,
  IF($AH$281="MFJ",
    83350,
  IF(OR($AH$281="Single", $AH$281="MFS"),
    41675,
  IF($AH$281="HOH",
    55800,
  "Invalid Filing Status"))),
IF($AH$280=2023,
  IF($AH$281="MFJ",
    89250,
  IF($AH$281="Single",
    44625,
  IF($AH$281="MFS",
    44625,
  IF($AH$281="HOH",
    59750,
  "Invalid Filing Status")))),
IF($AH$280=2024,
  IF($AH$281="MFJ",
    94050,
  IF($AH$281="Single",
    47025,
  IF($AH$281="MFS",
    47025,
  IF($AH$281="HOH",
    63000,
  "Invalid Filing Status")))),
"Invalid Year")))</f>
        <v>63000</v>
      </c>
      <c r="L312" s="58">
        <f t="shared" ref="L312:M312" si="913">IF($AH$280=2022,
  IF($AH$281="MFJ",
    83350,
  IF(OR($AH$281="Single", $AH$281="MFS"),
    41675,
  IF($AH$281="HOH",
    55800,
  "Invalid Filing Status"))),
IF($AH$280=2023,
  IF($AH$281="MFJ",
    89250,
  IF($AH$281="Single",
    44625,
  IF($AH$281="MFS",
    44625,
  IF($AH$281="HOH",
    59750,
  "Invalid Filing Status")))),
IF($AH$280=2024,
  IF($AH$281="MFJ",
    94050,
  IF($AH$281="Single",
    47025,
  IF($AH$281="MFS",
    47025,
  IF($AH$281="HOH",
    63000,
  "Invalid Filing Status")))),
"Invalid Year")))</f>
        <v>63000</v>
      </c>
      <c r="M312" s="58">
        <f t="shared" si="913"/>
        <v>63000</v>
      </c>
      <c r="AC312" s="215"/>
      <c r="AD312" s="215"/>
      <c r="AE312" s="215"/>
      <c r="AF312" s="185" t="s">
        <v>345</v>
      </c>
      <c r="AG312" s="185" t="s">
        <v>499</v>
      </c>
      <c r="AH312" s="187">
        <v>0</v>
      </c>
    </row>
    <row r="313" spans="1:34" x14ac:dyDescent="0.25">
      <c r="A313" t="s">
        <v>459</v>
      </c>
      <c r="B313" s="160">
        <f>MIN(B304, B312)</f>
        <v>0</v>
      </c>
      <c r="C313" s="160">
        <f t="shared" ref="C313:I313" si="914">MIN(C304, C312)</f>
        <v>0</v>
      </c>
      <c r="D313" s="160">
        <f t="shared" si="914"/>
        <v>0</v>
      </c>
      <c r="E313" s="160">
        <f t="shared" si="914"/>
        <v>0</v>
      </c>
      <c r="F313" s="160">
        <f t="shared" si="914"/>
        <v>0</v>
      </c>
      <c r="G313" s="160">
        <f t="shared" si="914"/>
        <v>0</v>
      </c>
      <c r="H313" s="160">
        <f t="shared" si="914"/>
        <v>0</v>
      </c>
      <c r="I313" s="58">
        <f t="shared" si="914"/>
        <v>0</v>
      </c>
      <c r="J313" s="58" t="e">
        <f t="shared" ref="J313" si="915">MIN(J304, J312)</f>
        <v>#VALUE!</v>
      </c>
      <c r="K313" s="58">
        <f>MIN(K304, K312)</f>
        <v>-21900</v>
      </c>
      <c r="L313" s="58">
        <f t="shared" ref="L313" si="916">MIN(L304, L312)</f>
        <v>-21900</v>
      </c>
      <c r="M313" s="58">
        <f>MIN(M304, M312)</f>
        <v>-21900</v>
      </c>
      <c r="AC313" s="215"/>
      <c r="AD313" s="215"/>
      <c r="AE313" s="215"/>
      <c r="AF313" s="185" t="s">
        <v>345</v>
      </c>
      <c r="AG313" s="185" t="s">
        <v>393</v>
      </c>
      <c r="AH313" s="187">
        <v>0</v>
      </c>
    </row>
    <row r="314" spans="1:34" x14ac:dyDescent="0.25">
      <c r="A314" t="s">
        <v>460</v>
      </c>
      <c r="B314" s="160">
        <f t="shared" ref="B314:I314" si="917">MIN(B311, B313)</f>
        <v>0</v>
      </c>
      <c r="C314" s="160">
        <f t="shared" si="917"/>
        <v>0</v>
      </c>
      <c r="D314" s="160">
        <f t="shared" si="917"/>
        <v>0</v>
      </c>
      <c r="E314" s="160">
        <f t="shared" si="917"/>
        <v>0</v>
      </c>
      <c r="F314" s="160">
        <f t="shared" si="917"/>
        <v>0</v>
      </c>
      <c r="G314" s="160">
        <f t="shared" si="917"/>
        <v>0</v>
      </c>
      <c r="H314" s="160">
        <f t="shared" si="917"/>
        <v>0</v>
      </c>
      <c r="I314" s="58">
        <f t="shared" si="917"/>
        <v>0</v>
      </c>
      <c r="J314" s="58" t="e">
        <f t="shared" ref="J314" si="918">MIN(J311, J313)</f>
        <v>#VALUE!</v>
      </c>
      <c r="K314" s="58">
        <f>MIN(K311, K313)</f>
        <v>-21900</v>
      </c>
      <c r="L314" s="58">
        <f t="shared" ref="L314" si="919">MIN(L311, L313)</f>
        <v>-21900</v>
      </c>
      <c r="M314" s="58">
        <f>MIN(M311, M313)</f>
        <v>-21900</v>
      </c>
      <c r="AC314" s="215"/>
      <c r="AD314" s="215"/>
      <c r="AE314" s="227"/>
      <c r="AF314" s="184" t="s">
        <v>345</v>
      </c>
      <c r="AG314" s="184" t="s">
        <v>503</v>
      </c>
      <c r="AH314" s="188">
        <v>0</v>
      </c>
    </row>
    <row r="315" spans="1:34" x14ac:dyDescent="0.25">
      <c r="A315" t="s">
        <v>461</v>
      </c>
      <c r="B315" s="160">
        <f>-B314+B313</f>
        <v>0</v>
      </c>
      <c r="C315" s="160">
        <f t="shared" ref="C315:I315" si="920">-C314+C313</f>
        <v>0</v>
      </c>
      <c r="D315" s="160">
        <f t="shared" si="920"/>
        <v>0</v>
      </c>
      <c r="E315" s="160">
        <f t="shared" si="920"/>
        <v>0</v>
      </c>
      <c r="F315" s="160">
        <f t="shared" si="920"/>
        <v>0</v>
      </c>
      <c r="G315" s="160">
        <f t="shared" si="920"/>
        <v>0</v>
      </c>
      <c r="H315" s="160">
        <f t="shared" si="920"/>
        <v>0</v>
      </c>
      <c r="I315" s="58">
        <f t="shared" si="920"/>
        <v>0</v>
      </c>
      <c r="J315" s="58" t="e">
        <f t="shared" ref="J315" si="921">-J314+J313</f>
        <v>#VALUE!</v>
      </c>
      <c r="K315" s="58">
        <f>-K314+K313</f>
        <v>0</v>
      </c>
      <c r="L315" s="58">
        <f t="shared" ref="L315" si="922">-L314+L313</f>
        <v>0</v>
      </c>
      <c r="M315" s="58">
        <f>-M314+M313</f>
        <v>0</v>
      </c>
      <c r="AC315" s="215"/>
      <c r="AD315" s="215"/>
      <c r="AE315" s="227"/>
      <c r="AF315" s="184" t="s">
        <v>359</v>
      </c>
      <c r="AG315" s="223" t="s">
        <v>394</v>
      </c>
      <c r="AH315" s="206">
        <v>0</v>
      </c>
    </row>
    <row r="316" spans="1:34" x14ac:dyDescent="0.25">
      <c r="A316" t="s">
        <v>459</v>
      </c>
      <c r="B316" s="160">
        <f>MIN(B304, B310)</f>
        <v>0</v>
      </c>
      <c r="C316" s="160">
        <f t="shared" ref="C316:I316" si="923">MIN(C304, C310)</f>
        <v>0</v>
      </c>
      <c r="D316" s="160">
        <f t="shared" si="923"/>
        <v>0</v>
      </c>
      <c r="E316" s="160">
        <f t="shared" si="923"/>
        <v>0</v>
      </c>
      <c r="F316" s="160">
        <f t="shared" si="923"/>
        <v>0</v>
      </c>
      <c r="G316" s="160">
        <f t="shared" si="923"/>
        <v>0</v>
      </c>
      <c r="H316" s="160">
        <f t="shared" si="923"/>
        <v>0</v>
      </c>
      <c r="I316" s="58">
        <f t="shared" si="923"/>
        <v>0</v>
      </c>
      <c r="J316" s="58" t="e">
        <f t="shared" ref="J316" si="924">MIN(J304, J310)</f>
        <v>#VALUE!</v>
      </c>
      <c r="K316" s="58">
        <f>MIN(K304, K310)</f>
        <v>-21900</v>
      </c>
      <c r="L316" s="58">
        <f t="shared" ref="L316" si="925">MIN(L304, L310)</f>
        <v>-21900</v>
      </c>
      <c r="M316" s="58">
        <f>MIN(M304, M310)</f>
        <v>-21900</v>
      </c>
      <c r="AC316" s="215"/>
      <c r="AD316" s="215"/>
      <c r="AE316" s="228"/>
      <c r="AF316" s="184" t="s">
        <v>345</v>
      </c>
      <c r="AG316" s="223" t="s">
        <v>401</v>
      </c>
      <c r="AH316" s="224" t="s">
        <v>68</v>
      </c>
    </row>
    <row r="317" spans="1:34" x14ac:dyDescent="0.25">
      <c r="A317" t="s">
        <v>462</v>
      </c>
      <c r="B317" s="160">
        <f>B315</f>
        <v>0</v>
      </c>
      <c r="C317" s="160">
        <f t="shared" ref="C317:I317" si="926">C315</f>
        <v>0</v>
      </c>
      <c r="D317" s="160">
        <f t="shared" si="926"/>
        <v>0</v>
      </c>
      <c r="E317" s="160">
        <f t="shared" si="926"/>
        <v>0</v>
      </c>
      <c r="F317" s="160">
        <f t="shared" si="926"/>
        <v>0</v>
      </c>
      <c r="G317" s="160">
        <f t="shared" si="926"/>
        <v>0</v>
      </c>
      <c r="H317" s="160">
        <f t="shared" si="926"/>
        <v>0</v>
      </c>
      <c r="I317" s="58">
        <f t="shared" si="926"/>
        <v>0</v>
      </c>
      <c r="J317" s="58" t="e">
        <f t="shared" ref="J317" si="927">J315</f>
        <v>#VALUE!</v>
      </c>
      <c r="K317" s="58">
        <f>K315</f>
        <v>0</v>
      </c>
      <c r="L317" s="58">
        <f t="shared" ref="L317" si="928">L315</f>
        <v>0</v>
      </c>
      <c r="M317" s="58">
        <f>M315</f>
        <v>0</v>
      </c>
      <c r="AC317" s="215"/>
      <c r="AD317" s="215"/>
      <c r="AE317" s="228"/>
      <c r="AF317" s="200" t="s">
        <v>345</v>
      </c>
      <c r="AG317" s="225" t="s">
        <v>501</v>
      </c>
      <c r="AH317" s="199">
        <v>0</v>
      </c>
    </row>
    <row r="318" spans="1:34" x14ac:dyDescent="0.25">
      <c r="A318" t="s">
        <v>339</v>
      </c>
      <c r="B318" s="160">
        <f t="shared" ref="B318:I318" si="929">B316-B317</f>
        <v>0</v>
      </c>
      <c r="C318" s="160">
        <f t="shared" si="929"/>
        <v>0</v>
      </c>
      <c r="D318" s="160">
        <f t="shared" si="929"/>
        <v>0</v>
      </c>
      <c r="E318" s="160">
        <f t="shared" si="929"/>
        <v>0</v>
      </c>
      <c r="F318" s="160">
        <f t="shared" si="929"/>
        <v>0</v>
      </c>
      <c r="G318" s="160">
        <f t="shared" si="929"/>
        <v>0</v>
      </c>
      <c r="H318" s="160">
        <f t="shared" si="929"/>
        <v>0</v>
      </c>
      <c r="I318" s="58">
        <f t="shared" si="929"/>
        <v>0</v>
      </c>
      <c r="J318" s="58" t="e">
        <f t="shared" ref="J318" si="930">J316-J317</f>
        <v>#VALUE!</v>
      </c>
      <c r="K318" s="58">
        <f>K316-K317</f>
        <v>-21900</v>
      </c>
      <c r="L318" s="58">
        <f t="shared" ref="L318" si="931">L316-L317</f>
        <v>-21900</v>
      </c>
      <c r="M318" s="58">
        <f>M316-M317</f>
        <v>-21900</v>
      </c>
      <c r="AC318" s="215"/>
      <c r="AD318" s="215"/>
      <c r="AE318" s="215"/>
      <c r="AF318" s="191" t="s">
        <v>359</v>
      </c>
      <c r="AG318" s="191" t="s">
        <v>396</v>
      </c>
      <c r="AH318" s="192" t="s">
        <v>323</v>
      </c>
    </row>
    <row r="319" spans="1:34" x14ac:dyDescent="0.25">
      <c r="A319" t="s">
        <v>458</v>
      </c>
      <c r="B319" s="160" t="str">
        <f t="shared" ref="B319:I319" si="932">IF(B1=2022,
  IF(B2="MFJ",
    517200,
  IF(OR(B2="Single", B2="MFS"),
    459750,
  IF(B2="HOH",
    488500,
  "Invalid Filing Status"))),
IF(B1=2023,
  IF(B2="MFJ",
    553850,
  IF(B2="Single",
    492300,
  IF(B2="MFS",
    276900,
  IF(B2="HOH",
    523050,
  "Invalid Filing Status")))),
IF(B1=2024,
  IF(B2="MFJ",
    583750,
  IF(B2="Single",
    518900,
  IF(B2="MFS",
    291850,
  IF(B2="HOH",
    551350,
  "Invalid Filing Status")))),
"Invalid Year")))</f>
        <v>Invalid Year</v>
      </c>
      <c r="C319" s="160" t="str">
        <f t="shared" si="932"/>
        <v>Invalid Year</v>
      </c>
      <c r="D319" s="160" t="str">
        <f t="shared" si="932"/>
        <v>Invalid Year</v>
      </c>
      <c r="E319" s="160" t="str">
        <f t="shared" si="932"/>
        <v>Invalid Year</v>
      </c>
      <c r="F319" s="160" t="str">
        <f t="shared" si="932"/>
        <v>Invalid Year</v>
      </c>
      <c r="G319" s="160" t="str">
        <f t="shared" si="932"/>
        <v>Invalid Year</v>
      </c>
      <c r="H319" s="160" t="str">
        <f t="shared" si="932"/>
        <v>Invalid Year</v>
      </c>
      <c r="I319" s="58" t="str">
        <f t="shared" si="932"/>
        <v>Invalid Year</v>
      </c>
      <c r="J319" s="58" t="str">
        <f t="shared" ref="J319" si="933">IF(J1=2022,
  IF(J2="MFJ",
    517200,
  IF(OR(J2="Single", J2="MFS"),
    459750,
  IF(J2="HOH",
    488500,
  "Invalid Filing Status"))),
IF(J1=2023,
  IF(J2="MFJ",
    553850,
  IF(J2="Single",
    492300,
  IF(J2="MFS",
    276900,
  IF(J2="HOH",
    523050,
  "Invalid Filing Status")))),
IF(J1=2024,
  IF(J2="MFJ",
    583750,
  IF(J2="Single",
    518900,
  IF(J2="MFS",
    291850,
  IF(J2="HOH",
    551350,
  "Invalid Filing Status")))),
"Invalid Year")))</f>
        <v>Invalid Year</v>
      </c>
      <c r="K319" s="58">
        <f>IF($AH$280=2022,
  IF($AH$281="MFJ",
    517200,
  IF(OR($AH$281="Single", $AH$281="MFS"),
    459750,
  IF($AH$281="HOH",
    488500,
  "Invalid Filing Status"))),
IF($AH$280=2023,
  IF($AH$281="MFJ",
    553850,
  IF($AH$281="Single",
    492300,
  IF($AH$281="MFS",
    276900,
  IF($AH$281="HOH",
    523050,
  "Invalid Filing Status")))),
IF($AH$280=2024,
  IF($AH$281="MFJ",
    583750,
  IF($AH$281="Single",
    518900,
  IF($AH$281="MFS",
    291850,
  IF($AH$281="HOH",
    551350,
  "Invalid Filing Status")))),
"Invalid Year")))</f>
        <v>551350</v>
      </c>
      <c r="L319" s="58">
        <f t="shared" ref="L319:M319" si="934">IF($AH$280=2022,
  IF($AH$281="MFJ",
    517200,
  IF(OR($AH$281="Single", $AH$281="MFS"),
    459750,
  IF($AH$281="HOH",
    488500,
  "Invalid Filing Status"))),
IF($AH$280=2023,
  IF($AH$281="MFJ",
    553850,
  IF($AH$281="Single",
    492300,
  IF($AH$281="MFS",
    276900,
  IF($AH$281="HOH",
    523050,
  "Invalid Filing Status")))),
IF($AH$280=2024,
  IF($AH$281="MFJ",
    583750,
  IF($AH$281="Single",
    518900,
  IF($AH$281="MFS",
    291850,
  IF($AH$281="HOH",
    551350,
  "Invalid Filing Status")))),
"Invalid Year")))</f>
        <v>551350</v>
      </c>
      <c r="M319" s="58">
        <f t="shared" si="934"/>
        <v>551350</v>
      </c>
      <c r="AC319" s="215"/>
      <c r="AD319" s="215"/>
      <c r="AE319" s="215"/>
      <c r="AF319" s="191" t="s">
        <v>339</v>
      </c>
      <c r="AG319" s="191" t="s">
        <v>397</v>
      </c>
      <c r="AH319" s="193">
        <f>IF(AND(AH318="No Catch-Up", AG319="Total Business 401(k) Possible Contribution (With Business)"),
    IF($AH$280=2024, MIN(69000, MAX(0, _xlfn.IFS(AH312&gt;=(IF(AH312&lt;23000, AH312, 23000))+AH312*0.25, AH312*0.25, TRUE, (AH312-23000))) + IF(AH312&lt;23000, AH312, 23000)),
    IF($AH$280=2023, MIN(66000, MAX(0, _xlfn.IFS(AH312&gt;=(IF(AH312&lt;22500, AH312, 22500))+AH312*0.25, AH312*0.25, TRUE, (AH312-22500))) + IF(AH312&lt;22500, AH312, 22500)),
    IF($AH$280=2022, MIN(63000, MAX(0, _xlfn.IFS(AH312&gt;=(IF(AH312&lt;20500, AH312, 20500))+AH312*0.25, AH312*0.25, TRUE, (AH312-20500))) + IF(AH312&lt;20500, AH312, 20500)),
    "Year not configured"))),
IF(AND(AH318="Yes Catch-Up", AG319="Total Business 401(k) Possible Contribution (With Business)"),
    IF($AH$280=2024, MIN(76500, MAX(0, _xlfn.IFS(AH312&gt;=(IF(AH312&lt;30500, AH312, 30500))+AH312*0.25, AH312*0.25, TRUE, (AH312-30500))) + IF(AH312&lt;30500, AH312, 30500)),
    IF($AH$280=2023, MIN(73500, MAX(0, _xlfn.IFS(AH312&gt;=(IF(AH312&lt;30000, AH312, 30000))+AH312*0.25, AH312*0.25, TRUE, (AH312-30000))) + IF(AH312&lt;30000, AH312, 30000)),
    IF($AH$280=2022, MIN(69500, MAX(0, _xlfn.IFS(AH312&gt;=(IF(AH312&lt;27000, AH312, 27000))+AH312*0.25, AH312*0.25, TRUE, (AH312-27000))) + IF(AH312&lt;27000, AH312, 27000)),
    "Year not configured"))),
IF(AND(AH318="No Catch-Up", AG319="No Total Business 401(k) Possible Contribution (With Business)"),
    IF($AH$280=2024, MIN(23000, MAX(0, _xlfn.IFS(AH312&gt;=(IF(AH312&lt;23000, AH312, 23000))+AH312*0.25, AH312*0.25, TRUE, (AH312-23000))) + IF(AH312&lt;23000, AH312, 23000)),
    IF($AH$280=2023, MIN(22500, MAX(0, _xlfn.IFS(AH312&gt;=(IF(AH312&lt;22500, AH312, 22500))+AH312*0.25, AH312*0.25, TRUE, (AH312-22500))) + IF(AH312&lt;22500, AH312, 22500)),
    IF($AH$280=2022, MIN(20500, MAX(0, _xlfn.IFS(AH312&gt;=(IF(AH312&lt;20500, AH312, 20500))+AH312*0.25, AH312*0.25, TRUE, (AH312-20500))) + IF(AH312&lt;20500, AH312, 20500)),
    "Year not configured"))),
IF(AND(AH318="Yes Catch-Up", AG319="No Total Business 401(k) Possible Contribution (With Business)"),
    IF($AH$280=2024, MIN(30500, MAX(0, _xlfn.IFS(AH312&gt;=(IF(AH312&lt;30500, AH312, 30500))+AH312*0.25, AH312*0.25, TRUE, (AH312-30500))) + IF(AH312&lt;30500, AH312, 30500)),
    IF($AH$280=2023, MIN(30000, MAX(0, _xlfn.IFS(AH312&gt;=(IF(AH312&lt;30000, AH312, 30000))+AH312*0.25, AH312*0.25, TRUE, (AH312-30000))) + IF(AH312&lt;30000, AH312, 30000)),
    IF($AH$280=2022, MIN(27000, MAX(0, _xlfn.IFS(AH312&gt;=(IF(AH312&lt;27000, AH312, 27000))+AH312*0.25, AH312*0.25, TRUE, (AH312-27000))) + IF(AH312&lt;27000, AH312, 27000)),
    "Year not configured"))),
IF(AND(AH318="No Catch-Up", AG319="Defined Benefit 401(k) Contribution (New Maximum Contribution)"),
    IF($AH$280=2024, MIN(69000, MAX(0, _xlfn.IFS(AH312&gt;=(IF(AH312&lt;23000, AH312, 23000))+AH312*0.06, AH312*0.06, TRUE, (AH312-23000))) + IF(AH312&lt;23000, AH312, 23000)),
    IF($AH$280=2023, MIN(66000, MAX(0, _xlfn.IFS(AH312&gt;=(IF(AH312&lt;22500, AH312, 22500))+AH312*0.06, AH312*0.06, TRUE, (AH312-22500))) + IF(AH312&lt;22500, AH312, 22500)),
    IF($AH$280=2022, MIN(63000, MAX(0, _xlfn.IFS(AH312&gt;=(IF(AH312&lt;20500, AH312, 20500))+AH312*0.06, AH312*0.06, TRUE, (AH312-20500))) + IF(AH312&lt;20500, AH312, 20500)),
    "Year not configured"))),
IF(AND(AH318="Yes Catch-Up", AG319="Defined Benefit 401(k) Contribution (New Maximum Contribution)"),
    IF($AH$280=2024, MIN(76500, MAX(0, _xlfn.IFS(AH312&gt;=(IF(AH312&lt;30500, AH312, 30500))+AH312*0.06, AH312*0.06, TRUE, (AH312-30500))) + IF(AH312&lt;30500, AH312, 30500)),
    IF($AH$280=2023, MIN(73500, MAX(0, _xlfn.IFS(AH312&gt;=(IF(AH312&lt;30000, AH312, 30000))+AH312*0.06, AH312*0.06, TRUE, (AH312-30000))) + IF(AH312&lt;30000, AH312, 30000)),
    IF($AH$280=2022, MIN(69500, MAX(0, _xlfn.IFS(AH312&gt;=(IF(AH312&lt;27000, AH312, 27000))+AH312*0.06, AH312*0.06, TRUE, (AH312-27000))) + IF(AH312&lt;27000, AH312, 27000)),
    "Year not configured"))),
"Configuration not defined"))))))</f>
        <v>0</v>
      </c>
    </row>
    <row r="320" spans="1:34" x14ac:dyDescent="0.25">
      <c r="A320" t="s">
        <v>459</v>
      </c>
      <c r="B320" s="160">
        <f>MIN(B304, B319)</f>
        <v>0</v>
      </c>
      <c r="C320" s="160">
        <f t="shared" ref="C320:I320" si="935">MIN(C304, C319)</f>
        <v>0</v>
      </c>
      <c r="D320" s="160">
        <f t="shared" si="935"/>
        <v>0</v>
      </c>
      <c r="E320" s="160">
        <f t="shared" si="935"/>
        <v>0</v>
      </c>
      <c r="F320" s="160">
        <f t="shared" si="935"/>
        <v>0</v>
      </c>
      <c r="G320" s="160">
        <f t="shared" si="935"/>
        <v>0</v>
      </c>
      <c r="H320" s="160">
        <f t="shared" si="935"/>
        <v>0</v>
      </c>
      <c r="I320" s="58">
        <f t="shared" si="935"/>
        <v>0</v>
      </c>
      <c r="J320" s="58" t="e">
        <f t="shared" ref="J320" si="936">MIN(J304, J319)</f>
        <v>#VALUE!</v>
      </c>
      <c r="K320" s="58">
        <f t="shared" ref="K320" si="937">MIN(K304, K319)</f>
        <v>-21900</v>
      </c>
      <c r="L320" s="58">
        <f t="shared" ref="L320" si="938">MIN(L304, L319)</f>
        <v>-21900</v>
      </c>
      <c r="M320" s="58">
        <f>MIN(M304, M319)</f>
        <v>-21900</v>
      </c>
      <c r="AC320" s="215"/>
      <c r="AD320" s="215"/>
      <c r="AE320" s="215"/>
      <c r="AF320" s="191" t="s">
        <v>339</v>
      </c>
      <c r="AG320" s="191" t="s">
        <v>354</v>
      </c>
      <c r="AH320" s="193">
        <f>IF(AND(AH318="No Catch-Up", AG320="Business contribution"),
    IF($AH$280=2024, MIN(69000, MAX(0, _xlfn.IFS(AH312&gt;=(IF(AH312&lt;23000, AH312, 23000))+AH312*0.25, AH312*0.25, TRUE, (AH312-23000))) + IF(AH312&lt;23000, AH312, 23000)),
    IF($AH$280=2023, MIN(66000, MAX(0, _xlfn.IFS(AH312&gt;=(IF(AH312&lt;22500, AH312, 22500))+AH312*0.25, AH312*0.25, TRUE, (AH312-22500))) + IF(AH312&lt;22500, AH312, 22500)),
    IF($AH$280=2022, MIN(63000, MAX(0, _xlfn.IFS(AH312&gt;=(IF(AH312&lt;20500, AH312, 20500))+AH312*0.25, AH312*0.25, TRUE, (AH312-20500))) + IF(AH312&lt;20500, AH312, 20500)),
    "Year not configured"))),
IF(AND(AH318="Yes Catch-Up", AG320="Business contribution"),
    IF($AH$280=2024, MIN(76500, MAX(0, _xlfn.IFS(AH312&gt;=(IF(AH312&lt;30500, AH312, 30500))+AH312*0.25, AH312*0.25, TRUE, (AH312-30500))) + IF(AH312&lt;30500, AH312, 30500)),
    IF($AH$280=2023, MIN(73500, MAX(0, _xlfn.IFS(AH312&gt;=(IF(AH312&lt;30000, AH312, 30000))+AH312*0.25, AH312*0.25, TRUE, (AH312-30000))) + IF(AH312&lt;30000, AH312, 30000)),
    IF($AH$280=2022, MIN(69500, MAX(0, _xlfn.IFS(AH312&gt;=(IF(AH312&lt;27000, AH312, 27000))+AH312*0.25, AH312*0.25, TRUE, (AH312-27000))) + IF(AH312&lt;27000, AH312, 27000)),
    "Year not configured"))),
IF(AND(AH318="No Catch-Up", AG320="Total W-2 401(k) Possible Contribution"),
    IF($AH$280=2024, MIN(23000, MAX(0, _xlfn.IFS(AH312&gt;=(IF(AH312&lt;23000, AH312, 23000))+AH312*0.25, AH312*0.25, TRUE, (AH312-23000))) + IF(AH312&lt;23000, AH312, 23000)),
    IF($AH$280=2023, MIN(22500, MAX(0, _xlfn.IFS(AH312&gt;=(IF(AH312&lt;22500, AH312, 22500))+AH312*0.25, AH312*0.25, TRUE, (AH312-22500))) + IF(AH312&lt;22500, AH312, 22500)),
    IF($AH$280=2022, MIN(20500, MAX(0, _xlfn.IFS(AH312&gt;=(IF(AH312&lt;20500, AH312, 20500))+AH312*0.25, AH312*0.25, TRUE, (AH312-20500))) + IF(AH312&lt;20500, AH312, 20500)),
    "Year not configured"))),
IF(AND(AH318="Yes Catch-Up", AG320="Total W-2 401(k) Possible Contribution"),
    IF($AH$280=2024, MIN(30500, MAX(0, _xlfn.IFS(AH312&gt;=(IF(AH312&lt;30500, AH312, 30500))+AH312*0.25, AH312*0.25, TRUE, (AH312-30500))) + IF(AH312&lt;30500, AH312, 30500)),
    IF($AH$280=2023, MIN(30000, MAX(0, _xlfn.IFS(AH312&gt;=(IF(AH312&lt;30000, AH312, 30000))+AH312*0.25, AH312*0.25, TRUE, (AH312-30000))) + IF(AH312&lt;30000, AH312, 30000)),
    IF($AH$280=2022, MIN(27000, MAX(0, _xlfn.IFS(AH312&gt;=(IF(AH312&lt;27000, AH312, 27000))+AH312*0.25, AH312*0.25, TRUE, (AH312-27000))) + IF(AH312&lt;27000, AH312, 27000)),
    "Year not configured"))),
IF(AND(AH318="No Catch-Up", AG320="Defined Benefit 401(k) Contribution (New Maximum Contribution)"),
    IF($AH$280=2024, MIN(69000, MAX(0, _xlfn.IFS(AH312&gt;=(IF(AH312&lt;23000, AH312, 23000))+AH312*0.06, AH312*0.06, TRUE, (AH312-23000))) + IF(AH312&lt;23000, AH312, 23000)),
    IF($AH$280=2023, MIN(66000, MAX(0, _xlfn.IFS(AH312&gt;=(IF(AH312&lt;22500, AH312, 22500))+AH312*0.06, AH312*0.06, TRUE, (AH312-22500))) + IF(AH312&lt;22500, AH312, 22500)),
    IF($AH$280=2022, MIN(63000, MAX(0, _xlfn.IFS(AH312&gt;=(IF(AH312&lt;20500, AH312, 20500))+AH312*0.06, AH312*0.06, TRUE, (AH312-20500))) + IF(AH312&lt;20500, AH312, 20500)),
    "Year not configured"))),
IF(AND(AH318="Yes Catch-Up", AG320="Defined Benefit 401(k) Contribution (New Maximum Contribution)"),
    IF($AH$280=2024, MIN(76500, MAX(0, _xlfn.IFS(AH312&gt;=(IF(AH312&lt;30500, AH312, 30500))+AH312*0.06, AH312*0.06, TRUE, (AH312-30500))) + IF(AH312&lt;30500, AH312, 30500)),
    IF($AH$280=2023, MIN(73500, MAX(0, _xlfn.IFS(AH312&gt;=(IF(AH312&lt;30000, AH312, 30000))+AH312*0.06, AH312*0.06, TRUE, (AH312-30000))) + IF(AH312&lt;30000, AH312, 30000)),
    IF($AH$280=2022, MIN(69500, MAX(0, _xlfn.IFS(AH312&gt;=(IF(AH312&lt;27000, AH312, 27000))+AH312*0.06, AH312*0.06, TRUE, (AH312-27000))) + IF(AH312&lt;27000, AH312, 27000)),
    "Year not configured"))),
"Configuration not defined"))))))</f>
        <v>0</v>
      </c>
    </row>
    <row r="321" spans="1:34" x14ac:dyDescent="0.25">
      <c r="A321" t="s">
        <v>339</v>
      </c>
      <c r="B321" s="160">
        <f>B311+B315</f>
        <v>0</v>
      </c>
      <c r="C321" s="160">
        <f t="shared" ref="C321:I321" si="939">C311+C315</f>
        <v>0</v>
      </c>
      <c r="D321" s="160">
        <f t="shared" si="939"/>
        <v>0</v>
      </c>
      <c r="E321" s="160">
        <f t="shared" si="939"/>
        <v>0</v>
      </c>
      <c r="F321" s="160">
        <f t="shared" si="939"/>
        <v>0</v>
      </c>
      <c r="G321" s="160">
        <f t="shared" si="939"/>
        <v>0</v>
      </c>
      <c r="H321" s="160">
        <f t="shared" si="939"/>
        <v>0</v>
      </c>
      <c r="I321" s="58">
        <f t="shared" si="939"/>
        <v>0</v>
      </c>
      <c r="J321" s="58" t="e">
        <f t="shared" ref="J321" si="940">J311+J315</f>
        <v>#VALUE!</v>
      </c>
      <c r="K321" s="58">
        <f t="shared" ref="K321" si="941">K311+K315</f>
        <v>0</v>
      </c>
      <c r="L321" s="58">
        <f t="shared" ref="L321" si="942">L311+L315</f>
        <v>0</v>
      </c>
      <c r="M321" s="58">
        <f>M311+M315</f>
        <v>0</v>
      </c>
      <c r="AC321" s="215"/>
      <c r="AD321" s="215"/>
      <c r="AE321" s="215"/>
      <c r="AF321" s="191" t="s">
        <v>339</v>
      </c>
      <c r="AG321" s="226" t="s">
        <v>398</v>
      </c>
      <c r="AH321" s="193">
        <f>IF(AND(AH318="No Catch-Up", AG321="Business contribution"),
    IF($AH$280=2024, MIN(69000, MAX(0, _xlfn.IFS(AH312&gt;=(IF(AH312&lt;23000, AH312, 23000))+AH312*0.25, AH312*0.25, TRUE, (AH312-23000))) + IF(AH312&lt;23000, AH312, 23000)),
    IF($AH$280=2023, MIN(66000, MAX(0, _xlfn.IFS(AH312&gt;=(IF(AH312&lt;22500, AH312, 22500))+AH312*0.25, AH312*0.25, TRUE, (AH312-22500))) + IF(AH312&lt;22500, AH312, 22500)),
    IF($AH$280=2022, MIN(63000, MAX(0, _xlfn.IFS(AH312&gt;=(IF(AH312&lt;20500, AH312, 20500))+AH312*0.25, AH312*0.25, TRUE, (AH312-20500))) + IF(AH312&lt;20500, AH312, 20500)),
    "Year not configured"))),
IF(AND(AH318="Yes Catch-Up", AG321="Business contribution"),
    IF($AH$280=2024, MIN(76500, MAX(0, _xlfn.IFS(AH312&gt;=(IF(AH312&lt;30500, AH312, 30500))+AH312*0.25, AH312*0.25, TRUE, (AH312-30500))) + IF(AH312&lt;30500, AH312, 30500)),
    IF($AH$280=2023, MIN(73500, MAX(0, _xlfn.IFS(AH312&gt;=(IF(AH312&lt;30000, AH312, 30000))+AH312*0.25, AH312*0.25, TRUE, (AH312-30000))) + IF(AH312&lt;30000, AH312, 30000)),
    IF($AH$280=2022, MIN(69500, MAX(0, _xlfn.IFS(AH312&gt;=(IF(AH312&lt;27000, AH312, 27000))+AH312*0.25, AH312*0.25, TRUE, (AH312-27000))) + IF(AH312&lt;27000, AH312, 27000)),
    "Year not configured"))),
IF(AND(AH318="No Catch-Up", AG321="No business contribution"),
    IF($AH$280=2024, MIN(23000, MAX(0, _xlfn.IFS(AH312&gt;=(IF(AH312&lt;23000, AH312, 23000))+AH312*0.25, AH312*0.25, TRUE, (AH312-23000))) + IF(AH312&lt;23000, AH312, 23000)),
    IF($AH$280=2023, MIN(22500, MAX(0, _xlfn.IFS(AH312&gt;=(IF(AH312&lt;22500, AH312, 22500))+AH312*0.25, AH312*0.25, TRUE, (AH312-22500))) + IF(AH312&lt;22500, AH312, 22500)),
    IF($AH$280=2022, MIN(20500, MAX(0, _xlfn.IFS(AH312&gt;=(IF(AH312&lt;20500, AH312, 20500))+AH312*0.25, AH312*0.25, TRUE, (AH312-20500))) + IF(AH312&lt;20500, AH312, 20500)),
    "Year not configured"))),
IF(AND(AH318="Yes Catch-Up", AG321="No business contribution"),
    IF($AH$280=2024, MIN(30500, MAX(0, _xlfn.IFS(AH312&gt;=(IF(AH312&lt;30500, AH312, 30500))+AH312*0.25, AH312*0.25, TRUE, (AH312-30500))) + IF(AH312&lt;30500, AH312, 30500)),
    IF($AH$280=2023, MIN(30000, MAX(0, _xlfn.IFS(AH312&gt;=(IF(AH312&lt;30000, AH312, 30000))+AH312*0.25, AH312*0.25, TRUE, (AH312-30000))) + IF(AH312&lt;30000, AH312, 30000)),
    IF($AH$280=2022, MIN(27000, MAX(0, _xlfn.IFS(AH312&gt;=(IF(AH312&lt;27000, AH312, 27000))+AH312*0.25, AH312*0.25, TRUE, (AH312-27000))) + IF(AH312&lt;27000, AH312, 27000)),
    "Year not configured"))),
IF(AND(AH318="No Catch-Up", AG321="Defined Benefit 401(k) Contribution (New Maximum Contribution)"),
    IF($AH$280=2024, MIN(69000, MAX(0, _xlfn.IFS(AH312&gt;=(IF(AH312&lt;23000, AH312, 23000))+AH312*0.06, AH312*0.06, TRUE, (AH312-23000))) + IF(AH312&lt;23000, AH312, 23000)),
    IF($AH$280=2023, MIN(66000, MAX(0, _xlfn.IFS(AH312&gt;=(IF(AH312&lt;22500, AH312, 22500))+AH312*0.06, AH312*0.06, TRUE, (AH312-22500))) + IF(AH312&lt;22500, AH312, 22500)),
    IF($AH$280=2022, MIN(63000, MAX(0, _xlfn.IFS(AH312&gt;=(IF(AH312&lt;20500, AH312, 20500))+AH312*0.06, AH312*0.06, TRUE, (AH312-20500))) + IF(AH312&lt;20500, AH312, 20500)),
    "Year not configured"))),
IF(AND(AH318="Yes Catch-Up", AG321="Defined Benefit 401(k) Contribution (New Maximum Contribution)"),
    IF($AH$280=2024, MIN(76500, MAX(0, _xlfn.IFS(AH312&gt;=(IF(AH312&lt;30500, AH312, 30500))+AH312*0.06, AH312*0.06, TRUE, (AH312-30500))) + IF(AH312&lt;30500, AH312, 30500)),
    IF($AH$280=2023, MIN(73500, MAX(0, _xlfn.IFS(AH312&gt;=(IF(AH312&lt;30000, AH312, 30000))+AH312*0.06, AH312*0.06, TRUE, (AH312-30000))) + IF(AH312&lt;30000, AH312, 30000)),
    IF($AH$280=2022, MIN(69500, MAX(0, _xlfn.IFS(AH312&gt;=(IF(AH312&lt;27000, AH312, 27000))+AH312*0.06, AH312*0.06, TRUE, (AH312-27000))) + IF(AH312&lt;27000, AH312, 27000)),
    "Year not configured"))),
"Configuration not defined"))))))</f>
        <v>0</v>
      </c>
    </row>
    <row r="322" spans="1:34" x14ac:dyDescent="0.25">
      <c r="A322" t="s">
        <v>339</v>
      </c>
      <c r="B322" s="160">
        <f>MAX(0, B320 - B321)</f>
        <v>0</v>
      </c>
      <c r="C322" s="160">
        <f t="shared" ref="C322:I322" si="943">MAX(0, C320 - C321)</f>
        <v>0</v>
      </c>
      <c r="D322" s="160">
        <f t="shared" si="943"/>
        <v>0</v>
      </c>
      <c r="E322" s="160">
        <f t="shared" si="943"/>
        <v>0</v>
      </c>
      <c r="F322" s="160">
        <f t="shared" si="943"/>
        <v>0</v>
      </c>
      <c r="G322" s="160">
        <f t="shared" si="943"/>
        <v>0</v>
      </c>
      <c r="H322" s="160">
        <f t="shared" si="943"/>
        <v>0</v>
      </c>
      <c r="I322" s="58">
        <f t="shared" si="943"/>
        <v>0</v>
      </c>
      <c r="J322" s="58" t="e">
        <f t="shared" ref="J322" si="944">MAX(0, J320 - J321)</f>
        <v>#VALUE!</v>
      </c>
      <c r="K322" s="58">
        <f t="shared" ref="K322" si="945">MAX(0, K320 - K321)</f>
        <v>0</v>
      </c>
      <c r="L322" s="58">
        <f t="shared" ref="L322" si="946">MAX(0, L320 - L321)</f>
        <v>0</v>
      </c>
      <c r="M322" s="58">
        <f>MAX(0, M320 - M321)</f>
        <v>0</v>
      </c>
      <c r="AC322" s="215"/>
      <c r="AD322" s="215"/>
      <c r="AE322" s="215"/>
      <c r="AF322" s="196"/>
      <c r="AG322" s="196"/>
      <c r="AH322" s="196"/>
    </row>
    <row r="323" spans="1:34" x14ac:dyDescent="0.25">
      <c r="A323" t="s">
        <v>459</v>
      </c>
      <c r="B323" s="160">
        <f t="shared" ref="B323:I323" si="947">MIN(B318, B322)</f>
        <v>0</v>
      </c>
      <c r="C323" s="160">
        <f t="shared" si="947"/>
        <v>0</v>
      </c>
      <c r="D323" s="160">
        <f t="shared" si="947"/>
        <v>0</v>
      </c>
      <c r="E323" s="160">
        <f t="shared" si="947"/>
        <v>0</v>
      </c>
      <c r="F323" s="160">
        <f t="shared" si="947"/>
        <v>0</v>
      </c>
      <c r="G323" s="160">
        <f t="shared" si="947"/>
        <v>0</v>
      </c>
      <c r="H323" s="160">
        <f t="shared" si="947"/>
        <v>0</v>
      </c>
      <c r="I323" s="58">
        <f t="shared" si="947"/>
        <v>0</v>
      </c>
      <c r="J323" s="58" t="e">
        <f t="shared" ref="J323" si="948">MIN(J318, J322)</f>
        <v>#VALUE!</v>
      </c>
      <c r="K323" s="58">
        <f t="shared" ref="K323" si="949">MIN(K318, K322)</f>
        <v>-21900</v>
      </c>
      <c r="L323" s="58">
        <f t="shared" ref="L323" si="950">MIN(L318, L322)</f>
        <v>-21900</v>
      </c>
      <c r="M323" s="58">
        <f>MIN(M318, M322)</f>
        <v>-21900</v>
      </c>
      <c r="AC323" s="198"/>
      <c r="AD323" s="198"/>
      <c r="AE323" s="198"/>
      <c r="AF323" s="216"/>
      <c r="AG323" s="221" t="s">
        <v>389</v>
      </c>
      <c r="AH323" s="216"/>
    </row>
    <row r="324" spans="1:34" x14ac:dyDescent="0.25">
      <c r="A324" t="s">
        <v>463</v>
      </c>
      <c r="B324" s="160">
        <f t="shared" ref="B324:I324" si="951">B323*0.15</f>
        <v>0</v>
      </c>
      <c r="C324" s="160">
        <f t="shared" si="951"/>
        <v>0</v>
      </c>
      <c r="D324" s="160">
        <f t="shared" si="951"/>
        <v>0</v>
      </c>
      <c r="E324" s="160">
        <f t="shared" si="951"/>
        <v>0</v>
      </c>
      <c r="F324" s="160">
        <f t="shared" si="951"/>
        <v>0</v>
      </c>
      <c r="G324" s="160">
        <f t="shared" si="951"/>
        <v>0</v>
      </c>
      <c r="H324" s="160">
        <f t="shared" si="951"/>
        <v>0</v>
      </c>
      <c r="I324" s="58">
        <f t="shared" si="951"/>
        <v>0</v>
      </c>
      <c r="J324" s="58" t="e">
        <f t="shared" ref="J324" si="952">J323*0.15</f>
        <v>#VALUE!</v>
      </c>
      <c r="K324" s="58">
        <f t="shared" ref="K324" si="953">K323*0.15</f>
        <v>-3285</v>
      </c>
      <c r="L324" s="58">
        <f t="shared" ref="L324" si="954">L323*0.15</f>
        <v>-3285</v>
      </c>
      <c r="M324" s="58">
        <f>M323*0.15</f>
        <v>-3285</v>
      </c>
      <c r="AC324" s="198"/>
      <c r="AD324" s="198"/>
      <c r="AE324" s="198"/>
      <c r="AF324" s="194" t="s">
        <v>345</v>
      </c>
      <c r="AG324" s="194" t="s">
        <v>344</v>
      </c>
      <c r="AH324" s="195">
        <f>AH$295</f>
        <v>0</v>
      </c>
    </row>
    <row r="325" spans="1:34" x14ac:dyDescent="0.25">
      <c r="A325" t="s">
        <v>339</v>
      </c>
      <c r="B325" s="160">
        <f t="shared" ref="B325:I325" si="955">B315+B323</f>
        <v>0</v>
      </c>
      <c r="C325" s="160">
        <f t="shared" si="955"/>
        <v>0</v>
      </c>
      <c r="D325" s="160">
        <f t="shared" si="955"/>
        <v>0</v>
      </c>
      <c r="E325" s="160">
        <f t="shared" si="955"/>
        <v>0</v>
      </c>
      <c r="F325" s="160">
        <f t="shared" si="955"/>
        <v>0</v>
      </c>
      <c r="G325" s="160">
        <f t="shared" si="955"/>
        <v>0</v>
      </c>
      <c r="H325" s="160">
        <f t="shared" si="955"/>
        <v>0</v>
      </c>
      <c r="I325" s="58">
        <f t="shared" si="955"/>
        <v>0</v>
      </c>
      <c r="J325" s="58" t="e">
        <f t="shared" ref="J325" si="956">J315+J323</f>
        <v>#VALUE!</v>
      </c>
      <c r="K325" s="58">
        <f t="shared" ref="K325" si="957">K315+K323</f>
        <v>-21900</v>
      </c>
      <c r="L325" s="58">
        <f t="shared" ref="L325" si="958">L315+L323</f>
        <v>-21900</v>
      </c>
      <c r="M325" s="58">
        <f>M315+M323</f>
        <v>-21900</v>
      </c>
      <c r="AC325" s="198"/>
      <c r="AD325" s="198"/>
      <c r="AE325" s="198"/>
      <c r="AF325" s="185" t="s">
        <v>345</v>
      </c>
      <c r="AG325" s="185" t="s">
        <v>373</v>
      </c>
      <c r="AH325" s="187">
        <f>AH$297+AH$299</f>
        <v>0</v>
      </c>
    </row>
    <row r="326" spans="1:34" x14ac:dyDescent="0.25">
      <c r="A326" t="s">
        <v>339</v>
      </c>
      <c r="B326" s="160">
        <f t="shared" ref="B326:I326" si="959">B316-B325</f>
        <v>0</v>
      </c>
      <c r="C326" s="160">
        <f t="shared" si="959"/>
        <v>0</v>
      </c>
      <c r="D326" s="160">
        <f t="shared" si="959"/>
        <v>0</v>
      </c>
      <c r="E326" s="160">
        <f t="shared" si="959"/>
        <v>0</v>
      </c>
      <c r="F326" s="160">
        <f t="shared" si="959"/>
        <v>0</v>
      </c>
      <c r="G326" s="160">
        <f t="shared" si="959"/>
        <v>0</v>
      </c>
      <c r="H326" s="160">
        <f t="shared" si="959"/>
        <v>0</v>
      </c>
      <c r="I326" s="58">
        <f t="shared" si="959"/>
        <v>0</v>
      </c>
      <c r="J326" s="58" t="e">
        <f t="shared" ref="J326" si="960">J316-J325</f>
        <v>#VALUE!</v>
      </c>
      <c r="K326" s="58">
        <f t="shared" ref="K326" si="961">K316-K325</f>
        <v>0</v>
      </c>
      <c r="L326" s="58">
        <f t="shared" ref="L326" si="962">L316-L325</f>
        <v>0</v>
      </c>
      <c r="M326" s="58">
        <f>M316-M325</f>
        <v>0</v>
      </c>
      <c r="AC326" s="198"/>
      <c r="AD326" s="198"/>
      <c r="AE326" s="198"/>
      <c r="AF326" s="185" t="s">
        <v>345</v>
      </c>
      <c r="AG326" s="185" t="s">
        <v>391</v>
      </c>
      <c r="AH326" s="187">
        <f>AH$296</f>
        <v>0</v>
      </c>
    </row>
    <row r="327" spans="1:34" x14ac:dyDescent="0.25">
      <c r="A327" t="s">
        <v>464</v>
      </c>
      <c r="B327" s="160">
        <f t="shared" ref="B327:I327" si="963">B326*0.2</f>
        <v>0</v>
      </c>
      <c r="C327" s="160">
        <f t="shared" si="963"/>
        <v>0</v>
      </c>
      <c r="D327" s="160">
        <f t="shared" si="963"/>
        <v>0</v>
      </c>
      <c r="E327" s="160">
        <f t="shared" si="963"/>
        <v>0</v>
      </c>
      <c r="F327" s="160">
        <f t="shared" si="963"/>
        <v>0</v>
      </c>
      <c r="G327" s="160">
        <f t="shared" si="963"/>
        <v>0</v>
      </c>
      <c r="H327" s="160">
        <f t="shared" si="963"/>
        <v>0</v>
      </c>
      <c r="I327" s="58">
        <f t="shared" si="963"/>
        <v>0</v>
      </c>
      <c r="J327" s="58" t="e">
        <f t="shared" ref="J327" si="964">J326*0.2</f>
        <v>#VALUE!</v>
      </c>
      <c r="K327" s="58">
        <f t="shared" ref="K327" si="965">K326*0.2</f>
        <v>0</v>
      </c>
      <c r="L327" s="58">
        <f t="shared" ref="L327" si="966">L326*0.2</f>
        <v>0</v>
      </c>
      <c r="M327" s="58">
        <f>M326*0.2</f>
        <v>0</v>
      </c>
      <c r="AC327" s="198"/>
      <c r="AD327" s="198"/>
      <c r="AE327" s="198"/>
      <c r="AF327" s="184" t="s">
        <v>345</v>
      </c>
      <c r="AG327" s="184" t="s">
        <v>491</v>
      </c>
      <c r="AH327" s="188">
        <f>AH$300</f>
        <v>0</v>
      </c>
    </row>
    <row r="328" spans="1:34" x14ac:dyDescent="0.25">
      <c r="A328" t="s">
        <v>465</v>
      </c>
      <c r="B328" s="160">
        <f t="shared" ref="B328:I328" si="967">MAX(0,IF(ISNUMBER(SEARCH("2022",B1)),IF(ISNUMBER(SEARCH("Single",B2)),IF(B311&lt;=10275,B311*0.1,IF(B311&lt;=41775,1027.5+0.12*(B311-10275),IF(B311&lt;=89075,4807.5+0.22*(B311-41775),IF(B311&lt;=170050,15213.5+0.24*(B311-89075),IF(B311&lt;=215950,34647.5+0.32*(B311-170050),IF(B311&lt;=539900,49335.5+0.35*(B311-215950),162718+0.37*(B311-539900))
)
)
)
)
),IF(OR(ISNUMBER(SEARCH("MFJ",B2)),ISNUMBER(SEARCH("QW",B2))),IF(B311&lt;=20550,B311*0.1,IF(B311&lt;=83550,2055+0.12*(B311-20550),IF(B311&lt;=178150,9615+0.22*(B311-83550),IF(B311&lt;=340100,30427+0.24*(B311-178150),IF(B311&lt;=431900,69295+0.32*(B311-340100),IF(B311&lt;=647850,98671+0.35*(B311-431900),174253.5+0.37*(B311-647850))
)
)
)
)
),IF(ISNUMBER(SEARCH("MFS",B2)),IF(B311&lt;=10275,B311*0.1,IF(B311&lt;=41775,1027.5+0.12*(B311-10275),IF(B311&lt;=89075,4807.5+0.22*(B311-41775),IF(B311&lt;=170050,15213.5+0.24*(B311-89075),IF(B311&lt;=215950,34647.5+0.32*(B311-170050),IF(B311&lt;=323925,49335.5+0.35*(B311-215950),87126.75+0.37*(B311-323925))
)
)
)
)
),IF(ISNUMBER(SEARCH("HOH",B2)),IF(B311&lt;=14650,B311*0.1,IF(B311&lt;=55900,1465+0.12*(B311-14650),IF(B311&lt;=89050,6415+0.22*(B311-55900),IF(B311&lt;=170050,13708+0.24*(B311-89050),IF(B311&lt;=215950,33148+0.32*(B311-170050),IF(B311&lt;=539900,47836+0.35*(B311-215950),161218.5+0.37*(B311-539900))
)
)
)
)
),""
)
)
)
),IF(ISNUMBER(SEARCH("2023",B1)),IF(ISNUMBER(SEARCH("Single",B2)),IF(B311&lt;=11000,B311*0.1,IF(B311&lt;=44725,1100+0.12*(B311-11000),IF(B311&lt;=95375,5147+0.22*(B311-44725),IF(B311&lt;=182100,16290+0.24*(B311-95375),IF(B311&lt;=231250,37104+0.32*(B311-182100),IF(B311&lt;=578125,52832+0.35*(B311-231250),174238.25+0.37*(B311-578125))
)
)
)
)
),IF(OR(ISNUMBER(SEARCH("MFJ",B2)),ISNUMBER(SEARCH("QW",B2))),IF(B311&lt;=22000,B311*0.1,IF(B311&lt;=89450,2200+0.12*(B311-22000),IF(B311&lt;=190750,10294+0.22*(B311-89450),IF(B311&lt;=364200,32580+0.24*(B311-190750),IF(B311&lt;=462500,74208+0.32*(B311-364200),IF(B311&lt;=693750,105664+0.35*(B311-462500),186601.5+0.37*(B311-693750))
)
)
)
)
),IF(ISNUMBER(SEARCH("MFS",B2)),IF(B311&lt;=11000,B311*0.1,IF(B311&lt;=44725,1100+0.12*(B311-11000),IF(B311&lt;=95375,5147+0.22*(B311-44725),IF(B311&lt;=182100,16290+0.24*(B311-95375),IF(B311&lt;=231250,37104+0.32*(B311-182100),IF(B311&lt;=346875,52832+0.35*(B311-231250),93300.75+0.37*(B311-346875))
)
)
)
)
),IF(ISNUMBER(SEARCH("HOH",B2)),IF(B311&lt;=15700,B311*0.1,IF(B311&lt;=59850,1570+0.12*(B311-15700),IF(B311&lt;=95350,6868+0.22*(B311-59850),IF(B311&lt;=182100,14678+0.24*(B311-95350),IF(B311&lt;=231250,35498+0.32*(B311-182100),IF(B311&lt;=578100,51226+0.35*(B311-231250),172623.5+0.37*(B311-578100))
)
)
)
)
),""
)
)
)
),IF(ISNUMBER(SEARCH("2024",B1)),IF(ISNUMBER(SEARCH("Single",B2)),
IF(B311&lt;=11600,B311*0.1,
IF(B311&lt;=47150,1160+0.12*(B311-11600),
IF(B311&lt;=100525,5426+0.22*(B311-47150),
IF(B311&lt;=191950,17168.5+0.24*(B311-100525),
IF(B311&lt;=243725,39110.5+0.32*(B311-191950),
IF(B311&lt;=609350,55678.5+0.35*(B311-243725),
183647.25+0.37*(B311-609350)
)
)
)
)
)
),IF(ISNUMBER(SEARCH("MFS",B2)),
IF(B311&lt;=11600,B311*0.1,
IF(B311&lt;=47150,1160+0.12*(B311-11600),
IF(B311&lt;=100525,5426+0.22*(B311-47150),
IF(B311&lt;=191950,17168.5+0.24*(B311-100525),
IF(B311&lt;=243725,39110.5+0.32*(B311-191950),
IF(B311&lt;=365600,55678.5+0.35*(B311-243725),
97718+0.37*(B311-365600)
)
)
)
)
)
),IF(OR(ISNUMBER(SEARCH("MFJ",B2)),ISNUMBER(SEARCH("QW",B2))),
IF(B311&lt;=23200,B311*0.1,
IF(B311&lt;=94300,2320+0.12*(B311-23200),
IF(B311&lt;=201050,10924+0.22*(B311-94300),
IF(B311&lt;=383900,34202.4+0.24*(B311-201050),
IF(B311&lt;=487450,77750.8+0.32*(B311-383900),
IF(B311&lt;=731200,110998.4+0.35*(B311-487450),
198644.8+0.37*(B311-731200)
)
)
)
)
)
),IF(ISNUMBER(SEARCH("HOH",B2)),
IF(B311&lt;=16550,B311*0.1,
IF(B311&lt;=63100,1655+0.12*(B311-16550),
IF(B311&lt;=100500,7215+0.22*(B311-63100),
IF(B311&lt;=191950,16279+0.24*(B311-100500),
IF(B311&lt;=243700,38195+0.32*(B311-191950),
IF(B311&lt;=609350,54919+0.35*(B311-243700),
176919+0.37*(B311-609350)
)
)
)
)
)
)))))))))</f>
        <v>0</v>
      </c>
      <c r="C328" s="160">
        <f t="shared" si="967"/>
        <v>0</v>
      </c>
      <c r="D328" s="160">
        <f t="shared" si="967"/>
        <v>0</v>
      </c>
      <c r="E328" s="160">
        <f t="shared" si="967"/>
        <v>0</v>
      </c>
      <c r="F328" s="160">
        <f t="shared" si="967"/>
        <v>0</v>
      </c>
      <c r="G328" s="160">
        <f t="shared" si="967"/>
        <v>0</v>
      </c>
      <c r="H328" s="160">
        <f t="shared" si="967"/>
        <v>0</v>
      </c>
      <c r="I328" s="58">
        <f t="shared" si="967"/>
        <v>0</v>
      </c>
      <c r="J328" s="58">
        <f t="shared" ref="J328" si="968">MAX(0,IF(ISNUMBER(SEARCH("2022",J1)),IF(ISNUMBER(SEARCH("Single",J2)),IF(J311&lt;=10275,J311*0.1,IF(J311&lt;=41775,1027.5+0.12*(J311-10275),IF(J311&lt;=89075,4807.5+0.22*(J311-41775),IF(J311&lt;=170050,15213.5+0.24*(J311-89075),IF(J311&lt;=215950,34647.5+0.32*(J311-170050),IF(J311&lt;=539900,49335.5+0.35*(J311-215950),162718+0.37*(J311-539900))
)
)
)
)
),IF(OR(ISNUMBER(SEARCH("MFJ",J2)),ISNUMBER(SEARCH("QW",J2))),IF(J311&lt;=20550,J311*0.1,IF(J311&lt;=83550,2055+0.12*(J311-20550),IF(J311&lt;=178150,9615+0.22*(J311-83550),IF(J311&lt;=340100,30427+0.24*(J311-178150),IF(J311&lt;=431900,69295+0.32*(J311-340100),IF(J311&lt;=647850,98671+0.35*(J311-431900),174253.5+0.37*(J311-647850))
)
)
)
)
),IF(ISNUMBER(SEARCH("MFS",J2)),IF(J311&lt;=10275,J311*0.1,IF(J311&lt;=41775,1027.5+0.12*(J311-10275),IF(J311&lt;=89075,4807.5+0.22*(J311-41775),IF(J311&lt;=170050,15213.5+0.24*(J311-89075),IF(J311&lt;=215950,34647.5+0.32*(J311-170050),IF(J311&lt;=323925,49335.5+0.35*(J311-215950),87126.75+0.37*(J311-323925))
)
)
)
)
),IF(ISNUMBER(SEARCH("HOH",J2)),IF(J311&lt;=14650,J311*0.1,IF(J311&lt;=55900,1465+0.12*(J311-14650),IF(J311&lt;=89050,6415+0.22*(J311-55900),IF(J311&lt;=170050,13708+0.24*(J311-89050),IF(J311&lt;=215950,33148+0.32*(J311-170050),IF(J311&lt;=539900,47836+0.35*(J311-215950),161218.5+0.37*(J311-539900))
)
)
)
)
),""
)
)
)
),IF(ISNUMBER(SEARCH("2023",J1)),IF(ISNUMBER(SEARCH("Single",J2)),IF(J311&lt;=11000,J311*0.1,IF(J311&lt;=44725,1100+0.12*(J311-11000),IF(J311&lt;=95375,5147+0.22*(J311-44725),IF(J311&lt;=182100,16290+0.24*(J311-95375),IF(J311&lt;=231250,37104+0.32*(J311-182100),IF(J311&lt;=578125,52832+0.35*(J311-231250),174238.25+0.37*(J311-578125))
)
)
)
)
),IF(OR(ISNUMBER(SEARCH("MFJ",J2)),ISNUMBER(SEARCH("QW",J2))),IF(J311&lt;=22000,J311*0.1,IF(J311&lt;=89450,2200+0.12*(J311-22000),IF(J311&lt;=190750,10294+0.22*(J311-89450),IF(J311&lt;=364200,32580+0.24*(J311-190750),IF(J311&lt;=462500,74208+0.32*(J311-364200),IF(J311&lt;=693750,105664+0.35*(J311-462500),186601.5+0.37*(J311-693750))
)
)
)
)
),IF(ISNUMBER(SEARCH("MFS",J2)),IF(J311&lt;=11000,J311*0.1,IF(J311&lt;=44725,1100+0.12*(J311-11000),IF(J311&lt;=95375,5147+0.22*(J311-44725),IF(J311&lt;=182100,16290+0.24*(J311-95375),IF(J311&lt;=231250,37104+0.32*(J311-182100),IF(J311&lt;=346875,52832+0.35*(J311-231250),93300.75+0.37*(J311-346875))
)
)
)
)
),IF(ISNUMBER(SEARCH("HOH",J2)),IF(J311&lt;=15700,J311*0.1,IF(J311&lt;=59850,1570+0.12*(J311-15700),IF(J311&lt;=95350,6868+0.22*(J311-59850),IF(J311&lt;=182100,14678+0.24*(J311-95350),IF(J311&lt;=231250,35498+0.32*(J311-182100),IF(J311&lt;=578100,51226+0.35*(J311-231250),172623.5+0.37*(J311-578100))
)
)
)
)
),""
)
)
)
),IF(ISNUMBER(SEARCH("2024",J1)),IF(ISNUMBER(SEARCH("Single",J2)),
IF(J311&lt;=11600,J311*0.1,
IF(J311&lt;=47150,1160+0.12*(J311-11600),
IF(J311&lt;=100525,5426+0.22*(J311-47150),
IF(J311&lt;=191950,17168.5+0.24*(J311-100525),
IF(J311&lt;=243725,39110.5+0.32*(J311-191950),
IF(J311&lt;=609350,55678.5+0.35*(J311-243725),
183647.25+0.37*(J311-609350)
)
)
)
)
)
),IF(ISNUMBER(SEARCH("MFS",J2)),
IF(J311&lt;=11600,J311*0.1,
IF(J311&lt;=47150,1160+0.12*(J311-11600),
IF(J311&lt;=100525,5426+0.22*(J311-47150),
IF(J311&lt;=191950,17168.5+0.24*(J311-100525),
IF(J311&lt;=243725,39110.5+0.32*(J311-191950),
IF(J311&lt;=365600,55678.5+0.35*(J311-243725),
97718+0.37*(J311-365600)
)
)
)
)
)
),IF(OR(ISNUMBER(SEARCH("MFJ",J2)),ISNUMBER(SEARCH("QW",J2))),
IF(J311&lt;=23200,J311*0.1,
IF(J311&lt;=94300,2320+0.12*(J311-23200),
IF(J311&lt;=201050,10924+0.22*(J311-94300),
IF(J311&lt;=383900,34202.4+0.24*(J311-201050),
IF(J311&lt;=487450,77750.8+0.32*(J311-383900),
IF(J311&lt;=731200,110998.4+0.35*(J311-487450),
198644.8+0.37*(J311-731200)
)
)
)
)
)
),IF(ISNUMBER(SEARCH("HOH",J2)),
IF(J311&lt;=16550,J311*0.1,
IF(J311&lt;=63100,1655+0.12*(J311-16550),
IF(J311&lt;=100500,7215+0.22*(J311-63100),
IF(J311&lt;=191950,16279+0.24*(J311-100500),
IF(J311&lt;=243700,38195+0.32*(J311-191950),
IF(J311&lt;=609350,54919+0.35*(J311-243700),
176919+0.37*(J311-609350)
)
)
)
)
)
)))))))))</f>
        <v>0</v>
      </c>
      <c r="K328" s="58">
        <f>MAX(0,IF(ISNUMBER(SEARCH("2022",$AH$280)),IF(ISNUMBER(SEARCH("Single",$AH$281)),IF(K311&lt;=10275,K311*0.1,IF(K311&lt;=41775,1027.5+0.12*(K311-10275),IF(K311&lt;=89075,4807.5+0.22*(K311-41775),IF(K311&lt;=170050,15213.5+0.24*(K311-89075),IF(K311&lt;=215950,34647.5+0.32*(K311-170050),IF(K311&lt;=539900,49335.5+0.35*(K311-215950),162718+0.37*(K311-539900))
)
)
)
)
),IF(OR(ISNUMBER(SEARCH("MFJ",$AH$281)),ISNUMBER(SEARCH("QW",$AH$281))),IF(K311&lt;=20550,K311*0.1,IF(K311&lt;=83550,2055+0.12*(K311-20550),IF(K311&lt;=178150,9615+0.22*(K311-83550),IF(K311&lt;=340100,30427+0.24*(K311-178150),IF(K311&lt;=431900,69295+0.32*(K311-340100),IF(K311&lt;=647850,98671+0.35*(K311-431900),174253.5+0.37*(K311-647850))
)
)
)
)
),IF(ISNUMBER(SEARCH("MFS",$AH$281)),IF(K311&lt;=10275,K311*0.1,IF(K311&lt;=41775,1027.5+0.12*(K311-10275),IF(K311&lt;=89075,4807.5+0.22*(K311-41775),IF(K311&lt;=170050,15213.5+0.24*(K311-89075),IF(K311&lt;=215950,34647.5+0.32*(K311-170050),IF(K311&lt;=323925,49335.5+0.35*(K311-215950),87126.75+0.37*(K311-323925))
)
)
)
)
),IF(ISNUMBER(SEARCH("HOH",$AH$281)),IF(K311&lt;=14650,K311*0.1,IF(K311&lt;=55900,1465+0.12*(K311-14650),IF(K311&lt;=89050,6415+0.22*(K311-55900),IF(K311&lt;=170050,13708+0.24*(K311-89050),IF(K311&lt;=215950,33148+0.32*(K311-170050),IF(K311&lt;=539900,47836+0.35*(K311-215950),161218.5+0.37*(K311-539900))
)
)
)
)
),""
)
)
)
),IF(ISNUMBER(SEARCH("2023",$AH$280)),IF(ISNUMBER(SEARCH("Single",$AH$281)),IF(K311&lt;=11000,K311*0.1,IF(K311&lt;=44725,1100+0.12*(K311-11000),IF(K311&lt;=95375,5147+0.22*(K311-44725),IF(K311&lt;=182100,16290+0.24*(K311-95375),IF(K311&lt;=231250,37104+0.32*(K311-182100),IF(K311&lt;=578125,52832+0.35*(K311-231250),174238.25+0.37*(K311-578125))
)
)
)
)
),IF(OR(ISNUMBER(SEARCH("MFJ",$AH$281)),ISNUMBER(SEARCH("QW",$AH$281))),IF(K311&lt;=22000,K311*0.1,IF(K311&lt;=89450,2200+0.12*(K311-22000),IF(K311&lt;=190750,10294+0.22*(K311-89450),IF(K311&lt;=364200,32580+0.24*(K311-190750),IF(K311&lt;=462500,74208+0.32*(K311-364200),IF(K311&lt;=693750,105664+0.35*(K311-462500),186601.5+0.37*(K311-693750))
)
)
)
)
),IF(ISNUMBER(SEARCH("MFS",$AH$281)),IF(K311&lt;=11000,K311*0.1,IF(K311&lt;=44725,1100+0.12*(K311-11000),IF(K311&lt;=95375,5147+0.22*(K311-44725),IF(K311&lt;=182100,16290+0.24*(K311-95375),IF(K311&lt;=231250,37104+0.32*(K311-182100),IF(K311&lt;=346875,52832+0.35*(K311-231250),93300.75+0.37*(K311-346875))
)
)
)
)
),IF(ISNUMBER(SEARCH("HOH",$AH$281)),IF(K311&lt;=15700,K311*0.1,IF(K311&lt;=59850,1570+0.12*(K311-15700),IF(K311&lt;=95350,6868+0.22*(K311-59850),IF(K311&lt;=182100,14678+0.24*(K311-95350),IF(K311&lt;=231250,35498+0.32*(K311-182100),IF(K311&lt;=578100,51226+0.35*(K311-231250),172623.5+0.37*(K311-578100))
)
)
)
)
),""
)
)
)
),IF(ISNUMBER(SEARCH("2024",$AH$280)),IF(ISNUMBER(SEARCH("Single",$AH$281)),
IF(K311&lt;=11600,K311*0.1,
IF(K311&lt;=47150,1160+0.12*(K311-11600),
IF(K311&lt;=100525,5426+0.22*(K311-47150),
IF(K311&lt;=191950,17168.5+0.24*(K311-100525),
IF(K311&lt;=243725,39110.5+0.32*(K311-191950),
IF(K311&lt;=609350,55678.5+0.35*(K311-243725),
183647.25+0.37*(K311-609350)
)
)
)
)
)
),IF(ISNUMBER(SEARCH("MFS",$AH$281)),
IF(K311&lt;=11600,K311*0.1,
IF(K311&lt;=47150,1160+0.12*(K311-11600),
IF(K311&lt;=100525,5426+0.22*(K311-47150),
IF(K311&lt;=191950,17168.5+0.24*(K311-100525),
IF(K311&lt;=243725,39110.5+0.32*(K311-191950),
IF(K311&lt;=365600,55678.5+0.35*(K311-243725),
97718+0.37*(K311-365600)
)
)
)
)
)
),IF(OR(ISNUMBER(SEARCH("MFJ",$AH$281)),ISNUMBER(SEARCH("QW",$AH$281))),
IF(K311&lt;=23200,K311*0.1,
IF(K311&lt;=94300,2320+0.12*(K311-23200),
IF(K311&lt;=201050,10924+0.22*(K311-94300),
IF(K311&lt;=383900,34202.4+0.24*(K311-201050),
IF(K311&lt;=487450,77750.8+0.32*(K311-383900),
IF(K311&lt;=731200,110998.4+0.35*(K311-487450),
198644.8+0.37*(K311-731200)
)
)
)
)
)
),IF(ISNUMBER(SEARCH("HOH",$AH$281)),
IF(K311&lt;=16550,K311*0.1,
IF(K311&lt;=63100,1655+0.12*(K311-16550),
IF(K311&lt;=100500,7215+0.22*(K311-63100),
IF(K311&lt;=191950,16279+0.24*(K311-100500),
IF(K311&lt;=243700,38195+0.32*(K311-191950),
IF(K311&lt;=609350,54919+0.35*(K311-243700),
176919+0.37*(K311-609350)
)
)
)
)
)
)))))))))</f>
        <v>0</v>
      </c>
      <c r="L328" s="58">
        <f>MAX(0,IF(ISNUMBER(SEARCH("2022",$AH$280)),IF(ISNUMBER(SEARCH("Single",$AH$281)),IF(L311&lt;=10275,L311*0.1,IF(L311&lt;=41775,1027.5+0.12*(L311-10275),IF(L311&lt;=89075,4807.5+0.22*(L311-41775),IF(L311&lt;=170050,15213.5+0.24*(L311-89075),IF(L311&lt;=215950,34647.5+0.32*(L311-170050),IF(L311&lt;=539900,49335.5+0.35*(L311-215950),162718+0.37*(L311-539900))
)
)
)
)
),IF(OR(ISNUMBER(SEARCH("MFJ",$AH$281)),ISNUMBER(SEARCH("QW",$AH$281))),IF(L311&lt;=20550,L311*0.1,IF(L311&lt;=83550,2055+0.12*(L311-20550),IF(L311&lt;=178150,9615+0.22*(L311-83550),IF(L311&lt;=340100,30427+0.24*(L311-178150),IF(L311&lt;=431900,69295+0.32*(L311-340100),IF(L311&lt;=647850,98671+0.35*(L311-431900),174253.5+0.37*(L311-647850))
)
)
)
)
),IF(ISNUMBER(SEARCH("MFS",$AH$281)),IF(L311&lt;=10275,L311*0.1,IF(L311&lt;=41775,1027.5+0.12*(L311-10275),IF(L311&lt;=89075,4807.5+0.22*(L311-41775),IF(L311&lt;=170050,15213.5+0.24*(L311-89075),IF(L311&lt;=215950,34647.5+0.32*(L311-170050),IF(L311&lt;=323925,49335.5+0.35*(L311-215950),87126.75+0.37*(L311-323925))
)
)
)
)
),IF(ISNUMBER(SEARCH("HOH",$AH$281)),IF(L311&lt;=14650,L311*0.1,IF(L311&lt;=55900,1465+0.12*(L311-14650),IF(L311&lt;=89050,6415+0.22*(L311-55900),IF(L311&lt;=170050,13708+0.24*(L311-89050),IF(L311&lt;=215950,33148+0.32*(L311-170050),IF(L311&lt;=539900,47836+0.35*(L311-215950),161218.5+0.37*(L311-539900))
)
)
)
)
),""
)
)
)
),IF(ISNUMBER(SEARCH("2023",$AH$280)),IF(ISNUMBER(SEARCH("Single",$AH$281)),IF(L311&lt;=11000,L311*0.1,IF(L311&lt;=44725,1100+0.12*(L311-11000),IF(L311&lt;=95375,5147+0.22*(L311-44725),IF(L311&lt;=182100,16290+0.24*(L311-95375),IF(L311&lt;=231250,37104+0.32*(L311-182100),IF(L311&lt;=578125,52832+0.35*(L311-231250),174238.25+0.37*(L311-578125))
)
)
)
)
),IF(OR(ISNUMBER(SEARCH("MFJ",$AH$281)),ISNUMBER(SEARCH("QW",$AH$281))),IF(L311&lt;=22000,L311*0.1,IF(L311&lt;=89450,2200+0.12*(L311-22000),IF(L311&lt;=190750,10294+0.22*(L311-89450),IF(L311&lt;=364200,32580+0.24*(L311-190750),IF(L311&lt;=462500,74208+0.32*(L311-364200),IF(L311&lt;=693750,105664+0.35*(L311-462500),186601.5+0.37*(L311-693750))
)
)
)
)
),IF(ISNUMBER(SEARCH("MFS",$AH$281)),IF(L311&lt;=11000,L311*0.1,IF(L311&lt;=44725,1100+0.12*(L311-11000),IF(L311&lt;=95375,5147+0.22*(L311-44725),IF(L311&lt;=182100,16290+0.24*(L311-95375),IF(L311&lt;=231250,37104+0.32*(L311-182100),IF(L311&lt;=346875,52832+0.35*(L311-231250),93300.75+0.37*(L311-346875))
)
)
)
)
),IF(ISNUMBER(SEARCH("HOH",$AH$281)),IF(L311&lt;=15700,L311*0.1,IF(L311&lt;=59850,1570+0.12*(L311-15700),IF(L311&lt;=95350,6868+0.22*(L311-59850),IF(L311&lt;=182100,14678+0.24*(L311-95350),IF(L311&lt;=231250,35498+0.32*(L311-182100),IF(L311&lt;=578100,51226+0.35*(L311-231250),172623.5+0.37*(L311-578100))
)
)
)
)
),""
)
)
)
),IF(ISNUMBER(SEARCH("2024",$AH$280)),IF(ISNUMBER(SEARCH("Single",$AH$281)),
IF(L311&lt;=11600,L311*0.1,
IF(L311&lt;=47150,1160+0.12*(L311-11600),
IF(L311&lt;=100525,5426+0.22*(L311-47150),
IF(L311&lt;=191950,17168.5+0.24*(L311-100525),
IF(L311&lt;=243725,39110.5+0.32*(L311-191950),
IF(L311&lt;=609350,55678.5+0.35*(L311-243725),
183647.25+0.37*(L311-609350)
)
)
)
)
)
),IF(ISNUMBER(SEARCH("MFS",$AH$281)),
IF(L311&lt;=11600,L311*0.1,
IF(L311&lt;=47150,1160+0.12*(L311-11600),
IF(L311&lt;=100525,5426+0.22*(L311-47150),
IF(L311&lt;=191950,17168.5+0.24*(L311-100525),
IF(L311&lt;=243725,39110.5+0.32*(L311-191950),
IF(L311&lt;=365600,55678.5+0.35*(L311-243725),
97718+0.37*(L311-365600)
)
)
)
)
)
),IF(OR(ISNUMBER(SEARCH("MFJ",$AH$281)),ISNUMBER(SEARCH("QW",$AH$281))),
IF(L311&lt;=23200,L311*0.1,
IF(L311&lt;=94300,2320+0.12*(L311-23200),
IF(L311&lt;=201050,10924+0.22*(L311-94300),
IF(L311&lt;=383900,34202.4+0.24*(L311-201050),
IF(L311&lt;=487450,77750.8+0.32*(L311-383900),
IF(L311&lt;=731200,110998.4+0.35*(L311-487450),
198644.8+0.37*(L311-731200)
)
)
)
)
)
),IF(ISNUMBER(SEARCH("HOH",$AH$281)),
IF(L311&lt;=16550,L311*0.1,
IF(L311&lt;=63100,1655+0.12*(L311-16550),
IF(L311&lt;=100500,7215+0.22*(L311-63100),
IF(L311&lt;=191950,16279+0.24*(L311-100500),
IF(L311&lt;=243700,38195+0.32*(L311-191950),
IF(L311&lt;=609350,54919+0.35*(L311-243700),
176919+0.37*(L311-609350)
)
)
)
)
)
)))))))))</f>
        <v>0</v>
      </c>
      <c r="M328" s="58">
        <f>MAX(0,IF(ISNUMBER(SEARCH("2022",$AH$280)),IF(ISNUMBER(SEARCH("Single",$AH$281)),IF(M311&lt;=10275,M311*0.1,IF(M311&lt;=41775,1027.5+0.12*(M311-10275),IF(M311&lt;=89075,4807.5+0.22*(M311-41775),IF(M311&lt;=170050,15213.5+0.24*(M311-89075),IF(M311&lt;=215950,34647.5+0.32*(M311-170050),IF(M311&lt;=539900,49335.5+0.35*(M311-215950),162718+0.37*(M311-539900))
)
)
)
)
),IF(OR(ISNUMBER(SEARCH("MFJ",$AH$281)),ISNUMBER(SEARCH("QW",$AH$281))),IF(M311&lt;=20550,M311*0.1,IF(M311&lt;=83550,2055+0.12*(M311-20550),IF(M311&lt;=178150,9615+0.22*(M311-83550),IF(M311&lt;=340100,30427+0.24*(M311-178150),IF(M311&lt;=431900,69295+0.32*(M311-340100),IF(M311&lt;=647850,98671+0.35*(M311-431900),174253.5+0.37*(M311-647850))
)
)
)
)
),IF(ISNUMBER(SEARCH("MFS",$AH$281)),IF(M311&lt;=10275,M311*0.1,IF(M311&lt;=41775,1027.5+0.12*(M311-10275),IF(M311&lt;=89075,4807.5+0.22*(M311-41775),IF(M311&lt;=170050,15213.5+0.24*(M311-89075),IF(M311&lt;=215950,34647.5+0.32*(M311-170050),IF(M311&lt;=323925,49335.5+0.35*(M311-215950),87126.75+0.37*(M311-323925))
)
)
)
)
),IF(ISNUMBER(SEARCH("HOH",$AH$281)),IF(M311&lt;=14650,M311*0.1,IF(M311&lt;=55900,1465+0.12*(M311-14650),IF(M311&lt;=89050,6415+0.22*(M311-55900),IF(M311&lt;=170050,13708+0.24*(M311-89050),IF(M311&lt;=215950,33148+0.32*(M311-170050),IF(M311&lt;=539900,47836+0.35*(M311-215950),161218.5+0.37*(M311-539900))
)
)
)
)
),""
)
)
)
),IF(ISNUMBER(SEARCH("2023",$AH$280)),IF(ISNUMBER(SEARCH("Single",$AH$281)),IF(M311&lt;=11000,M311*0.1,IF(M311&lt;=44725,1100+0.12*(M311-11000),IF(M311&lt;=95375,5147+0.22*(M311-44725),IF(M311&lt;=182100,16290+0.24*(M311-95375),IF(M311&lt;=231250,37104+0.32*(M311-182100),IF(M311&lt;=578125,52832+0.35*(M311-231250),174238.25+0.37*(M311-578125))
)
)
)
)
),IF(OR(ISNUMBER(SEARCH("MFJ",$AH$281)),ISNUMBER(SEARCH("QW",$AH$281))),IF(M311&lt;=22000,M311*0.1,IF(M311&lt;=89450,2200+0.12*(M311-22000),IF(M311&lt;=190750,10294+0.22*(M311-89450),IF(M311&lt;=364200,32580+0.24*(M311-190750),IF(M311&lt;=462500,74208+0.32*(M311-364200),IF(M311&lt;=693750,105664+0.35*(M311-462500),186601.5+0.37*(M311-693750))
)
)
)
)
),IF(ISNUMBER(SEARCH("MFS",$AH$281)),IF(M311&lt;=11000,M311*0.1,IF(M311&lt;=44725,1100+0.12*(M311-11000),IF(M311&lt;=95375,5147+0.22*(M311-44725),IF(M311&lt;=182100,16290+0.24*(M311-95375),IF(M311&lt;=231250,37104+0.32*(M311-182100),IF(M311&lt;=346875,52832+0.35*(M311-231250),93300.75+0.37*(M311-346875))
)
)
)
)
),IF(ISNUMBER(SEARCH("HOH",$AH$281)),IF(M311&lt;=15700,M311*0.1,IF(M311&lt;=59850,1570+0.12*(M311-15700),IF(M311&lt;=95350,6868+0.22*(M311-59850),IF(M311&lt;=182100,14678+0.24*(M311-95350),IF(M311&lt;=231250,35498+0.32*(M311-182100),IF(M311&lt;=578100,51226+0.35*(M311-231250),172623.5+0.37*(M311-578100))
)
)
)
)
),""
)
)
)
),IF(ISNUMBER(SEARCH("2024",$AH$280)),IF(ISNUMBER(SEARCH("Single",$AH$281)),
IF(M311&lt;=11600,M311*0.1,
IF(M311&lt;=47150,1160+0.12*(M311-11600),
IF(M311&lt;=100525,5426+0.22*(M311-47150),
IF(M311&lt;=191950,17168.5+0.24*(M311-100525),
IF(M311&lt;=243725,39110.5+0.32*(M311-191950),
IF(M311&lt;=609350,55678.5+0.35*(M311-243725),
183647.25+0.37*(M311-609350)
)
)
)
)
)
),IF(ISNUMBER(SEARCH("MFS",$AH$281)),
IF(M311&lt;=11600,M311*0.1,
IF(M311&lt;=47150,1160+0.12*(M311-11600),
IF(M311&lt;=100525,5426+0.22*(M311-47150),
IF(M311&lt;=191950,17168.5+0.24*(M311-100525),
IF(M311&lt;=243725,39110.5+0.32*(M311-191950),
IF(M311&lt;=365600,55678.5+0.35*(M311-243725),
97718+0.37*(M311-365600)
)
)
)
)
)
),IF(OR(ISNUMBER(SEARCH("MFJ",$AH$281)),ISNUMBER(SEARCH("QW",$AH$281))),
IF(M311&lt;=23200,M311*0.1,
IF(M311&lt;=94300,2320+0.12*(M311-23200),
IF(M311&lt;=201050,10924+0.22*(M311-94300),
IF(M311&lt;=383900,34202.4+0.24*(M311-201050),
IF(M311&lt;=487450,77750.8+0.32*(M311-383900),
IF(M311&lt;=731200,110998.4+0.35*(M311-487450),
198644.8+0.37*(M311-731200)
)
)
)
)
)
),IF(ISNUMBER(SEARCH("HOH",$AH$281)),
IF(M311&lt;=16550,M311*0.1,
IF(M311&lt;=63100,1655+0.12*(M311-16550),
IF(M311&lt;=100500,7215+0.22*(M311-63100),
IF(M311&lt;=191950,16279+0.24*(M311-100500),
IF(M311&lt;=243700,38195+0.32*(M311-191950),
IF(M311&lt;=609350,54919+0.35*(M311-243700),
176919+0.37*(M311-609350)
)
)
)
)
)
)))))))))</f>
        <v>0</v>
      </c>
      <c r="AC328" s="198"/>
      <c r="AD328" s="198"/>
      <c r="AE328" s="198"/>
      <c r="AF328" s="184" t="s">
        <v>345</v>
      </c>
      <c r="AG328" s="184" t="s">
        <v>492</v>
      </c>
      <c r="AH328" s="188">
        <f>AH327*0.9235</f>
        <v>0</v>
      </c>
    </row>
    <row r="329" spans="1:34" x14ac:dyDescent="0.25">
      <c r="A329" t="s">
        <v>466</v>
      </c>
      <c r="B329" s="263">
        <f>B328+B327+B324</f>
        <v>0</v>
      </c>
      <c r="C329" s="263">
        <f t="shared" ref="C329:I329" si="969">C328+C327+C324</f>
        <v>0</v>
      </c>
      <c r="D329" s="263">
        <f t="shared" si="969"/>
        <v>0</v>
      </c>
      <c r="E329" s="263">
        <f t="shared" si="969"/>
        <v>0</v>
      </c>
      <c r="F329" s="263">
        <f t="shared" si="969"/>
        <v>0</v>
      </c>
      <c r="G329" s="263">
        <f t="shared" si="969"/>
        <v>0</v>
      </c>
      <c r="H329" s="263">
        <f t="shared" si="969"/>
        <v>0</v>
      </c>
      <c r="I329" s="264">
        <f t="shared" si="969"/>
        <v>0</v>
      </c>
      <c r="J329" s="264" t="e">
        <f t="shared" ref="J329" si="970">J328+J327+J324</f>
        <v>#VALUE!</v>
      </c>
      <c r="K329" s="264">
        <f>K328+K327+K324</f>
        <v>-3285</v>
      </c>
      <c r="L329" s="264">
        <f t="shared" ref="L329" si="971">L328+L327+L324</f>
        <v>-3285</v>
      </c>
      <c r="M329" s="264">
        <f>M328+M327+M324</f>
        <v>-3285</v>
      </c>
      <c r="AC329" s="198"/>
      <c r="AD329" s="198"/>
      <c r="AE329" s="198"/>
      <c r="AF329" s="183" t="s">
        <v>339</v>
      </c>
      <c r="AG329" s="183" t="s">
        <v>347</v>
      </c>
      <c r="AH329" s="186">
        <f>IF(AH$280=2022, MIN(AH324,147000)*0.062,
   IF(AH$280=2023, MIN(AH324,160200)*0.062,
      IF(AH$280=2024, MIN(AH324,168600)*0.062,
         "-"
      )
   )
)</f>
        <v>0</v>
      </c>
    </row>
    <row r="330" spans="1:34" ht="15.75" thickBot="1" x14ac:dyDescent="0.3">
      <c r="A330" t="s">
        <v>467</v>
      </c>
      <c r="B330" s="265">
        <f t="shared" ref="B330:H330" si="972">MAX(0,IF(ISNUMBER(SEARCH("2022",B1)),IF(ISNUMBER(SEARCH("Single",B2)),IF(B80&lt;=10275,B80*0.1,IF(B80&lt;=41775,1027.5+0.12*(B80-10275),IF(B80&lt;=89075,4807.5+0.22*(B80-41775),IF(B80&lt;=170050,15213.5+0.24*(B80-89075),IF(B80&lt;=215950,34647.5+0.32*(B80-170050),IF(B80&lt;=539900,49335.5+0.35*(B80-215950),162718+0.37*(B80-539900))
)
)
)
)
),IF(OR(ISNUMBER(SEARCH("MFJ",B2)),ISNUMBER(SEARCH("QW",B2))),IF(B80&lt;=20550,B80*0.1,IF(B80&lt;=83550,2055+0.12*(B80-20550),IF(B80&lt;=178150,9615+0.22*(B80-83550),IF(B80&lt;=340100,30427+0.24*(B80-178150),IF(B80&lt;=431900,69295+0.32*(B80-340100),IF(B80&lt;=647850,98671+0.35*(B80-431900),174253.5+0.37*(B80-647850))
)
)
)
)
),IF(ISNUMBER(SEARCH("MFS",B2)),IF(B80&lt;=10275,B80*0.1,IF(B80&lt;=41775,1027.5+0.12*(B80-10275),IF(B80&lt;=89075,4807.5+0.22*(B80-41775),IF(B80&lt;=170050,15213.5+0.24*(B80-89075),IF(B80&lt;=215950,34647.5+0.32*(B80-170050),IF(B80&lt;=323925,49335.5+0.35*(B80-215950),87126.75+0.37*(B80-323925))
)
)
)
)
),IF(ISNUMBER(SEARCH("HOH",B2)),IF(B80&lt;=14650,B80*0.1,IF(B80&lt;=55900,1465+0.12*(B80-14650),IF(B80&lt;=89050,6415+0.22*(B80-55900),IF(B80&lt;=170050,13708+0.24*(B80-89050),IF(B80&lt;=215950,33148+0.32*(B80-170050),IF(B80&lt;=539900,47836+0.35*(B80-215950),161218.5+0.37*(B80-539900))
)
)
)
)
),""
)
)
)
),IF(ISNUMBER(SEARCH("2023",B1)),IF(ISNUMBER(SEARCH("Single",B2)),IF(B80&lt;=11000,B80*0.1,IF(B80&lt;=44725,1100+0.12*(B80-11000),IF(B80&lt;=95375,5147+0.22*(B80-44725),IF(B80&lt;=182100,16290+0.24*(B80-95375),IF(B80&lt;=231250,37104+0.32*(B80-182100),IF(B80&lt;=578125,52832+0.35*(B80-231250),174238.25+0.37*(B80-578125))
)
)
)
)
),IF(OR(ISNUMBER(SEARCH("MFJ",B2)),ISNUMBER(SEARCH("QW",B2))),IF(B80&lt;=22000,B80*0.1,IF(B80&lt;=89450,2200+0.12*(B80-22000),IF(B80&lt;=190750,10294+0.22*(B80-89450),IF(B80&lt;=364200,32580+0.24*(B80-190750),IF(B80&lt;=462500,74208+0.32*(B80-364200),IF(B80&lt;=693750,105664+0.35*(B80-462500),186601.5+0.37*(B80-693750))
)
)
)
)
),IF(ISNUMBER(SEARCH("MFS",B2)),IF(B80&lt;=11000,B80*0.1,IF(B80&lt;=44725,1100+0.12*(B80-11000),IF(B80&lt;=95375,5147+0.22*(B80-44725),IF(B80&lt;=182100,16290+0.24*(B80-95375),IF(B80&lt;=231250,37104+0.32*(B80-182100),IF(B80&lt;=346875,52832+0.35*(B80-231250),93300.75+0.37*(B80-346875))
)
)
)
)
),IF(ISNUMBER(SEARCH("HOH",B2)),IF(B80&lt;=15700,B80*0.1,IF(B80&lt;=59850,1570+0.12*(B80-15700),IF(B80&lt;=95350,6868+0.22*(B80-59850),IF(B80&lt;=182100,14678+0.24*(B80-95350),IF(B80&lt;=231250,35498+0.32*(B80-182100),IF(B80&lt;=578100,51226+0.35*(B80-231250),172623.5+0.37*(B80-578100))
)
)
)
)
),""
)
)
)
),IF(ISNUMBER(SEARCH("2024",B1)),IF(ISNUMBER(SEARCH("Single",B2)),
IF(B80&lt;=11600,B80*0.1,
IF(B80&lt;=47150,1160+0.12*(B80-11600),
IF(B80&lt;=100525,5426+0.22*(B80-47150),
IF(B80&lt;=191950,17168.5+0.24*(B80-100525),
IF(B80&lt;=243725,39110.5+0.32*(B80-191950),
IF(B80&lt;=609350,55678.5+0.35*(B80-243725),
183647.25+0.37*(B80-609350)
)
)
)
)
)
),IF(ISNUMBER(SEARCH("MFS",B2)),
IF(B80&lt;=11600,B80*0.1,
IF(B80&lt;=47150,1160+0.12*(B80-11600),
IF(B80&lt;=100525,5426+0.22*(B80-47150),
IF(B80&lt;=191950,17168.5+0.24*(B80-100525),
IF(B80&lt;=243725,39110.5+0.32*(B80-191950),
IF(B80&lt;=365600,55678.5+0.35*(B80-243725),
97718+0.37*(B80-365600)
)
)
)
)
)
),IF(OR(ISNUMBER(SEARCH("MFJ",B2)),ISNUMBER(SEARCH("QW",B2))),
IF(B80&lt;=23200,B80*0.1,
IF(B80&lt;=94300,2320+0.12*(B80-23200),
IF(B80&lt;=201050,10924+0.22*(B80-94300),
IF(B80&lt;=383900,34202.4+0.24*(B80-201050),
IF(B80&lt;=487450,77750.8+0.32*(B80-383900),
IF(B80&lt;=731200,110998.4+0.35*(B80-487450),
198644.8+0.37*(B80-731200)
)
)
)
)
)
),IF(ISNUMBER(SEARCH("HOH",B2)),
IF(B80&lt;=16550,B80*0.1,
IF(B80&lt;=63100,1655+0.12*(B80-16550),
IF(B80&lt;=100500,7215+0.22*(B80-63100),
IF(B80&lt;=191950,16279+0.24*(B80-100500),
IF(B80&lt;=243700,38195+0.32*(B80-191950),
IF(B80&lt;=609350,54919+0.35*(B80-243700),
176919+0.37*(B80-609350)
)
)
)
)
)
)))))))))</f>
        <v>0</v>
      </c>
      <c r="C330" s="265">
        <f t="shared" si="972"/>
        <v>0</v>
      </c>
      <c r="D330" s="265">
        <f t="shared" si="972"/>
        <v>0</v>
      </c>
      <c r="E330" s="265">
        <f t="shared" si="972"/>
        <v>0</v>
      </c>
      <c r="F330" s="265">
        <f t="shared" si="972"/>
        <v>0</v>
      </c>
      <c r="G330" s="265">
        <f t="shared" si="972"/>
        <v>0</v>
      </c>
      <c r="H330" s="265">
        <f t="shared" si="972"/>
        <v>0</v>
      </c>
      <c r="I330" s="266">
        <f>MAX(0,IF(ISNUMBER(SEARCH("2022",I1)),IF(ISNUMBER(SEARCH("Single",I2)),IF(I80&lt;=10275,I80*0.1,IF(I80&lt;=41775,1027.5+0.12*(I80-10275),IF(I80&lt;=89075,4807.5+0.22*(I80-41775),IF(I80&lt;=170050,15213.5+0.24*(I80-89075),IF(I80&lt;=215950,34647.5+0.32*(I80-170050),IF(I80&lt;=539900,49335.5+0.35*(I80-215950),162718+0.37*(I80-539900))
)
)
)
)
),IF(OR(ISNUMBER(SEARCH("MFJ",I2)),ISNUMBER(SEARCH("QW",I2))),IF(I80&lt;=20550,I80*0.1,IF(I80&lt;=83550,2055+0.12*(I80-20550),IF(I80&lt;=178150,9615+0.22*(I80-83550),IF(I80&lt;=340100,30427+0.24*(I80-178150),IF(I80&lt;=431900,69295+0.32*(I80-340100),IF(I80&lt;=647850,98671+0.35*(I80-431900),174253.5+0.37*(I80-647850))
)
)
)
)
),IF(ISNUMBER(SEARCH("MFS",I2)),IF(I80&lt;=10275,I80*0.1,IF(I80&lt;=41775,1027.5+0.12*(I80-10275),IF(I80&lt;=89075,4807.5+0.22*(I80-41775),IF(I80&lt;=170050,15213.5+0.24*(I80-89075),IF(I80&lt;=215950,34647.5+0.32*(I80-170050),IF(I80&lt;=323925,49335.5+0.35*(I80-215950),87126.75+0.37*(I80-323925))
)
)
)
)
),IF(ISNUMBER(SEARCH("HOH",I2)),IF(I80&lt;=14650,I80*0.1,IF(I80&lt;=55900,1465+0.12*(I80-14650),IF(I80&lt;=89050,6415+0.22*(I80-55900),IF(I80&lt;=170050,13708+0.24*(I80-89050),IF(I80&lt;=215950,33148+0.32*(I80-170050),IF(I80&lt;=539900,47836+0.35*(I80-215950),161218.5+0.37*(I80-539900))
)
)
)
)
),""
)
)
)
),IF(ISNUMBER(SEARCH("2023",I1)),IF(ISNUMBER(SEARCH("Single",I2)),IF(I80&lt;=11000,I80*0.1,IF(I80&lt;=44725,1100+0.12*(I80-11000),IF(I80&lt;=95375,5147+0.22*(I80-44725),IF(I80&lt;=182100,16290+0.24*(I80-95375),IF(I80&lt;=231250,37104+0.32*(I80-182100),IF(I80&lt;=578125,52832+0.35*(I80-231250),174238.25+0.37*(I80-578125))
)
)
)
)
),IF(OR(ISNUMBER(SEARCH("MFJ",I2)),ISNUMBER(SEARCH("QW",I2))),IF(I80&lt;=22000,I80*0.1,IF(I80&lt;=89450,2200+0.12*(I80-22000),IF(I80&lt;=190750,10294+0.22*(I80-89450),IF(I80&lt;=364200,32580+0.24*(I80-190750),IF(I80&lt;=462500,74208+0.32*(I80-364200),IF(I80&lt;=693750,105664+0.35*(I80-462500),186601.5+0.37*(I80-693750))
)
)
)
)
),IF(ISNUMBER(SEARCH("MFS",I2)),IF(I80&lt;=11000,I80*0.1,IF(I80&lt;=44725,1100+0.12*(I80-11000),IF(I80&lt;=95375,5147+0.22*(I80-44725),IF(I80&lt;=182100,16290+0.24*(I80-95375),IF(I80&lt;=231250,37104+0.32*(I80-182100),IF(I80&lt;=346875,52832+0.35*(I80-231250),93300.75+0.37*(I80-346875))
)
)
)
)
),IF(ISNUMBER(SEARCH("HOH",I2)),IF(I80&lt;=15700,I80*0.1,IF(I80&lt;=59850,1570+0.12*(I80-15700),IF(I80&lt;=95350,6868+0.22*(I80-59850),IF(I80&lt;=182100,14678+0.24*(I80-95350),IF(I80&lt;=231250,35498+0.32*(I80-182100),IF(I80&lt;=578100,51226+0.35*(I80-231250),172623.5+0.37*(I80-578100))
)
)
)
)
),""
)
)
)
),IF(ISNUMBER(SEARCH("2024",I1)),IF(ISNUMBER(SEARCH("Single",I2)),
IF(I80&lt;=11600,I80*0.1,
IF(I80&lt;=47150,1160+0.12*(I80-11600),
IF(I80&lt;=100525,5426+0.22*(I80-47150),
IF(I80&lt;=191950,17168.5+0.24*(I80-100525),
IF(I80&lt;=243725,39110.5+0.32*(I80-191950),
IF(I80&lt;=609350,55678.5+0.35*(I80-243725),
183647.25+0.37*(I80-609350)
)
)
)
)
)
),IF(ISNUMBER(SEARCH("MFS",I2)),
IF(I80&lt;=11600,I80*0.1,
IF(I80&lt;=47150,1160+0.12*(I80-11600),
IF(I80&lt;=100525,5426+0.22*(I80-47150),
IF(I80&lt;=191950,17168.5+0.24*(I80-100525),
IF(I80&lt;=243725,39110.5+0.32*(I80-191950),
IF(I80&lt;=365600,55678.5+0.35*(I80-243725),
97718+0.37*(I80-365600)
)
)
)
)
)
),IF(OR(ISNUMBER(SEARCH("MFJ",I2)),ISNUMBER(SEARCH("QW",I2))),
IF(I80&lt;=23200,I80*0.1,
IF(I80&lt;=94300,2320+0.12*(I80-23200),
IF(I80&lt;=201050,10924+0.22*(I80-94300),
IF(I80&lt;=383900,34202.4+0.24*(I80-201050),
IF(I80&lt;=487450,77750.8+0.32*(I80-383900),
IF(I80&lt;=731200,110998.4+0.35*(I80-487450),
198644.8+0.37*(I80-731200)
)
)
)
)
)
),IF(ISNUMBER(SEARCH("HOH",I2)),
IF(I80&lt;=16550,I80*0.1,
IF(I80&lt;=63100,1655+0.12*(I80-16550),
IF(I80&lt;=100500,7215+0.22*(I80-63100),
IF(I80&lt;=191950,16279+0.24*(I80-100500),
IF(I80&lt;=243700,38195+0.32*(I80-191950),
IF(I80&lt;=609350,54919+0.35*(I80-243700),
176919+0.37*(I80-609350)
)
)
)
)
)
)))))))))</f>
        <v>0</v>
      </c>
      <c r="J330" s="266">
        <f>MAX(0,IF(ISNUMBER(SEARCH("2022",J1)),IF(ISNUMBER(SEARCH("Single",J2)),IF(J80&lt;=10275,J80*0.1,IF(J80&lt;=41775,1027.5+0.12*(J80-10275),IF(J80&lt;=89075,4807.5+0.22*(J80-41775),IF(J80&lt;=170050,15213.5+0.24*(J80-89075),IF(J80&lt;=215950,34647.5+0.32*(J80-170050),IF(J80&lt;=539900,49335.5+0.35*(J80-215950),162718+0.37*(J80-539900))
)
)
)
)
),IF(OR(ISNUMBER(SEARCH("MFJ",J2)),ISNUMBER(SEARCH("QW",J2))),IF(J80&lt;=20550,J80*0.1,IF(J80&lt;=83550,2055+0.12*(J80-20550),IF(J80&lt;=178150,9615+0.22*(J80-83550),IF(J80&lt;=340100,30427+0.24*(J80-178150),IF(J80&lt;=431900,69295+0.32*(J80-340100),IF(J80&lt;=647850,98671+0.35*(J80-431900),174253.5+0.37*(J80-647850))
)
)
)
)
),IF(ISNUMBER(SEARCH("MFS",J2)),IF(J80&lt;=10275,J80*0.1,IF(J80&lt;=41775,1027.5+0.12*(J80-10275),IF(J80&lt;=89075,4807.5+0.22*(J80-41775),IF(J80&lt;=170050,15213.5+0.24*(J80-89075),IF(J80&lt;=215950,34647.5+0.32*(J80-170050),IF(J80&lt;=323925,49335.5+0.35*(J80-215950),87126.75+0.37*(J80-323925))
)
)
)
)
),IF(ISNUMBER(SEARCH("HOH",J2)),IF(J80&lt;=14650,J80*0.1,IF(J80&lt;=55900,1465+0.12*(J80-14650),IF(J80&lt;=89050,6415+0.22*(J80-55900),IF(J80&lt;=170050,13708+0.24*(J80-89050),IF(J80&lt;=215950,33148+0.32*(J80-170050),IF(J80&lt;=539900,47836+0.35*(J80-215950),161218.5+0.37*(J80-539900))
)
)
)
)
),""
)
)
)
),IF(ISNUMBER(SEARCH("2023",J1)),IF(ISNUMBER(SEARCH("Single",J2)),IF(J80&lt;=11000,J80*0.1,IF(J80&lt;=44725,1100+0.12*(J80-11000),IF(J80&lt;=95375,5147+0.22*(J80-44725),IF(J80&lt;=182100,16290+0.24*(J80-95375),IF(J80&lt;=231250,37104+0.32*(J80-182100),IF(J80&lt;=578125,52832+0.35*(J80-231250),174238.25+0.37*(J80-578125))
)
)
)
)
),IF(OR(ISNUMBER(SEARCH("MFJ",J2)),ISNUMBER(SEARCH("QW",J2))),IF(J80&lt;=22000,J80*0.1,IF(J80&lt;=89450,2200+0.12*(J80-22000),IF(J80&lt;=190750,10294+0.22*(J80-89450),IF(J80&lt;=364200,32580+0.24*(J80-190750),IF(J80&lt;=462500,74208+0.32*(J80-364200),IF(J80&lt;=693750,105664+0.35*(J80-462500),186601.5+0.37*(J80-693750))
)
)
)
)
),IF(ISNUMBER(SEARCH("MFS",J2)),IF(J80&lt;=11000,J80*0.1,IF(J80&lt;=44725,1100+0.12*(J80-11000),IF(J80&lt;=95375,5147+0.22*(J80-44725),IF(J80&lt;=182100,16290+0.24*(J80-95375),IF(J80&lt;=231250,37104+0.32*(J80-182100),IF(J80&lt;=346875,52832+0.35*(J80-231250),93300.75+0.37*(J80-346875))
)
)
)
)
),IF(ISNUMBER(SEARCH("HOH",J2)),IF(J80&lt;=15700,J80*0.1,IF(J80&lt;=59850,1570+0.12*(J80-15700),IF(J80&lt;=95350,6868+0.22*(J80-59850),IF(J80&lt;=182100,14678+0.24*(J80-95350),IF(J80&lt;=231250,35498+0.32*(J80-182100),IF(J80&lt;=578100,51226+0.35*(J80-231250),172623.5+0.37*(J80-578100))
)
)
)
)
),""
)
)
)
),IF(ISNUMBER(SEARCH("2024",J1)),IF(ISNUMBER(SEARCH("Single",J2)),
IF(J80&lt;=11600,J80*0.1,
IF(J80&lt;=47150,1160+0.12*(J80-11600),
IF(J80&lt;=100525,5426+0.22*(J80-47150),
IF(J80&lt;=191950,17168.5+0.24*(J80-100525),
IF(J80&lt;=243725,39110.5+0.32*(J80-191950),
IF(J80&lt;=609350,55678.5+0.35*(J80-243725),
183647.25+0.37*(J80-609350)
)
)
)
)
)
),IF(ISNUMBER(SEARCH("MFS",J2)),
IF(J80&lt;=11600,J80*0.1,
IF(J80&lt;=47150,1160+0.12*(J80-11600),
IF(J80&lt;=100525,5426+0.22*(J80-47150),
IF(J80&lt;=191950,17168.5+0.24*(J80-100525),
IF(J80&lt;=243725,39110.5+0.32*(J80-191950),
IF(J80&lt;=365600,55678.5+0.35*(J80-243725),
97718+0.37*(J80-365600)
)
)
)
)
)
),IF(OR(ISNUMBER(SEARCH("MFJ",J2)),ISNUMBER(SEARCH("QW",J2))),
IF(J80&lt;=23200,J80*0.1,
IF(J80&lt;=94300,2320+0.12*(J80-23200),
IF(J80&lt;=201050,10924+0.22*(J80-94300),
IF(J80&lt;=383900,34202.4+0.24*(J80-201050),
IF(J80&lt;=487450,77750.8+0.32*(J80-383900),
IF(J80&lt;=731200,110998.4+0.35*(J80-487450),
198644.8+0.37*(J80-731200)
)
)
)
)
)
),IF(ISNUMBER(SEARCH("HOH",J2)),
IF(J80&lt;=16550,J80*0.1,
IF(J80&lt;=63100,1655+0.12*(J80-16550),
IF(J80&lt;=100500,7215+0.22*(J80-63100),
IF(J80&lt;=191950,16279+0.24*(J80-100500),
IF(J80&lt;=243700,38195+0.32*(J80-191950),
IF(J80&lt;=609350,54919+0.35*(J80-243700),
176919+0.37*(J80-609350)
)
)
)
)
)
)))))))))</f>
        <v>0</v>
      </c>
      <c r="K330" s="266">
        <f>MAX(0,IF(ISNUMBER(SEARCH("2022",$AH$280)),IF(ISNUMBER(SEARCH("Single",$AH$281)),IF(AH365&lt;=10275,AH365*0.1,IF(AH365&lt;=41775,1027.5+0.12*(AH365-10275),IF(AH365&lt;=89075,4807.5+0.22*(AH365-41775),IF(AH365&lt;=170050,15213.5+0.24*(AH365-89075),IF(AH365&lt;=215950,34647.5+0.32*(AH365-170050),IF(AH365&lt;=539900,49335.5+0.35*(AH365-215950),162718+0.37*(AH365-539900))
)
)
)
)
),IF(OR(ISNUMBER(SEARCH("MFJ",$AH$281)),ISNUMBER(SEARCH("QW",$AH$281))),IF(AH365&lt;=20550,AH365*0.1,IF(AH365&lt;=83550,2055+0.12*(AH365-20550),IF(AH365&lt;=178150,9615+0.22*(AH365-83550),IF(AH365&lt;=340100,30427+0.24*(AH365-178150),IF(AH365&lt;=431900,69295+0.32*(AH365-340100),IF(AH365&lt;=647850,98671+0.35*(AH365-431900),174253.5+0.37*(AH365-647850))
)
)
)
)
),IF(ISNUMBER(SEARCH("MFS",$AH$281)),IF(AH365&lt;=10275,AH365*0.1,IF(AH365&lt;=41775,1027.5+0.12*(AH365-10275),IF(AH365&lt;=89075,4807.5+0.22*(AH365-41775),IF(AH365&lt;=170050,15213.5+0.24*(AH365-89075),IF(AH365&lt;=215950,34647.5+0.32*(AH365-170050),IF(AH365&lt;=323925,49335.5+0.35*(AH365-215950),87126.75+0.37*(AH365-323925))
)
)
)
)
),IF(ISNUMBER(SEARCH("HOH",$AH$281)),IF(AH365&lt;=14650,AH365*0.1,IF(AH365&lt;=55900,1465+0.12*(AH365-14650),IF(AH365&lt;=89050,6415+0.22*(AH365-55900),IF(AH365&lt;=170050,13708+0.24*(AH365-89050),IF(AH365&lt;=215950,33148+0.32*(AH365-170050),IF(AH365&lt;=539900,47836+0.35*(AH365-215950),161218.5+0.37*(AH365-539900))
)
)
)
)
),""
)
)
)
),IF(ISNUMBER(SEARCH("2023",$AH$280)),IF(ISNUMBER(SEARCH("Single",$AH$281)),IF(AH365&lt;=11000,AH365*0.1,IF(AH365&lt;=44725,1100+0.12*(AH365-11000),IF(AH365&lt;=95375,5147+0.22*(AH365-44725),IF(AH365&lt;=182100,16290+0.24*(AH365-95375),IF(AH365&lt;=231250,37104+0.32*(AH365-182100),IF(AH365&lt;=578125,52832+0.35*(AH365-231250),174238.25+0.37*(AH365-578125))
)
)
)
)
),IF(OR(ISNUMBER(SEARCH("MFJ",$AH$281)),ISNUMBER(SEARCH("QW",$AH$281))),IF(AH365&lt;=22000,AH365*0.1,IF(AH365&lt;=89450,2200+0.12*(AH365-22000),IF(AH365&lt;=190750,10294+0.22*(AH365-89450),IF(AH365&lt;=364200,32580+0.24*(AH365-190750),IF(AH365&lt;=462500,74208+0.32*(AH365-364200),IF(AH365&lt;=693750,105664+0.35*(AH365-462500),186601.5+0.37*(AH365-693750))
)
)
)
)
),IF(ISNUMBER(SEARCH("MFS",$AH$281)),IF(AH365&lt;=11000,AH365*0.1,IF(AH365&lt;=44725,1100+0.12*(AH365-11000),IF(AH365&lt;=95375,5147+0.22*(AH365-44725),IF(AH365&lt;=182100,16290+0.24*(AH365-95375),IF(AH365&lt;=231250,37104+0.32*(AH365-182100),IF(AH365&lt;=346875,52832+0.35*(AH365-231250),93300.75+0.37*(AH365-346875))
)
)
)
)
),IF(ISNUMBER(SEARCH("HOH",$AH$281)),IF(AH365&lt;=15700,AH365*0.1,IF(AH365&lt;=59850,1570+0.12*(AH365-15700),IF(AH365&lt;=95350,6868+0.22*(AH365-59850),IF(AH365&lt;=182100,14678+0.24*(AH365-95350),IF(AH365&lt;=231250,35498+0.32*(AH365-182100),IF(AH365&lt;=578100,51226+0.35*(AH365-231250),172623.5+0.37*(AH365-578100))
)
)
)
)
),""
)
)
)
),IF(ISNUMBER(SEARCH("2024",$AH$280)),IF(ISNUMBER(SEARCH("Single",$AH$281)),
IF(AH365&lt;=11600,AH365*0.1,
IF(AH365&lt;=47150,1160+0.12*(AH365-11600),
IF(AH365&lt;=100525,5426+0.22*(AH365-47150),
IF(AH365&lt;=191950,17168.5+0.24*(AH365-100525),
IF(AH365&lt;=243725,39110.5+0.32*(AH365-191950),
IF(AH365&lt;=609350,55678.5+0.35*(AH365-243725),
183647.25+0.37*(AH365-609350)
)
)
)
)
)
),IF(ISNUMBER(SEARCH("MFS",$AH$281)),
IF(AH365&lt;=11600,AH365*0.1,
IF(AH365&lt;=47150,1160+0.12*(AH365-11600),
IF(AH365&lt;=100525,5426+0.22*(AH365-47150),
IF(AH365&lt;=191950,17168.5+0.24*(AH365-100525),
IF(AH365&lt;=243725,39110.5+0.32*(AH365-191950),
IF(AH365&lt;=365600,55678.5+0.35*(AH365-243725),
97718+0.37*(AH365-365600)
)
)
)
)
)
),IF(OR(ISNUMBER(SEARCH("MFJ",$AH$281)),ISNUMBER(SEARCH("QW",$AH$281))),
IF(AH365&lt;=23200,AH365*0.1,
IF(AH365&lt;=94300,2320+0.12*(AH365-23200),
IF(AH365&lt;=201050,10924+0.22*(AH365-94300),
IF(AH365&lt;=383900,34202.4+0.24*(AH365-201050),
IF(AH365&lt;=487450,77750.8+0.32*(AH365-383900),
IF(AH365&lt;=731200,110998.4+0.35*(AH365-487450),
198644.8+0.37*(AH365-731200)
)
)
)
)
)
),IF(ISNUMBER(SEARCH("HOH",$AH$281)),
IF(AH365&lt;=16550,AH365*0.1,
IF(AH365&lt;=63100,1655+0.12*(AH365-16550),
IF(AH365&lt;=100500,7215+0.22*(AH365-63100),
IF(AH365&lt;=191950,16279+0.24*(AH365-100500),
IF(AH365&lt;=243700,38195+0.32*(AH365-191950),
IF(AH365&lt;=609350,54919+0.35*(AH365-243700),
176919+0.37*(AH365-609350)
)
)
)
)
)
)))))))))</f>
        <v>0</v>
      </c>
      <c r="L330" s="266">
        <f>MAX(0,IF(ISNUMBER(SEARCH("2022",$AH$280)),IF(ISNUMBER(SEARCH("Single",$AH$281)),IF(AH414&lt;=10275,AH414*0.1,IF(AH414&lt;=41775,1027.5+0.12*(AH414-10275),IF(AH414&lt;=89075,4807.5+0.22*(AH414-41775),IF(AH414&lt;=170050,15213.5+0.24*(AH414-89075),IF(AH414&lt;=215950,34647.5+0.32*(AH414-170050),IF(AH414&lt;=539900,49335.5+0.35*(AH414-215950),162718+0.37*(AH414-539900))
)
)
)
)
),IF(OR(ISNUMBER(SEARCH("MFJ",$AH$281)),ISNUMBER(SEARCH("QW",$AH$281))),IF(AH414&lt;=20550,AH414*0.1,IF(AH414&lt;=83550,2055+0.12*(AH414-20550),IF(AH414&lt;=178150,9615+0.22*(AH414-83550),IF(AH414&lt;=340100,30427+0.24*(AH414-178150),IF(AH414&lt;=431900,69295+0.32*(AH414-340100),IF(AH414&lt;=647850,98671+0.35*(AH414-431900),174253.5+0.37*(AH414-647850))
)
)
)
)
),IF(ISNUMBER(SEARCH("MFS",$AH$281)),IF(AH414&lt;=10275,AH414*0.1,IF(AH414&lt;=41775,1027.5+0.12*(AH414-10275),IF(AH414&lt;=89075,4807.5+0.22*(AH414-41775),IF(AH414&lt;=170050,15213.5+0.24*(AH414-89075),IF(AH414&lt;=215950,34647.5+0.32*(AH414-170050),IF(AH414&lt;=323925,49335.5+0.35*(AH414-215950),87126.75+0.37*(AH414-323925))
)
)
)
)
),IF(ISNUMBER(SEARCH("HOH",$AH$281)),IF(AH414&lt;=14650,AH414*0.1,IF(AH414&lt;=55900,1465+0.12*(AH414-14650),IF(AH414&lt;=89050,6415+0.22*(AH414-55900),IF(AH414&lt;=170050,13708+0.24*(AH414-89050),IF(AH414&lt;=215950,33148+0.32*(AH414-170050),IF(AH414&lt;=539900,47836+0.35*(AH414-215950),161218.5+0.37*(AH414-539900))
)
)
)
)
),""
)
)
)
),IF(ISNUMBER(SEARCH("2023",$AH$280)),IF(ISNUMBER(SEARCH("Single",$AH$281)),IF(AH414&lt;=11000,AH414*0.1,IF(AH414&lt;=44725,1100+0.12*(AH414-11000),IF(AH414&lt;=95375,5147+0.22*(AH414-44725),IF(AH414&lt;=182100,16290+0.24*(AH414-95375),IF(AH414&lt;=231250,37104+0.32*(AH414-182100),IF(AH414&lt;=578125,52832+0.35*(AH414-231250),174238.25+0.37*(AH414-578125))
)
)
)
)
),IF(OR(ISNUMBER(SEARCH("MFJ",$AH$281)),ISNUMBER(SEARCH("QW",$AH$281))),IF(AH414&lt;=22000,AH414*0.1,IF(AH414&lt;=89450,2200+0.12*(AH414-22000),IF(AH414&lt;=190750,10294+0.22*(AH414-89450),IF(AH414&lt;=364200,32580+0.24*(AH414-190750),IF(AH414&lt;=462500,74208+0.32*(AH414-364200),IF(AH414&lt;=693750,105664+0.35*(AH414-462500),186601.5+0.37*(AH414-693750))
)
)
)
)
),IF(ISNUMBER(SEARCH("MFS",$AH$281)),IF(AH414&lt;=11000,AH414*0.1,IF(AH414&lt;=44725,1100+0.12*(AH414-11000),IF(AH414&lt;=95375,5147+0.22*(AH414-44725),IF(AH414&lt;=182100,16290+0.24*(AH414-95375),IF(AH414&lt;=231250,37104+0.32*(AH414-182100),IF(AH414&lt;=346875,52832+0.35*(AH414-231250),93300.75+0.37*(AH414-346875))
)
)
)
)
),IF(ISNUMBER(SEARCH("HOH",$AH$281)),IF(AH414&lt;=15700,AH414*0.1,IF(AH414&lt;=59850,1570+0.12*(AH414-15700),IF(AH414&lt;=95350,6868+0.22*(AH414-59850),IF(AH414&lt;=182100,14678+0.24*(AH414-95350),IF(AH414&lt;=231250,35498+0.32*(AH414-182100),IF(AH414&lt;=578100,51226+0.35*(AH414-231250),172623.5+0.37*(AH414-578100))
)
)
)
)
),""
)
)
)
),IF(ISNUMBER(SEARCH("2024",$AH$280)),IF(ISNUMBER(SEARCH("Single",$AH$281)),
IF(AH414&lt;=11600,AH414*0.1,
IF(AH414&lt;=47150,1160+0.12*(AH414-11600),
IF(AH414&lt;=100525,5426+0.22*(AH414-47150),
IF(AH414&lt;=191950,17168.5+0.24*(AH414-100525),
IF(AH414&lt;=243725,39110.5+0.32*(AH414-191950),
IF(AH414&lt;=609350,55678.5+0.35*(AH414-243725),
183647.25+0.37*(AH414-609350)
)
)
)
)
)
),IF(ISNUMBER(SEARCH("MFS",$AH$281)),
IF(AH414&lt;=11600,AH414*0.1,
IF(AH414&lt;=47150,1160+0.12*(AH414-11600),
IF(AH414&lt;=100525,5426+0.22*(AH414-47150),
IF(AH414&lt;=191950,17168.5+0.24*(AH414-100525),
IF(AH414&lt;=243725,39110.5+0.32*(AH414-191950),
IF(AH414&lt;=365600,55678.5+0.35*(AH414-243725),
97718+0.37*(AH414-365600)
)
)
)
)
)
),IF(OR(ISNUMBER(SEARCH("MFJ",$AH$281)),ISNUMBER(SEARCH("QW",$AH$281))),
IF(AH414&lt;=23200,AH414*0.1,
IF(AH414&lt;=94300,2320+0.12*(AH414-23200),
IF(AH414&lt;=201050,10924+0.22*(AH414-94300),
IF(AH414&lt;=383900,34202.4+0.24*(AH414-201050),
IF(AH414&lt;=487450,77750.8+0.32*(AH414-383900),
IF(AH414&lt;=731200,110998.4+0.35*(AH414-487450),
198644.8+0.37*(AH414-731200)
)
)
)
)
)
),IF(ISNUMBER(SEARCH("HOH",$AH$281)),
IF(AH414&lt;=16550,AH414*0.1,
IF(AH414&lt;=63100,1655+0.12*(AH414-16550),
IF(AH414&lt;=100500,7215+0.22*(AH414-63100),
IF(AH414&lt;=191950,16279+0.24*(AH414-100500),
IF(AH414&lt;=243700,38195+0.32*(AH414-191950),
IF(AH414&lt;=609350,54919+0.35*(AH414-243700),
176919+0.37*(AH414-609350)
)
)
)
)
)
)))))))))</f>
        <v>0</v>
      </c>
      <c r="M330" s="266">
        <f>MAX(0,IF(ISNUMBER(SEARCH("2022",$AH$280)),IF(ISNUMBER(SEARCH("Single",$AH$281)),IF(AH463&lt;=10275,AH463*0.1,IF(AH463&lt;=41775,1027.5+0.12*(AH463-10275),IF(AH463&lt;=89075,4807.5+0.22*(AH463-41775),IF(AH463&lt;=170050,15213.5+0.24*(AH463-89075),IF(AH463&lt;=215950,34647.5+0.32*(AH463-170050),IF(AH463&lt;=539900,49335.5+0.35*(AH463-215950),162718+0.37*(AH463-539900))
)
)
)
)
),IF(OR(ISNUMBER(SEARCH("MFJ",$AH$281)),ISNUMBER(SEARCH("QW",$AH$281))),IF(AH463&lt;=20550,AH463*0.1,IF(AH463&lt;=83550,2055+0.12*(AH463-20550),IF(AH463&lt;=178150,9615+0.22*(AH463-83550),IF(AH463&lt;=340100,30427+0.24*(AH463-178150),IF(AH463&lt;=431900,69295+0.32*(AH463-340100),IF(AH463&lt;=647850,98671+0.35*(AH463-431900),174253.5+0.37*(AH463-647850))
)
)
)
)
),IF(ISNUMBER(SEARCH("MFS",$AH$281)),IF(AH463&lt;=10275,AH463*0.1,IF(AH463&lt;=41775,1027.5+0.12*(AH463-10275),IF(AH463&lt;=89075,4807.5+0.22*(AH463-41775),IF(AH463&lt;=170050,15213.5+0.24*(AH463-89075),IF(AH463&lt;=215950,34647.5+0.32*(AH463-170050),IF(AH463&lt;=323925,49335.5+0.35*(AH463-215950),87126.75+0.37*(AH463-323925))
)
)
)
)
),IF(ISNUMBER(SEARCH("HOH",$AH$281)),IF(AH463&lt;=14650,AH463*0.1,IF(AH463&lt;=55900,1465+0.12*(AH463-14650),IF(AH463&lt;=89050,6415+0.22*(AH463-55900),IF(AH463&lt;=170050,13708+0.24*(AH463-89050),IF(AH463&lt;=215950,33148+0.32*(AH463-170050),IF(AH463&lt;=539900,47836+0.35*(AH463-215950),161218.5+0.37*(AH463-539900))
)
)
)
)
),""
)
)
)
),IF(ISNUMBER(SEARCH("2023",$AH$280)),IF(ISNUMBER(SEARCH("Single",$AH$281)),IF(AH463&lt;=11000,AH463*0.1,IF(AH463&lt;=44725,1100+0.12*(AH463-11000),IF(AH463&lt;=95375,5147+0.22*(AH463-44725),IF(AH463&lt;=182100,16290+0.24*(AH463-95375),IF(AH463&lt;=231250,37104+0.32*(AH463-182100),IF(AH463&lt;=578125,52832+0.35*(AH463-231250),174238.25+0.37*(AH463-578125))
)
)
)
)
),IF(OR(ISNUMBER(SEARCH("MFJ",$AH$281)),ISNUMBER(SEARCH("QW",$AH$281))),IF(AH463&lt;=22000,AH463*0.1,IF(AH463&lt;=89450,2200+0.12*(AH463-22000),IF(AH463&lt;=190750,10294+0.22*(AH463-89450),IF(AH463&lt;=364200,32580+0.24*(AH463-190750),IF(AH463&lt;=462500,74208+0.32*(AH463-364200),IF(AH463&lt;=693750,105664+0.35*(AH463-462500),186601.5+0.37*(AH463-693750))
)
)
)
)
),IF(ISNUMBER(SEARCH("MFS",$AH$281)),IF(AH463&lt;=11000,AH463*0.1,IF(AH463&lt;=44725,1100+0.12*(AH463-11000),IF(AH463&lt;=95375,5147+0.22*(AH463-44725),IF(AH463&lt;=182100,16290+0.24*(AH463-95375),IF(AH463&lt;=231250,37104+0.32*(AH463-182100),IF(AH463&lt;=346875,52832+0.35*(AH463-231250),93300.75+0.37*(AH463-346875))
)
)
)
)
),IF(ISNUMBER(SEARCH("HOH",$AH$281)),IF(AH463&lt;=15700,AH463*0.1,IF(AH463&lt;=59850,1570+0.12*(AH463-15700),IF(AH463&lt;=95350,6868+0.22*(AH463-59850),IF(AH463&lt;=182100,14678+0.24*(AH463-95350),IF(AH463&lt;=231250,35498+0.32*(AH463-182100),IF(AH463&lt;=578100,51226+0.35*(AH463-231250),172623.5+0.37*(AH463-578100))
)
)
)
)
),""
)
)
)
),IF(ISNUMBER(SEARCH("2024",$AH$280)),IF(ISNUMBER(SEARCH("Single",$AH$281)),
IF(AH463&lt;=11600,AH463*0.1,
IF(AH463&lt;=47150,1160+0.12*(AH463-11600),
IF(AH463&lt;=100525,5426+0.22*(AH463-47150),
IF(AH463&lt;=191950,17168.5+0.24*(AH463-100525),
IF(AH463&lt;=243725,39110.5+0.32*(AH463-191950),
IF(AH463&lt;=609350,55678.5+0.35*(AH463-243725),
183647.25+0.37*(AH463-609350)
)
)
)
)
)
),IF(ISNUMBER(SEARCH("MFS",$AH$281)),
IF(AH463&lt;=11600,AH463*0.1,
IF(AH463&lt;=47150,1160+0.12*(AH463-11600),
IF(AH463&lt;=100525,5426+0.22*(AH463-47150),
IF(AH463&lt;=191950,17168.5+0.24*(AH463-100525),
IF(AH463&lt;=243725,39110.5+0.32*(AH463-191950),
IF(AH463&lt;=365600,55678.5+0.35*(AH463-243725),
97718+0.37*(AH463-365600)
)
)
)
)
)
),IF(OR(ISNUMBER(SEARCH("MFJ",$AH$281)),ISNUMBER(SEARCH("QW",$AH$281))),
IF(AH463&lt;=23200,AH463*0.1,
IF(AH463&lt;=94300,2320+0.12*(AH463-23200),
IF(AH463&lt;=201050,10924+0.22*(AH463-94300),
IF(AH463&lt;=383900,34202.4+0.24*(AH463-201050),
IF(AH463&lt;=487450,77750.8+0.32*(AH463-383900),
IF(AH463&lt;=731200,110998.4+0.35*(AH463-487450),
198644.8+0.37*(AH463-731200)
)
)
)
)
)
),IF(ISNUMBER(SEARCH("HOH",$AH$281)),
IF(AH463&lt;=16550,AH463*0.1,
IF(AH463&lt;=63100,1655+0.12*(AH463-16550),
IF(AH463&lt;=100500,7215+0.22*(AH463-63100),
IF(AH463&lt;=191950,16279+0.24*(AH463-100500),
IF(AH463&lt;=243700,38195+0.32*(AH463-191950),
IF(AH463&lt;=609350,54919+0.35*(AH463-243700),
176919+0.37*(AH463-609350)
)
)
)
)
)
)))))))))</f>
        <v>0</v>
      </c>
      <c r="AC330" s="198"/>
      <c r="AD330" s="198"/>
      <c r="AE330" s="198"/>
      <c r="AF330" s="183" t="s">
        <v>339</v>
      </c>
      <c r="AG330" s="183" t="s">
        <v>346</v>
      </c>
      <c r="AH330" s="186">
        <f>AH324*0.0145</f>
        <v>0</v>
      </c>
    </row>
    <row r="331" spans="1:34" x14ac:dyDescent="0.25">
      <c r="AC331" s="198"/>
      <c r="AD331" s="198"/>
      <c r="AE331" s="198"/>
      <c r="AF331" s="185" t="s">
        <v>339</v>
      </c>
      <c r="AG331" s="185" t="s">
        <v>347</v>
      </c>
      <c r="AH331" s="187">
        <f>IF(AH$280=2022, MIN(AH325*0.062, MAX(0, 147000*0.062 - AH324*0.062)),
   IF(AH$280=2023, MIN(AH325*0.062, MAX(0, 160200*0.062 - AH324*0.062)),
      IF(AH$280=2024, MIN(AH325*0.062, MAX(0, 168600*0.062 - AH324*0.062)),
         "-"
      )
   )
)</f>
        <v>0</v>
      </c>
    </row>
    <row r="332" spans="1:34" x14ac:dyDescent="0.25">
      <c r="AC332" s="198"/>
      <c r="AD332" s="198"/>
      <c r="AE332" s="198"/>
      <c r="AF332" s="185" t="s">
        <v>339</v>
      </c>
      <c r="AG332" s="185" t="s">
        <v>346</v>
      </c>
      <c r="AH332" s="187">
        <f>AH325*0.0145</f>
        <v>0</v>
      </c>
    </row>
    <row r="333" spans="1:34" x14ac:dyDescent="0.25">
      <c r="AC333" s="198"/>
      <c r="AD333" s="198"/>
      <c r="AE333" s="198"/>
      <c r="AF333" s="190"/>
      <c r="AG333" s="190"/>
      <c r="AH333" s="189" t="str">
        <f>AH293</f>
        <v>California Taxes</v>
      </c>
    </row>
    <row r="334" spans="1:34" x14ac:dyDescent="0.25">
      <c r="AC334" s="198"/>
      <c r="AD334" s="198"/>
      <c r="AE334" s="198"/>
      <c r="AF334" s="185" t="s">
        <v>339</v>
      </c>
      <c r="AG334" s="185" t="s">
        <v>356</v>
      </c>
      <c r="AH334" s="187">
        <f>IF(AH$280=2022, MIN(AH325,147000)*0.062,
   IF(AH$280=2023, MIN(AH325,160200)*0.062,
      IF(AH$280=2024, MIN(AH325,168600)*0.062,
         "-"
      )
   )
)</f>
        <v>0</v>
      </c>
    </row>
    <row r="335" spans="1:34" x14ac:dyDescent="0.25">
      <c r="AC335" s="198"/>
      <c r="AD335" s="198"/>
      <c r="AE335" s="198"/>
      <c r="AF335" s="185" t="s">
        <v>339</v>
      </c>
      <c r="AG335" s="185" t="s">
        <v>348</v>
      </c>
      <c r="AH335" s="187">
        <f t="shared" ref="AH335" si="973">AH325*0.0145</f>
        <v>0</v>
      </c>
    </row>
    <row r="336" spans="1:34" x14ac:dyDescent="0.25">
      <c r="AC336" s="198"/>
      <c r="AD336" s="198"/>
      <c r="AE336" s="198"/>
      <c r="AF336" s="185" t="s">
        <v>339</v>
      </c>
      <c r="AG336" s="185" t="s">
        <v>351</v>
      </c>
      <c r="AH336" s="187" cm="1">
        <f t="array" ref="AH336">_xlfn.IFNA(_xlfn.IFS(
  AH$280=2022,
    _xlfn.SWITCH(
        AH333,
        "Alabama Taxes", MIN(AH325, 8000)*0.027,
        "Alaska Taxes", MIN(AH325, 45200)*0.0237,
        "Arizona Taxes", MIN(AH325, 7000)*0.02,
        "Arkansas Taxes", MIN(AH325, 10000)*0.031,
        "California Taxes", MIN(AH325, 7000)*0.034,
        "Colorado Taxes", MIN(AH325, 17000)*0.017,
        "Connecticut Taxes", MIN(AH325, 15000)*0.03,
        "Delaware Taxes", MIN(AH325, 16500)*0.018,
        "District of Columbia Taxes", MIN(AH325, 9000)*0.027,
        "Florida Taxes", MIN(AH325, 7000)*0.027,
        "Georgia Taxes", MIN(AH325, 9500)*0.0264,
        "Hawaii Taxes", MIN(AH325, 51600)*0.03,
        "Idaho Taxes", MIN(AH325, 46500)*0.0097,
        "Illinois Taxes", MIN(AH325, 12960)*0.03525,
        "Indiana Taxes", MIN(AH325, 9500)*0.025,
        "Iowa Taxes", MIN(AH325, 34800)*0.01,
        "Kansas Taxes", MIN(AH325, 14000)*0.027,
        "Kentucky Taxes", MIN(AH325, 11100)*0.027,
        "Louisiana Taxes", MIN(AH325, 7700)*0.027,
        "Maine Taxes", MIN(AH325, 12000)*0.0224,
        "Maryland Taxes", MIN(AH325, 8500)*0.026,
        "Massachusetts Taxes", MIN(AH325, 15000)*0.0242,
        "Michigan Taxes", MIN(AH325, 9500)*0.027,
        "Minnesota Taxes", MIN(AH325, 38000)*0.027,
        "Mississippi Taxes", MIN(AH325, 14000)*0.01,
        "Missouri Taxes", MIN(AH325, 11000)*0.02376,
        "Montana Taxes", MIN(AH325, 38100)*0.027,
        "Nebraska Taxes", MIN(AH325, 24000)*0.0125,
        "Nevada Taxes", MIN(AH325, 36600)*0.0295,
        "New Hampshire Taxes", MIN(AH325, 14000)*0.027,
        "New Jersey Taxes", MIN(AH325, 39800)*0.028,
        "New Mexico Taxes", MIN(AH325, 28700)*0.01,
        "New York Taxes", MIN(AH325, 12000)*0.03125,
        "North Carolina Taxes", MIN(AH325, 28000)*0.01,
        "North Dakota Taxes", MIN(AH325, 38400)*0.0102,
        "Ohio Taxes", MIN(AH325, 9000)*0.027,
        "Oklahoma Taxes", MIN(AH325, 24800)*0.015,
        "Oregon Taxes", MIN(AH325, 47700)*0.024,
        "Pennsylvania Taxes", MIN(AH325, 10000)*0.03689,
        "Rhode Island Taxes", MIN(AH325, 24600)*0.0098,
        "South Carolina Taxes", MIN(AH325, 14000)*0.0049,
        "South Dakota Taxes", MIN(AH325, 15000)*0.012,
        "Tennessee Taxes", MIN(AH325, 7000)*0.027,
        "Texas Taxes", MIN(AH325, 9000)*0.027,
        "Utah Taxes", MIN(AH325, 41600)*0.027,
        "Vermont Taxes", MIN(AH325, 15500)*0.01,
        "Virginia Taxes", MIN(AH325, 8000)*0.0273,
        "Washington Taxes", MIN(AH325, 62500)*0.027,
        "West Virginia Taxes", MIN(AH325, 12000)*0.027,
        "Wisconsin Taxes", MIN(AH325, 14000)*0.0305,
        "Wyoming Taxes", MIN(AH325, 27700)*0.027
    ),
  AH$280=2023,
    _xlfn.SWITCH(
        AH333,
        "Alabama Taxes", MIN(AH325, 8000)*0.027,
        "Alaska Taxes", MIN(AH325, 41500)*0.0237,
        "Arizona Taxes", MIN(AH325, 7000)*0.02,
        "Arkansas Taxes", MIN(AH325, 12000)*0.031,
        "California Taxes", MIN(AH325, 7000)*0.034,
        "Colorado Taxes", MIN(AH325, 13800)*0.017,
        "Connecticut Taxes", MIN(AH325, 15000)*0.028,
        "Delaware Taxes", MIN(AH325, 8500)*0.001,
        "District of Columbia Taxes", MIN(AH325, 9000)*0.027,
        "Florida Taxes", MIN(AH325, 7000)*0.027,
        "Georgia Taxes", MIN(AH325, 9500)*0.027,
        "Hawaii Taxes", MIN(AH325, 46800)*0.04,
        "Idaho Taxes", MIN(AH325, 41500)*0.01071,
        "Illinois Taxes", MIN(AH325, 12900)*0.0395,
        "Indiana Taxes", MIN(AH325, 9500)*0.025,
        "Iowa Taxes", MIN(AH325, 29500)*0.01,
        "Kansas Taxes", MIN(AH325, 14000)*0.027,
        "Kentucky Taxes", MIN(AH325, 11000)*0.027,
        "Louisiana Taxes", MIN(AH325, 7500)*0.0009,
        "Maine Taxes", MIN(AH325, 12000)*0.0219,
        "Maryland Taxes", MIN(AH325, 8500)*0.023,
        "Massachusetts Taxes", MIN(AH325, 15000)*0.0143,
        "Michigan Taxes", MIN(AH325, 9500)*0.027,
        "Minnesota Taxes", MIN(AH325, 35000)*0.001,
        "Mississippi Taxes", MIN(AH325, 14000)*0.01,
        "Missouri Taxes", MIN(AH325, 13500)*0.027,
        "Montana Taxes", MIN(AH325, 34500)*0.0013,
        "Nebraska Taxes", MIN(AH325, 9000)*0.0125,
        "Nevada Taxes", MIN(AH325, 33100)*0.0295,
        "New Hampshire Taxes", MIN(AH325, 14000)*0.027,
        "New Jersey Taxes", MIN(AH325, 35700)*0.031,
        "New Mexico Taxes", MIN(AH325, 25400)*0.01,
        "New York Taxes", MIN(AH325, 11500)*0.026,
        "North Carolina Taxes", MIN(AH325, 25400)*0.01,
        "North Dakota Taxes", MIN(AH325, 39200)*0.0113,
        "Ohio Taxes", MIN(AH325, 9000)*0.027,
        "Oklahoma Taxes", MIN(AH325, 17500)*0.015,
        "Oregon Taxes", MIN(AH325, 43000)*0.021,
        "Pennsylvania Taxes", MIN(AH325, 10000)*0.03822,
        "Rhode Island Taxes", MIN(AH325, 24000)*0.0109,
        "South Carolina Taxes", MIN(AH325, 14000)*0.0045,
        "South Dakota Taxes", MIN(AH325, 15000)*0.012,
        "Tennessee Taxes", MIN(AH325, 7000)*0.027,
        "Texas Taxes", MIN(AH325, 9000)*0.027,
        "Utah Taxes", MIN(AH325, 35700)*0.003,
        "Vermont Taxes", MIN(AH325, 16000)*0.01,
        "Virginia Taxes", MIN(AH325, 8000)*0.025,
        "Washington Taxes", MIN(AH325, 56200)*0.0125,
        "West Virginia Taxes", MIN(AH325, 12000)*0.027,
        "Wisconsin Taxes", MIN(AH325, 14000)*0.0305,
        "Wyoming Taxes", MIN(AH325, 25800)*0.018
    ),
   AH$280=2024,
    _xlfn.SWITCH(
        AH333,
 "Alabama Taxes", MIN(AH325, 8000)*0.027,
        "Alaska Taxes", MIN(AH325, 41500)*0.0237,
        "Arizona Taxes", MIN(AH325, 7000)*0.02,
        "Arkansas Taxes", MIN(AH325, 12000)*0.031,
        "California Taxes", MIN(AH325, 7000)*0.034,
        "Colorado Taxes", MIN(AH325, 13800)*0.017,
        "Connecticut Taxes", MIN(AH325, 15000)*0.028,
        "Delaware Taxes", MIN(AH325, 8500)*0.001,
        "District of Columbia Taxes", MIN(AH325, 9000)*0.027,
        "Florida Taxes", MIN(AH325, 7000)*0.027,
        "Georgia Taxes", MIN(AH325, 9500)*0.027,
        "Hawaii Taxes", MIN(AH325, 46800)*0.04,
        "Idaho Taxes", MIN(AH325, 41500)*0.01071,
        "Illinois Taxes", MIN(AH325, 12900)*0.0395,
        "Indiana Taxes", MIN(AH325, 9500)*0.025,
        "Iowa Taxes", MIN(AH325, 29500)*0.01,
        "Kansas Taxes", MIN(AH325, 14000)*0.027,
        "Kentucky Taxes", MIN(AH325, 11000)*0.027,
        "Louisiana Taxes", MIN(AH325, 7500)*0.0009,
        "Maine Taxes", MIN(AH325, 12000)*0.0219,
        "Maryland Taxes", MIN(AH325, 8500)*0.023,
        "Massachusetts Taxes", MIN(AH325, 15000)*0.0143,
        "Michigan Taxes", MIN(AH325, 9500)*0.027,
        "Minnesota Taxes", MIN(AH325, 35000)*0.001,
        "Mississippi Taxes", MIN(AH325, 14000)*0.01,
        "Missouri Taxes", MIN(AH325, 13500)*0.027,
        "Montana Taxes", MIN(AH325, 34500)*0.0013,
        "Nebraska Taxes", MIN(AH325, 9000)*0.0125,
        "Nevada Taxes", MIN(AH325, 33100)*0.0295,
        "New Hampshire Taxes", MIN(AH325, 14000)*0.027,
        "New Jersey Taxes", MIN(AH325, 35700)*0.031,
        "New Mexico Taxes", MIN(AH325, 25400)*0.01,
        "New York Taxes", MIN(AH325, 11500)*0.026,
        "North Carolina Taxes", MIN(AH325, 25400)*0.01,
        "North Dakota Taxes", MIN(AH325, 39200)*0.0113,
        "Ohio Taxes", MIN(AH325, 9000)*0.027,
        "Oklahoma Taxes", MIN(AH325, 17500)*0.015,
        "Oregon Taxes", MIN(AH325, 43000)*0.021,
        "Pennsylvania Taxes", MIN(AH325, 10000)*0.03822,
        "Rhode Island Taxes", MIN(AH325, 24000)*0.0109,
        "South Carolina Taxes", MIN(AH325, 14000)*0.0045,
        "South Dakota Taxes", MIN(AH325, 15000)*0.012,
        "Tennessee Taxes", MIN(AH325, 7000)*0.027,
        "Texas Taxes", MIN(AH325, 9000)*0.027,
        "Utah Taxes", MIN(AH325, 35700)*0.003,
        "Vermont Taxes", MIN(AH325, 16000)*0.01,
        "Virginia Taxes", MIN(AH325, 8000)*0.025,
        "Washington Taxes", MIN(AH325, 56200)*0.0125,
        "West Virginia Taxes", MIN(AH325, 12000)*0.027,
        "Wisconsin Taxes", MIN(AH325, 14000)*0.0305,
        "Wyoming Taxes", MIN(AH325, 25800)*0.018
    )
),0)</f>
        <v>0</v>
      </c>
    </row>
    <row r="337" spans="1:34" x14ac:dyDescent="0.25">
      <c r="AC337" s="198"/>
      <c r="AD337" s="198"/>
      <c r="AE337" s="198"/>
      <c r="AF337" s="185" t="s">
        <v>339</v>
      </c>
      <c r="AG337" s="185" t="s">
        <v>352</v>
      </c>
      <c r="AH337" s="187">
        <f>IF($U$157="Yes", MIN(AH325,7000)*(0.06-0.054), IF($U$157="No", MIN(AH325,7000)*0.06, 0))</f>
        <v>0</v>
      </c>
    </row>
    <row r="338" spans="1:34" x14ac:dyDescent="0.25">
      <c r="AC338" s="198"/>
      <c r="AD338" s="198"/>
      <c r="AE338" s="198"/>
      <c r="AF338" s="184" t="s">
        <v>339</v>
      </c>
      <c r="AG338" s="184" t="s">
        <v>349</v>
      </c>
      <c r="AH338" s="188">
        <f>AH328* 0.029</f>
        <v>0</v>
      </c>
    </row>
    <row r="339" spans="1:34" x14ac:dyDescent="0.25">
      <c r="AC339" s="198"/>
      <c r="AD339" s="198"/>
      <c r="AE339" s="198"/>
      <c r="AF339" s="184" t="s">
        <v>339</v>
      </c>
      <c r="AG339" s="184" t="s">
        <v>402</v>
      </c>
      <c r="AH339" s="188">
        <f>IF(AH$280=2022,
   MAX(0, MIN(147000 - (AH324 + AH325), AH327*0.9235))*0.124,
   IF(AH$280=2023,
      MAX(0, MIN(160200 - (AH324 + AH325), AH327*0.9235))*0.124,
      IF(AH$280=2024,
         MAX(0, MIN(168600 - (AH324 + AH325), AH327*0.9235))*0.124,
         "-"
      )
   )
)</f>
        <v>0</v>
      </c>
    </row>
    <row r="340" spans="1:34" ht="15.75" thickBot="1" x14ac:dyDescent="0.3">
      <c r="AC340" s="198"/>
      <c r="AD340" s="198"/>
      <c r="AE340" s="198"/>
      <c r="AF340" s="201" t="s">
        <v>357</v>
      </c>
      <c r="AG340" s="201" t="s">
        <v>358</v>
      </c>
      <c r="AH340" s="202">
        <f>AH$303+AH$303*AH$301</f>
        <v>0</v>
      </c>
    </row>
    <row r="341" spans="1:34" ht="15.75" thickBot="1" x14ac:dyDescent="0.3">
      <c r="B341" s="91" t="s">
        <v>85</v>
      </c>
      <c r="C341" s="91" t="s">
        <v>86</v>
      </c>
      <c r="D341" s="91" t="s">
        <v>87</v>
      </c>
      <c r="E341" s="91" t="s">
        <v>88</v>
      </c>
      <c r="F341" s="91" t="s">
        <v>89</v>
      </c>
      <c r="G341" s="91" t="s">
        <v>90</v>
      </c>
      <c r="H341" s="91" t="s">
        <v>91</v>
      </c>
      <c r="I341" s="91" t="s">
        <v>92</v>
      </c>
      <c r="J341" s="91" t="s">
        <v>518</v>
      </c>
      <c r="AC341" s="198"/>
      <c r="AD341" s="198"/>
      <c r="AE341" s="198"/>
      <c r="AF341" s="201"/>
      <c r="AG341" s="201" t="s">
        <v>376</v>
      </c>
      <c r="AH341" s="202">
        <f>AH340*AH$288</f>
        <v>0</v>
      </c>
    </row>
    <row r="342" spans="1:34" x14ac:dyDescent="0.25">
      <c r="A342" t="s">
        <v>549</v>
      </c>
      <c r="B342" s="260">
        <f t="shared" ref="B342:J342" si="974">$D$15</f>
        <v>0</v>
      </c>
      <c r="C342" s="260">
        <f t="shared" si="974"/>
        <v>0</v>
      </c>
      <c r="D342" s="260">
        <f t="shared" si="974"/>
        <v>0</v>
      </c>
      <c r="E342" s="260">
        <f t="shared" si="974"/>
        <v>0</v>
      </c>
      <c r="F342" s="260">
        <f t="shared" si="974"/>
        <v>0</v>
      </c>
      <c r="G342" s="260">
        <f t="shared" si="974"/>
        <v>0</v>
      </c>
      <c r="H342" s="260">
        <f t="shared" si="974"/>
        <v>0</v>
      </c>
      <c r="I342" s="260">
        <f t="shared" si="974"/>
        <v>0</v>
      </c>
      <c r="J342" s="260">
        <f t="shared" si="974"/>
        <v>0</v>
      </c>
      <c r="AC342" s="198"/>
      <c r="AD342" s="198"/>
      <c r="AE342" s="198"/>
      <c r="AF342" s="216"/>
      <c r="AG342" s="221" t="s">
        <v>399</v>
      </c>
      <c r="AH342" s="216"/>
    </row>
    <row r="343" spans="1:34" x14ac:dyDescent="0.25">
      <c r="A343" t="s">
        <v>548</v>
      </c>
      <c r="B343" s="307">
        <f t="shared" ref="B343:J343" si="975">$D$18</f>
        <v>0</v>
      </c>
      <c r="C343" s="307">
        <f t="shared" si="975"/>
        <v>0</v>
      </c>
      <c r="D343" s="307">
        <f t="shared" si="975"/>
        <v>0</v>
      </c>
      <c r="E343" s="307">
        <f t="shared" si="975"/>
        <v>0</v>
      </c>
      <c r="F343" s="307">
        <f t="shared" si="975"/>
        <v>0</v>
      </c>
      <c r="G343" s="307">
        <f t="shared" si="975"/>
        <v>0</v>
      </c>
      <c r="H343" s="307">
        <f t="shared" si="975"/>
        <v>0</v>
      </c>
      <c r="I343" s="307">
        <f t="shared" si="975"/>
        <v>0</v>
      </c>
      <c r="J343" s="307">
        <f t="shared" si="975"/>
        <v>0</v>
      </c>
      <c r="AC343" s="198"/>
      <c r="AD343" s="198"/>
      <c r="AE343" s="198"/>
      <c r="AF343" s="194" t="s">
        <v>345</v>
      </c>
      <c r="AG343" s="194" t="s">
        <v>344</v>
      </c>
      <c r="AH343" s="195">
        <f>AH$309</f>
        <v>0</v>
      </c>
    </row>
    <row r="344" spans="1:34" x14ac:dyDescent="0.25">
      <c r="A344" t="s">
        <v>225</v>
      </c>
      <c r="B344" s="151">
        <f t="shared" ref="B344:H344" si="976">B65</f>
        <v>0</v>
      </c>
      <c r="C344" s="151">
        <f t="shared" si="976"/>
        <v>0</v>
      </c>
      <c r="D344" s="151">
        <f t="shared" si="976"/>
        <v>0</v>
      </c>
      <c r="E344" s="151">
        <f t="shared" si="976"/>
        <v>0</v>
      </c>
      <c r="F344" s="151">
        <f t="shared" si="976"/>
        <v>0</v>
      </c>
      <c r="G344" s="151">
        <f t="shared" si="976"/>
        <v>0</v>
      </c>
      <c r="H344" s="151">
        <f t="shared" si="976"/>
        <v>0</v>
      </c>
      <c r="I344" s="151">
        <f>I65</f>
        <v>0</v>
      </c>
      <c r="J344" s="151">
        <f>J65</f>
        <v>0</v>
      </c>
      <c r="AC344" s="198"/>
      <c r="AD344" s="198"/>
      <c r="AE344" s="198"/>
      <c r="AF344" s="185" t="s">
        <v>345</v>
      </c>
      <c r="AG344" s="185" t="s">
        <v>373</v>
      </c>
      <c r="AH344" s="187">
        <f>AH$311+AH$313</f>
        <v>0</v>
      </c>
    </row>
    <row r="345" spans="1:34" x14ac:dyDescent="0.25">
      <c r="A345" t="s">
        <v>337</v>
      </c>
      <c r="B345" s="151">
        <f>B342*2000+B343*500</f>
        <v>0</v>
      </c>
      <c r="C345" s="151">
        <f t="shared" ref="C345:J345" si="977">C342*2000+C343*500</f>
        <v>0</v>
      </c>
      <c r="D345" s="151">
        <f t="shared" si="977"/>
        <v>0</v>
      </c>
      <c r="E345" s="151">
        <f t="shared" si="977"/>
        <v>0</v>
      </c>
      <c r="F345" s="151">
        <f t="shared" si="977"/>
        <v>0</v>
      </c>
      <c r="G345" s="151">
        <f t="shared" si="977"/>
        <v>0</v>
      </c>
      <c r="H345" s="151">
        <f t="shared" si="977"/>
        <v>0</v>
      </c>
      <c r="I345" s="151">
        <f t="shared" si="977"/>
        <v>0</v>
      </c>
      <c r="J345" s="151">
        <f t="shared" si="977"/>
        <v>0</v>
      </c>
      <c r="AC345" s="198"/>
      <c r="AD345" s="198"/>
      <c r="AE345" s="198"/>
      <c r="AF345" s="185" t="s">
        <v>345</v>
      </c>
      <c r="AG345" s="185" t="s">
        <v>400</v>
      </c>
      <c r="AH345" s="187">
        <f>AH$310</f>
        <v>0</v>
      </c>
    </row>
    <row r="346" spans="1:34" x14ac:dyDescent="0.25">
      <c r="A346" t="s">
        <v>338</v>
      </c>
      <c r="B346" s="151">
        <f>IF(B2="-", 0, IF(B2="MFJ", 400000, 200000))</f>
        <v>0</v>
      </c>
      <c r="C346" s="151">
        <f t="shared" ref="C346:I346" si="978">IF(C2="-", 0, IF(C2="MFJ", 400000, 200000))</f>
        <v>0</v>
      </c>
      <c r="D346" s="151">
        <f t="shared" si="978"/>
        <v>0</v>
      </c>
      <c r="E346" s="151">
        <f t="shared" si="978"/>
        <v>0</v>
      </c>
      <c r="F346" s="151">
        <f t="shared" si="978"/>
        <v>0</v>
      </c>
      <c r="G346" s="151">
        <f t="shared" si="978"/>
        <v>0</v>
      </c>
      <c r="H346" s="151">
        <f t="shared" si="978"/>
        <v>0</v>
      </c>
      <c r="I346" s="151">
        <f t="shared" si="978"/>
        <v>0</v>
      </c>
      <c r="J346" s="151">
        <f t="shared" ref="J346" si="979">IF(J2="-", 0, IF(J2="MFJ", 400000, 200000))</f>
        <v>0</v>
      </c>
      <c r="AC346" s="198"/>
      <c r="AD346" s="198"/>
      <c r="AE346" s="198"/>
      <c r="AF346" s="184" t="s">
        <v>345</v>
      </c>
      <c r="AG346" s="184" t="s">
        <v>353</v>
      </c>
      <c r="AH346" s="188">
        <f>AH$314</f>
        <v>0</v>
      </c>
    </row>
    <row r="347" spans="1:34" x14ac:dyDescent="0.25">
      <c r="A347" t="s">
        <v>339</v>
      </c>
      <c r="B347" s="151">
        <f>IF(B344-B346 &lt;= 0, 0, ROUNDUP((B344-B346)/1000, 0)*1000)</f>
        <v>0</v>
      </c>
      <c r="C347" s="151">
        <f t="shared" ref="C347:I347" si="980">IF(C344-C346 &lt;= 0, 0, ROUNDUP((C344-C346)/1000, 0)*1000)</f>
        <v>0</v>
      </c>
      <c r="D347" s="151">
        <f t="shared" si="980"/>
        <v>0</v>
      </c>
      <c r="E347" s="151">
        <f t="shared" si="980"/>
        <v>0</v>
      </c>
      <c r="F347" s="151">
        <f t="shared" si="980"/>
        <v>0</v>
      </c>
      <c r="G347" s="151">
        <f t="shared" si="980"/>
        <v>0</v>
      </c>
      <c r="H347" s="151">
        <f t="shared" si="980"/>
        <v>0</v>
      </c>
      <c r="I347" s="151">
        <f t="shared" si="980"/>
        <v>0</v>
      </c>
      <c r="J347" s="151">
        <f t="shared" ref="J347" si="981">IF(J344-J346 &lt;= 0, 0, ROUNDUP((J344-J346)/1000, 0)*1000)</f>
        <v>0</v>
      </c>
      <c r="AC347" s="198"/>
      <c r="AD347" s="198"/>
      <c r="AE347" s="198"/>
      <c r="AF347" s="184" t="s">
        <v>345</v>
      </c>
      <c r="AG347" s="184" t="s">
        <v>355</v>
      </c>
      <c r="AH347" s="188">
        <f>AH346*0.9235</f>
        <v>0</v>
      </c>
    </row>
    <row r="348" spans="1:34" x14ac:dyDescent="0.25">
      <c r="A348" t="s">
        <v>339</v>
      </c>
      <c r="B348" s="151">
        <f>B347*0.05</f>
        <v>0</v>
      </c>
      <c r="C348" s="151">
        <f t="shared" ref="C348:I348" si="982">C347*0.05</f>
        <v>0</v>
      </c>
      <c r="D348" s="151">
        <f t="shared" si="982"/>
        <v>0</v>
      </c>
      <c r="E348" s="151">
        <f t="shared" si="982"/>
        <v>0</v>
      </c>
      <c r="F348" s="151">
        <f t="shared" si="982"/>
        <v>0</v>
      </c>
      <c r="G348" s="151">
        <f t="shared" si="982"/>
        <v>0</v>
      </c>
      <c r="H348" s="151">
        <f t="shared" si="982"/>
        <v>0</v>
      </c>
      <c r="I348" s="151">
        <f t="shared" si="982"/>
        <v>0</v>
      </c>
      <c r="J348" s="151">
        <f t="shared" ref="J348" si="983">J347*0.05</f>
        <v>0</v>
      </c>
      <c r="AC348" s="198"/>
      <c r="AD348" s="198"/>
      <c r="AE348" s="198"/>
      <c r="AF348" s="183" t="s">
        <v>339</v>
      </c>
      <c r="AG348" s="183" t="s">
        <v>347</v>
      </c>
      <c r="AH348" s="186">
        <f>IF(AH$280=2022, MIN(AH343,147000)*0.062,
   IF(AH$280=2023, MIN(AH343,160200)*0.062,
      IF(AH$280=2024, MIN(AH343,168600)*0.062,
         "-"
      )
   )
)</f>
        <v>0</v>
      </c>
    </row>
    <row r="349" spans="1:34" ht="15.75" thickBot="1" x14ac:dyDescent="0.3">
      <c r="A349" t="s">
        <v>340</v>
      </c>
      <c r="B349" s="152">
        <f>IF(B1="[Fill if Necessary]", 0, IF(B345 &gt; B348, (B345 - B348) * -1, 0))</f>
        <v>0</v>
      </c>
      <c r="C349" s="152">
        <f t="shared" ref="C349:I349" si="984">IF(C1="[Fill if Necessary]", 0, IF(C345 &gt; C348, (C345 - C348) * -1, 0))</f>
        <v>0</v>
      </c>
      <c r="D349" s="152">
        <f t="shared" si="984"/>
        <v>0</v>
      </c>
      <c r="E349" s="152">
        <f t="shared" si="984"/>
        <v>0</v>
      </c>
      <c r="F349" s="152">
        <f t="shared" si="984"/>
        <v>0</v>
      </c>
      <c r="G349" s="152">
        <f t="shared" si="984"/>
        <v>0</v>
      </c>
      <c r="H349" s="152">
        <f t="shared" si="984"/>
        <v>0</v>
      </c>
      <c r="I349" s="152">
        <f t="shared" si="984"/>
        <v>0</v>
      </c>
      <c r="J349" s="152">
        <f t="shared" ref="J349" si="985">IF(J1="[Fill if Necessary]", 0, IF(J345 &gt; J348, (J345 - J348) * -1, 0))</f>
        <v>0</v>
      </c>
      <c r="AC349" s="198"/>
      <c r="AD349" s="198"/>
      <c r="AE349" s="198"/>
      <c r="AF349" s="183" t="s">
        <v>339</v>
      </c>
      <c r="AG349" s="183" t="s">
        <v>346</v>
      </c>
      <c r="AH349" s="186">
        <f>AH343*0.0145</f>
        <v>0</v>
      </c>
    </row>
    <row r="350" spans="1:34" x14ac:dyDescent="0.25">
      <c r="AC350" s="198"/>
      <c r="AD350" s="198"/>
      <c r="AE350" s="198"/>
      <c r="AF350" s="185" t="s">
        <v>339</v>
      </c>
      <c r="AG350" s="185" t="s">
        <v>347</v>
      </c>
      <c r="AH350" s="187">
        <f>IF(AH$280=2022, MIN(AH344*0.062, MAX(0, 147000*0.062 - AH343*0.062)),
   IF(AH$280=2023, MIN(AH344*0.062, MAX(0, 160200*0.062 - AH343*0.062)),
      IF(AH$280=2024, MIN(AH344*0.062, MAX(0, 168600*0.062 - AH343*0.062)),
         "-"
      )
   )
)</f>
        <v>0</v>
      </c>
    </row>
    <row r="351" spans="1:34" x14ac:dyDescent="0.25">
      <c r="AC351" s="198"/>
      <c r="AD351" s="198"/>
      <c r="AE351" s="198"/>
      <c r="AF351" s="185" t="s">
        <v>339</v>
      </c>
      <c r="AG351" s="185" t="s">
        <v>346</v>
      </c>
      <c r="AH351" s="187">
        <f>AH344*0.0145</f>
        <v>0</v>
      </c>
    </row>
    <row r="352" spans="1:34" x14ac:dyDescent="0.25">
      <c r="AC352" s="198"/>
      <c r="AD352" s="198"/>
      <c r="AE352" s="198"/>
      <c r="AF352" s="190"/>
      <c r="AG352" s="190"/>
      <c r="AH352" s="189" t="str">
        <f>AH333</f>
        <v>California Taxes</v>
      </c>
    </row>
    <row r="353" spans="1:34" x14ac:dyDescent="0.25">
      <c r="AC353" s="198"/>
      <c r="AD353" s="198"/>
      <c r="AE353" s="198"/>
      <c r="AF353" s="185" t="s">
        <v>339</v>
      </c>
      <c r="AG353" s="185" t="s">
        <v>356</v>
      </c>
      <c r="AH353" s="187">
        <f>IF(AH$280=2022, MIN(AH344,147000)*0.062,
   IF(AH$280=2023, MIN(AH344,160200)*0.062,
      IF(AH$280=2024, MIN(AH344,168600)*0.062,
         "-"
      )
   )
)</f>
        <v>0</v>
      </c>
    </row>
    <row r="354" spans="1:34" x14ac:dyDescent="0.25">
      <c r="AC354" s="198"/>
      <c r="AD354" s="198"/>
      <c r="AE354" s="198"/>
      <c r="AF354" s="185" t="s">
        <v>339</v>
      </c>
      <c r="AG354" s="185" t="s">
        <v>348</v>
      </c>
      <c r="AH354" s="187">
        <f t="shared" ref="AH354" si="986">AH344*0.0145</f>
        <v>0</v>
      </c>
    </row>
    <row r="355" spans="1:34" x14ac:dyDescent="0.25">
      <c r="AC355" s="198"/>
      <c r="AD355" s="198"/>
      <c r="AE355" s="198"/>
      <c r="AF355" s="185" t="s">
        <v>339</v>
      </c>
      <c r="AG355" s="185" t="s">
        <v>351</v>
      </c>
      <c r="AH355" s="187" cm="1">
        <f t="array" ref="AH355">_xlfn.IFNA(_xlfn.IFS(
    AH280=2022,
    _xlfn.SWITCH(
        AH352,
        "Alabama Taxes", MIN(AH344, 8000)*0.027,
        "Alaska Taxes", MIN(AH344, 45200)*0.0237,
        "Arizona Taxes", MIN(AH344, 7000)*0.02,
        "Arkansas Taxes", MIN(AH344, 10000)*0.031,
        "California Taxes", MIN(AH344, 7000)*0.034,
        "Colorado Taxes", MIN(AH344, 17000)*0.017,
        "Connecticut Taxes", MIN(AH344, 15000)*0.03,
        "Delaware Taxes", MIN(AH344, 16500)*0.018,
        "District of Columbia Taxes", MIN(AH344, 9000)*0.027,
        "Florida Taxes", MIN(AH344, 7000)*0.027,
        "Georgia Taxes", MIN(AH344, 9500)*0.0264,
        "Hawaii Taxes", MIN(AH344, 51600)*0.03,
        "Idaho Taxes", MIN(AH344, 46500)*0.0097,
        "Illinois Taxes", MIN(AH344, 12960)*0.03525,
        "Indiana Taxes", MIN(AH344, 9500)*0.025,
        "Iowa Taxes", MIN(AH344, 34800)*0.01,
        "Kansas Taxes", MIN(AH344, 14000)*0.027,
        "Kentucky Taxes", MIN(AH344, 11100)*0.027,
        "Louisiana Taxes", MIN(AH344, 7700)*0.027,
        "Maine Taxes", MIN(AH344, 12000)*0.0224,
        "Maryland Taxes", MIN(AH344, 8500)*0.026,
        "Massachusetts Taxes", MIN(AH344, 15000)*0.0242,
        "Michigan Taxes", MIN(AH344, 9500)*0.027,
        "Minnesota Taxes", MIN(AH344, 38000)*0.027,
        "Mississippi Taxes", MIN(AH344, 14000)*0.01,
        "Missouri Taxes", MIN(AH344, 11000)*0.02376,
        "Montana Taxes", MIN(AH344, 38100)*0.027,
        "Nebraska Taxes", MIN(AH344, 24000)*0.0125,
        "Nevada Taxes", MIN(AH344, 36600)*0.0295,
        "New Hampshire Taxes", MIN(AH344, 14000)*0.027,
        "New Jersey Taxes", MIN(AH344, 39800)*0.028,
        "New Mexico Taxes", MIN(AH344, 28700)*0.01,
        "New York Taxes", MIN(AH344, 12000)*0.03125,
        "North Carolina Taxes", MIN(AH344, 28000)*0.01,
        "North Dakota Taxes", MIN(AH344, 38400)*0.0102,
        "Ohio Taxes", MIN(AH344, 9000)*0.027,
        "Oklahoma Taxes", MIN(AH344, 24800)*0.015,
        "Oregon Taxes", MIN(AH344, 47700)*0.024,
        "Pennsylvania Taxes", MIN(AH344, 10000)*0.03689,
        "Rhode Island Taxes", MIN(AH344, 24600)*0.0098,
        "South Carolina Taxes", MIN(AH344, 14000)*0.0049,
        "South Dakota Taxes", MIN(AH344, 15000)*0.012,
        "Tennessee Taxes", MIN(AH344, 7000)*0.027,
        "Texas Taxes", MIN(AH344, 9000)*0.027,
        "Utah Taxes", MIN(AH344, 41600)*0.027,
        "Vermont Taxes", MIN(AH344, 15500)*0.01,
        "Virginia Taxes", MIN(AH344, 8000)*0.0273,
        "Washington Taxes", MIN(AH344, 62500)*0.027,
        "West Virginia Taxes", MIN(AH344, 12000)*0.027,
        "Wisconsin Taxes", MIN(AH344, 14000)*0.0305,
        "Wyoming Taxes", MIN(AH344, 27700)*0.027
    ),
  AH280=2023,
    _xlfn.SWITCH(
        AH352,
        "Alabama Taxes", MIN(AH344, 8000)*0.027,
        "Alaska Taxes", MIN(AH344, 41500)*0.0237,
        "Arizona Taxes", MIN(AH344, 7000)*0.02,
        "Arkansas Taxes", MIN(AH344, 12000)*0.031,
        "California Taxes", MIN(AH344, 7000)*0.034,
        "Colorado Taxes", MIN(AH344, 13800)*0.017,
        "Connecticut Taxes", MIN(AH344, 15000)*0.028,
        "Delaware Taxes", MIN(AH344, 8500)*0.001,
        "District of Columbia Taxes", MIN(AH344, 9000)*0.027,
        "Florida Taxes", MIN(AH344, 7000)*0.027,
        "Georgia Taxes", MIN(AH344, 9500)*0.027,
        "Hawaii Taxes", MIN(AH344, 46800)*0.04,
        "Idaho Taxes", MIN(AH344, 41500)*0.01071,
        "Illinois Taxes", MIN(AH344, 12900)*0.0395,
        "Indiana Taxes", MIN(AH344, 9500)*0.025,
        "Iowa Taxes", MIN(AH344, 29500)*0.01,
        "Kansas Taxes", MIN(AH344, 14000)*0.027,
        "Kentucky Taxes", MIN(AH344, 11000)*0.027,
        "Louisiana Taxes", MIN(AH344, 7500)*0.0009,
        "Maine Taxes", MIN(AH344, 12000)*0.0219,
        "Maryland Taxes", MIN(AH344, 8500)*0.023,
        "Massachusetts Taxes", MIN(AH344, 15000)*0.0143,
        "Michigan Taxes", MIN(AH344, 9500)*0.027,
        "Minnesota Taxes", MIN(AH344, 35000)*0.001,
        "Mississippi Taxes", MIN(AH344, 14000)*0.01,
        "Missouri Taxes", MIN(AH344, 13500)*0.027,
        "Montana Taxes", MIN(AH344, 34500)*0.0013,
        "Nebraska Taxes", MIN(AH344, 9000)*0.0125,
        "Nevada Taxes", MIN(AH344, 33100)*0.0295,
        "New Hampshire Taxes", MIN(AH344, 14000)*0.027,
        "New Jersey Taxes", MIN(AH344, 35700)*0.031,
        "New Mexico Taxes", MIN(AH344, 25400)*0.01,
        "New York Taxes", MIN(AH344, 11500)*0.026,
        "North Carolina Taxes", MIN(AH344, 25400)*0.01,
        "North Dakota Taxes", MIN(AH344, 39200)*0.0113,
        "Ohio Taxes", MIN(AH344, 9000)*0.027,
        "Oklahoma Taxes", MIN(AH344, 17500)*0.015,
        "Oregon Taxes", MIN(AH344, 43000)*0.021,
        "Pennsylvania Taxes", MIN(AH344, 10000)*0.03822,
        "Rhode Island Taxes", MIN(AH344, 24000)*0.0109,
        "South Carolina Taxes", MIN(AH344, 14000)*0.0045,
        "South Dakota Taxes", MIN(AH344, 15000)*0.012,
        "Tennessee Taxes", MIN(AH344, 7000)*0.027,
        "Texas Taxes", MIN(AH344, 9000)*0.027,
        "Utah Taxes", MIN(AH344, 35700)*0.003,
        "Vermont Taxes", MIN(AH344, 16000)*0.01,
        "Virginia Taxes", MIN(AH344, 8000)*0.025,
        "Washington Taxes", MIN(AH344, 56200)*0.0125,
        "West Virginia Taxes", MIN(AH344, 12000)*0.027,
        "Wisconsin Taxes", MIN(AH344, 14000)*0.0305,
        "Wyoming Taxes", MIN(AH344, 25800)*0.018
    ),
    AH280=2024,
    _xlfn.SWITCH(
        AH352,
 "Alabama Taxes", MIN(AH344, 8000)*0.027,
        "Alaska Taxes", MIN(AH344, 41500)*0.0237,
        "Arizona Taxes", MIN(AH344, 7000)*0.02,
        "Arkansas Taxes", MIN(AH344, 12000)*0.031,
        "California Taxes", MIN(AH344, 7000)*0.034,
        "Colorado Taxes", MIN(AH344, 13800)*0.017,
        "Connecticut Taxes", MIN(AH344, 15000)*0.028,
        "Delaware Taxes", MIN(AH344, 8500)*0.001,
        "District of Columbia Taxes", MIN(AH344, 9000)*0.027,
        "Florida Taxes", MIN(AH344, 7000)*0.027,
        "Georgia Taxes", MIN(AH344, 9500)*0.027,
        "Hawaii Taxes", MIN(AH344, 46800)*0.04,
        "Idaho Taxes", MIN(AH344, 41500)*0.01071,
        "Illinois Taxes", MIN(AH344, 12900)*0.0395,
        "Indiana Taxes", MIN(AH344, 9500)*0.025,
        "Iowa Taxes", MIN(AH344, 29500)*0.01,
        "Kansas Taxes", MIN(AH344, 14000)*0.027,
        "Kentucky Taxes", MIN(AH344, 11000)*0.027,
        "Louisiana Taxes", MIN(AH344, 7500)*0.0009,
        "Maine Taxes", MIN(AH344, 12000)*0.0219,
        "Maryland Taxes", MIN(AH344, 8500)*0.023,
        "Massachusetts Taxes", MIN(AH344, 15000)*0.0143,
        "Michigan Taxes", MIN(AH344, 9500)*0.027,
        "Minnesota Taxes", MIN(AH344, 35000)*0.001,
        "Mississippi Taxes", MIN(AH344, 14000)*0.01,
        "Missouri Taxes", MIN(AH344, 13500)*0.027,
        "Montana Taxes", MIN(AH344, 34500)*0.0013,
        "Nebraska Taxes", MIN(AH344, 9000)*0.0125,
        "Nevada Taxes", MIN(AH344, 33100)*0.0295,
        "New Hampshire Taxes", MIN(AH344, 14000)*0.027,
        "New Jersey Taxes", MIN(AH344, 35700)*0.031,
        "New Mexico Taxes", MIN(AH344, 25400)*0.01,
        "New York Taxes", MIN(AH344, 11500)*0.026,
        "North Carolina Taxes", MIN(AH344, 25400)*0.01,
        "North Dakota Taxes", MIN(AH344, 39200)*0.0113,
        "Ohio Taxes", MIN(AH344, 9000)*0.027,
        "Oklahoma Taxes", MIN(AH344, 17500)*0.015,
        "Oregon Taxes", MIN(AH344, 43000)*0.021,
        "Pennsylvania Taxes", MIN(AH344, 10000)*0.03822,
        "Rhode Island Taxes", MIN(AH344, 24000)*0.0109,
        "South Carolina Taxes", MIN(AH344, 14000)*0.0045,
        "South Dakota Taxes", MIN(AH344, 15000)*0.012,
        "Tennessee Taxes", MIN(AH344, 7000)*0.027,
        "Texas Taxes", MIN(AH344, 9000)*0.027,
        "Utah Taxes", MIN(AH344, 35700)*0.003,
        "Vermont Taxes", MIN(AH344, 16000)*0.01,
        "Virginia Taxes", MIN(AH344, 8000)*0.025,
        "Washington Taxes", MIN(AH344, 56200)*0.0125,
        "West Virginia Taxes", MIN(AH344, 12000)*0.027,
        "Wisconsin Taxes", MIN(AH344, 14000)*0.0305,
        "Wyoming Taxes", MIN(AH344, 25800)*0.018
    )
),0)</f>
        <v>0</v>
      </c>
    </row>
    <row r="356" spans="1:34" x14ac:dyDescent="0.25">
      <c r="AC356" s="198"/>
      <c r="AD356" s="198"/>
      <c r="AE356" s="198"/>
      <c r="AF356" s="185" t="s">
        <v>339</v>
      </c>
      <c r="AG356" s="185" t="s">
        <v>352</v>
      </c>
      <c r="AH356" s="187">
        <f>IF($U$157="Yes", MIN(AH344,7000)*(0.06-0.054), IF($U$157="No", MIN(AH344,7000)*0.06, 0))</f>
        <v>0</v>
      </c>
    </row>
    <row r="357" spans="1:34" x14ac:dyDescent="0.25">
      <c r="AC357" s="198"/>
      <c r="AD357" s="198"/>
      <c r="AE357" s="198"/>
      <c r="AF357" s="184" t="s">
        <v>339</v>
      </c>
      <c r="AG357" s="184" t="s">
        <v>349</v>
      </c>
      <c r="AH357" s="188">
        <f>AH347* 0.029</f>
        <v>0</v>
      </c>
    </row>
    <row r="358" spans="1:34" x14ac:dyDescent="0.25">
      <c r="AC358" s="198"/>
      <c r="AD358" s="198"/>
      <c r="AE358" s="198"/>
      <c r="AF358" s="184" t="s">
        <v>339</v>
      </c>
      <c r="AG358" s="184" t="s">
        <v>402</v>
      </c>
      <c r="AH358" s="188">
        <f>IF(AH$280=2022,
   MAX(0, MIN(147000 - (AH343 + AH344), AH346*0.9235))*0.124,
   IF(AH$280=2023,
      MAX(0, MIN(160200 - (AH343 + AH344), AH346*0.9235))*0.124,
      IF(AH$280=2024,
         MAX(0, MIN(168600 - (AH343 + AH344), AH346*0.9235))*0.124,
         "-"
      )
   )
)</f>
        <v>0</v>
      </c>
    </row>
    <row r="359" spans="1:34" x14ac:dyDescent="0.25">
      <c r="AC359" s="198"/>
      <c r="AD359" s="198"/>
      <c r="AE359" s="198"/>
      <c r="AF359" s="201" t="s">
        <v>357</v>
      </c>
      <c r="AG359" s="201" t="s">
        <v>358</v>
      </c>
      <c r="AH359" s="202">
        <f>AH$317+AH$317*AH$315</f>
        <v>0</v>
      </c>
    </row>
    <row r="360" spans="1:34" x14ac:dyDescent="0.25">
      <c r="AC360" s="198"/>
      <c r="AD360" s="198"/>
      <c r="AE360" s="198"/>
      <c r="AF360" s="201"/>
      <c r="AG360" s="201" t="s">
        <v>376</v>
      </c>
      <c r="AH360" s="202">
        <f>AH359*AH$288</f>
        <v>0</v>
      </c>
    </row>
    <row r="361" spans="1:34" ht="15.75" thickBot="1" x14ac:dyDescent="0.3">
      <c r="AC361" s="198"/>
      <c r="AD361" s="198"/>
      <c r="AE361" s="198"/>
      <c r="AF361" s="203" t="s">
        <v>350</v>
      </c>
      <c r="AG361" s="203" t="s">
        <v>369</v>
      </c>
      <c r="AH361" s="204">
        <f>SUM(AH334:AH337)+SUM(AH353:AH356)</f>
        <v>0</v>
      </c>
    </row>
    <row r="362" spans="1:34" ht="15.75" thickBot="1" x14ac:dyDescent="0.3">
      <c r="A362" s="88" t="s">
        <v>235</v>
      </c>
      <c r="B362" s="85"/>
      <c r="C362" s="85"/>
      <c r="D362" s="85"/>
      <c r="E362" s="85"/>
      <c r="F362" s="85"/>
      <c r="G362" s="85"/>
      <c r="H362" s="85"/>
      <c r="I362" s="85"/>
      <c r="J362" s="85"/>
      <c r="K362" s="85"/>
      <c r="L362" s="85"/>
      <c r="M362" s="85"/>
      <c r="N362" s="85"/>
      <c r="O362" s="85"/>
      <c r="AC362" s="198"/>
      <c r="AD362" s="198"/>
      <c r="AE362" s="198"/>
      <c r="AF362" s="203" t="s">
        <v>363</v>
      </c>
      <c r="AG362" s="203" t="s">
        <v>362</v>
      </c>
      <c r="AH362" s="204">
        <f>AH$285</f>
        <v>0</v>
      </c>
    </row>
    <row r="363" spans="1:34" ht="15.75" thickBot="1" x14ac:dyDescent="0.3">
      <c r="A363" s="57" t="s">
        <v>232</v>
      </c>
      <c r="B363" s="86" t="s">
        <v>85</v>
      </c>
      <c r="C363" s="86" t="s">
        <v>86</v>
      </c>
      <c r="D363" s="86" t="s">
        <v>87</v>
      </c>
      <c r="E363" s="86" t="s">
        <v>88</v>
      </c>
      <c r="F363" s="86" t="s">
        <v>89</v>
      </c>
      <c r="G363" s="86" t="s">
        <v>90</v>
      </c>
      <c r="H363" s="86" t="s">
        <v>91</v>
      </c>
      <c r="I363" s="86" t="s">
        <v>92</v>
      </c>
      <c r="J363" s="86" t="s">
        <v>518</v>
      </c>
      <c r="K363" s="109" t="s">
        <v>247</v>
      </c>
      <c r="L363" s="109" t="s">
        <v>247</v>
      </c>
      <c r="M363" s="109" t="s">
        <v>247</v>
      </c>
      <c r="N363" s="109" t="s">
        <v>247</v>
      </c>
      <c r="O363" s="109" t="s">
        <v>247</v>
      </c>
      <c r="AC363" s="198"/>
      <c r="AD363" s="198"/>
      <c r="AE363" s="198"/>
      <c r="AF363" s="203" t="s">
        <v>364</v>
      </c>
      <c r="AG363" s="203" t="s">
        <v>365</v>
      </c>
      <c r="AH363" s="204">
        <f>IF(COUNTA(AH$286+AH$287)=0, "Filing Status", MAX(AH$286+AH$287,
    IF(AH$280=2022,
        IF(AH$281="Single", 12950,
            IF(AH$281="HOH", 19400,
                IF(AH$281="MFJ", 25900,
                    IF(AH$281="MFS", 12950,
                        IF(AH$281="QW", 25900, "Invalid Filing Status")
                    )
                )
            )
        ),
        IF(AH$280=2023,
            IF(AH$281="Single", 13850,
                IF(AH$281="HOH", 20800,
                    IF(AH$281="MFJ", 27700,
                        IF(AH$281="MFS", 13850,
                            IF(AH$281="QW", 27700, "Invalid Filing Status")
                        )
                    )
                )
            ),
            IF(AH$280=2024,
                IF(AH$281="Single", 14600,
                    IF(AH$281="HOH", 21900,
                        IF(AH$281="MFJ", 29200,
                            IF(AH$281="MFS", 14600,
                                IF(AH$281="QW", 29200, "Invalid Filing Status")
                            )
                        )
                    )
                ),
                "Invalid Year"
            )
        )
    )
))</f>
        <v>21900</v>
      </c>
    </row>
    <row r="364" spans="1:34" ht="17.25" x14ac:dyDescent="0.25">
      <c r="A364" s="83" t="s">
        <v>102</v>
      </c>
      <c r="B364" s="42"/>
      <c r="C364" s="42"/>
      <c r="D364" s="42"/>
      <c r="E364" s="42"/>
      <c r="F364" s="42"/>
      <c r="G364" s="42"/>
      <c r="H364" s="42"/>
      <c r="I364" s="42"/>
      <c r="J364" s="42"/>
      <c r="K364" s="42"/>
      <c r="L364" s="42"/>
      <c r="M364" s="42"/>
      <c r="N364" s="42"/>
      <c r="O364" s="42"/>
      <c r="AC364" s="198"/>
      <c r="AD364" s="198"/>
      <c r="AE364" s="198"/>
      <c r="AF364" s="203" t="s">
        <v>364</v>
      </c>
      <c r="AG364" s="203" t="s">
        <v>366</v>
      </c>
      <c r="AH364" s="204">
        <f>MAX(
    (AH362*AH$290)+AH$286,
    IF(AH$280=2022,
        IF(AH$281="Single", 12950,
            IF(AH$281="HOH", 19400,
                IF(AH$281="MFJ", 25900,
                    IF(AH$281="MFS", 12950,
                        IF(AH$281="QW", 25900, "Invalid Filing Status")
                    )
                )
            )
        ),
        IF(AH$280=2023,
            IF(AH$281="Single", 13850,
                IF(AH$281="HOH", 20800,
                    IF(AH$281="MFJ", 27700,
                        IF(AH$281="MFS", 13850,
                            IF(AH$281="QW", 27700, "Invalid Filing Status")
                        )
                    )
                )
            ),
            IF(AH$280=2024,
                IF(AH$281="Single", 14600,
                    IF(AH$281="HOH", 21900,
                        IF(AH$281="MFJ", 29200,
                            IF(AH$281="MFS", 14600,
                                IF(AH$281="QW", 29200, "Invalid Filing Status")
                            )
                        )
                    )
                ),
                "Invalid Year"
            )
        )
    )
)</f>
        <v>21900</v>
      </c>
    </row>
    <row r="365" spans="1:34" ht="17.25" x14ac:dyDescent="0.25">
      <c r="A365" s="83" t="s">
        <v>103</v>
      </c>
      <c r="B365" s="97" t="s">
        <v>233</v>
      </c>
      <c r="C365" s="97" t="s">
        <v>233</v>
      </c>
      <c r="D365" s="97" t="s">
        <v>233</v>
      </c>
      <c r="E365" s="97" t="s">
        <v>233</v>
      </c>
      <c r="F365" s="97" t="s">
        <v>233</v>
      </c>
      <c r="G365" s="97" t="s">
        <v>233</v>
      </c>
      <c r="H365" s="97" t="s">
        <v>233</v>
      </c>
      <c r="I365" s="97" t="s">
        <v>233</v>
      </c>
      <c r="J365" s="97" t="s">
        <v>233</v>
      </c>
      <c r="K365" s="97" t="s">
        <v>233</v>
      </c>
      <c r="L365" s="97" t="s">
        <v>233</v>
      </c>
      <c r="M365" s="97" t="s">
        <v>233</v>
      </c>
      <c r="N365" s="97" t="s">
        <v>233</v>
      </c>
      <c r="O365" s="97" t="s">
        <v>233</v>
      </c>
      <c r="AC365" s="198"/>
      <c r="AD365" s="198"/>
      <c r="AE365" s="198"/>
      <c r="AF365" s="203" t="s">
        <v>339</v>
      </c>
      <c r="AG365" s="203" t="s">
        <v>367</v>
      </c>
      <c r="AH365" s="204">
        <f>IF(AH$289="Yes", AH362 - AH364, AH362 - AH363)</f>
        <v>-21900</v>
      </c>
    </row>
    <row r="366" spans="1:34" ht="17.25" x14ac:dyDescent="0.25">
      <c r="A366" s="83" t="s">
        <v>105</v>
      </c>
      <c r="B366" s="42"/>
      <c r="C366" s="42"/>
      <c r="D366" s="42"/>
      <c r="E366" s="42"/>
      <c r="F366" s="42"/>
      <c r="G366" s="42"/>
      <c r="H366" s="42"/>
      <c r="I366" s="42"/>
      <c r="J366" s="42"/>
      <c r="K366" s="42"/>
      <c r="L366" s="42"/>
      <c r="M366" s="42"/>
      <c r="N366" s="42"/>
      <c r="O366" s="42"/>
      <c r="AC366" s="198"/>
      <c r="AD366" s="198"/>
      <c r="AE366" s="198"/>
      <c r="AF366" s="203" t="s">
        <v>339</v>
      </c>
      <c r="AG366" s="203" t="s">
        <v>368</v>
      </c>
      <c r="AH366" s="204">
        <f>MAX(0, MIN($K$329, $K$330))</f>
        <v>0</v>
      </c>
    </row>
    <row r="367" spans="1:34" ht="17.25" x14ac:dyDescent="0.25">
      <c r="A367" s="83" t="s">
        <v>106</v>
      </c>
      <c r="B367" s="42"/>
      <c r="C367" s="42"/>
      <c r="D367" s="42"/>
      <c r="E367" s="42"/>
      <c r="F367" s="42"/>
      <c r="G367" s="42"/>
      <c r="H367" s="42"/>
      <c r="I367" s="42"/>
      <c r="J367" s="42"/>
      <c r="K367" s="42"/>
      <c r="L367" s="42"/>
      <c r="M367" s="42"/>
      <c r="N367" s="42"/>
      <c r="O367" s="42"/>
      <c r="AC367" s="198"/>
      <c r="AD367" s="198"/>
      <c r="AE367" s="198"/>
      <c r="AF367" s="203" t="s">
        <v>339</v>
      </c>
      <c r="AG367" s="203" t="s">
        <v>409</v>
      </c>
      <c r="AH367" s="204">
        <f>IF(
    OR(AH$280=2022, AH$280=2023, AH$280=2024),
    IF(
        AH$281="MFJ", MAX(AH343+AH344+AH347+AH324+AH325+AH327-250000, 0) * 0.009,
        IF(
            AH$281="MFS", MAX(AH343+AH344+AH347+AH324+AH325+AH327-125000, 0) * 0.009,
            IF(
                AH$281="Single", MAX(AH343+AH344+AH347+AH324+AH325+AH327-200000, 0) * 0.009,
                IF(
                    AH$281="HOH", MAX(AH343+AH344+AH347+AH324+AH325+AH327-200000, 0) * 0.009,
                    IF(
                        AH$281="QW", MAX(AH343+AH344+AH347+AH324+AH325+AH327-200000, 0) * 0.009,
                        0
                    )
                )
            )
        )
    ),
    0
)</f>
        <v>0</v>
      </c>
    </row>
    <row r="368" spans="1:34" ht="17.25" x14ac:dyDescent="0.25">
      <c r="A368" s="83" t="s">
        <v>107</v>
      </c>
      <c r="B368" s="42"/>
      <c r="C368" s="42"/>
      <c r="D368" s="42"/>
      <c r="E368" s="42"/>
      <c r="F368" s="42"/>
      <c r="G368" s="42"/>
      <c r="H368" s="42"/>
      <c r="I368" s="42"/>
      <c r="J368" s="42"/>
      <c r="K368" s="42"/>
      <c r="L368" s="42"/>
      <c r="M368" s="42"/>
      <c r="N368" s="42"/>
      <c r="O368" s="42"/>
      <c r="AC368" s="198"/>
      <c r="AD368" s="198"/>
      <c r="AE368" s="198"/>
      <c r="AF368" s="203" t="s">
        <v>370</v>
      </c>
      <c r="AG368" s="203" t="s">
        <v>371</v>
      </c>
      <c r="AH368" s="204">
        <f>SUM(AH329:AH332)+SUM(AH334:AH339)+SUM(AH348:AH351)+SUM(AH353:AH358)</f>
        <v>0</v>
      </c>
    </row>
    <row r="369" spans="1:34" ht="17.25" x14ac:dyDescent="0.25">
      <c r="A369" s="83" t="s">
        <v>108</v>
      </c>
      <c r="B369" s="42"/>
      <c r="C369" s="42"/>
      <c r="D369" s="42"/>
      <c r="E369" s="42"/>
      <c r="F369" s="42"/>
      <c r="G369" s="42"/>
      <c r="H369" s="42"/>
      <c r="I369" s="42"/>
      <c r="J369" s="42"/>
      <c r="K369" s="42"/>
      <c r="L369" s="42"/>
      <c r="M369" s="42"/>
      <c r="N369" s="42"/>
      <c r="O369" s="42"/>
      <c r="AC369" s="198"/>
      <c r="AD369" s="198"/>
      <c r="AE369" s="198"/>
      <c r="AF369" s="203" t="s">
        <v>374</v>
      </c>
      <c r="AG369" s="203" t="s">
        <v>93</v>
      </c>
      <c r="AH369" s="204">
        <f>AH366+AH367+AH368</f>
        <v>0</v>
      </c>
    </row>
    <row r="370" spans="1:34" ht="17.25" x14ac:dyDescent="0.25">
      <c r="A370" s="83" t="s">
        <v>109</v>
      </c>
      <c r="B370" s="42"/>
      <c r="C370" s="42"/>
      <c r="D370" s="42"/>
      <c r="E370" s="42"/>
      <c r="F370" s="42"/>
      <c r="G370" s="42"/>
      <c r="H370" s="42"/>
      <c r="I370" s="42"/>
      <c r="J370" s="42"/>
      <c r="K370" s="42"/>
      <c r="L370" s="42"/>
      <c r="M370" s="42"/>
      <c r="N370" s="42"/>
      <c r="O370" s="42"/>
      <c r="AC370" s="198"/>
      <c r="AD370" s="198"/>
      <c r="AE370" s="198"/>
      <c r="AF370" s="203" t="s">
        <v>374</v>
      </c>
      <c r="AG370" s="203" t="s">
        <v>500</v>
      </c>
      <c r="AH370" s="204">
        <f>AH369-AH340-AH359</f>
        <v>0</v>
      </c>
    </row>
    <row r="371" spans="1:34" ht="17.25" x14ac:dyDescent="0.25">
      <c r="A371" s="83" t="s">
        <v>110</v>
      </c>
      <c r="B371" s="42"/>
      <c r="C371" s="42"/>
      <c r="D371" s="42"/>
      <c r="E371" s="42"/>
      <c r="F371" s="42"/>
      <c r="G371" s="42"/>
      <c r="H371" s="42"/>
      <c r="I371" s="42"/>
      <c r="J371" s="42"/>
      <c r="K371" s="42"/>
      <c r="L371" s="42"/>
      <c r="M371" s="42"/>
      <c r="N371" s="42"/>
      <c r="O371" s="42"/>
      <c r="AC371" s="198"/>
      <c r="AD371" s="198"/>
      <c r="AE371" s="198"/>
      <c r="AF371" s="196"/>
      <c r="AG371" s="196"/>
      <c r="AH371" s="196"/>
    </row>
    <row r="372" spans="1:34" ht="17.25" x14ac:dyDescent="0.25">
      <c r="A372" s="83" t="s">
        <v>111</v>
      </c>
      <c r="B372" s="98" t="s">
        <v>233</v>
      </c>
      <c r="C372" s="98" t="s">
        <v>233</v>
      </c>
      <c r="D372" s="98" t="s">
        <v>233</v>
      </c>
      <c r="E372" s="98" t="s">
        <v>233</v>
      </c>
      <c r="F372" s="98" t="s">
        <v>233</v>
      </c>
      <c r="G372" s="98" t="s">
        <v>233</v>
      </c>
      <c r="H372" s="98" t="s">
        <v>233</v>
      </c>
      <c r="I372" s="98" t="s">
        <v>233</v>
      </c>
      <c r="J372" s="98" t="s">
        <v>233</v>
      </c>
      <c r="K372" s="98" t="s">
        <v>233</v>
      </c>
      <c r="L372" s="98" t="s">
        <v>233</v>
      </c>
      <c r="M372" s="98" t="s">
        <v>233</v>
      </c>
      <c r="N372" s="98" t="s">
        <v>233</v>
      </c>
      <c r="O372" s="98" t="s">
        <v>233</v>
      </c>
      <c r="AC372" s="197"/>
      <c r="AD372" s="197"/>
      <c r="AE372" s="197"/>
      <c r="AF372" s="216"/>
      <c r="AG372" s="221" t="s">
        <v>389</v>
      </c>
      <c r="AH372" s="216"/>
    </row>
    <row r="373" spans="1:34" ht="17.25" x14ac:dyDescent="0.25">
      <c r="A373" s="83" t="s">
        <v>112</v>
      </c>
      <c r="B373" s="42"/>
      <c r="C373" s="42"/>
      <c r="D373" s="42"/>
      <c r="E373" s="42"/>
      <c r="F373" s="42"/>
      <c r="G373" s="42"/>
      <c r="H373" s="42"/>
      <c r="I373" s="42"/>
      <c r="J373" s="42"/>
      <c r="K373" s="42"/>
      <c r="L373" s="42"/>
      <c r="M373" s="42"/>
      <c r="N373" s="42"/>
      <c r="O373" s="42"/>
      <c r="AC373" s="197"/>
      <c r="AD373" s="197"/>
      <c r="AE373" s="197"/>
      <c r="AF373" s="194" t="s">
        <v>345</v>
      </c>
      <c r="AG373" s="194" t="s">
        <v>344</v>
      </c>
      <c r="AH373" s="195">
        <f>MAX(0, IF(OR(AH292="One", AH292="Both"), AH324+AH303-AH306, IF(AH292="Two", AH324, "Check X275 value")))</f>
        <v>0</v>
      </c>
    </row>
    <row r="374" spans="1:34" ht="17.25" x14ac:dyDescent="0.25">
      <c r="A374" s="83" t="s">
        <v>113</v>
      </c>
      <c r="B374" s="42"/>
      <c r="C374" s="42"/>
      <c r="D374" s="42"/>
      <c r="E374" s="42"/>
      <c r="F374" s="42"/>
      <c r="G374" s="42"/>
      <c r="H374" s="42"/>
      <c r="I374" s="42"/>
      <c r="J374" s="42"/>
      <c r="K374" s="42"/>
      <c r="L374" s="42"/>
      <c r="M374" s="42"/>
      <c r="N374" s="42"/>
      <c r="O374" s="42"/>
      <c r="AC374" s="197"/>
      <c r="AD374" s="197"/>
      <c r="AE374" s="197"/>
      <c r="AF374" s="185" t="s">
        <v>345</v>
      </c>
      <c r="AG374" s="185" t="s">
        <v>373</v>
      </c>
      <c r="AH374" s="187">
        <f>AH$297+AH$299</f>
        <v>0</v>
      </c>
    </row>
    <row r="375" spans="1:34" ht="17.25" x14ac:dyDescent="0.25">
      <c r="A375" s="83" t="s">
        <v>114</v>
      </c>
      <c r="B375" s="42"/>
      <c r="C375" s="42"/>
      <c r="D375" s="42"/>
      <c r="E375" s="42"/>
      <c r="F375" s="42"/>
      <c r="G375" s="42"/>
      <c r="H375" s="42"/>
      <c r="I375" s="42"/>
      <c r="J375" s="42"/>
      <c r="K375" s="42"/>
      <c r="L375" s="42"/>
      <c r="M375" s="42"/>
      <c r="N375" s="42"/>
      <c r="O375" s="42"/>
      <c r="AC375" s="197"/>
      <c r="AD375" s="197"/>
      <c r="AE375" s="197"/>
      <c r="AF375" s="185" t="s">
        <v>345</v>
      </c>
      <c r="AG375" s="185" t="s">
        <v>391</v>
      </c>
      <c r="AH375" s="187">
        <f>AH$296</f>
        <v>0</v>
      </c>
    </row>
    <row r="376" spans="1:34" ht="17.25" x14ac:dyDescent="0.25">
      <c r="A376" s="83" t="s">
        <v>115</v>
      </c>
      <c r="B376" s="42"/>
      <c r="C376" s="42"/>
      <c r="D376" s="42"/>
      <c r="E376" s="42"/>
      <c r="F376" s="42"/>
      <c r="G376" s="42"/>
      <c r="H376" s="42"/>
      <c r="I376" s="42"/>
      <c r="J376" s="42"/>
      <c r="K376" s="42"/>
      <c r="L376" s="42"/>
      <c r="M376" s="42"/>
      <c r="N376" s="42"/>
      <c r="O376" s="42"/>
      <c r="AC376" s="197"/>
      <c r="AD376" s="197"/>
      <c r="AE376" s="197"/>
      <c r="AF376" s="184" t="s">
        <v>345</v>
      </c>
      <c r="AG376" s="184" t="s">
        <v>353</v>
      </c>
      <c r="AH376" s="188">
        <f>AH$300</f>
        <v>0</v>
      </c>
    </row>
    <row r="377" spans="1:34" ht="17.25" x14ac:dyDescent="0.25">
      <c r="A377" s="83" t="s">
        <v>116</v>
      </c>
      <c r="B377" s="42"/>
      <c r="C377" s="42"/>
      <c r="D377" s="42"/>
      <c r="E377" s="42"/>
      <c r="F377" s="42"/>
      <c r="G377" s="42"/>
      <c r="H377" s="42"/>
      <c r="I377" s="42"/>
      <c r="J377" s="42"/>
      <c r="K377" s="42"/>
      <c r="L377" s="42"/>
      <c r="M377" s="42"/>
      <c r="N377" s="42"/>
      <c r="O377" s="42"/>
      <c r="AC377" s="197"/>
      <c r="AD377" s="197"/>
      <c r="AE377" s="197"/>
      <c r="AF377" s="184" t="s">
        <v>345</v>
      </c>
      <c r="AG377" s="184" t="s">
        <v>355</v>
      </c>
      <c r="AH377" s="188">
        <f>AH376*0.9235</f>
        <v>0</v>
      </c>
    </row>
    <row r="378" spans="1:34" ht="17.25" x14ac:dyDescent="0.25">
      <c r="A378" s="83" t="s">
        <v>117</v>
      </c>
      <c r="B378" s="42"/>
      <c r="C378" s="42"/>
      <c r="D378" s="42"/>
      <c r="E378" s="42"/>
      <c r="F378" s="42"/>
      <c r="G378" s="42"/>
      <c r="H378" s="42"/>
      <c r="I378" s="42"/>
      <c r="J378" s="42"/>
      <c r="K378" s="42"/>
      <c r="L378" s="42"/>
      <c r="M378" s="42"/>
      <c r="N378" s="42"/>
      <c r="O378" s="42"/>
      <c r="AC378" s="197"/>
      <c r="AD378" s="197"/>
      <c r="AE378" s="197"/>
      <c r="AF378" s="183" t="s">
        <v>339</v>
      </c>
      <c r="AG378" s="183" t="s">
        <v>347</v>
      </c>
      <c r="AH378" s="186">
        <f>IF(AH$280=2022, MIN(AH373,147000)*0.062,
   IF(AH$280=2023, MIN(AH373,160200)*0.062,
      IF(AH$280=2024, MIN(AH373,168600)*0.062,
         "-"
      )
   )
)</f>
        <v>0</v>
      </c>
    </row>
    <row r="379" spans="1:34" ht="17.25" x14ac:dyDescent="0.25">
      <c r="A379" s="83" t="s">
        <v>118</v>
      </c>
      <c r="B379" s="42"/>
      <c r="C379" s="42"/>
      <c r="D379" s="42"/>
      <c r="E379" s="42"/>
      <c r="F379" s="42"/>
      <c r="G379" s="42"/>
      <c r="H379" s="42"/>
      <c r="I379" s="42"/>
      <c r="J379" s="42"/>
      <c r="K379" s="42"/>
      <c r="L379" s="42"/>
      <c r="M379" s="42"/>
      <c r="N379" s="42"/>
      <c r="O379" s="42"/>
      <c r="AC379" s="197"/>
      <c r="AD379" s="197"/>
      <c r="AE379" s="197"/>
      <c r="AF379" s="183" t="s">
        <v>339</v>
      </c>
      <c r="AG379" s="183" t="s">
        <v>346</v>
      </c>
      <c r="AH379" s="186">
        <f>AH373*0.0145</f>
        <v>0</v>
      </c>
    </row>
    <row r="380" spans="1:34" ht="17.25" x14ac:dyDescent="0.25">
      <c r="A380" s="83" t="s">
        <v>119</v>
      </c>
      <c r="B380" s="42"/>
      <c r="C380" s="42"/>
      <c r="D380" s="42"/>
      <c r="E380" s="42"/>
      <c r="F380" s="42"/>
      <c r="G380" s="42"/>
      <c r="H380" s="42"/>
      <c r="I380" s="42"/>
      <c r="J380" s="42"/>
      <c r="K380" s="42"/>
      <c r="L380" s="42"/>
      <c r="M380" s="42"/>
      <c r="N380" s="42"/>
      <c r="O380" s="42"/>
      <c r="AC380" s="197"/>
      <c r="AD380" s="197"/>
      <c r="AE380" s="197"/>
      <c r="AF380" s="185" t="s">
        <v>339</v>
      </c>
      <c r="AG380" s="185" t="s">
        <v>347</v>
      </c>
      <c r="AH380" s="187">
        <f>IF(AH$280=2022, MIN(AH374*0.062, MAX(0, 147000*0.062 - AH373*0.062)),
   IF(AH$280=2023, MIN(AH374*0.062, MAX(0, 160200*0.062 - AH373*0.062)),
      IF(AH$280=2024, MIN(AH374*0.062, MAX(0, 168600*0.062 - AH373*0.062)),
         "-"
      )
   )
)</f>
        <v>0</v>
      </c>
    </row>
    <row r="381" spans="1:34" ht="17.25" x14ac:dyDescent="0.25">
      <c r="A381" s="83" t="s">
        <v>120</v>
      </c>
      <c r="B381" s="42"/>
      <c r="C381" s="42"/>
      <c r="D381" s="42"/>
      <c r="E381" s="42"/>
      <c r="F381" s="42"/>
      <c r="G381" s="42"/>
      <c r="H381" s="42"/>
      <c r="I381" s="42"/>
      <c r="J381" s="42"/>
      <c r="K381" s="42"/>
      <c r="L381" s="42"/>
      <c r="M381" s="42"/>
      <c r="N381" s="42"/>
      <c r="O381" s="42"/>
      <c r="AC381" s="197"/>
      <c r="AD381" s="197"/>
      <c r="AE381" s="197"/>
      <c r="AF381" s="185" t="s">
        <v>339</v>
      </c>
      <c r="AG381" s="185" t="s">
        <v>346</v>
      </c>
      <c r="AH381" s="187">
        <f>AH374*0.0145</f>
        <v>0</v>
      </c>
    </row>
    <row r="382" spans="1:34" ht="17.25" x14ac:dyDescent="0.25">
      <c r="A382" s="83" t="s">
        <v>121</v>
      </c>
      <c r="B382" s="42"/>
      <c r="C382" s="42"/>
      <c r="D382" s="42"/>
      <c r="E382" s="42"/>
      <c r="F382" s="42"/>
      <c r="G382" s="42"/>
      <c r="H382" s="42"/>
      <c r="I382" s="42"/>
      <c r="J382" s="42"/>
      <c r="K382" s="42"/>
      <c r="L382" s="42"/>
      <c r="M382" s="42"/>
      <c r="N382" s="42"/>
      <c r="O382" s="42"/>
      <c r="AC382" s="197"/>
      <c r="AD382" s="197"/>
      <c r="AE382" s="197"/>
      <c r="AF382" s="190"/>
      <c r="AG382" s="190"/>
      <c r="AH382" s="189" t="str">
        <f>AH333</f>
        <v>California Taxes</v>
      </c>
    </row>
    <row r="383" spans="1:34" ht="17.25" x14ac:dyDescent="0.25">
      <c r="A383" s="83" t="s">
        <v>122</v>
      </c>
      <c r="B383" s="42"/>
      <c r="C383" s="42"/>
      <c r="D383" s="42"/>
      <c r="E383" s="42"/>
      <c r="F383" s="42"/>
      <c r="G383" s="42"/>
      <c r="H383" s="42"/>
      <c r="I383" s="42"/>
      <c r="J383" s="42"/>
      <c r="K383" s="42"/>
      <c r="L383" s="42"/>
      <c r="M383" s="42"/>
      <c r="N383" s="42"/>
      <c r="O383" s="42"/>
      <c r="AC383" s="197"/>
      <c r="AD383" s="197"/>
      <c r="AE383" s="197"/>
      <c r="AF383" s="185" t="s">
        <v>339</v>
      </c>
      <c r="AG383" s="185" t="s">
        <v>356</v>
      </c>
      <c r="AH383" s="187">
        <f>IF(AH$280=2022, MIN(AH374,147000)*0.062,
   IF(AH$280=2023, MIN(AH374,160200)*0.062,
      IF(AH$280=2024, MIN(AH374,168600)*0.062,
         "-"
      )
   )
)</f>
        <v>0</v>
      </c>
    </row>
    <row r="384" spans="1:34" ht="17.25" x14ac:dyDescent="0.25">
      <c r="A384" s="83" t="s">
        <v>123</v>
      </c>
      <c r="B384" s="42"/>
      <c r="C384" s="42"/>
      <c r="D384" s="42"/>
      <c r="E384" s="42"/>
      <c r="F384" s="42"/>
      <c r="G384" s="42"/>
      <c r="H384" s="42"/>
      <c r="I384" s="42"/>
      <c r="J384" s="42"/>
      <c r="K384" s="42"/>
      <c r="L384" s="42"/>
      <c r="M384" s="42"/>
      <c r="N384" s="42"/>
      <c r="O384" s="42"/>
      <c r="AC384" s="197"/>
      <c r="AD384" s="197"/>
      <c r="AE384" s="197"/>
      <c r="AF384" s="185" t="s">
        <v>339</v>
      </c>
      <c r="AG384" s="185" t="s">
        <v>348</v>
      </c>
      <c r="AH384" s="187">
        <f>AH374*0.0145</f>
        <v>0</v>
      </c>
    </row>
    <row r="385" spans="1:34" ht="17.25" x14ac:dyDescent="0.25">
      <c r="A385" s="83" t="s">
        <v>124</v>
      </c>
      <c r="B385" s="42"/>
      <c r="C385" s="42"/>
      <c r="D385" s="42"/>
      <c r="E385" s="42"/>
      <c r="F385" s="42"/>
      <c r="G385" s="42"/>
      <c r="H385" s="42"/>
      <c r="I385" s="42"/>
      <c r="J385" s="42"/>
      <c r="K385" s="42"/>
      <c r="L385" s="42"/>
      <c r="M385" s="42"/>
      <c r="N385" s="42"/>
      <c r="O385" s="42"/>
      <c r="AC385" s="197"/>
      <c r="AD385" s="197"/>
      <c r="AE385" s="197"/>
      <c r="AF385" s="185" t="s">
        <v>339</v>
      </c>
      <c r="AG385" s="185" t="s">
        <v>351</v>
      </c>
      <c r="AH385" s="187" cm="1">
        <f t="array" ref="AH385">_xlfn.IFNA(_xlfn.IFS(
    AH280=2022,
    _xlfn.SWITCH(
        AH382,
        "Alabama Taxes", MIN(AH374, 8000)*0.027,
        "Alaska Taxes", MIN(AH374, 45200)*0.0237,
        "Arizona Taxes", MIN(AH374, 7000)*0.02,
        "Arkansas Taxes", MIN(AH374, 10000)*0.031,
        "California Taxes", MIN(AH374, 7000)*0.034,
        "Colorado Taxes", MIN(AH374, 17000)*0.017,
        "Connecticut Taxes", MIN(AH374, 15000)*0.03,
        "Delaware Taxes", MIN(AH374, 16500)*0.018,
        "District of Columbia Taxes", MIN(AH374, 9000)*0.027,
        "Florida Taxes", MIN(AH374, 7000)*0.027,
        "Georgia Taxes", MIN(AH374, 9500)*0.0264,
        "Hawaii Taxes", MIN(AH374, 51600)*0.03,
        "Idaho Taxes", MIN(AH374, 46500)*0.0097,
        "Illinois Taxes", MIN(AH374, 12960)*0.03525,
        "Indiana Taxes", MIN(AH374, 9500)*0.025,
        "Iowa Taxes", MIN(AH374, 34800)*0.01,
        "Kansas Taxes", MIN(AH374, 14000)*0.027,
        "Kentucky Taxes", MIN(AH374, 11100)*0.027,
        "Louisiana Taxes", MIN(AH374, 7700)*0.027,
        "Maine Taxes", MIN(AH374, 12000)*0.0224,
        "Maryland Taxes", MIN(AH374, 8500)*0.026,
        "Massachusetts Taxes", MIN(AH374, 15000)*0.0242,
        "Michigan Taxes", MIN(AH374, 9500)*0.027,
        "Minnesota Taxes", MIN(AH374, 38000)*0.027,
        "Mississippi Taxes", MIN(AH374, 14000)*0.01,
        "Missouri Taxes", MIN(AH374, 11000)*0.02376,
        "Montana Taxes", MIN(AH374, 38100)*0.027,
        "Nebraska Taxes", MIN(AH374, 24000)*0.0125,
        "Nevada Taxes", MIN(AH374, 36600)*0.0295,
        "New Hampshire Taxes", MIN(AH374, 14000)*0.027,
        "New Jersey Taxes", MIN(AH374, 39800)*0.028,
        "New Mexico Taxes", MIN(AH374, 28700)*0.01,
        "New York Taxes", MIN(AH374, 12000)*0.03125,
        "North Carolina Taxes", MIN(AH374, 28000)*0.01,
        "North Dakota Taxes", MIN(AH374, 38400)*0.0102,
        "Ohio Taxes", MIN(AH374, 9000)*0.027,
        "Oklahoma Taxes", MIN(AH374, 24800)*0.015,
        "Oregon Taxes", MIN(AH374, 47700)*0.024,
        "Pennsylvania Taxes", MIN(AH374, 10000)*0.03689,
        "Rhode Island Taxes", MIN(AH374, 24600)*0.0098,
        "South Carolina Taxes", MIN(AH374, 14000)*0.0049,
        "South Dakota Taxes", MIN(AH374, 15000)*0.012,
        "Tennessee Taxes", MIN(AH374, 7000)*0.027,
        "Texas Taxes", MIN(AH374, 9000)*0.027,
        "Utah Taxes", MIN(AH374, 41600)*0.027,
        "Vermont Taxes", MIN(AH374, 15500)*0.01,
        "Virginia Taxes", MIN(AH374, 8000)*0.0273,
        "Washington Taxes", MIN(AH374, 62500)*0.027,
        "West Virginia Taxes", MIN(AH374, 12000)*0.027,
        "Wisconsin Taxes", MIN(AH374, 14000)*0.0305,
        "Wyoming Taxes", MIN(AH374, 27700)*0.027
    ),
  AH280=2023,
    _xlfn.SWITCH(
        AH382,
        "Alabama Taxes", MIN(AH374, 8000)*0.027,
        "Alaska Taxes", MIN(AH374, 41500)*0.0237,
        "Arizona Taxes", MIN(AH374, 7000)*0.02,
        "Arkansas Taxes", MIN(AH374, 12000)*0.031,
        "California Taxes", MIN(AH374, 7000)*0.034,
        "Colorado Taxes", MIN(AH374, 13800)*0.017,
        "Connecticut Taxes", MIN(AH374, 15000)*0.028,
        "Delaware Taxes", MIN(AH374, 8500)*0.001,
        "District of Columbia Taxes", MIN(AH374, 9000)*0.027,
        "Florida Taxes", MIN(AH374, 7000)*0.027,
        "Georgia Taxes", MIN(AH374, 9500)*0.027,
        "Hawaii Taxes", MIN(AH374, 46800)*0.04,
        "Idaho Taxes", MIN(AH374, 41500)*0.01071,
        "Illinois Taxes", MIN(AH374, 12900)*0.0395,
        "Indiana Taxes", MIN(AH374, 9500)*0.025,
        "Iowa Taxes", MIN(AH374, 29500)*0.01,
        "Kansas Taxes", MIN(AH374, 14000)*0.027,
        "Kentucky Taxes", MIN(AH374, 11000)*0.027,
        "Louisiana Taxes", MIN(AH374, 7500)*0.0009,
        "Maine Taxes", MIN(AH374, 12000)*0.0219,
        "Maryland Taxes", MIN(AH374, 8500)*0.023,
        "Massachusetts Taxes", MIN(AH374, 15000)*0.0143,
        "Michigan Taxes", MIN(AH374, 9500)*0.027,
        "Minnesota Taxes", MIN(AH374, 35000)*0.001,
        "Mississippi Taxes", MIN(AH374, 14000)*0.01,
        "Missouri Taxes", MIN(AH374, 13500)*0.027,
        "Montana Taxes", MIN(AH374, 34500)*0.0013,
        "Nebraska Taxes", MIN(AH374, 9000)*0.0125,
        "Nevada Taxes", MIN(AH374, 33100)*0.0295,
        "New Hampshire Taxes", MIN(AH374, 14000)*0.027,
        "New Jersey Taxes", MIN(AH374, 35700)*0.031,
        "New Mexico Taxes", MIN(AH374, 25400)*0.01,
        "New York Taxes", MIN(AH374, 11500)*0.026,
        "North Carolina Taxes", MIN(AH374, 25400)*0.01,
        "North Dakota Taxes", MIN(AH374, 39200)*0.0113,
        "Ohio Taxes", MIN(AH374, 9000)*0.027,
        "Oklahoma Taxes", MIN(AH374, 17500)*0.015,
        "Oregon Taxes", MIN(AH374, 43000)*0.021,
        "Pennsylvania Taxes", MIN(AH374, 10000)*0.03822,
        "Rhode Island Taxes", MIN(AH374, 24000)*0.0109,
        "South Carolina Taxes", MIN(AH374, 14000)*0.0045,
        "South Dakota Taxes", MIN(AH374, 15000)*0.012,
        "Tennessee Taxes", MIN(AH374, 7000)*0.027,
        "Texas Taxes", MIN(AH374, 9000)*0.027,
        "Utah Taxes", MIN(AH374, 35700)*0.003,
        "Vermont Taxes", MIN(AH374, 16000)*0.01,
        "Virginia Taxes", MIN(AH374, 8000)*0.025,
        "Washington Taxes", MIN(AH374, 56200)*0.0125,
        "West Virginia Taxes", MIN(AH374, 12000)*0.027,
        "Wisconsin Taxes", MIN(AH374, 14000)*0.0305,
        "Wyoming Taxes", MIN(AH374, 25800)*0.018
    ),
    AH280=2024,
    _xlfn.SWITCH(
        AH382,
 "Alabama Taxes", MIN(AH374, 8000)*0.027,
        "Alaska Taxes", MIN(AH374, 41500)*0.0237,
        "Arizona Taxes", MIN(AH374, 7000)*0.02,
        "Arkansas Taxes", MIN(AH374, 12000)*0.031,
        "California Taxes", MIN(AH374, 7000)*0.034,
        "Colorado Taxes", MIN(AH374, 13800)*0.017,
        "Connecticut Taxes", MIN(AH374, 15000)*0.028,
        "Delaware Taxes", MIN(AH374, 8500)*0.001,
        "District of Columbia Taxes", MIN(AH374, 9000)*0.027,
        "Florida Taxes", MIN(AH374, 7000)*0.027,
        "Georgia Taxes", MIN(AH374, 9500)*0.027,
        "Hawaii Taxes", MIN(AH374, 46800)*0.04,
        "Idaho Taxes", MIN(AH374, 41500)*0.01071,
        "Illinois Taxes", MIN(AH374, 12900)*0.0395,
        "Indiana Taxes", MIN(AH374, 9500)*0.025,
        "Iowa Taxes", MIN(AH374, 29500)*0.01,
        "Kansas Taxes", MIN(AH374, 14000)*0.027,
        "Kentucky Taxes", MIN(AH374, 11000)*0.027,
        "Louisiana Taxes", MIN(AH374, 7500)*0.0009,
        "Maine Taxes", MIN(AH374, 12000)*0.0219,
        "Maryland Taxes", MIN(AH374, 8500)*0.023,
        "Massachusetts Taxes", MIN(AH374, 15000)*0.0143,
        "Michigan Taxes", MIN(AH374, 9500)*0.027,
        "Minnesota Taxes", MIN(AH374, 35000)*0.001,
        "Mississippi Taxes", MIN(AH374, 14000)*0.01,
        "Missouri Taxes", MIN(AH374, 13500)*0.027,
        "Montana Taxes", MIN(AH374, 34500)*0.0013,
        "Nebraska Taxes", MIN(AH374, 9000)*0.0125,
        "Nevada Taxes", MIN(AH374, 33100)*0.0295,
        "New Hampshire Taxes", MIN(AH374, 14000)*0.027,
        "New Jersey Taxes", MIN(AH374, 35700)*0.031,
        "New Mexico Taxes", MIN(AH374, 25400)*0.01,
        "New York Taxes", MIN(AH374, 11500)*0.026,
        "North Carolina Taxes", MIN(AH374, 25400)*0.01,
        "North Dakota Taxes", MIN(AH374, 39200)*0.0113,
        "Ohio Taxes", MIN(AH374, 9000)*0.027,
        "Oklahoma Taxes", MIN(AH374, 17500)*0.015,
        "Oregon Taxes", MIN(AH374, 43000)*0.021,
        "Pennsylvania Taxes", MIN(AH374, 10000)*0.03822,
        "Rhode Island Taxes", MIN(AH374, 24000)*0.0109,
        "South Carolina Taxes", MIN(AH374, 14000)*0.0045,
        "South Dakota Taxes", MIN(AH374, 15000)*0.012,
        "Tennessee Taxes", MIN(AH374, 7000)*0.027,
        "Texas Taxes", MIN(AH374, 9000)*0.027,
        "Utah Taxes", MIN(AH374, 35700)*0.003,
        "Vermont Taxes", MIN(AH374, 16000)*0.01,
        "Virginia Taxes", MIN(AH374, 8000)*0.025,
        "Washington Taxes", MIN(AH374, 56200)*0.0125,
        "West Virginia Taxes", MIN(AH374, 12000)*0.027,
        "Wisconsin Taxes", MIN(AH374, 14000)*0.0305,
        "Wyoming Taxes", MIN(AH374, 25800)*0.018
    )
),0)</f>
        <v>0</v>
      </c>
    </row>
    <row r="386" spans="1:34" ht="17.25" x14ac:dyDescent="0.25">
      <c r="A386" s="83" t="s">
        <v>125</v>
      </c>
      <c r="B386" s="42"/>
      <c r="C386" s="42"/>
      <c r="D386" s="42"/>
      <c r="E386" s="42"/>
      <c r="F386" s="42"/>
      <c r="G386" s="42"/>
      <c r="H386" s="42"/>
      <c r="I386" s="42"/>
      <c r="J386" s="42"/>
      <c r="K386" s="42"/>
      <c r="L386" s="42"/>
      <c r="M386" s="42"/>
      <c r="N386" s="42"/>
      <c r="O386" s="42"/>
      <c r="AC386" s="197"/>
      <c r="AD386" s="197"/>
      <c r="AE386" s="197"/>
      <c r="AF386" s="185" t="s">
        <v>339</v>
      </c>
      <c r="AG386" s="185" t="s">
        <v>352</v>
      </c>
      <c r="AH386" s="187">
        <f>IF($U$157="Yes", MIN(AH374,7000)*(0.06-0.054), IF($U$157="No", MIN(AH374,7000)*0.06, 0))</f>
        <v>0</v>
      </c>
    </row>
    <row r="387" spans="1:34" ht="17.25" x14ac:dyDescent="0.25">
      <c r="A387" s="83" t="s">
        <v>126</v>
      </c>
      <c r="B387" s="42"/>
      <c r="C387" s="42"/>
      <c r="D387" s="42"/>
      <c r="E387" s="42"/>
      <c r="F387" s="42"/>
      <c r="G387" s="42"/>
      <c r="H387" s="42"/>
      <c r="I387" s="42"/>
      <c r="J387" s="42"/>
      <c r="K387" s="42"/>
      <c r="L387" s="42"/>
      <c r="M387" s="42"/>
      <c r="N387" s="42"/>
      <c r="O387" s="42"/>
      <c r="AC387" s="197"/>
      <c r="AD387" s="197"/>
      <c r="AE387" s="197"/>
      <c r="AF387" s="184" t="s">
        <v>339</v>
      </c>
      <c r="AG387" s="184" t="s">
        <v>349</v>
      </c>
      <c r="AH387" s="188">
        <f t="shared" ref="AH387" si="987">AH377* 0.029</f>
        <v>0</v>
      </c>
    </row>
    <row r="388" spans="1:34" ht="17.25" x14ac:dyDescent="0.25">
      <c r="A388" s="83" t="s">
        <v>127</v>
      </c>
      <c r="B388" s="42"/>
      <c r="C388" s="42"/>
      <c r="D388" s="42"/>
      <c r="E388" s="42"/>
      <c r="F388" s="42"/>
      <c r="G388" s="42"/>
      <c r="H388" s="42"/>
      <c r="I388" s="42"/>
      <c r="J388" s="42"/>
      <c r="K388" s="42"/>
      <c r="L388" s="42"/>
      <c r="M388" s="42"/>
      <c r="N388" s="42"/>
      <c r="O388" s="42"/>
      <c r="AC388" s="197"/>
      <c r="AD388" s="197"/>
      <c r="AE388" s="197"/>
      <c r="AF388" s="184" t="s">
        <v>339</v>
      </c>
      <c r="AG388" s="184" t="s">
        <v>402</v>
      </c>
      <c r="AH388" s="188">
        <f>IF(AH$280=2022,
   MAX(0, MIN(147000 - (AH373 + AH374), AH376*0.9235))*0.124,
   IF(AH$280=2023,
      MAX(0, MIN(160200 - (AH373 + AH374), AH376*0.9235))*0.124,
      IF(AH$280=2024,
         MAX(0, MIN(168600 - (AH373 + AH374), AH376*0.9235))*0.124,
         "-"
      )
   )
)</f>
        <v>0</v>
      </c>
    </row>
    <row r="389" spans="1:34" ht="17.25" x14ac:dyDescent="0.25">
      <c r="A389" s="83" t="s">
        <v>128</v>
      </c>
      <c r="B389" s="42"/>
      <c r="C389" s="42"/>
      <c r="D389" s="42"/>
      <c r="E389" s="42"/>
      <c r="F389" s="42"/>
      <c r="G389" s="42"/>
      <c r="H389" s="42"/>
      <c r="I389" s="42"/>
      <c r="J389" s="42"/>
      <c r="K389" s="42"/>
      <c r="L389" s="42"/>
      <c r="M389" s="42"/>
      <c r="N389" s="42"/>
      <c r="O389" s="42"/>
      <c r="AC389" s="197"/>
      <c r="AD389" s="197"/>
      <c r="AE389" s="197"/>
      <c r="AF389" s="201" t="s">
        <v>357</v>
      </c>
      <c r="AG389" s="201" t="s">
        <v>358</v>
      </c>
      <c r="AH389" s="202">
        <f>MIN(
    IF(OR(AH292="One", AH292="Both"), AH306 + (AH306 * AH301), IF(AH292="Two", AH303, "Check X275 value")),
    (AH303 + AH295) + (AH303 + AH295) * AH301
)</f>
        <v>0</v>
      </c>
    </row>
    <row r="390" spans="1:34" ht="17.25" x14ac:dyDescent="0.25">
      <c r="A390" s="83" t="s">
        <v>129</v>
      </c>
      <c r="B390" s="42"/>
      <c r="C390" s="42"/>
      <c r="D390" s="42"/>
      <c r="E390" s="42"/>
      <c r="F390" s="42"/>
      <c r="G390" s="42"/>
      <c r="H390" s="42"/>
      <c r="I390" s="42"/>
      <c r="J390" s="42"/>
      <c r="K390" s="42"/>
      <c r="L390" s="42"/>
      <c r="M390" s="42"/>
      <c r="N390" s="42"/>
      <c r="O390" s="42"/>
      <c r="AC390" s="197"/>
      <c r="AD390" s="197"/>
      <c r="AE390" s="197"/>
      <c r="AF390" s="201"/>
      <c r="AG390" s="201" t="s">
        <v>376</v>
      </c>
      <c r="AH390" s="202">
        <f>AH389*AH$288</f>
        <v>0</v>
      </c>
    </row>
    <row r="391" spans="1:34" ht="17.25" x14ac:dyDescent="0.25">
      <c r="A391" s="83" t="s">
        <v>130</v>
      </c>
      <c r="B391" s="97" t="s">
        <v>233</v>
      </c>
      <c r="C391" s="97" t="s">
        <v>233</v>
      </c>
      <c r="D391" s="97" t="s">
        <v>233</v>
      </c>
      <c r="E391" s="97" t="s">
        <v>233</v>
      </c>
      <c r="F391" s="97" t="s">
        <v>233</v>
      </c>
      <c r="G391" s="97" t="s">
        <v>233</v>
      </c>
      <c r="H391" s="97" t="s">
        <v>233</v>
      </c>
      <c r="I391" s="97" t="s">
        <v>233</v>
      </c>
      <c r="J391" s="97" t="s">
        <v>233</v>
      </c>
      <c r="K391" s="97" t="s">
        <v>233</v>
      </c>
      <c r="L391" s="97" t="s">
        <v>233</v>
      </c>
      <c r="M391" s="97" t="s">
        <v>233</v>
      </c>
      <c r="N391" s="97" t="s">
        <v>233</v>
      </c>
      <c r="O391" s="97" t="s">
        <v>233</v>
      </c>
      <c r="AC391" s="197"/>
      <c r="AD391" s="197"/>
      <c r="AE391" s="197"/>
      <c r="AF391" s="216"/>
      <c r="AG391" s="221" t="s">
        <v>399</v>
      </c>
      <c r="AH391" s="216"/>
    </row>
    <row r="392" spans="1:34" ht="17.25" x14ac:dyDescent="0.25">
      <c r="A392" s="83" t="s">
        <v>131</v>
      </c>
      <c r="B392" s="97" t="s">
        <v>233</v>
      </c>
      <c r="C392" s="97" t="s">
        <v>233</v>
      </c>
      <c r="D392" s="97" t="s">
        <v>233</v>
      </c>
      <c r="E392" s="97" t="s">
        <v>233</v>
      </c>
      <c r="F392" s="97" t="s">
        <v>233</v>
      </c>
      <c r="G392" s="97" t="s">
        <v>233</v>
      </c>
      <c r="H392" s="97" t="s">
        <v>233</v>
      </c>
      <c r="I392" s="97" t="s">
        <v>233</v>
      </c>
      <c r="J392" s="97" t="s">
        <v>233</v>
      </c>
      <c r="K392" s="97" t="s">
        <v>233</v>
      </c>
      <c r="L392" s="97" t="s">
        <v>233</v>
      </c>
      <c r="M392" s="97" t="s">
        <v>233</v>
      </c>
      <c r="N392" s="97" t="s">
        <v>233</v>
      </c>
      <c r="O392" s="97" t="s">
        <v>233</v>
      </c>
      <c r="AC392" s="197"/>
      <c r="AD392" s="197"/>
      <c r="AE392" s="197"/>
      <c r="AF392" s="194" t="s">
        <v>345</v>
      </c>
      <c r="AG392" s="194" t="s">
        <v>344</v>
      </c>
      <c r="AH392" s="195">
        <f>MAX(0, IF(AH292="One", AH343, IF(OR(AH292="Two", AH292="Both"), AH343+AH317-AH320, "Check X275 value")))</f>
        <v>0</v>
      </c>
    </row>
    <row r="393" spans="1:34" ht="17.25" x14ac:dyDescent="0.25">
      <c r="A393" s="83" t="s">
        <v>132</v>
      </c>
      <c r="B393" s="42"/>
      <c r="C393" s="42"/>
      <c r="D393" s="42"/>
      <c r="E393" s="42"/>
      <c r="F393" s="42"/>
      <c r="G393" s="42"/>
      <c r="H393" s="42"/>
      <c r="I393" s="42"/>
      <c r="J393" s="42"/>
      <c r="K393" s="42"/>
      <c r="L393" s="42"/>
      <c r="M393" s="42"/>
      <c r="N393" s="42"/>
      <c r="O393" s="42"/>
      <c r="AC393" s="197"/>
      <c r="AD393" s="197"/>
      <c r="AE393" s="197"/>
      <c r="AF393" s="185" t="s">
        <v>345</v>
      </c>
      <c r="AG393" s="185" t="s">
        <v>373</v>
      </c>
      <c r="AH393" s="187">
        <f>AH$311+AH$313</f>
        <v>0</v>
      </c>
    </row>
    <row r="394" spans="1:34" ht="17.25" x14ac:dyDescent="0.25">
      <c r="A394" s="83" t="s">
        <v>133</v>
      </c>
      <c r="B394" s="42"/>
      <c r="C394" s="42"/>
      <c r="D394" s="42"/>
      <c r="E394" s="42"/>
      <c r="F394" s="42"/>
      <c r="G394" s="42"/>
      <c r="H394" s="42"/>
      <c r="I394" s="42"/>
      <c r="J394" s="42"/>
      <c r="K394" s="42"/>
      <c r="L394" s="42"/>
      <c r="M394" s="42"/>
      <c r="N394" s="42"/>
      <c r="O394" s="42"/>
      <c r="AC394" s="197"/>
      <c r="AD394" s="197"/>
      <c r="AE394" s="197"/>
      <c r="AF394" s="185" t="s">
        <v>345</v>
      </c>
      <c r="AG394" s="185" t="s">
        <v>400</v>
      </c>
      <c r="AH394" s="187">
        <f>AH$310</f>
        <v>0</v>
      </c>
    </row>
    <row r="395" spans="1:34" ht="17.25" x14ac:dyDescent="0.25">
      <c r="A395" s="83" t="s">
        <v>134</v>
      </c>
      <c r="B395" s="42"/>
      <c r="C395" s="42"/>
      <c r="D395" s="42"/>
      <c r="E395" s="42"/>
      <c r="F395" s="42"/>
      <c r="G395" s="42"/>
      <c r="H395" s="42"/>
      <c r="I395" s="42"/>
      <c r="J395" s="42"/>
      <c r="K395" s="42"/>
      <c r="L395" s="42"/>
      <c r="M395" s="42"/>
      <c r="N395" s="42"/>
      <c r="O395" s="42"/>
      <c r="AC395" s="197"/>
      <c r="AD395" s="197"/>
      <c r="AE395" s="197"/>
      <c r="AF395" s="184" t="s">
        <v>345</v>
      </c>
      <c r="AG395" s="184" t="s">
        <v>353</v>
      </c>
      <c r="AH395" s="188">
        <f>AH$314</f>
        <v>0</v>
      </c>
    </row>
    <row r="396" spans="1:34" ht="17.25" x14ac:dyDescent="0.25">
      <c r="A396" s="83" t="s">
        <v>135</v>
      </c>
      <c r="B396" s="42"/>
      <c r="C396" s="42"/>
      <c r="D396" s="42"/>
      <c r="E396" s="42"/>
      <c r="F396" s="42"/>
      <c r="G396" s="42"/>
      <c r="H396" s="42"/>
      <c r="I396" s="42"/>
      <c r="J396" s="42"/>
      <c r="K396" s="42"/>
      <c r="L396" s="42"/>
      <c r="M396" s="42"/>
      <c r="N396" s="42"/>
      <c r="O396" s="42"/>
      <c r="AC396" s="197"/>
      <c r="AD396" s="197"/>
      <c r="AE396" s="197"/>
      <c r="AF396" s="184" t="s">
        <v>345</v>
      </c>
      <c r="AG396" s="184" t="s">
        <v>355</v>
      </c>
      <c r="AH396" s="188">
        <f>AH395*0.9235</f>
        <v>0</v>
      </c>
    </row>
    <row r="397" spans="1:34" ht="17.25" x14ac:dyDescent="0.25">
      <c r="A397" s="83" t="s">
        <v>136</v>
      </c>
      <c r="B397" s="42"/>
      <c r="C397" s="42"/>
      <c r="D397" s="42"/>
      <c r="E397" s="42"/>
      <c r="F397" s="42"/>
      <c r="G397" s="42"/>
      <c r="H397" s="42"/>
      <c r="I397" s="42"/>
      <c r="J397" s="42"/>
      <c r="K397" s="42"/>
      <c r="L397" s="42"/>
      <c r="M397" s="42"/>
      <c r="N397" s="42"/>
      <c r="O397" s="42"/>
      <c r="AC397" s="197"/>
      <c r="AD397" s="197"/>
      <c r="AE397" s="197"/>
      <c r="AF397" s="183" t="s">
        <v>339</v>
      </c>
      <c r="AG397" s="183" t="s">
        <v>347</v>
      </c>
      <c r="AH397" s="186">
        <f>IF(AH$280=2022, MIN(AH392,147000)*0.062,
   IF(AH$280=2023, MIN(AH392,160200)*0.062,
      IF(AH$280=2024, MIN(AH392,168600)*0.062,
         "-"
      )
   )
)</f>
        <v>0</v>
      </c>
    </row>
    <row r="398" spans="1:34" ht="17.25" x14ac:dyDescent="0.25">
      <c r="A398" s="83" t="s">
        <v>137</v>
      </c>
      <c r="B398" s="42"/>
      <c r="C398" s="42"/>
      <c r="D398" s="42"/>
      <c r="E398" s="42"/>
      <c r="F398" s="42"/>
      <c r="G398" s="42"/>
      <c r="H398" s="42"/>
      <c r="I398" s="42"/>
      <c r="J398" s="42"/>
      <c r="K398" s="42"/>
      <c r="L398" s="42"/>
      <c r="M398" s="42"/>
      <c r="N398" s="42"/>
      <c r="O398" s="42"/>
      <c r="AC398" s="197"/>
      <c r="AD398" s="197"/>
      <c r="AE398" s="197"/>
      <c r="AF398" s="183" t="s">
        <v>339</v>
      </c>
      <c r="AG398" s="183" t="s">
        <v>346</v>
      </c>
      <c r="AH398" s="186">
        <f t="shared" ref="AH398" si="988">AH392*0.0145</f>
        <v>0</v>
      </c>
    </row>
    <row r="399" spans="1:34" ht="17.25" x14ac:dyDescent="0.25">
      <c r="A399" s="83" t="s">
        <v>138</v>
      </c>
      <c r="B399" s="42"/>
      <c r="C399" s="42"/>
      <c r="D399" s="42"/>
      <c r="E399" s="42"/>
      <c r="F399" s="42"/>
      <c r="G399" s="42"/>
      <c r="H399" s="42"/>
      <c r="I399" s="42"/>
      <c r="J399" s="42"/>
      <c r="K399" s="42"/>
      <c r="L399" s="42"/>
      <c r="M399" s="42"/>
      <c r="N399" s="42"/>
      <c r="O399" s="42"/>
      <c r="AC399" s="197"/>
      <c r="AD399" s="197"/>
      <c r="AE399" s="197"/>
      <c r="AF399" s="185" t="s">
        <v>339</v>
      </c>
      <c r="AG399" s="185" t="s">
        <v>347</v>
      </c>
      <c r="AH399" s="187">
        <f>IF(AH$280=2022, MIN(AH393*0.062, MAX(0, 147000*0.062 - AH392*0.062)),
   IF(AH$280=2023, MIN(AH393*0.062, MAX(0, 160200*0.062 - AH392*0.062)),
      IF(AH$280=2024, MIN(AH393*0.062, MAX(0, 168600*0.062 - AH392*0.062)),
         "-"
      )
   )
)</f>
        <v>0</v>
      </c>
    </row>
    <row r="400" spans="1:34" ht="17.25" x14ac:dyDescent="0.25">
      <c r="A400" s="83" t="s">
        <v>139</v>
      </c>
      <c r="B400" s="42"/>
      <c r="C400" s="42"/>
      <c r="D400" s="42"/>
      <c r="E400" s="42"/>
      <c r="F400" s="42"/>
      <c r="G400" s="42"/>
      <c r="H400" s="42"/>
      <c r="I400" s="42"/>
      <c r="J400" s="42"/>
      <c r="K400" s="42"/>
      <c r="L400" s="42"/>
      <c r="M400" s="42"/>
      <c r="N400" s="42"/>
      <c r="O400" s="42"/>
      <c r="AC400" s="197"/>
      <c r="AD400" s="197"/>
      <c r="AE400" s="197"/>
      <c r="AF400" s="185" t="s">
        <v>339</v>
      </c>
      <c r="AG400" s="185" t="s">
        <v>346</v>
      </c>
      <c r="AH400" s="187">
        <f t="shared" ref="AH400" si="989">AH393*0.0145</f>
        <v>0</v>
      </c>
    </row>
    <row r="401" spans="1:34" ht="17.25" x14ac:dyDescent="0.25">
      <c r="A401" s="83" t="s">
        <v>140</v>
      </c>
      <c r="B401" s="42"/>
      <c r="C401" s="42"/>
      <c r="D401" s="42"/>
      <c r="E401" s="42"/>
      <c r="F401" s="42"/>
      <c r="G401" s="42"/>
      <c r="H401" s="42"/>
      <c r="I401" s="42"/>
      <c r="J401" s="42"/>
      <c r="K401" s="42"/>
      <c r="L401" s="42"/>
      <c r="M401" s="42"/>
      <c r="N401" s="42"/>
      <c r="O401" s="42"/>
      <c r="AC401" s="197"/>
      <c r="AD401" s="197"/>
      <c r="AE401" s="197"/>
      <c r="AF401" s="190"/>
      <c r="AG401" s="190"/>
      <c r="AH401" s="189" t="str">
        <f>AH352</f>
        <v>California Taxes</v>
      </c>
    </row>
    <row r="402" spans="1:34" ht="17.25" x14ac:dyDescent="0.25">
      <c r="A402" s="83" t="s">
        <v>141</v>
      </c>
      <c r="B402" s="42"/>
      <c r="C402" s="42"/>
      <c r="D402" s="42"/>
      <c r="E402" s="42"/>
      <c r="F402" s="42"/>
      <c r="G402" s="42"/>
      <c r="H402" s="42"/>
      <c r="I402" s="42"/>
      <c r="J402" s="42"/>
      <c r="K402" s="42"/>
      <c r="L402" s="42"/>
      <c r="M402" s="42"/>
      <c r="N402" s="42"/>
      <c r="O402" s="42"/>
      <c r="AC402" s="197"/>
      <c r="AD402" s="197"/>
      <c r="AE402" s="197"/>
      <c r="AF402" s="185" t="s">
        <v>339</v>
      </c>
      <c r="AG402" s="185" t="s">
        <v>356</v>
      </c>
      <c r="AH402" s="187">
        <f>IF(AH$280=2022, MIN(AH393,147000)*0.062,
   IF(AH$280=2023, MIN(AH393,160200)*0.062,
      IF(AH$280=2024, MIN(AH393,168600)*0.062,
         "-"
      )
   )
)</f>
        <v>0</v>
      </c>
    </row>
    <row r="403" spans="1:34" ht="17.25" x14ac:dyDescent="0.25">
      <c r="A403" s="83" t="s">
        <v>142</v>
      </c>
      <c r="B403" s="42"/>
      <c r="C403" s="42"/>
      <c r="D403" s="42"/>
      <c r="E403" s="42"/>
      <c r="F403" s="42"/>
      <c r="G403" s="42"/>
      <c r="H403" s="42"/>
      <c r="I403" s="42"/>
      <c r="J403" s="42"/>
      <c r="K403" s="42"/>
      <c r="L403" s="42"/>
      <c r="M403" s="42"/>
      <c r="N403" s="42"/>
      <c r="O403" s="42"/>
      <c r="AC403" s="197"/>
      <c r="AD403" s="197"/>
      <c r="AE403" s="197"/>
      <c r="AF403" s="185" t="s">
        <v>339</v>
      </c>
      <c r="AG403" s="185" t="s">
        <v>348</v>
      </c>
      <c r="AH403" s="187">
        <f t="shared" ref="AH403" si="990">AH393*0.0145</f>
        <v>0</v>
      </c>
    </row>
    <row r="404" spans="1:34" ht="17.25" x14ac:dyDescent="0.25">
      <c r="A404" s="83" t="s">
        <v>143</v>
      </c>
      <c r="B404" s="97" t="s">
        <v>233</v>
      </c>
      <c r="C404" s="97" t="s">
        <v>233</v>
      </c>
      <c r="D404" s="97" t="s">
        <v>233</v>
      </c>
      <c r="E404" s="97" t="s">
        <v>233</v>
      </c>
      <c r="F404" s="97" t="s">
        <v>233</v>
      </c>
      <c r="G404" s="97" t="s">
        <v>233</v>
      </c>
      <c r="H404" s="97" t="s">
        <v>233</v>
      </c>
      <c r="I404" s="97" t="s">
        <v>233</v>
      </c>
      <c r="J404" s="97" t="s">
        <v>233</v>
      </c>
      <c r="K404" s="97" t="s">
        <v>233</v>
      </c>
      <c r="L404" s="97" t="s">
        <v>233</v>
      </c>
      <c r="M404" s="97" t="s">
        <v>233</v>
      </c>
      <c r="N404" s="97" t="s">
        <v>233</v>
      </c>
      <c r="O404" s="97" t="s">
        <v>233</v>
      </c>
      <c r="AC404" s="197"/>
      <c r="AD404" s="197"/>
      <c r="AE404" s="197"/>
      <c r="AF404" s="185" t="s">
        <v>339</v>
      </c>
      <c r="AG404" s="185" t="s">
        <v>351</v>
      </c>
      <c r="AH404" s="187" cm="1">
        <f t="array" ref="AH404">_xlfn.IFNA(_xlfn.IFS(
    AH$280=2022,
    _xlfn.SWITCH(
        AH401,
        "Alabama Taxes", MIN(AH393, 8000)*0.027,
        "Alaska Taxes", MIN(AH393, 45200)*0.0237,
        "Arizona Taxes", MIN(AH393, 7000)*0.02,
        "Arkansas Taxes", MIN(AH393, 10000)*0.031,
        "California Taxes", MIN(AH393, 7000)*0.034,
        "Colorado Taxes", MIN(AH393, 17000)*0.017,
        "Connecticut Taxes", MIN(AH393, 15000)*0.03,
        "Delaware Taxes", MIN(AH393, 16500)*0.018,
        "District of Columbia Taxes", MIN(AH393, 9000)*0.027,
        "Florida Taxes", MIN(AH393, 7000)*0.027,
        "Georgia Taxes", MIN(AH393, 9500)*0.0264,
        "Hawaii Taxes", MIN(AH393, 51600)*0.03,
        "Idaho Taxes", MIN(AH393, 46500)*0.0097,
        "Illinois Taxes", MIN(AH393, 12960)*0.03525,
        "Indiana Taxes", MIN(AH393, 9500)*0.025,
        "Iowa Taxes", MIN(AH393, 34800)*0.01,
        "Kansas Taxes", MIN(AH393, 14000)*0.027,
        "Kentucky Taxes", MIN(AH393, 11100)*0.027,
        "Louisiana Taxes", MIN(AH393, 7700)*0.027,
        "Maine Taxes", MIN(AH393, 12000)*0.0224,
        "Maryland Taxes", MIN(AH393, 8500)*0.026,
        "Massachusetts Taxes", MIN(AH393, 15000)*0.0242,
        "Michigan Taxes", MIN(AH393, 9500)*0.027,
        "Minnesota Taxes", MIN(AH393, 38000)*0.027,
        "Mississippi Taxes", MIN(AH393, 14000)*0.01,
        "Missouri Taxes", MIN(AH393, 11000)*0.02376,
        "Montana Taxes", MIN(AH393, 38100)*0.027,
        "Nebraska Taxes", MIN(AH393, 24000)*0.0125,
        "Nevada Taxes", MIN(AH393, 36600)*0.0295,
        "New Hampshire Taxes", MIN(AH393, 14000)*0.027,
        "New Jersey Taxes", MIN(AH393, 39800)*0.028,
        "New Mexico Taxes", MIN(AH393, 28700)*0.01,
        "New York Taxes", MIN(AH393, 12000)*0.03125,
        "North Carolina Taxes", MIN(AH393, 28000)*0.01,
        "North Dakota Taxes", MIN(AH393, 38400)*0.0102,
        "Ohio Taxes", MIN(AH393, 9000)*0.027,
        "Oklahoma Taxes", MIN(AH393, 24800)*0.015,
        "Oregon Taxes", MIN(AH393, 47700)*0.024,
        "Pennsylvania Taxes", MIN(AH393, 10000)*0.03689,
        "Rhode Island Taxes", MIN(AH393, 24600)*0.0098,
        "South Carolina Taxes", MIN(AH393, 14000)*0.0049,
        "South Dakota Taxes", MIN(AH393, 15000)*0.012,
        "Tennessee Taxes", MIN(AH393, 7000)*0.027,
        "Texas Taxes", MIN(AH393, 9000)*0.027,
        "Utah Taxes", MIN(AH393, 41600)*0.027,
        "Vermont Taxes", MIN(AH393, 15500)*0.01,
        "Virginia Taxes", MIN(AH393, 8000)*0.0273,
        "Washington Taxes", MIN(AH393, 62500)*0.027,
        "West Virginia Taxes", MIN(AH393, 12000)*0.027,
        "Wisconsin Taxes", MIN(AH393, 14000)*0.0305,
        "Wyoming Taxes", MIN(AH393, 27700)*0.027
    ),
   AH$280=2023,
    _xlfn.SWITCH(
        AH401,
        "Alabama Taxes", MIN(AH393, 8000)*0.027,
        "Alaska Taxes", MIN(AH393, 41500)*0.0237,
        "Arizona Taxes", MIN(AH393, 7000)*0.02,
        "Arkansas Taxes", MIN(AH393, 12000)*0.031,
        "California Taxes", MIN(AH393, 7000)*0.034,
        "Colorado Taxes", MIN(AH393, 13800)*0.017,
        "Connecticut Taxes", MIN(AH393, 15000)*0.028,
        "Delaware Taxes", MIN(AH393, 8500)*0.001,
        "District of Columbia Taxes", MIN(AH393, 9000)*0.027,
        "Florida Taxes", MIN(AH393, 7000)*0.027,
        "Georgia Taxes", MIN(AH393, 9500)*0.027,
        "Hawaii Taxes", MIN(AH393, 46800)*0.04,
        "Idaho Taxes", MIN(AH393, 41500)*0.01071,
        "Illinois Taxes", MIN(AH393, 12900)*0.0395,
        "Indiana Taxes", MIN(AH393, 9500)*0.025,
        "Iowa Taxes", MIN(AH393, 29500)*0.01,
        "Kansas Taxes", MIN(AH393, 14000)*0.027,
        "Kentucky Taxes", MIN(AH393, 11000)*0.027,
        "Louisiana Taxes", MIN(AH393, 7500)*0.0009,
        "Maine Taxes", MIN(AH393, 12000)*0.0219,
        "Maryland Taxes", MIN(AH393, 8500)*0.023,
        "Massachusetts Taxes", MIN(AH393, 15000)*0.0143,
        "Michigan Taxes", MIN(AH393, 9500)*0.027,
        "Minnesota Taxes", MIN(AH393, 35000)*0.001,
        "Mississippi Taxes", MIN(AH393, 14000)*0.01,
        "Missouri Taxes", MIN(AH393, 13500)*0.027,
        "Montana Taxes", MIN(AH393, 34500)*0.0013,
        "Nebraska Taxes", MIN(AH393, 9000)*0.0125,
        "Nevada Taxes", MIN(AH393, 33100)*0.0295,
        "New Hampshire Taxes", MIN(AH393, 14000)*0.027,
        "New Jersey Taxes", MIN(AH393, 35700)*0.031,
        "New Mexico Taxes", MIN(AH393, 25400)*0.01,
        "New York Taxes", MIN(AH393, 11500)*0.026,
        "North Carolina Taxes", MIN(AH393, 25400)*0.01,
        "North Dakota Taxes", MIN(AH393, 39200)*0.0113,
        "Ohio Taxes", MIN(AH393, 9000)*0.027,
        "Oklahoma Taxes", MIN(AH393, 17500)*0.015,
        "Oregon Taxes", MIN(AH393, 43000)*0.021,
        "Pennsylvania Taxes", MIN(AH393, 10000)*0.03822,
        "Rhode Island Taxes", MIN(AH393, 24000)*0.0109,
        "South Carolina Taxes", MIN(AH393, 14000)*0.0045,
        "South Dakota Taxes", MIN(AH393, 15000)*0.012,
        "Tennessee Taxes", MIN(AH393, 7000)*0.027,
        "Texas Taxes", MIN(AH393, 9000)*0.027,
        "Utah Taxes", MIN(AH393, 35700)*0.003,
        "Vermont Taxes", MIN(AH393, 16000)*0.01,
        "Virginia Taxes", MIN(AH393, 8000)*0.025,
        "Washington Taxes", MIN(AH393, 56200)*0.0125,
        "West Virginia Taxes", MIN(AH393, 12000)*0.027,
        "Wisconsin Taxes", MIN(AH393, 14000)*0.0305,
        "Wyoming Taxes", MIN(AH393, 25800)*0.018
    ),
   AH$280=2024,
    _xlfn.SWITCH(
        AH401,
 "Alabama Taxes", MIN(AH393, 8000)*0.027,
        "Alaska Taxes", MIN(AH393, 41500)*0.0237,
        "Arizona Taxes", MIN(AH393, 7000)*0.02,
        "Arkansas Taxes", MIN(AH393, 12000)*0.031,
        "California Taxes", MIN(AH393, 7000)*0.034,
        "Colorado Taxes", MIN(AH393, 13800)*0.017,
        "Connecticut Taxes", MIN(AH393, 15000)*0.028,
        "Delaware Taxes", MIN(AH393, 8500)*0.001,
        "District of Columbia Taxes", MIN(AH393, 9000)*0.027,
        "Florida Taxes", MIN(AH393, 7000)*0.027,
        "Georgia Taxes", MIN(AH393, 9500)*0.027,
        "Hawaii Taxes", MIN(AH393, 46800)*0.04,
        "Idaho Taxes", MIN(AH393, 41500)*0.01071,
        "Illinois Taxes", MIN(AH393, 12900)*0.0395,
        "Indiana Taxes", MIN(AH393, 9500)*0.025,
        "Iowa Taxes", MIN(AH393, 29500)*0.01,
        "Kansas Taxes", MIN(AH393, 14000)*0.027,
        "Kentucky Taxes", MIN(AH393, 11000)*0.027,
        "Louisiana Taxes", MIN(AH393, 7500)*0.0009,
        "Maine Taxes", MIN(AH393, 12000)*0.0219,
        "Maryland Taxes", MIN(AH393, 8500)*0.023,
        "Massachusetts Taxes", MIN(AH393, 15000)*0.0143,
        "Michigan Taxes", MIN(AH393, 9500)*0.027,
        "Minnesota Taxes", MIN(AH393, 35000)*0.001,
        "Mississippi Taxes", MIN(AH393, 14000)*0.01,
        "Missouri Taxes", MIN(AH393, 13500)*0.027,
        "Montana Taxes", MIN(AH393, 34500)*0.0013,
        "Nebraska Taxes", MIN(AH393, 9000)*0.0125,
        "Nevada Taxes", MIN(AH393, 33100)*0.0295,
        "New Hampshire Taxes", MIN(AH393, 14000)*0.027,
        "New Jersey Taxes", MIN(AH393, 35700)*0.031,
        "New Mexico Taxes", MIN(AH393, 25400)*0.01,
        "New York Taxes", MIN(AH393, 11500)*0.026,
        "North Carolina Taxes", MIN(AH393, 25400)*0.01,
        "North Dakota Taxes", MIN(AH393, 39200)*0.0113,
        "Ohio Taxes", MIN(AH393, 9000)*0.027,
        "Oklahoma Taxes", MIN(AH393, 17500)*0.015,
        "Oregon Taxes", MIN(AH393, 43000)*0.021,
        "Pennsylvania Taxes", MIN(AH393, 10000)*0.03822,
        "Rhode Island Taxes", MIN(AH393, 24000)*0.0109,
        "South Carolina Taxes", MIN(AH393, 14000)*0.0045,
        "South Dakota Taxes", MIN(AH393, 15000)*0.012,
        "Tennessee Taxes", MIN(AH393, 7000)*0.027,
        "Texas Taxes", MIN(AH393, 9000)*0.027,
        "Utah Taxes", MIN(AH393, 35700)*0.003,
        "Vermont Taxes", MIN(AH393, 16000)*0.01,
        "Virginia Taxes", MIN(AH393, 8000)*0.025,
        "Washington Taxes", MIN(AH393, 56200)*0.0125,
        "West Virginia Taxes", MIN(AH393, 12000)*0.027,
        "Wisconsin Taxes", MIN(AH393, 14000)*0.0305,
        "Wyoming Taxes", MIN(AH393, 25800)*0.018
    )
),0)</f>
        <v>0</v>
      </c>
    </row>
    <row r="405" spans="1:34" ht="17.25" x14ac:dyDescent="0.25">
      <c r="A405" s="83" t="s">
        <v>144</v>
      </c>
      <c r="B405" s="97" t="s">
        <v>233</v>
      </c>
      <c r="C405" s="97" t="s">
        <v>233</v>
      </c>
      <c r="D405" s="97" t="s">
        <v>233</v>
      </c>
      <c r="E405" s="97" t="s">
        <v>233</v>
      </c>
      <c r="F405" s="97" t="s">
        <v>233</v>
      </c>
      <c r="G405" s="97" t="s">
        <v>233</v>
      </c>
      <c r="H405" s="97" t="s">
        <v>233</v>
      </c>
      <c r="I405" s="97" t="s">
        <v>233</v>
      </c>
      <c r="J405" s="97" t="s">
        <v>233</v>
      </c>
      <c r="K405" s="97" t="s">
        <v>233</v>
      </c>
      <c r="L405" s="97" t="s">
        <v>233</v>
      </c>
      <c r="M405" s="97" t="s">
        <v>233</v>
      </c>
      <c r="N405" s="97" t="s">
        <v>233</v>
      </c>
      <c r="O405" s="97" t="s">
        <v>233</v>
      </c>
      <c r="AC405" s="197"/>
      <c r="AD405" s="197"/>
      <c r="AE405" s="197"/>
      <c r="AF405" s="185" t="s">
        <v>339</v>
      </c>
      <c r="AG405" s="185" t="s">
        <v>352</v>
      </c>
      <c r="AH405" s="187">
        <f>IF($U$157="Yes", MIN(AH393,7000)*(0.06-0.054), IF($U$157="No", MIN(AH393,7000)*0.06, 0))</f>
        <v>0</v>
      </c>
    </row>
    <row r="406" spans="1:34" ht="17.25" x14ac:dyDescent="0.25">
      <c r="A406" s="83" t="s">
        <v>145</v>
      </c>
      <c r="B406" s="97" t="s">
        <v>233</v>
      </c>
      <c r="C406" s="97" t="s">
        <v>233</v>
      </c>
      <c r="D406" s="97" t="s">
        <v>233</v>
      </c>
      <c r="E406" s="97" t="s">
        <v>233</v>
      </c>
      <c r="F406" s="97" t="s">
        <v>233</v>
      </c>
      <c r="G406" s="97" t="s">
        <v>233</v>
      </c>
      <c r="H406" s="97" t="s">
        <v>233</v>
      </c>
      <c r="I406" s="97" t="s">
        <v>233</v>
      </c>
      <c r="J406" s="97" t="s">
        <v>233</v>
      </c>
      <c r="K406" s="97" t="s">
        <v>233</v>
      </c>
      <c r="L406" s="97" t="s">
        <v>233</v>
      </c>
      <c r="M406" s="97" t="s">
        <v>233</v>
      </c>
      <c r="N406" s="97" t="s">
        <v>233</v>
      </c>
      <c r="O406" s="97" t="s">
        <v>233</v>
      </c>
      <c r="AC406" s="197"/>
      <c r="AD406" s="197"/>
      <c r="AE406" s="197"/>
      <c r="AF406" s="184" t="s">
        <v>339</v>
      </c>
      <c r="AG406" s="184" t="s">
        <v>349</v>
      </c>
      <c r="AH406" s="188">
        <f t="shared" ref="AH406" si="991">AH396* 0.029</f>
        <v>0</v>
      </c>
    </row>
    <row r="407" spans="1:34" ht="17.25" x14ac:dyDescent="0.25">
      <c r="A407" s="83" t="s">
        <v>104</v>
      </c>
      <c r="B407" s="42"/>
      <c r="C407" s="42"/>
      <c r="D407" s="42"/>
      <c r="E407" s="42"/>
      <c r="F407" s="42"/>
      <c r="G407" s="42"/>
      <c r="H407" s="42"/>
      <c r="I407" s="42"/>
      <c r="J407" s="42"/>
      <c r="K407" s="42"/>
      <c r="L407" s="42"/>
      <c r="M407" s="42"/>
      <c r="N407" s="42"/>
      <c r="O407" s="42"/>
      <c r="AC407" s="197"/>
      <c r="AD407" s="197"/>
      <c r="AE407" s="197"/>
      <c r="AF407" s="184" t="s">
        <v>339</v>
      </c>
      <c r="AG407" s="184" t="s">
        <v>402</v>
      </c>
      <c r="AH407" s="188">
        <f>IF(AH$280=2022,
   MAX(0, MIN(147000 - (AH392 + AH393), AH395*0.9235))*0.124,
   IF(AH$280=2023,
      MAX(0, MIN(160200 - (AH392 + AH393), AH395*0.9235))*0.124,
      IF(AH$280=2024,
         MAX(0, MIN(168600 - (AH392 + AH393), AH395*0.9235))*0.124,
         "-"
      )
   )
)</f>
        <v>0</v>
      </c>
    </row>
    <row r="408" spans="1:34" ht="17.25" x14ac:dyDescent="0.25">
      <c r="A408" s="83" t="s">
        <v>146</v>
      </c>
      <c r="B408" s="42"/>
      <c r="C408" s="42"/>
      <c r="D408" s="42"/>
      <c r="E408" s="42"/>
      <c r="F408" s="42"/>
      <c r="G408" s="42"/>
      <c r="H408" s="42"/>
      <c r="I408" s="42"/>
      <c r="J408" s="42"/>
      <c r="K408" s="42"/>
      <c r="L408" s="42"/>
      <c r="M408" s="42"/>
      <c r="N408" s="42"/>
      <c r="O408" s="42"/>
      <c r="AC408" s="197"/>
      <c r="AD408" s="197"/>
      <c r="AE408" s="197"/>
      <c r="AF408" s="201" t="s">
        <v>357</v>
      </c>
      <c r="AG408" s="201" t="s">
        <v>358</v>
      </c>
      <c r="AH408" s="202">
        <f>MIN(
    IF(OR(AH292="Two", AH292="Both"), AH320 + (AH320 * AH315), IF(AH292="One", AH317, "Check X275 value")),
    (AH317 + AH309) + (AH309 + AH317) * AH315
)</f>
        <v>0</v>
      </c>
    </row>
    <row r="409" spans="1:34" ht="17.25" x14ac:dyDescent="0.25">
      <c r="A409" s="83" t="s">
        <v>147</v>
      </c>
      <c r="B409" s="42"/>
      <c r="C409" s="42"/>
      <c r="D409" s="42"/>
      <c r="E409" s="42"/>
      <c r="F409" s="42"/>
      <c r="G409" s="42"/>
      <c r="H409" s="42"/>
      <c r="I409" s="42"/>
      <c r="J409" s="42"/>
      <c r="K409" s="42"/>
      <c r="L409" s="42"/>
      <c r="M409" s="42"/>
      <c r="N409" s="42"/>
      <c r="O409" s="42"/>
      <c r="AC409" s="197"/>
      <c r="AD409" s="197"/>
      <c r="AE409" s="197"/>
      <c r="AF409" s="201"/>
      <c r="AG409" s="201" t="s">
        <v>376</v>
      </c>
      <c r="AH409" s="202">
        <f>AH408*AH$288</f>
        <v>0</v>
      </c>
    </row>
    <row r="410" spans="1:34" ht="17.25" x14ac:dyDescent="0.25">
      <c r="A410" s="83" t="s">
        <v>148</v>
      </c>
      <c r="B410" s="97" t="s">
        <v>233</v>
      </c>
      <c r="C410" s="97" t="s">
        <v>233</v>
      </c>
      <c r="D410" s="97" t="s">
        <v>233</v>
      </c>
      <c r="E410" s="97" t="s">
        <v>233</v>
      </c>
      <c r="F410" s="97" t="s">
        <v>233</v>
      </c>
      <c r="G410" s="97" t="s">
        <v>233</v>
      </c>
      <c r="H410" s="97" t="s">
        <v>233</v>
      </c>
      <c r="I410" s="97" t="s">
        <v>233</v>
      </c>
      <c r="J410" s="97" t="s">
        <v>233</v>
      </c>
      <c r="K410" s="97" t="s">
        <v>233</v>
      </c>
      <c r="L410" s="97" t="s">
        <v>233</v>
      </c>
      <c r="M410" s="97" t="s">
        <v>233</v>
      </c>
      <c r="N410" s="97" t="s">
        <v>233</v>
      </c>
      <c r="O410" s="97" t="s">
        <v>233</v>
      </c>
      <c r="AC410" s="197"/>
      <c r="AD410" s="197"/>
      <c r="AE410" s="197"/>
      <c r="AF410" s="203" t="s">
        <v>350</v>
      </c>
      <c r="AG410" s="203" t="s">
        <v>369</v>
      </c>
      <c r="AH410" s="204">
        <f>SUM(AH383:AH386)+SUM(AH402:AH405)</f>
        <v>0</v>
      </c>
    </row>
    <row r="411" spans="1:34" ht="17.25" x14ac:dyDescent="0.25">
      <c r="A411" s="83" t="s">
        <v>149</v>
      </c>
      <c r="B411" s="42"/>
      <c r="C411" s="42"/>
      <c r="D411" s="42"/>
      <c r="E411" s="42"/>
      <c r="F411" s="42"/>
      <c r="G411" s="42"/>
      <c r="H411" s="42"/>
      <c r="I411" s="42"/>
      <c r="J411" s="42"/>
      <c r="K411" s="42"/>
      <c r="L411" s="42"/>
      <c r="M411" s="42"/>
      <c r="N411" s="42"/>
      <c r="O411" s="42"/>
      <c r="AC411" s="197"/>
      <c r="AD411" s="197"/>
      <c r="AE411" s="197"/>
      <c r="AF411" s="203" t="s">
        <v>363</v>
      </c>
      <c r="AG411" s="203" t="s">
        <v>362</v>
      </c>
      <c r="AH411" s="204">
        <f>AH285-(AH295-AH373)-(AH309-AH392)</f>
        <v>0</v>
      </c>
    </row>
    <row r="412" spans="1:34" ht="17.25" x14ac:dyDescent="0.25">
      <c r="A412" s="83" t="s">
        <v>150</v>
      </c>
      <c r="B412" s="42"/>
      <c r="C412" s="42"/>
      <c r="D412" s="42"/>
      <c r="E412" s="42"/>
      <c r="F412" s="42"/>
      <c r="G412" s="42"/>
      <c r="H412" s="42"/>
      <c r="I412" s="42"/>
      <c r="J412" s="42"/>
      <c r="K412" s="42"/>
      <c r="L412" s="42"/>
      <c r="M412" s="42"/>
      <c r="N412" s="42"/>
      <c r="O412" s="42"/>
      <c r="AC412" s="197"/>
      <c r="AD412" s="197"/>
      <c r="AE412" s="197"/>
      <c r="AF412" s="203" t="s">
        <v>364</v>
      </c>
      <c r="AG412" s="203" t="s">
        <v>365</v>
      </c>
      <c r="AH412" s="204">
        <f>IF(COUNTA(AH$286+AH$287)=0, "Filing Status", MAX(AH$286+AH$287,
    IF(AH$280=2022,
        IF(AH$281="Single", 12950,
            IF(AH$281="HOH", 19400,
                IF(AH$281="MFJ", 25900,
                    IF(AH$281="MFS", 12950,
                        IF(AH$281="QW", 25900, "Invalid Filing Status")
                    )
                )
            )
        ),
        IF(AH$280=2023,
            IF(AH$281="Single", 13850,
                IF(AH$281="HOH", 20800,
                    IF(AH$281="MFJ", 27700,
                        IF(AH$281="MFS", 13850,
                            IF(AH$281="QW", 27700, "Invalid Filing Status")
                        )
                    )
                )
            ),
            IF(AH$280=2024,
                IF(AH$281="Single", 14600,
                    IF(AH$281="HOH", 21900,
                        IF(AH$281="MFJ", 29200,
                            IF(AH$281="MFS", 14600,
                                IF(AH$281="QW", 29200, "Invalid Filing Status")
                            )
                        )
                    )
                ),
                "Invalid Year"
            )
        )
    )
))</f>
        <v>21900</v>
      </c>
    </row>
    <row r="413" spans="1:34" ht="18" thickBot="1" x14ac:dyDescent="0.3">
      <c r="A413" s="83" t="s">
        <v>151</v>
      </c>
      <c r="B413" s="97" t="s">
        <v>233</v>
      </c>
      <c r="C413" s="97" t="s">
        <v>233</v>
      </c>
      <c r="D413" s="97" t="s">
        <v>233</v>
      </c>
      <c r="E413" s="97" t="s">
        <v>233</v>
      </c>
      <c r="F413" s="97" t="s">
        <v>233</v>
      </c>
      <c r="G413" s="97" t="s">
        <v>233</v>
      </c>
      <c r="H413" s="97" t="s">
        <v>233</v>
      </c>
      <c r="I413" s="97" t="s">
        <v>233</v>
      </c>
      <c r="J413" s="97" t="s">
        <v>233</v>
      </c>
      <c r="K413" s="97" t="s">
        <v>233</v>
      </c>
      <c r="L413" s="97" t="s">
        <v>233</v>
      </c>
      <c r="M413" s="97" t="s">
        <v>233</v>
      </c>
      <c r="N413" s="97" t="s">
        <v>233</v>
      </c>
      <c r="O413" s="97" t="s">
        <v>233</v>
      </c>
      <c r="AC413" s="197"/>
      <c r="AD413" s="197"/>
      <c r="AE413" s="197"/>
      <c r="AF413" s="203" t="s">
        <v>364</v>
      </c>
      <c r="AG413" s="203" t="s">
        <v>366</v>
      </c>
      <c r="AH413" s="204">
        <f>MAX(
    (AH411*AH$290)+AH$286,
    IF(AH$280=2022,
        IF(AH$281="Single", 12950,
            IF(AH$281="HOH", 19400,
                IF(AH$281="MFJ", 25900,
                    IF(AH$281="MFS", 12950,
                        IF(AH$281="QW", 25900, "Invalid Filing Status")
                    )
                )
            )
        ),
        IF(AH$280=2023,
            IF(AH$281="Single", 13850,
                IF(AH$281="HOH", 20800,
                    IF(AH$281="MFJ", 27700,
                        IF(AH$281="MFS", 13850,
                            IF(AH$281="QW", 27700, "Invalid Filing Status")
                        )
                    )
                )
            ),
            IF(AH$280=2024,
                IF(AH$281="Single", 14600,
                    IF(AH$281="HOH", 21900,
                        IF(AH$281="MFJ", 29200,
                            IF(AH$281="MFS", 14600,
                                IF(AH$281="QW", 29200, "Invalid Filing Status")
                            )
                        )
                    )
                ),
                "Invalid Year"
            )
        )
    )
)</f>
        <v>21900</v>
      </c>
    </row>
    <row r="414" spans="1:34" ht="15.75" thickBot="1" x14ac:dyDescent="0.3">
      <c r="A414" s="84" t="s">
        <v>62</v>
      </c>
      <c r="B414" s="87" t="s">
        <v>85</v>
      </c>
      <c r="C414" s="87" t="s">
        <v>86</v>
      </c>
      <c r="D414" s="87" t="s">
        <v>87</v>
      </c>
      <c r="E414" s="87" t="s">
        <v>88</v>
      </c>
      <c r="F414" s="87" t="s">
        <v>89</v>
      </c>
      <c r="G414" s="87" t="s">
        <v>90</v>
      </c>
      <c r="H414" s="87" t="s">
        <v>91</v>
      </c>
      <c r="I414" s="87" t="s">
        <v>92</v>
      </c>
      <c r="J414" s="87" t="s">
        <v>92</v>
      </c>
      <c r="K414" s="109" t="s">
        <v>247</v>
      </c>
      <c r="L414" s="109" t="s">
        <v>247</v>
      </c>
      <c r="M414" s="109" t="s">
        <v>247</v>
      </c>
      <c r="N414" s="109" t="s">
        <v>247</v>
      </c>
      <c r="O414" s="109" t="s">
        <v>247</v>
      </c>
      <c r="AC414" s="197"/>
      <c r="AD414" s="197"/>
      <c r="AE414" s="197"/>
      <c r="AF414" s="203" t="s">
        <v>339</v>
      </c>
      <c r="AG414" s="203" t="s">
        <v>367</v>
      </c>
      <c r="AH414" s="204">
        <f>IF(AH289="Yes", AH411 - AH413, AH411 - AH412)</f>
        <v>-21900</v>
      </c>
    </row>
    <row r="415" spans="1:34" x14ac:dyDescent="0.25">
      <c r="AC415" s="197"/>
      <c r="AD415" s="197"/>
      <c r="AE415" s="197"/>
      <c r="AF415" s="203" t="s">
        <v>339</v>
      </c>
      <c r="AG415" s="203" t="s">
        <v>368</v>
      </c>
      <c r="AH415" s="204">
        <f>MAX(0, MIN($L$329, $L$330))</f>
        <v>0</v>
      </c>
    </row>
    <row r="416" spans="1:34" x14ac:dyDescent="0.25">
      <c r="AC416" s="197"/>
      <c r="AD416" s="197"/>
      <c r="AE416" s="197"/>
      <c r="AF416" s="203" t="s">
        <v>339</v>
      </c>
      <c r="AG416" s="203" t="s">
        <v>409</v>
      </c>
      <c r="AH416" s="204">
        <f>IF(
    OR(AH$280=2022, AH$280=2023, AH$280=2024),
    IF(
        AH$281="MFJ", MAX(AH392+AH393+AH395+AH373+AH374+AH376-250000, 0) * 0.009,
        IF(
            AH$281="MFS", MAX(AH392+AH393+AH395+AH373+AH374+AH376-125000, 0) * 0.009,
            IF(
                AH$281="Single", MAX(AH392+AH393+AH395+AH373+AH374+AH376-200000, 0) * 0.009,
                IF(
                    AH$281="HOH", MAX(AH392+AH393+AH395+AH373+AH374+AH376-200000, 0) * 0.009,
                    IF(
                        AH$281="QW", MAX(AH392+AH393+AH395+AH373+AH374+AH376-200000, 0) * 0.009,
                        0
                    )
                )
            )
        )
    ),
    0
)</f>
        <v>0</v>
      </c>
    </row>
    <row r="417" spans="29:34" x14ac:dyDescent="0.25">
      <c r="AC417" s="197"/>
      <c r="AD417" s="197"/>
      <c r="AE417" s="197"/>
      <c r="AF417" s="203" t="s">
        <v>370</v>
      </c>
      <c r="AG417" s="203" t="s">
        <v>371</v>
      </c>
      <c r="AH417" s="204">
        <f>SUM(AH378:AH381)+SUM(AH383:AH388)+SUM(AH397:AH400)+SUM(AH402:AH407)</f>
        <v>0</v>
      </c>
    </row>
    <row r="418" spans="29:34" x14ac:dyDescent="0.25">
      <c r="AC418" s="197"/>
      <c r="AD418" s="197"/>
      <c r="AE418" s="197"/>
      <c r="AF418" s="207" t="s">
        <v>374</v>
      </c>
      <c r="AG418" s="207" t="s">
        <v>350</v>
      </c>
      <c r="AH418" s="204">
        <f>AH415+AH416+AH417</f>
        <v>0</v>
      </c>
    </row>
    <row r="419" spans="29:34" x14ac:dyDescent="0.25">
      <c r="AC419" s="197"/>
      <c r="AD419" s="197"/>
      <c r="AE419" s="197"/>
      <c r="AF419" s="203" t="s">
        <v>374</v>
      </c>
      <c r="AG419" s="203" t="s">
        <v>500</v>
      </c>
      <c r="AH419" s="204">
        <f>AH418-AH389-AH408</f>
        <v>0</v>
      </c>
    </row>
    <row r="420" spans="29:34" x14ac:dyDescent="0.25">
      <c r="AC420" s="197"/>
      <c r="AD420" s="197"/>
      <c r="AE420" s="197"/>
      <c r="AF420" s="196"/>
      <c r="AG420" s="196"/>
      <c r="AH420" s="196"/>
    </row>
    <row r="421" spans="29:34" x14ac:dyDescent="0.25">
      <c r="AC421" s="88"/>
      <c r="AD421" s="88"/>
      <c r="AE421" s="88"/>
      <c r="AF421" s="216"/>
      <c r="AG421" s="221" t="s">
        <v>389</v>
      </c>
      <c r="AH421" s="216"/>
    </row>
    <row r="422" spans="29:34" x14ac:dyDescent="0.25">
      <c r="AC422" s="88"/>
      <c r="AD422" s="88"/>
      <c r="AE422" s="88"/>
      <c r="AF422" s="194" t="s">
        <v>345</v>
      </c>
      <c r="AG422" s="194" t="s">
        <v>344</v>
      </c>
      <c r="AH422" s="195">
        <f>IF(OR(AH291="One", AH291="Both"), AH324+AH303, IF(AH291="Two", IF(AH292="One", AH373, IF(AH292="Both", AH373, AH295)), "Check X275 value"))</f>
        <v>0</v>
      </c>
    </row>
    <row r="423" spans="29:34" x14ac:dyDescent="0.25">
      <c r="AC423" s="88"/>
      <c r="AD423" s="88"/>
      <c r="AE423" s="88"/>
      <c r="AF423" s="185" t="s">
        <v>345</v>
      </c>
      <c r="AG423" s="185" t="s">
        <v>373</v>
      </c>
      <c r="AH423" s="187">
        <f>IF(AH291="One", AH298+AH299, IF(AH291="Both", AH298+AH299, IF(AH291="Two", AH297+AH299, "Invalid Input")))</f>
        <v>0</v>
      </c>
    </row>
    <row r="424" spans="29:34" x14ac:dyDescent="0.25">
      <c r="AC424" s="88"/>
      <c r="AD424" s="88"/>
      <c r="AE424" s="88"/>
      <c r="AF424" s="185" t="s">
        <v>345</v>
      </c>
      <c r="AG424" s="185" t="s">
        <v>391</v>
      </c>
      <c r="AH424" s="187">
        <f>IF(OR(AH291="One", AH291="Both"), AH296-(AH298-AH297)-(AH438-AH306)-(SUM(AH432:AH435)-SUM(AH334:AH337)), IF(AH291="Two", AH296, "Invalid Input"))</f>
        <v>0</v>
      </c>
    </row>
    <row r="425" spans="29:34" x14ac:dyDescent="0.25">
      <c r="AC425" s="88"/>
      <c r="AD425" s="88"/>
      <c r="AE425" s="88"/>
      <c r="AF425" s="184" t="s">
        <v>345</v>
      </c>
      <c r="AG425" s="184" t="s">
        <v>353</v>
      </c>
      <c r="AH425" s="188">
        <f>AH$300</f>
        <v>0</v>
      </c>
    </row>
    <row r="426" spans="29:34" x14ac:dyDescent="0.25">
      <c r="AC426" s="88"/>
      <c r="AD426" s="88"/>
      <c r="AE426" s="88"/>
      <c r="AF426" s="184" t="s">
        <v>345</v>
      </c>
      <c r="AG426" s="184" t="s">
        <v>355</v>
      </c>
      <c r="AH426" s="188">
        <f>AH425*0.9235</f>
        <v>0</v>
      </c>
    </row>
    <row r="427" spans="29:34" x14ac:dyDescent="0.25">
      <c r="AC427" s="88"/>
      <c r="AD427" s="88"/>
      <c r="AE427" s="88"/>
      <c r="AF427" s="183" t="s">
        <v>339</v>
      </c>
      <c r="AG427" s="183" t="s">
        <v>347</v>
      </c>
      <c r="AH427" s="186">
        <f>IF(AH$280=2022, MIN(AH422,147000)*0.062,
   IF(AH$280=2023, MIN(AH422,160200)*0.062,
      IF(AH$280=2024, MIN(AH422,168600)*0.062,
         "-"
      )
   )
)</f>
        <v>0</v>
      </c>
    </row>
    <row r="428" spans="29:34" x14ac:dyDescent="0.25">
      <c r="AC428" s="88"/>
      <c r="AD428" s="88"/>
      <c r="AE428" s="88"/>
      <c r="AF428" s="183" t="s">
        <v>339</v>
      </c>
      <c r="AG428" s="183" t="s">
        <v>346</v>
      </c>
      <c r="AH428" s="186">
        <f t="shared" ref="AH428" si="992">AH422*0.0145</f>
        <v>0</v>
      </c>
    </row>
    <row r="429" spans="29:34" x14ac:dyDescent="0.25">
      <c r="AC429" s="88"/>
      <c r="AD429" s="88"/>
      <c r="AE429" s="88"/>
      <c r="AF429" s="185" t="s">
        <v>339</v>
      </c>
      <c r="AG429" s="185" t="s">
        <v>347</v>
      </c>
      <c r="AH429" s="187">
        <f>IF(AH$280=2022, MIN(AH423*0.062, MAX(0, 147000*0.062 - AH422*0.062)),
   IF(AH$280=2023, MIN(AH423*0.062, MAX(0, 160200*0.062 - AH422*0.062)),
      IF(AH$280=2024, MIN(AH423*0.062, MAX(0, 168600*0.062 - AH422*0.062)),
         "-"
      )
   )
)</f>
        <v>0</v>
      </c>
    </row>
    <row r="430" spans="29:34" x14ac:dyDescent="0.25">
      <c r="AC430" s="88"/>
      <c r="AD430" s="88"/>
      <c r="AE430" s="88"/>
      <c r="AF430" s="185" t="s">
        <v>339</v>
      </c>
      <c r="AG430" s="185" t="s">
        <v>346</v>
      </c>
      <c r="AH430" s="187">
        <f t="shared" ref="AH430" si="993">AH423*0.0145</f>
        <v>0</v>
      </c>
    </row>
    <row r="431" spans="29:34" x14ac:dyDescent="0.25">
      <c r="AC431" s="88"/>
      <c r="AD431" s="88"/>
      <c r="AE431" s="88"/>
      <c r="AF431" s="190"/>
      <c r="AG431" s="190"/>
      <c r="AH431" s="189" t="str">
        <f>AH401</f>
        <v>California Taxes</v>
      </c>
    </row>
    <row r="432" spans="29:34" x14ac:dyDescent="0.25">
      <c r="AC432" s="88"/>
      <c r="AD432" s="88"/>
      <c r="AE432" s="88"/>
      <c r="AF432" s="185" t="s">
        <v>339</v>
      </c>
      <c r="AG432" s="185" t="s">
        <v>356</v>
      </c>
      <c r="AH432" s="187">
        <f>IF(AH$280=2022, MIN(AH423,147000)*0.062,
   IF(AH$280=2023, MIN(AH423,160200)*0.062,
      IF(AH$280=2024, MIN(AH423,168600)*0.062,
         "-"
      )
   )
)</f>
        <v>0</v>
      </c>
    </row>
    <row r="433" spans="29:34" x14ac:dyDescent="0.25">
      <c r="AC433" s="88"/>
      <c r="AD433" s="88"/>
      <c r="AE433" s="88"/>
      <c r="AF433" s="185" t="s">
        <v>339</v>
      </c>
      <c r="AG433" s="185" t="s">
        <v>348</v>
      </c>
      <c r="AH433" s="187">
        <f t="shared" ref="AH433" si="994">AH423*0.0145</f>
        <v>0</v>
      </c>
    </row>
    <row r="434" spans="29:34" x14ac:dyDescent="0.25">
      <c r="AC434" s="88"/>
      <c r="AD434" s="88"/>
      <c r="AE434" s="88"/>
      <c r="AF434" s="185" t="s">
        <v>339</v>
      </c>
      <c r="AG434" s="185" t="s">
        <v>351</v>
      </c>
      <c r="AH434" s="187" cm="1">
        <f t="array" ref="AH434">_xlfn.IFNA(_xlfn.IFS(
    AH$280=2022,
    _xlfn.SWITCH(
        AH431,
        "Alabama Taxes", MIN(AH423, 8000)*0.027,
        "Alaska Taxes", MIN(AH423, 45200)*0.0237,
        "Arizona Taxes", MIN(AH423, 7000)*0.02,
        "Arkansas Taxes", MIN(AH423, 10000)*0.031,
        "California Taxes", MIN(AH423, 7000)*0.034,
        "Colorado Taxes", MIN(AH423, 17000)*0.017,
        "Connecticut Taxes", MIN(AH423, 15000)*0.03,
        "Delaware Taxes", MIN(AH423, 16500)*0.018,
        "District of Columbia Taxes", MIN(AH423, 9000)*0.027,
        "Florida Taxes", MIN(AH423, 7000)*0.027,
        "Georgia Taxes", MIN(AH423, 9500)*0.0264,
        "Hawaii Taxes", MIN(AH423, 51600)*0.03,
        "Idaho Taxes", MIN(AH423, 46500)*0.0097,
        "Illinois Taxes", MIN(AH423, 12960)*0.03525,
        "Indiana Taxes", MIN(AH423, 9500)*0.025,
        "Iowa Taxes", MIN(AH423, 34800)*0.01,
        "Kansas Taxes", MIN(AH423, 14000)*0.027,
        "Kentucky Taxes", MIN(AH423, 11100)*0.027,
        "Louisiana Taxes", MIN(AH423, 7700)*0.027,
        "Maine Taxes", MIN(AH423, 12000)*0.0224,
        "Maryland Taxes", MIN(AH423, 8500)*0.026,
        "Massachusetts Taxes", MIN(AH423, 15000)*0.0242,
        "Michigan Taxes", MIN(AH423, 9500)*0.027,
        "Minnesota Taxes", MIN(AH423, 38000)*0.027,
        "Mississippi Taxes", MIN(AH423, 14000)*0.01,
        "Missouri Taxes", MIN(AH423, 11000)*0.02376,
        "Montana Taxes", MIN(AH423, 38100)*0.027,
        "Nebraska Taxes", MIN(AH423, 24000)*0.0125,
        "Nevada Taxes", MIN(AH423, 36600)*0.0295,
        "New Hampshire Taxes", MIN(AH423, 14000)*0.027,
        "New Jersey Taxes", MIN(AH423, 39800)*0.028,
        "New Mexico Taxes", MIN(AH423, 28700)*0.01,
        "New York Taxes", MIN(AH423, 12000)*0.03125,
        "North Carolina Taxes", MIN(AH423, 28000)*0.01,
        "North Dakota Taxes", MIN(AH423, 38400)*0.0102,
        "Ohio Taxes", MIN(AH423, 9000)*0.027,
        "Oklahoma Taxes", MIN(AH423, 24800)*0.015,
        "Oregon Taxes", MIN(AH423, 47700)*0.024,
        "Pennsylvania Taxes", MIN(AH423, 10000)*0.03689,
        "Rhode Island Taxes", MIN(AH423, 24600)*0.0098,
        "South Carolina Taxes", MIN(AH423, 14000)*0.0049,
        "South Dakota Taxes", MIN(AH423, 15000)*0.012,
        "Tennessee Taxes", MIN(AH423, 7000)*0.027,
        "Texas Taxes", MIN(AH423, 9000)*0.027,
        "Utah Taxes", MIN(AH423, 41600)*0.027,
        "Vermont Taxes", MIN(AH423, 15500)*0.01,
        "Virginia Taxes", MIN(AH423, 8000)*0.0273,
        "Washington Taxes", MIN(AH423, 62500)*0.027,
        "West Virginia Taxes", MIN(AH423, 12000)*0.027,
        "Wisconsin Taxes", MIN(AH423, 14000)*0.0305,
        "Wyoming Taxes", MIN(AH423, 27700)*0.027
    ),
   AH$280=2023,
    _xlfn.SWITCH(
        AH431,
        "Alabama Taxes", MIN(AH423, 8000)*0.027,
        "Alaska Taxes", MIN(AH423, 41500)*0.0237,
        "Arizona Taxes", MIN(AH423, 7000)*0.02,
        "Arkansas Taxes", MIN(AH423, 12000)*0.031,
        "California Taxes", MIN(AH423, 7000)*0.034,
        "Colorado Taxes", MIN(AH423, 13800)*0.017,
        "Connecticut Taxes", MIN(AH423, 15000)*0.028,
        "Delaware Taxes", MIN(AH423, 8500)*0.001,
        "District of Columbia Taxes", MIN(AH423, 9000)*0.027,
        "Florida Taxes", MIN(AH423, 7000)*0.027,
        "Georgia Taxes", MIN(AH423, 9500)*0.027,
        "Hawaii Taxes", MIN(AH423, 46800)*0.04,
        "Idaho Taxes", MIN(AH423, 41500)*0.01071,
        "Illinois Taxes", MIN(AH423, 12900)*0.0395,
        "Indiana Taxes", MIN(AH423, 9500)*0.025,
        "Iowa Taxes", MIN(AH423, 29500)*0.01,
        "Kansas Taxes", MIN(AH423, 14000)*0.027,
        "Kentucky Taxes", MIN(AH423, 11000)*0.027,
        "Louisiana Taxes", MIN(AH423, 7500)*0.0009,
        "Maine Taxes", MIN(AH423, 12000)*0.0219,
        "Maryland Taxes", MIN(AH423, 8500)*0.023,
        "Massachusetts Taxes", MIN(AH423, 15000)*0.0143,
        "Michigan Taxes", MIN(AH423, 9500)*0.027,
        "Minnesota Taxes", MIN(AH423, 35000)*0.001,
        "Mississippi Taxes", MIN(AH423, 14000)*0.01,
        "Missouri Taxes", MIN(AH423, 13500)*0.027,
        "Montana Taxes", MIN(AH423, 34500)*0.0013,
        "Nebraska Taxes", MIN(AH423, 9000)*0.0125,
        "Nevada Taxes", MIN(AH423, 33100)*0.0295,
        "New Hampshire Taxes", MIN(AH423, 14000)*0.027,
        "New Jersey Taxes", MIN(AH423, 35700)*0.031,
        "New Mexico Taxes", MIN(AH423, 25400)*0.01,
        "New York Taxes", MIN(AH423, 11500)*0.026,
        "North Carolina Taxes", MIN(AH423, 25400)*0.01,
        "North Dakota Taxes", MIN(AH423, 39200)*0.0113,
        "Ohio Taxes", MIN(AH423, 9000)*0.027,
        "Oklahoma Taxes", MIN(AH423, 17500)*0.015,
        "Oregon Taxes", MIN(AH423, 43000)*0.021,
        "Pennsylvania Taxes", MIN(AH423, 10000)*0.03822,
        "Rhode Island Taxes", MIN(AH423, 24000)*0.0109,
        "South Carolina Taxes", MIN(AH423, 14000)*0.0045,
        "South Dakota Taxes", MIN(AH423, 15000)*0.012,
        "Tennessee Taxes", MIN(AH423, 7000)*0.027,
        "Texas Taxes", MIN(AH423, 9000)*0.027,
        "Utah Taxes", MIN(AH423, 35700)*0.003,
        "Vermont Taxes", MIN(AH423, 16000)*0.01,
        "Virginia Taxes", MIN(AH423, 8000)*0.025,
        "Washington Taxes", MIN(AH423, 56200)*0.0125,
        "West Virginia Taxes", MIN(AH423, 12000)*0.027,
        "Wisconsin Taxes", MIN(AH423, 14000)*0.0305,
        "Wyoming Taxes", MIN(AH423, 25800)*0.018
    ),
   AH$280=2024,
    _xlfn.SWITCH(
        AH431,
 "Alabama Taxes", MIN(AH423, 8000)*0.027,
        "Alaska Taxes", MIN(AH423, 41500)*0.0237,
        "Arizona Taxes", MIN(AH423, 7000)*0.02,
        "Arkansas Taxes", MIN(AH423, 12000)*0.031,
        "California Taxes", MIN(AH423, 7000)*0.034,
        "Colorado Taxes", MIN(AH423, 13800)*0.017,
        "Connecticut Taxes", MIN(AH423, 15000)*0.028,
        "Delaware Taxes", MIN(AH423, 8500)*0.001,
        "District of Columbia Taxes", MIN(AH423, 9000)*0.027,
        "Florida Taxes", MIN(AH423, 7000)*0.027,
        "Georgia Taxes", MIN(AH423, 9500)*0.027,
        "Hawaii Taxes", MIN(AH423, 46800)*0.04,
        "Idaho Taxes", MIN(AH423, 41500)*0.01071,
        "Illinois Taxes", MIN(AH423, 12900)*0.0395,
        "Indiana Taxes", MIN(AH423, 9500)*0.025,
        "Iowa Taxes", MIN(AH423, 29500)*0.01,
        "Kansas Taxes", MIN(AH423, 14000)*0.027,
        "Kentucky Taxes", MIN(AH423, 11000)*0.027,
        "Louisiana Taxes", MIN(AH423, 7500)*0.0009,
        "Maine Taxes", MIN(AH423, 12000)*0.0219,
        "Maryland Taxes", MIN(AH423, 8500)*0.023,
        "Massachusetts Taxes", MIN(AH423, 15000)*0.0143,
        "Michigan Taxes", MIN(AH423, 9500)*0.027,
        "Minnesota Taxes", MIN(AH423, 35000)*0.001,
        "Mississippi Taxes", MIN(AH423, 14000)*0.01,
        "Missouri Taxes", MIN(AH423, 13500)*0.027,
        "Montana Taxes", MIN(AH423, 34500)*0.0013,
        "Nebraska Taxes", MIN(AH423, 9000)*0.0125,
        "Nevada Taxes", MIN(AH423, 33100)*0.0295,
        "New Hampshire Taxes", MIN(AH423, 14000)*0.027,
        "New Jersey Taxes", MIN(AH423, 35700)*0.031,
        "New Mexico Taxes", MIN(AH423, 25400)*0.01,
        "New York Taxes", MIN(AH423, 11500)*0.026,
        "North Carolina Taxes", MIN(AH423, 25400)*0.01,
        "North Dakota Taxes", MIN(AH423, 39200)*0.0113,
        "Ohio Taxes", MIN(AH423, 9000)*0.027,
        "Oklahoma Taxes", MIN(AH423, 17500)*0.015,
        "Oregon Taxes", MIN(AH423, 43000)*0.021,
        "Pennsylvania Taxes", MIN(AH423, 10000)*0.03822,
        "Rhode Island Taxes", MIN(AH423, 24000)*0.0109,
        "South Carolina Taxes", MIN(AH423, 14000)*0.0045,
        "South Dakota Taxes", MIN(AH423, 15000)*0.012,
        "Tennessee Taxes", MIN(AH423, 7000)*0.027,
        "Texas Taxes", MIN(AH423, 9000)*0.027,
        "Utah Taxes", MIN(AH423, 35700)*0.003,
        "Vermont Taxes", MIN(AH423, 16000)*0.01,
        "Virginia Taxes", MIN(AH423, 8000)*0.025,
        "Washington Taxes", MIN(AH423, 56200)*0.0125,
        "West Virginia Taxes", MIN(AH423, 12000)*0.027,
        "Wisconsin Taxes", MIN(AH423, 14000)*0.0305,
        "Wyoming Taxes", MIN(AH423, 25800)*0.018
    )
),0)</f>
        <v>0</v>
      </c>
    </row>
    <row r="435" spans="29:34" x14ac:dyDescent="0.25">
      <c r="AC435" s="88"/>
      <c r="AD435" s="88"/>
      <c r="AE435" s="88"/>
      <c r="AF435" s="185" t="s">
        <v>339</v>
      </c>
      <c r="AG435" s="185" t="s">
        <v>352</v>
      </c>
      <c r="AH435" s="187">
        <f>IF($U$157="Yes", MIN(AH423,7000)*(0.06-0.054), IF($U$157="No", MIN(AH423,7000)*0.06, 0))</f>
        <v>0</v>
      </c>
    </row>
    <row r="436" spans="29:34" x14ac:dyDescent="0.25">
      <c r="AC436" s="88"/>
      <c r="AD436" s="88"/>
      <c r="AE436" s="88"/>
      <c r="AF436" s="184" t="s">
        <v>339</v>
      </c>
      <c r="AG436" s="184" t="s">
        <v>349</v>
      </c>
      <c r="AH436" s="188">
        <f t="shared" ref="AH436" si="995">AH426* 0.029</f>
        <v>0</v>
      </c>
    </row>
    <row r="437" spans="29:34" x14ac:dyDescent="0.25">
      <c r="AC437" s="88"/>
      <c r="AD437" s="88"/>
      <c r="AE437" s="88"/>
      <c r="AF437" s="184" t="s">
        <v>339</v>
      </c>
      <c r="AG437" s="184" t="s">
        <v>402</v>
      </c>
      <c r="AH437" s="188">
        <f>IF(AH$280=2022,
   MAX(0, MIN(147000 - (AH422 + AH423), AH425*0.9235))*0.124,
   IF(AH$280=2023,
      MAX(0, MIN(160200 - (AH422 + AH423), AH425*0.9235))*0.124,
      IF(AH$280=2024,
         MAX(0, MIN(168600 - (AH422 + AH423), AH425*0.9235))*0.124,
         "-"
      )
   )
)</f>
        <v>0</v>
      </c>
    </row>
    <row r="438" spans="29:34" x14ac:dyDescent="0.25">
      <c r="AC438" s="88"/>
      <c r="AD438" s="88"/>
      <c r="AE438" s="88"/>
      <c r="AF438" s="201" t="s">
        <v>357</v>
      </c>
      <c r="AG438" s="201" t="s">
        <v>358</v>
      </c>
      <c r="AH438" s="202">
        <f>IF(AND(OR(AH291="One", AH291="Both"), AH302="Yes"), AH307, IF(AND(OR(AH291="One", AH291="Both"), AH302="No"), AH305, IF(AH291="Two", AH303, "Check X275 value")))</f>
        <v>0</v>
      </c>
    </row>
    <row r="439" spans="29:34" x14ac:dyDescent="0.25">
      <c r="AC439" s="88"/>
      <c r="AD439" s="88"/>
      <c r="AE439" s="88"/>
      <c r="AF439" s="201"/>
      <c r="AG439" s="201" t="s">
        <v>376</v>
      </c>
      <c r="AH439" s="202">
        <f>AH438*AH$288</f>
        <v>0</v>
      </c>
    </row>
    <row r="440" spans="29:34" x14ac:dyDescent="0.25">
      <c r="AC440" s="88"/>
      <c r="AD440" s="88"/>
      <c r="AE440" s="88"/>
      <c r="AF440" s="216"/>
      <c r="AG440" s="221" t="s">
        <v>399</v>
      </c>
      <c r="AH440" s="216"/>
    </row>
    <row r="441" spans="29:34" x14ac:dyDescent="0.25">
      <c r="AC441" s="88"/>
      <c r="AD441" s="88"/>
      <c r="AE441" s="88"/>
      <c r="AF441" s="194" t="s">
        <v>345</v>
      </c>
      <c r="AG441" s="194" t="s">
        <v>344</v>
      </c>
      <c r="AH441" s="195">
        <f>IF(OR(AH291="Two", AH291="Both"), AH309+AH317, IF(AH291="One", IF(OR(AH292="Two", AH292="Both"), AH392, AH309), "Check X275 value"))</f>
        <v>0</v>
      </c>
    </row>
    <row r="442" spans="29:34" x14ac:dyDescent="0.25">
      <c r="AC442" s="88"/>
      <c r="AD442" s="88"/>
      <c r="AE442" s="88"/>
      <c r="AF442" s="185" t="s">
        <v>345</v>
      </c>
      <c r="AG442" s="185" t="s">
        <v>373</v>
      </c>
      <c r="AH442" s="187">
        <f>IF(OR(AH291="Two", AH291="Both"), AH312+AH313, IF(AH291="One", AH311+AH313, "Invalid Input"))</f>
        <v>0</v>
      </c>
    </row>
    <row r="443" spans="29:34" x14ac:dyDescent="0.25">
      <c r="AC443" s="88"/>
      <c r="AD443" s="88"/>
      <c r="AE443" s="88"/>
      <c r="AF443" s="185" t="s">
        <v>345</v>
      </c>
      <c r="AG443" s="185" t="s">
        <v>400</v>
      </c>
      <c r="AH443" s="187">
        <f>IF(OR(AH291="Two", AH291="Both"), AH310-(AH312-AH311)-(AH457-AH320)-(SUM(AH451:AH454)-SUM(AH353:AH356)), IF(AH291="One", AH310, "Invalid Input"))</f>
        <v>0</v>
      </c>
    </row>
    <row r="444" spans="29:34" x14ac:dyDescent="0.25">
      <c r="AC444" s="88"/>
      <c r="AD444" s="88"/>
      <c r="AE444" s="88"/>
      <c r="AF444" s="184" t="s">
        <v>345</v>
      </c>
      <c r="AG444" s="184" t="s">
        <v>353</v>
      </c>
      <c r="AH444" s="188">
        <f>AH$314</f>
        <v>0</v>
      </c>
    </row>
    <row r="445" spans="29:34" x14ac:dyDescent="0.25">
      <c r="AC445" s="88"/>
      <c r="AD445" s="88"/>
      <c r="AE445" s="88"/>
      <c r="AF445" s="184" t="s">
        <v>345</v>
      </c>
      <c r="AG445" s="184" t="s">
        <v>355</v>
      </c>
      <c r="AH445" s="188">
        <f>AH444*0.9235</f>
        <v>0</v>
      </c>
    </row>
    <row r="446" spans="29:34" x14ac:dyDescent="0.25">
      <c r="AC446" s="88"/>
      <c r="AD446" s="88"/>
      <c r="AE446" s="88"/>
      <c r="AF446" s="183" t="s">
        <v>339</v>
      </c>
      <c r="AG446" s="183" t="s">
        <v>347</v>
      </c>
      <c r="AH446" s="186">
        <f>IF(AH$280=2022, MIN(AH441,147000)*0.062,
   IF(AH$280=2023, MIN(AH441,160200)*0.062,
      IF(AH$280=2024, MIN(AH441,168600)*0.062,
         "-"
      )
   )
)</f>
        <v>0</v>
      </c>
    </row>
    <row r="447" spans="29:34" x14ac:dyDescent="0.25">
      <c r="AC447" s="88"/>
      <c r="AD447" s="88"/>
      <c r="AE447" s="88"/>
      <c r="AF447" s="183" t="s">
        <v>339</v>
      </c>
      <c r="AG447" s="183" t="s">
        <v>346</v>
      </c>
      <c r="AH447" s="186">
        <f t="shared" ref="AH447" si="996">AH441*0.0145</f>
        <v>0</v>
      </c>
    </row>
    <row r="448" spans="29:34" x14ac:dyDescent="0.25">
      <c r="AC448" s="88"/>
      <c r="AD448" s="88"/>
      <c r="AE448" s="88"/>
      <c r="AF448" s="185" t="s">
        <v>339</v>
      </c>
      <c r="AG448" s="185" t="s">
        <v>347</v>
      </c>
      <c r="AH448" s="187">
        <f>IF(AH$280=2022, MIN(AH442*0.062, MAX(0, 147000*0.062 - AH441*0.062)),
   IF(AH$280=2023, MIN(AH442*0.062, MAX(0, 160200*0.062 - AH441*0.062)),
      IF(AH$280=2024, MIN(AH442*0.062, MAX(0, 168600*0.062 - AH441*0.062)),
         "-"
      )
   )
)</f>
        <v>0</v>
      </c>
    </row>
    <row r="449" spans="29:34" x14ac:dyDescent="0.25">
      <c r="AC449" s="88"/>
      <c r="AD449" s="88"/>
      <c r="AE449" s="88"/>
      <c r="AF449" s="185" t="s">
        <v>339</v>
      </c>
      <c r="AG449" s="185" t="s">
        <v>346</v>
      </c>
      <c r="AH449" s="187">
        <f t="shared" ref="AH449" si="997">AH442*0.0145</f>
        <v>0</v>
      </c>
    </row>
    <row r="450" spans="29:34" x14ac:dyDescent="0.25">
      <c r="AC450" s="88"/>
      <c r="AD450" s="88"/>
      <c r="AE450" s="88"/>
      <c r="AF450" s="190"/>
      <c r="AG450" s="190"/>
      <c r="AH450" s="189" t="str">
        <f>AH431</f>
        <v>California Taxes</v>
      </c>
    </row>
    <row r="451" spans="29:34" x14ac:dyDescent="0.25">
      <c r="AC451" s="88"/>
      <c r="AD451" s="88"/>
      <c r="AE451" s="88"/>
      <c r="AF451" s="185" t="s">
        <v>339</v>
      </c>
      <c r="AG451" s="185" t="s">
        <v>356</v>
      </c>
      <c r="AH451" s="187">
        <f>IF(AH$280=2022, MIN(AH442,147000)*0.062,
   IF(AH$280=2023, MIN(AH442,160200)*0.062,
      IF(AH$280=2024, MIN(AH442,168600)*0.062,
         "-"
      )
   )
)</f>
        <v>0</v>
      </c>
    </row>
    <row r="452" spans="29:34" x14ac:dyDescent="0.25">
      <c r="AC452" s="88"/>
      <c r="AD452" s="88"/>
      <c r="AE452" s="88"/>
      <c r="AF452" s="185" t="s">
        <v>339</v>
      </c>
      <c r="AG452" s="185" t="s">
        <v>348</v>
      </c>
      <c r="AH452" s="187">
        <f t="shared" ref="AH452" si="998">AH442*0.0145</f>
        <v>0</v>
      </c>
    </row>
    <row r="453" spans="29:34" x14ac:dyDescent="0.25">
      <c r="AC453" s="88"/>
      <c r="AD453" s="88"/>
      <c r="AE453" s="88"/>
      <c r="AF453" s="185" t="s">
        <v>339</v>
      </c>
      <c r="AG453" s="185" t="s">
        <v>351</v>
      </c>
      <c r="AH453" s="187" cm="1">
        <f t="array" ref="AH453">_xlfn.IFNA(_xlfn.IFS(
    AH$280=2022,
    _xlfn.SWITCH(
        AH450,
        "Alabama Taxes", MIN(AH442, 8000)*0.027,
        "Alaska Taxes", MIN(AH442, 45200)*0.0237,
        "Arizona Taxes", MIN(AH442, 7000)*0.02,
        "Arkansas Taxes", MIN(AH442, 10000)*0.031,
        "California Taxes", MIN(AH442, 7000)*0.034,
        "Colorado Taxes", MIN(AH442, 17000)*0.017,
        "Connecticut Taxes", MIN(AH442, 15000)*0.03,
        "Delaware Taxes", MIN(AH442, 16500)*0.018,
        "District of Columbia Taxes", MIN(AH442, 9000)*0.027,
        "Florida Taxes", MIN(AH442, 7000)*0.027,
        "Georgia Taxes", MIN(AH442, 9500)*0.0264,
        "Hawaii Taxes", MIN(AH442, 51600)*0.03,
        "Idaho Taxes", MIN(AH442, 46500)*0.0097,
        "Illinois Taxes", MIN(AH442, 12960)*0.03525,
        "Indiana Taxes", MIN(AH442, 9500)*0.025,
        "Iowa Taxes", MIN(AH442, 34800)*0.01,
        "Kansas Taxes", MIN(AH442, 14000)*0.027,
        "Kentucky Taxes", MIN(AH442, 11100)*0.027,
        "Louisiana Taxes", MIN(AH442, 7700)*0.027,
        "Maine Taxes", MIN(AH442, 12000)*0.0224,
        "Maryland Taxes", MIN(AH442, 8500)*0.026,
        "Massachusetts Taxes", MIN(AH442, 15000)*0.0242,
        "Michigan Taxes", MIN(AH442, 9500)*0.027,
        "Minnesota Taxes", MIN(AH442, 38000)*0.027,
        "Mississippi Taxes", MIN(AH442, 14000)*0.01,
        "Missouri Taxes", MIN(AH442, 11000)*0.02376,
        "Montana Taxes", MIN(AH442, 38100)*0.027,
        "Nebraska Taxes", MIN(AH442, 24000)*0.0125,
        "Nevada Taxes", MIN(AH442, 36600)*0.0295,
        "New Hampshire Taxes", MIN(AH442, 14000)*0.027,
        "New Jersey Taxes", MIN(AH442, 39800)*0.028,
        "New Mexico Taxes", MIN(AH442, 28700)*0.01,
        "New York Taxes", MIN(AH442, 12000)*0.03125,
        "North Carolina Taxes", MIN(AH442, 28000)*0.01,
        "North Dakota Taxes", MIN(AH442, 38400)*0.0102,
        "Ohio Taxes", MIN(AH442, 9000)*0.027,
        "Oklahoma Taxes", MIN(AH442, 24800)*0.015,
        "Oregon Taxes", MIN(AH442, 47700)*0.024,
        "Pennsylvania Taxes", MIN(AH442, 10000)*0.03689,
        "Rhode Island Taxes", MIN(AH442, 24600)*0.0098,
        "South Carolina Taxes", MIN(AH442, 14000)*0.0049,
        "South Dakota Taxes", MIN(AH442, 15000)*0.012,
        "Tennessee Taxes", MIN(AH442, 7000)*0.027,
        "Texas Taxes", MIN(AH442, 9000)*0.027,
        "Utah Taxes", MIN(AH442, 41600)*0.027,
        "Vermont Taxes", MIN(AH442, 15500)*0.01,
        "Virginia Taxes", MIN(AH442, 8000)*0.0273,
        "Washington Taxes", MIN(AH442, 62500)*0.027,
        "West Virginia Taxes", MIN(AH442, 12000)*0.027,
        "Wisconsin Taxes", MIN(AH442, 14000)*0.0305,
        "Wyoming Taxes", MIN(AH442, 27700)*0.027
    ),
   AH$280=2023,
    _xlfn.SWITCH(
        AH450,
        "Alabama Taxes", MIN(AH442, 8000)*0.027,
        "Alaska Taxes", MIN(AH442, 41500)*0.0237,
        "Arizona Taxes", MIN(AH442, 7000)*0.02,
        "Arkansas Taxes", MIN(AH442, 12000)*0.031,
        "California Taxes", MIN(AH442, 7000)*0.034,
        "Colorado Taxes", MIN(AH442, 13800)*0.017,
        "Connecticut Taxes", MIN(AH442, 15000)*0.028,
        "Delaware Taxes", MIN(AH442, 8500)*0.001,
        "District of Columbia Taxes", MIN(AH442, 9000)*0.027,
        "Florida Taxes", MIN(AH442, 7000)*0.027,
        "Georgia Taxes", MIN(AH442, 9500)*0.027,
        "Hawaii Taxes", MIN(AH442, 46800)*0.04,
        "Idaho Taxes", MIN(AH442, 41500)*0.01071,
        "Illinois Taxes", MIN(AH442, 12900)*0.0395,
        "Indiana Taxes", MIN(AH442, 9500)*0.025,
        "Iowa Taxes", MIN(AH442, 29500)*0.01,
        "Kansas Taxes", MIN(AH442, 14000)*0.027,
        "Kentucky Taxes", MIN(AH442, 11000)*0.027,
        "Louisiana Taxes", MIN(AH442, 7500)*0.0009,
        "Maine Taxes", MIN(AH442, 12000)*0.0219,
        "Maryland Taxes", MIN(AH442, 8500)*0.023,
        "Massachusetts Taxes", MIN(AH442, 15000)*0.0143,
        "Michigan Taxes", MIN(AH442, 9500)*0.027,
        "Minnesota Taxes", MIN(AH442, 35000)*0.001,
        "Mississippi Taxes", MIN(AH442, 14000)*0.01,
        "Missouri Taxes", MIN(AH442, 13500)*0.027,
        "Montana Taxes", MIN(AH442, 34500)*0.0013,
        "Nebraska Taxes", MIN(AH442, 9000)*0.0125,
        "Nevada Taxes", MIN(AH442, 33100)*0.0295,
        "New Hampshire Taxes", MIN(AH442, 14000)*0.027,
        "New Jersey Taxes", MIN(AH442, 35700)*0.031,
        "New Mexico Taxes", MIN(AH442, 25400)*0.01,
        "New York Taxes", MIN(AH442, 11500)*0.026,
        "North Carolina Taxes", MIN(AH442, 25400)*0.01,
        "North Dakota Taxes", MIN(AH442, 39200)*0.0113,
        "Ohio Taxes", MIN(AH442, 9000)*0.027,
        "Oklahoma Taxes", MIN(AH442, 17500)*0.015,
        "Oregon Taxes", MIN(AH442, 43000)*0.021,
        "Pennsylvania Taxes", MIN(AH442, 10000)*0.03822,
        "Rhode Island Taxes", MIN(AH442, 24000)*0.0109,
        "South Carolina Taxes", MIN(AH442, 14000)*0.0045,
        "South Dakota Taxes", MIN(AH442, 15000)*0.012,
        "Tennessee Taxes", MIN(AH442, 7000)*0.027,
        "Texas Taxes", MIN(AH442, 9000)*0.027,
        "Utah Taxes", MIN(AH442, 35700)*0.003,
        "Vermont Taxes", MIN(AH442, 16000)*0.01,
        "Virginia Taxes", MIN(AH442, 8000)*0.025,
        "Washington Taxes", MIN(AH442, 56200)*0.0125,
        "West Virginia Taxes", MIN(AH442, 12000)*0.027,
        "Wisconsin Taxes", MIN(AH442, 14000)*0.0305,
        "Wyoming Taxes", MIN(AH442, 25800)*0.018
    ),
   AH$280=2024,
    _xlfn.SWITCH(
        AH450,
 "Alabama Taxes", MIN(AH442, 8000)*0.027,
        "Alaska Taxes", MIN(AH442, 41500)*0.0237,
        "Arizona Taxes", MIN(AH442, 7000)*0.02,
        "Arkansas Taxes", MIN(AH442, 12000)*0.031,
        "California Taxes", MIN(AH442, 7000)*0.034,
        "Colorado Taxes", MIN(AH442, 13800)*0.017,
        "Connecticut Taxes", MIN(AH442, 15000)*0.028,
        "Delaware Taxes", MIN(AH442, 8500)*0.001,
        "District of Columbia Taxes", MIN(AH442, 9000)*0.027,
        "Florida Taxes", MIN(AH442, 7000)*0.027,
        "Georgia Taxes", MIN(AH442, 9500)*0.027,
        "Hawaii Taxes", MIN(AH442, 46800)*0.04,
        "Idaho Taxes", MIN(AH442, 41500)*0.01071,
        "Illinois Taxes", MIN(AH442, 12900)*0.0395,
        "Indiana Taxes", MIN(AH442, 9500)*0.025,
        "Iowa Taxes", MIN(AH442, 29500)*0.01,
        "Kansas Taxes", MIN(AH442, 14000)*0.027,
        "Kentucky Taxes", MIN(AH442, 11000)*0.027,
        "Louisiana Taxes", MIN(AH442, 7500)*0.0009,
        "Maine Taxes", MIN(AH442, 12000)*0.0219,
        "Maryland Taxes", MIN(AH442, 8500)*0.023,
        "Massachusetts Taxes", MIN(AH442, 15000)*0.0143,
        "Michigan Taxes", MIN(AH442, 9500)*0.027,
        "Minnesota Taxes", MIN(AH442, 35000)*0.001,
        "Mississippi Taxes", MIN(AH442, 14000)*0.01,
        "Missouri Taxes", MIN(AH442, 13500)*0.027,
        "Montana Taxes", MIN(AH442, 34500)*0.0013,
        "Nebraska Taxes", MIN(AH442, 9000)*0.0125,
        "Nevada Taxes", MIN(AH442, 33100)*0.0295,
        "New Hampshire Taxes", MIN(AH442, 14000)*0.027,
        "New Jersey Taxes", MIN(AH442, 35700)*0.031,
        "New Mexico Taxes", MIN(AH442, 25400)*0.01,
        "New York Taxes", MIN(AH442, 11500)*0.026,
        "North Carolina Taxes", MIN(AH442, 25400)*0.01,
        "North Dakota Taxes", MIN(AH442, 39200)*0.0113,
        "Ohio Taxes", MIN(AH442, 9000)*0.027,
        "Oklahoma Taxes", MIN(AH442, 17500)*0.015,
        "Oregon Taxes", MIN(AH442, 43000)*0.021,
        "Pennsylvania Taxes", MIN(AH442, 10000)*0.03822,
        "Rhode Island Taxes", MIN(AH442, 24000)*0.0109,
        "South Carolina Taxes", MIN(AH442, 14000)*0.0045,
        "South Dakota Taxes", MIN(AH442, 15000)*0.012,
        "Tennessee Taxes", MIN(AH442, 7000)*0.027,
        "Texas Taxes", MIN(AH442, 9000)*0.027,
        "Utah Taxes", MIN(AH442, 35700)*0.003,
        "Vermont Taxes", MIN(AH442, 16000)*0.01,
        "Virginia Taxes", MIN(AH442, 8000)*0.025,
        "Washington Taxes", MIN(AH442, 56200)*0.0125,
        "West Virginia Taxes", MIN(AH442, 12000)*0.027,
        "Wisconsin Taxes", MIN(AH442, 14000)*0.0305,
        "Wyoming Taxes", MIN(AH442, 25800)*0.018
    )
),0)</f>
        <v>0</v>
      </c>
    </row>
    <row r="454" spans="29:34" x14ac:dyDescent="0.25">
      <c r="AC454" s="88"/>
      <c r="AD454" s="88"/>
      <c r="AE454" s="88"/>
      <c r="AF454" s="185" t="s">
        <v>339</v>
      </c>
      <c r="AG454" s="185" t="s">
        <v>352</v>
      </c>
      <c r="AH454" s="187">
        <f>IF($U$157="Yes", MIN(AH442,7000)*(0.06-0.054), IF($U$157="No", MIN(AH442,7000)*0.06, 0))</f>
        <v>0</v>
      </c>
    </row>
    <row r="455" spans="29:34" x14ac:dyDescent="0.25">
      <c r="AC455" s="88"/>
      <c r="AD455" s="88"/>
      <c r="AE455" s="88"/>
      <c r="AF455" s="184" t="s">
        <v>339</v>
      </c>
      <c r="AG455" s="184" t="s">
        <v>349</v>
      </c>
      <c r="AH455" s="188">
        <f t="shared" ref="AH455" si="999">AH445* 0.029</f>
        <v>0</v>
      </c>
    </row>
    <row r="456" spans="29:34" x14ac:dyDescent="0.25">
      <c r="AC456" s="88"/>
      <c r="AD456" s="88"/>
      <c r="AE456" s="88"/>
      <c r="AF456" s="184" t="s">
        <v>339</v>
      </c>
      <c r="AG456" s="184" t="s">
        <v>402</v>
      </c>
      <c r="AH456" s="188">
        <f>IF(AH$280=2022,
   MAX(0, MIN(147000 - (AH441 + AH442), AH444*0.9235))*0.124,
   IF(AH$280=2023,
      MAX(0, MIN(160200 - (AH441 + AH442), AH444*0.9235))*0.124,
      IF(AH$280=2024,
         MAX(0, MIN(168600 - (AH441 + AH442), AH444*0.9235))*0.124,
         "-"
      )
   )
)</f>
        <v>0</v>
      </c>
    </row>
    <row r="457" spans="29:34" x14ac:dyDescent="0.25">
      <c r="AC457" s="88"/>
      <c r="AD457" s="88"/>
      <c r="AE457" s="88"/>
      <c r="AF457" s="201" t="s">
        <v>357</v>
      </c>
      <c r="AG457" s="201" t="s">
        <v>358</v>
      </c>
      <c r="AH457" s="202">
        <f>IF(AND(OR(AH291="Two", AH291="Both"), AH316="Yes"), AH321, IF(AND(OR(AH291="Two", AH291="Both"), AH316="No"), AH319, IF(AH291="One", AH317, "Check X275 value")))</f>
        <v>0</v>
      </c>
    </row>
    <row r="458" spans="29:34" x14ac:dyDescent="0.25">
      <c r="AC458" s="88"/>
      <c r="AD458" s="88"/>
      <c r="AE458" s="88"/>
      <c r="AF458" s="201"/>
      <c r="AG458" s="201" t="s">
        <v>376</v>
      </c>
      <c r="AH458" s="202">
        <f>AH457*AH$288</f>
        <v>0</v>
      </c>
    </row>
    <row r="459" spans="29:34" x14ac:dyDescent="0.25">
      <c r="AC459" s="88"/>
      <c r="AD459" s="88"/>
      <c r="AE459" s="88"/>
      <c r="AF459" s="203" t="s">
        <v>350</v>
      </c>
      <c r="AG459" s="203" t="s">
        <v>369</v>
      </c>
      <c r="AH459" s="204">
        <f>SUM(AH432:AH435)+SUM(AH451:AH454)</f>
        <v>0</v>
      </c>
    </row>
    <row r="460" spans="29:34" x14ac:dyDescent="0.25">
      <c r="AC460" s="88"/>
      <c r="AD460" s="88"/>
      <c r="AE460" s="88"/>
      <c r="AF460" s="203" t="s">
        <v>363</v>
      </c>
      <c r="AG460" s="203" t="s">
        <v>362</v>
      </c>
      <c r="AH460" s="204">
        <f>IF(AH291="One", SUM(AH422:AH424)+SUM(AH441:AH444)-AH306+AH282+AH283, IF(AH291="Two", SUM(AH422:AH424)+SUM(AH441:AH444)-AH320+AH282+AH283, IF(AH291="Both", SUM(AH422:AH424)+SUM(AH441:AH444)-AH306-AH320+AH282+AH283, SUM(AH422:AH424)+SUM(AH441:AH444)+AH282+AH283)))</f>
        <v>0</v>
      </c>
    </row>
    <row r="461" spans="29:34" x14ac:dyDescent="0.25">
      <c r="AC461" s="88"/>
      <c r="AD461" s="88"/>
      <c r="AE461" s="88"/>
      <c r="AF461" s="203" t="s">
        <v>364</v>
      </c>
      <c r="AG461" s="203" t="s">
        <v>365</v>
      </c>
      <c r="AH461" s="204">
        <f>IF(COUNTA(AH$286+AH$287)=0, "Filing Status", MAX(AH$286+AH$287,
    IF(AH$280=2022,
        IF(AH$281="Single", 12950,
            IF(AH$281="HOH", 19400,
                IF(AH$281="MFJ", 25900,
                    IF(AH$281="MFS", 12950,
                        IF(AH$281="QW", 25900, "Invalid Filing Status")
                    )
                )
            )
        ),
        IF(AH$280=2023,
            IF(AH$281="Single", 13850,
                IF(AH$281="HOH", 20800,
                    IF(AH$281="MFJ", 27700,
                        IF(AH$281="MFS", 13850,
                            IF(AH$281="QW", 27700, "Invalid Filing Status")
                        )
                    )
                )
            ),
            IF(AH$280=2024,
                IF(AH$281="Single", 14600,
                    IF(AH$281="HOH", 21900,
                        IF(AH$281="MFJ", 29200,
                            IF(AH$281="MFS", 14600,
                                IF(AH$281="QW", 29200, "Invalid Filing Status")
                            )
                        )
                    )
                ),
                "Invalid Year"
            )
        )
    )
))</f>
        <v>21900</v>
      </c>
    </row>
    <row r="462" spans="29:34" x14ac:dyDescent="0.25">
      <c r="AC462" s="88"/>
      <c r="AD462" s="88"/>
      <c r="AE462" s="88"/>
      <c r="AF462" s="203" t="s">
        <v>364</v>
      </c>
      <c r="AG462" s="203" t="s">
        <v>366</v>
      </c>
      <c r="AH462" s="204">
        <f>MAX(
    (AH460*AH$290)+AH$286,
    IF(AH$280=2022,
        IF(AH$281="Single", 12950,
            IF(AH$281="HOH", 19400,
                IF(AH$281="MFJ", 25900,
                    IF(AH$281="MFS", 12950,
                        IF(AH$281="QW", 25900, "Invalid Filing Status")
                    )
                )
            )
        ),
        IF(AH$280=2023,
            IF(AH$281="Single", 13850,
                IF(AH$281="HOH", 20800,
                    IF(AH$281="MFJ", 27700,
                        IF(AH$281="MFS", 13850,
                            IF(AH$281="QW", 27700, "Invalid Filing Status")
                        )
                    )
                )
            ),
            IF(AH$280=2024,
                IF(AH$281="Single", 14600,
                    IF(AH$281="HOH", 21900,
                        IF(AH$281="MFJ", 29200,
                            IF(AH$281="MFS", 14600,
                                IF(AH$281="QW", 29200, "Invalid Filing Status")
                            )
                        )
                    )
                ),
                "Invalid Year"
            )
        )
    )
)</f>
        <v>21900</v>
      </c>
    </row>
    <row r="463" spans="29:34" x14ac:dyDescent="0.25">
      <c r="AC463" s="88"/>
      <c r="AD463" s="88"/>
      <c r="AE463" s="88"/>
      <c r="AF463" s="203" t="s">
        <v>339</v>
      </c>
      <c r="AG463" s="203" t="s">
        <v>367</v>
      </c>
      <c r="AH463" s="204">
        <f>IF(AH289="Yes", AH460 - AH462, AH460 - AH461)</f>
        <v>-21900</v>
      </c>
    </row>
    <row r="464" spans="29:34" x14ac:dyDescent="0.25">
      <c r="AC464" s="88"/>
      <c r="AD464" s="88"/>
      <c r="AE464" s="88"/>
      <c r="AF464" s="203" t="s">
        <v>339</v>
      </c>
      <c r="AG464" s="203" t="s">
        <v>368</v>
      </c>
      <c r="AH464" s="204">
        <f>MAX(0, MIN($M$329, $M$330))</f>
        <v>0</v>
      </c>
    </row>
    <row r="465" spans="29:34" x14ac:dyDescent="0.25">
      <c r="AC465" s="88"/>
      <c r="AD465" s="88"/>
      <c r="AE465" s="88"/>
      <c r="AF465" s="203" t="s">
        <v>339</v>
      </c>
      <c r="AG465" s="203" t="s">
        <v>409</v>
      </c>
      <c r="AH465" s="204">
        <f>IF(
    OR(AH$280=2022, AH$280=2023, AH$280=2024),
    IF(
        AH$281="MFJ", MAX(AH441+AH442+AH444+AH422+AH423+AH425-250000, 0) * 0.009,
        IF(
            AH$281="MFS", MAX(AH441+AH442+AH444+AH422+AH423+AH425-125000, 0) * 0.009,
            IF(
                AH$281="Single", MAX(AH441+AH442+AH444+AH422+AH423+AH425-200000, 0) * 0.009,
                IF(
                    AH$281="HOH", MAX(AH441+AH442+AH444+AH422+AH423+AH425-200000, 0) * 0.009,
                    IF(
                        AH$281="QW", MAX(AH441+AH442+AH444+AH422+AH423+AH425-200000, 0) * 0.009,
                        0
                    )
                )
            )
        )
    ),
    0
)</f>
        <v>0</v>
      </c>
    </row>
    <row r="466" spans="29:34" x14ac:dyDescent="0.25">
      <c r="AC466" s="88"/>
      <c r="AD466" s="88"/>
      <c r="AE466" s="88"/>
      <c r="AF466" s="203" t="s">
        <v>370</v>
      </c>
      <c r="AG466" s="203" t="s">
        <v>371</v>
      </c>
      <c r="AH466" s="204">
        <f>SUM(AH427:AH430)+SUM(AH432:AH437)+SUM(AH446:AH449)+SUM(AH451:AH456)</f>
        <v>0</v>
      </c>
    </row>
    <row r="467" spans="29:34" x14ac:dyDescent="0.25">
      <c r="AC467" s="88"/>
      <c r="AD467" s="88"/>
      <c r="AE467" s="88"/>
      <c r="AF467" s="207" t="s">
        <v>374</v>
      </c>
      <c r="AG467" s="207" t="s">
        <v>350</v>
      </c>
      <c r="AH467" s="204">
        <f>AH464+AH465+AH466</f>
        <v>0</v>
      </c>
    </row>
    <row r="468" spans="29:34" x14ac:dyDescent="0.25">
      <c r="AC468" s="88"/>
      <c r="AD468" s="88"/>
      <c r="AE468" s="88"/>
      <c r="AF468" s="203" t="s">
        <v>374</v>
      </c>
      <c r="AG468" s="203" t="s">
        <v>500</v>
      </c>
      <c r="AH468" s="204">
        <f>AH467-AH438-AH457</f>
        <v>0</v>
      </c>
    </row>
  </sheetData>
  <sortState xmlns:xlrd2="http://schemas.microsoft.com/office/spreadsheetml/2017/richdata2" ref="Y8:Y35">
    <sortCondition ref="Y8:Y35"/>
  </sortState>
  <mergeCells count="27">
    <mergeCell ref="B18:C18"/>
    <mergeCell ref="BD69:BI69"/>
    <mergeCell ref="BD70:BI70"/>
    <mergeCell ref="BD71:BI71"/>
    <mergeCell ref="BD72:BI72"/>
    <mergeCell ref="BD59:BI59"/>
    <mergeCell ref="BD60:BI60"/>
    <mergeCell ref="BD61:BI61"/>
    <mergeCell ref="BD62:BI62"/>
    <mergeCell ref="BD63:BI63"/>
    <mergeCell ref="BD53:BI53"/>
    <mergeCell ref="BD54:BI54"/>
    <mergeCell ref="BD55:BI55"/>
    <mergeCell ref="BD56:BI56"/>
    <mergeCell ref="BD58:BI58"/>
    <mergeCell ref="BD57:BI57"/>
    <mergeCell ref="A152:I152"/>
    <mergeCell ref="BD64:BI64"/>
    <mergeCell ref="BD65:BI65"/>
    <mergeCell ref="BD66:BI66"/>
    <mergeCell ref="BD67:BI67"/>
    <mergeCell ref="BD68:BI68"/>
    <mergeCell ref="BD73:BI73"/>
    <mergeCell ref="BD74:BI74"/>
    <mergeCell ref="BD75:BI75"/>
    <mergeCell ref="BD76:BI76"/>
    <mergeCell ref="BD77:BI77"/>
  </mergeCells>
  <phoneticPr fontId="10" type="noConversion"/>
  <conditionalFormatting sqref="A414">
    <cfRule type="expression" dxfId="22" priority="204">
      <formula>OR(A414="[Fill if Necessary]", A414="-", A414="[Select State]")</formula>
    </cfRule>
  </conditionalFormatting>
  <conditionalFormatting sqref="B7:J10">
    <cfRule type="expression" dxfId="21" priority="94">
      <formula>OR(B7="[Fill if Necessary]", B7="-", B7="[Select State]")</formula>
    </cfRule>
  </conditionalFormatting>
  <conditionalFormatting sqref="B24:J146">
    <cfRule type="expression" dxfId="20" priority="1">
      <formula>AND(NOT(ISBLANK(B$25)), $K$18="Plan Analysis", AND(B$25&lt;&gt;"1040", B$25&lt;&gt;"1040-X"))</formula>
    </cfRule>
    <cfRule type="expression" dxfId="19" priority="2">
      <formula>AND(NOT(ISBLANK(B$25)), $K$18="Preliminary Analysis / Year End Review / Other", B$25&lt;&gt;"1040", B$25&lt;&gt;"1040-X")</formula>
    </cfRule>
  </conditionalFormatting>
  <conditionalFormatting sqref="B77:J77">
    <cfRule type="expression" dxfId="18" priority="208">
      <formula>B77="Filing Status"</formula>
    </cfRule>
  </conditionalFormatting>
  <conditionalFormatting sqref="B1:K6">
    <cfRule type="expression" dxfId="17" priority="41">
      <formula>OR(B1="[Fill if Necessary]", B1="-", B1="[Select State]")</formula>
    </cfRule>
  </conditionalFormatting>
  <conditionalFormatting sqref="O67:O89">
    <cfRule type="expression" dxfId="16" priority="44">
      <formula>S67&gt;1</formula>
    </cfRule>
  </conditionalFormatting>
  <conditionalFormatting sqref="P94">
    <cfRule type="cellIs" dxfId="15" priority="45" operator="equal">
      <formula>"X"</formula>
    </cfRule>
  </conditionalFormatting>
  <conditionalFormatting sqref="P93:S93">
    <cfRule type="cellIs" dxfId="14" priority="43" operator="equal">
      <formula>"X"</formula>
    </cfRule>
  </conditionalFormatting>
  <conditionalFormatting sqref="P169:AC169 P182:AC182 P195:AC195 P208:AC208">
    <cfRule type="containsText" dxfId="13" priority="112" operator="containsText" text="[Select State]">
      <formula>NOT(ISERROR(SEARCH("[Select State]",P169)))</formula>
    </cfRule>
  </conditionalFormatting>
  <conditionalFormatting sqref="R67:S89">
    <cfRule type="expression" dxfId="12" priority="222">
      <formula>$N67="None"</formula>
    </cfRule>
  </conditionalFormatting>
  <conditionalFormatting sqref="V32:V55">
    <cfRule type="expression" dxfId="11" priority="221">
      <formula>COUNTIF($N$23:$N$50, $V32) &gt; 0</formula>
    </cfRule>
  </conditionalFormatting>
  <conditionalFormatting sqref="W32:AE44">
    <cfRule type="cellIs" dxfId="10" priority="35" operator="equal">
      <formula>"X"</formula>
    </cfRule>
  </conditionalFormatting>
  <conditionalFormatting sqref="W100:AE114">
    <cfRule type="cellIs" dxfId="9" priority="100" operator="equal">
      <formula>"X"</formula>
    </cfRule>
  </conditionalFormatting>
  <conditionalFormatting sqref="Z29">
    <cfRule type="cellIs" dxfId="8" priority="106" operator="equal">
      <formula>"X"</formula>
    </cfRule>
  </conditionalFormatting>
  <conditionalFormatting sqref="AD29">
    <cfRule type="cellIs" dxfId="7" priority="104" operator="equal">
      <formula>"X"</formula>
    </cfRule>
  </conditionalFormatting>
  <conditionalFormatting sqref="AH278">
    <cfRule type="containsText" dxfId="6" priority="125" operator="containsText" text="Business">
      <formula>NOT(ISERROR(SEARCH("Business",AH278)))</formula>
    </cfRule>
    <cfRule type="containsText" dxfId="5" priority="126" operator="containsText" text="W-2">
      <formula>NOT(ISERROR(SEARCH("W-2",AH278)))</formula>
    </cfRule>
    <cfRule type="containsText" dxfId="4" priority="127" operator="containsText" text="Current">
      <formula>NOT(ISERROR(SEARCH("Current",AH278)))</formula>
    </cfRule>
  </conditionalFormatting>
  <conditionalFormatting sqref="AH280:AH281">
    <cfRule type="cellIs" dxfId="3" priority="115" operator="equal">
      <formula>"X"</formula>
    </cfRule>
  </conditionalFormatting>
  <conditionalFormatting sqref="AH287">
    <cfRule type="cellIs" dxfId="2" priority="124" operator="equal">
      <formula>"X"</formula>
    </cfRule>
  </conditionalFormatting>
  <conditionalFormatting sqref="AH291:AH293 AH303:AH307 AH317:AH321">
    <cfRule type="cellIs" dxfId="1" priority="141" operator="equal">
      <formula>"X"</formula>
    </cfRule>
  </conditionalFormatting>
  <conditionalFormatting sqref="BJ53:BR77 N59:Q62 N67:Q79 O80:Q83 N80:N89 O84:P84 O85:Q89 N93:O94">
    <cfRule type="cellIs" dxfId="0" priority="54" operator="equal">
      <formula>"X"</formula>
    </cfRule>
  </conditionalFormatting>
  <dataValidations disablePrompts="1" count="46">
    <dataValidation type="list" allowBlank="1" showInputMessage="1" showErrorMessage="1" sqref="AH281 Y157:AC157 B2:J2" xr:uid="{1326717A-E2AA-4F12-8094-ADB100416478}">
      <formula1>"MFJ,Single,HOH,MFS,QW,-"</formula1>
    </dataValidation>
    <dataValidation type="list" allowBlank="1" showInputMessage="1" showErrorMessage="1" sqref="U157" xr:uid="{0F39D1BD-F3EB-4581-AA4B-CA920672499A}">
      <formula1>"Yes,No,-"</formula1>
    </dataValidation>
    <dataValidation type="list" allowBlank="1" showInputMessage="1" showErrorMessage="1" sqref="R157" xr:uid="{DD5C601B-28F4-4148-8418-4E8C1E085E48}">
      <formula1>"-, X"</formula1>
    </dataValidation>
    <dataValidation type="list" allowBlank="1" showInputMessage="1" showErrorMessage="1" sqref="B10:J10 B8:J8 B4:J4 B6:J6" xr:uid="{6C979F30-A510-4F64-BDE3-79EE27489210}">
      <formula1>$B$208:$B$210</formula1>
    </dataValidation>
    <dataValidation type="list" allowBlank="1" showInputMessage="1" showErrorMessage="1" sqref="Y156:AC156 AH280 B1:J1" xr:uid="{359B32E1-A8DE-4807-A3F2-C55768F83C47}">
      <formula1>$B$211:$B$214</formula1>
    </dataValidation>
    <dataValidation type="list" allowBlank="1" showInputMessage="1" showErrorMessage="1" sqref="W32 W38 W40:W41" xr:uid="{289094A8-6D8D-496A-ADB1-A4B31447C490}">
      <formula1>$B$210:$B$213</formula1>
    </dataValidation>
    <dataValidation type="list" errorStyle="warning" allowBlank="1" showInputMessage="1" showErrorMessage="1" sqref="W36" xr:uid="{48E940B5-1DD4-4CA1-8B97-B9E8CBE9CF9F}">
      <formula1>"1000,2000,3000,4000,5000"</formula1>
    </dataValidation>
    <dataValidation type="list" errorStyle="warning" allowBlank="1" showInputMessage="1" showErrorMessage="1" sqref="W35" xr:uid="{69A03FC3-77B5-4D04-9473-57FB9ADA72CD}">
      <formula1>"7000,8000,9000,10000"</formula1>
    </dataValidation>
    <dataValidation type="list" errorStyle="warning" allowBlank="1" showInputMessage="1" showErrorMessage="1" sqref="W34" xr:uid="{6352203D-A116-458E-90DE-BF10E13346A5}">
      <formula1>"3000,4000,5000,5800,6000,7000"</formula1>
    </dataValidation>
    <dataValidation type="list" allowBlank="1" showInputMessage="1" showErrorMessage="1" sqref="X32 AH304 AH318 AB32 P67:P68 P70" xr:uid="{0DEB2E5C-E850-428F-B15D-9E8ACFC8563E}">
      <formula1>$C$208:$C$209</formula1>
    </dataValidation>
    <dataValidation type="list" errorStyle="warning" allowBlank="1" showInputMessage="1" showErrorMessage="1" sqref="W37" xr:uid="{27736DBA-7C3E-49A7-8DA0-0764156A2497}">
      <formula1>"-,3000,4000,5000,6000,7000,8000"</formula1>
    </dataValidation>
    <dataValidation type="list" allowBlank="1" showInputMessage="1" showErrorMessage="1" sqref="X38 Q76" xr:uid="{45238C34-4D46-4F0B-9023-75CD5EAAB28D}">
      <formula1>"-,1,2,3,4,5,6"</formula1>
    </dataValidation>
    <dataValidation type="list" errorStyle="warning" allowBlank="1" showInputMessage="1" showErrorMessage="1" sqref="W39" xr:uid="{110DEAA4-6F41-44C2-9439-E87AEED9A84C}">
      <formula1>"3000,4000,5000,6000,7000,8000,9000,10000"</formula1>
    </dataValidation>
    <dataValidation type="list" allowBlank="1" showInputMessage="1" showErrorMessage="1" sqref="X40 P78" xr:uid="{2FF3715C-B7AA-4588-8B15-D0C38C58C872}">
      <formula1>"-, Single, Family"</formula1>
    </dataValidation>
    <dataValidation type="list" allowBlank="1" showInputMessage="1" showErrorMessage="1" sqref="Y40 Q78" xr:uid="{93BED631-40CA-46C1-8C03-87E1D1AC4CFE}">
      <formula1>"55 Year Old Contribution, No 55 Year Old Contribution"</formula1>
    </dataValidation>
    <dataValidation type="list" allowBlank="1" showInputMessage="1" showErrorMessage="1" sqref="X41 P79" xr:uid="{F8FE0C48-C97E-4D8E-A984-7049A6DCDE00}">
      <formula1>"-, Younger than 50, Older than 50"</formula1>
    </dataValidation>
    <dataValidation type="whole" errorStyle="warning" allowBlank="1" showInputMessage="1" showErrorMessage="1" sqref="X42 Q80" xr:uid="{3E147C00-F468-42C9-A8C8-52FA55A63C6A}">
      <formula1>10000</formula1>
      <formula2>99999999</formula2>
    </dataValidation>
    <dataValidation type="list" allowBlank="1" showInputMessage="1" showErrorMessage="1" sqref="W43 P81" xr:uid="{4167CFAE-4C0A-44D1-B3A6-E2294CA28F0F}">
      <formula1>"0 Company,1 Company, 2 Company, 3 Company, 4 Company, 5 Company"</formula1>
    </dataValidation>
    <dataValidation type="list" allowBlank="1" showInputMessage="1" showErrorMessage="1" sqref="X43 Q81" xr:uid="{D391EA9A-09CE-4F56-B8D7-7A63EB418740}">
      <formula1>"-,0 Personal Return, 1 Personal Return"</formula1>
    </dataValidation>
    <dataValidation type="list" errorStyle="warning" allowBlank="1" showInputMessage="1" showErrorMessage="1" sqref="W44" xr:uid="{20BB3A8E-8403-4D0D-8A2F-C6014D9C5F10}">
      <formula1>"-, 4000, 5000, 6000, 7000, 8000,9000,10000"</formula1>
    </dataValidation>
    <dataValidation type="list" allowBlank="1" showInputMessage="1" showErrorMessage="1" sqref="AA32" xr:uid="{D4E82B67-B324-4FF8-932B-45C0541BBE00}">
      <formula1>"1,2"</formula1>
    </dataValidation>
    <dataValidation errorStyle="warning" allowBlank="1" showInputMessage="1" showErrorMessage="1" sqref="W42 P80" xr:uid="{C1B29624-BC14-45F3-8041-579DEBE73279}"/>
    <dataValidation type="list" allowBlank="1" showInputMessage="1" showErrorMessage="1" sqref="AH289 AH316 AH302 N59:N62" xr:uid="{D48953F7-C6FC-4084-9D61-AF60E374EA9C}">
      <formula1>"Yes,No"</formula1>
    </dataValidation>
    <dataValidation type="list" allowBlank="1" showInputMessage="1" showErrorMessage="1" sqref="AH291" xr:uid="{45E430FF-74A0-451B-B9D6-569CFD8F13FE}">
      <formula1>"One,Two,Both"</formula1>
    </dataValidation>
    <dataValidation type="list" allowBlank="1" showInputMessage="1" showErrorMessage="1" sqref="AA32 Y32 AC32 Q67:Q68 Q70" xr:uid="{66421CCB-B781-44C5-AD7E-F2D8454EEF45}">
      <formula1>"Business Contribution,No Business Contribution, W/ Defined Benefit"</formula1>
    </dataValidation>
    <dataValidation type="custom" allowBlank="1" showInputMessage="1" showErrorMessage="1" sqref="W104:AE104 BJ58 BJ54 W101:AE101" xr:uid="{DB2E3746-C1E7-4754-B9F8-733C39FE3DED}">
      <formula1>W54&lt;=0</formula1>
    </dataValidation>
    <dataValidation type="list" allowBlank="1" showInputMessage="1" showErrorMessage="1" sqref="AH293 AH401 AH382 AH352 AH333 AH431 AH450" xr:uid="{CB14B468-B6F2-4D67-8F74-72190AB08984}">
      <formula1>$A$365:$A$415</formula1>
    </dataValidation>
    <dataValidation type="list" allowBlank="1" showInputMessage="1" showErrorMessage="1" sqref="B7:J7 B5:J5 B9:J9 B3:J3" xr:uid="{AD05204E-92C8-4F24-9610-C4865B0CE628}">
      <formula1>$A$364:$A$414</formula1>
    </dataValidation>
    <dataValidation type="list" allowBlank="1" showInputMessage="1" showErrorMessage="1" sqref="AH292" xr:uid="{AC7396BC-1121-4C99-9F13-ED09290B2F31}">
      <formula1>"One,Two,Both,Neither"</formula1>
    </dataValidation>
    <dataValidation type="list" errorStyle="warning" allowBlank="1" showInputMessage="1" showErrorMessage="1" sqref="W33" xr:uid="{73D8D7E8-1FF6-4E31-9EBC-0FD47629B631}">
      <formula1>"1000,2000,3000,3500,4000,5000"</formula1>
    </dataValidation>
    <dataValidation type="list" allowBlank="1" showInputMessage="1" showErrorMessage="1" sqref="A414" xr:uid="{79797F1F-E403-4B93-A5C1-08654FB44A4C}">
      <formula1>$Y$1:$Y$29</formula1>
    </dataValidation>
    <dataValidation type="list" allowBlank="1" showInputMessage="1" showErrorMessage="1" sqref="N85:N87 N81 N83 N71:N74 N76:N77" xr:uid="{6B828298-2112-4A9C-9424-3DCAC0E45646}">
      <formula1>$C$219:$C$225</formula1>
    </dataValidation>
    <dataValidation type="list" allowBlank="1" showInputMessage="1" showErrorMessage="1" sqref="N78" xr:uid="{2F656A57-898B-49ED-813B-C9483DC045EE}">
      <formula1>"Medical Reimbursement Plan, None"</formula1>
    </dataValidation>
    <dataValidation type="list" allowBlank="1" showInputMessage="1" showErrorMessage="1" sqref="N80" xr:uid="{B12170AE-8939-45D7-8377-369580B791F3}">
      <formula1>"Other Adjustments, None"</formula1>
    </dataValidation>
    <dataValidation type="list" allowBlank="1" showInputMessage="1" showErrorMessage="1" sqref="N82" xr:uid="{88E367DC-DA0C-41E3-9533-97FD59FABAB3}">
      <formula1>"Self-Employed Health Insurance, None"</formula1>
    </dataValidation>
    <dataValidation type="list" allowBlank="1" showInputMessage="1" showErrorMessage="1" sqref="N84 N75" xr:uid="{4385921E-E175-46B6-91E2-DBF75B60961E}">
      <formula1>"Contributions, None"</formula1>
    </dataValidation>
    <dataValidation type="list" allowBlank="1" showInputMessage="1" showErrorMessage="1" sqref="N88:N89 N69:N70" xr:uid="{1D72B1AA-F8B4-4F51-A5EA-A034CA7F004F}">
      <formula1>$C$218:$C$220</formula1>
    </dataValidation>
    <dataValidation type="list" allowBlank="1" showInputMessage="1" showErrorMessage="1" sqref="N79" xr:uid="{83398083-CEAE-496A-AA8D-D6BCF4341320}">
      <formula1>$C$212:$C$216</formula1>
    </dataValidation>
    <dataValidation type="list" allowBlank="1" showInputMessage="1" showErrorMessage="1" sqref="N67:N68" xr:uid="{FD4C9D84-F6CD-4EC6-86D4-A408B7DE6438}">
      <formula1>$C$214:$C$216</formula1>
    </dataValidation>
    <dataValidation type="list" allowBlank="1" showInputMessage="1" showErrorMessage="1" sqref="O94" xr:uid="{FCE6C9BF-995D-4034-A4F3-F6AB07C104EC}">
      <formula1>$L$211:$L$213</formula1>
    </dataValidation>
    <dataValidation type="list" allowBlank="1" showInputMessage="1" showErrorMessage="1" sqref="O93:S93" xr:uid="{7BF6620D-BE87-4AD4-810F-E209C85C2917}">
      <formula1>$L$212:$L$218</formula1>
    </dataValidation>
    <dataValidation type="list" allowBlank="1" showInputMessage="1" showErrorMessage="1" sqref="B11:B12" xr:uid="{9A2B2B23-2A63-422A-AF6B-A777C34480A4}">
      <formula1>"0,1,2"</formula1>
    </dataValidation>
    <dataValidation type="list" allowBlank="1" showInputMessage="1" showErrorMessage="1" sqref="P232:AC232 P220:AC220 P188:AC188 P214:AC214 P175:AC175 P226:AC226 P201:AC201 P162:AC162" xr:uid="{4C1936CA-E593-467B-BDA2-7D3D0C90C4B7}">
      <formula1>"Client 1, Client 2"</formula1>
    </dataValidation>
    <dataValidation type="list" allowBlank="1" showInputMessage="1" showErrorMessage="1" sqref="P202:AC202 P176:AC176 P189:AC189 P163:AC163" xr:uid="{98EF5835-313E-44AA-86BD-12896EB7D80E}">
      <formula1>"W-2, Reasonable Compensation"</formula1>
    </dataValidation>
    <dataValidation type="list" allowBlank="1" showInputMessage="1" showErrorMessage="1" sqref="P182:AC182 P195:AC195 P208:AC208 P169:AC169" xr:uid="{49A9FC6B-05CB-4755-9FDD-4C49E18104E9}">
      <formula1>$A$366:$A$416</formula1>
    </dataValidation>
    <dataValidation type="list" allowBlank="1" showInputMessage="1" showErrorMessage="1" sqref="K18" xr:uid="{56096B61-5F92-4C93-8CB1-E0F186296F4E}">
      <formula1>"Preliminary Analysis / Year End Review / Other, Plan Analysis, No Automatic Formatting"</formula1>
    </dataValidation>
  </dataValidations>
  <hyperlinks>
    <hyperlink ref="K1" location="Template!AF294" display="401(k) Calculator" xr:uid="{D5A29955-7D44-4AEF-B33D-BC61FEA85865}"/>
    <hyperlink ref="K2" location="Template!T186" display="Employer / Employee Taxes Calculator" xr:uid="{17B64D0D-6AD7-40C6-9508-39E7A7D8DDB5}"/>
    <hyperlink ref="K3" location="Template!A348" display="Child Tax Credit Calculation" xr:uid="{755AD8E0-1B56-49E4-9BEE-4741E77B5165}"/>
    <hyperlink ref="K4" location="Template!Q46" display="2024 Restructure Strategy Box" xr:uid="{ACB2BB50-22DF-4E59-9C96-481A06304109}"/>
    <hyperlink ref="K5" location="Template!K64" display="Allowable Loss Real Estate Non-Professional" xr:uid="{29AE26F5-F716-4D89-BF6D-06CCFC81328F}"/>
    <hyperlink ref="K6" location="Template!A317" display="Long Term Capital Gains Calculation &amp; Tax Equation" xr:uid="{6BA1E62A-1095-42B1-9065-8A3C879613E8}"/>
    <hyperlink ref="K7" location="Template!AD40" display="Strategy Calculations" xr:uid="{3E925681-2E2B-4F6B-8421-E6933BEDC4CD}"/>
    <hyperlink ref="K8" location="Template!Y110" display="Qualified Business Income Deduction" xr:uid="{059844D7-079F-4C68-A902-7B29254B0248}"/>
    <hyperlink ref="K9" location="Template!BR67" display="Net Investment Income Tax" xr:uid="{5E816675-0BC7-45EF-B287-E34F138343BD}"/>
    <hyperlink ref="K10" location="Template!X1" display="Carryover Loss Equation" xr:uid="{CC796E30-B81F-4B92-88A4-AE304476D376}"/>
    <hyperlink ref="AF54" r:id="rId1" xr:uid="{2A1F4569-D1AD-46CB-B720-44EADEB41C25}"/>
  </hyperlinks>
  <pageMargins left="0.7" right="0.7" top="0.75" bottom="0.75" header="0.3" footer="0.3"/>
  <pageSetup scale="65" orientation="portrait" verticalDpi="1200" r:id="rId2"/>
  <rowBreaks count="1" manualBreakCount="1">
    <brk id="66" max="10" man="1"/>
  </rowBreaks>
  <colBreaks count="1" manualBreakCount="1">
    <brk id="10" min="22" max="98" man="1"/>
  </colBreaks>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Template</vt:lpstr>
      <vt:lpstr>Template!Print_Area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GenWealth 360</dc:creator>
  <cp:lastModifiedBy>GenWealth 360</cp:lastModifiedBy>
  <cp:lastPrinted>2023-10-05T17:44:04Z</cp:lastPrinted>
  <dcterms:created xsi:type="dcterms:W3CDTF">2023-09-28T22:18:44Z</dcterms:created>
  <dcterms:modified xsi:type="dcterms:W3CDTF">2024-12-10T00:01:33Z</dcterms:modified>
</cp:coreProperties>
</file>