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vpython\期末專題\"/>
    </mc:Choice>
  </mc:AlternateContent>
  <xr:revisionPtr revIDLastSave="0" documentId="8_{A974116D-290E-469D-9F59-2AA6D9F3E817}" xr6:coauthVersionLast="47" xr6:coauthVersionMax="47" xr10:uidLastSave="{00000000-0000-0000-0000-000000000000}"/>
  <bookViews>
    <workbookView xWindow="-98" yWindow="-98" windowWidth="21795" windowHeight="12975" xr2:uid="{44B9A786-E704-4B87-AE7C-0B859E290A7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1" l="1"/>
  <c r="Y2" i="1"/>
  <c r="X2" i="1"/>
  <c r="W2" i="1"/>
  <c r="W3" i="1"/>
  <c r="Y3" i="1"/>
  <c r="X3" i="1"/>
  <c r="Z3" i="1"/>
  <c r="V4" i="1"/>
  <c r="U4" i="1"/>
  <c r="T4" i="1"/>
  <c r="S4" i="1"/>
  <c r="S5" i="1"/>
  <c r="U5" i="1"/>
  <c r="T5" i="1"/>
  <c r="V5" i="1"/>
  <c r="S6" i="1"/>
  <c r="U6" i="1"/>
  <c r="T6" i="1"/>
  <c r="V6" i="1"/>
  <c r="V7" i="1"/>
  <c r="U7" i="1"/>
  <c r="T7" i="1"/>
  <c r="S7" i="1"/>
  <c r="V8" i="1"/>
  <c r="U8" i="1"/>
  <c r="T8" i="1"/>
  <c r="S8" i="1"/>
  <c r="V9" i="1"/>
  <c r="U9" i="1"/>
  <c r="T9" i="1"/>
  <c r="S9" i="1"/>
  <c r="F2" i="1"/>
  <c r="J2" i="1"/>
  <c r="M2" i="1" s="1"/>
  <c r="F10" i="1"/>
  <c r="H4" i="1" s="1"/>
  <c r="F9" i="1"/>
  <c r="F8" i="1"/>
  <c r="F7" i="1"/>
  <c r="F6" i="1"/>
  <c r="F5" i="1"/>
  <c r="F3" i="1"/>
  <c r="M9" i="1"/>
  <c r="M8" i="1"/>
  <c r="M7" i="1"/>
  <c r="M6" i="1"/>
  <c r="M5" i="1"/>
  <c r="M4" i="1"/>
  <c r="M3" i="1"/>
  <c r="H2" i="1" l="1"/>
  <c r="H7" i="1"/>
  <c r="H6" i="1"/>
  <c r="H5" i="1"/>
  <c r="H8" i="1"/>
  <c r="H3" i="1"/>
  <c r="H9" i="1"/>
  <c r="G4" i="1"/>
  <c r="G2" i="1" s="1"/>
  <c r="L2" i="1" s="1"/>
  <c r="N2" i="1" l="1"/>
  <c r="O2" i="1" s="1"/>
  <c r="P2" i="1" s="1"/>
  <c r="I2" i="1"/>
  <c r="G8" i="1"/>
  <c r="I8" i="1" s="1"/>
  <c r="I4" i="1"/>
  <c r="G9" i="1"/>
  <c r="L9" i="1" s="1"/>
  <c r="N9" i="1" s="1"/>
  <c r="O9" i="1" s="1"/>
  <c r="P9" i="1" s="1"/>
  <c r="L4" i="1"/>
  <c r="N4" i="1" s="1"/>
  <c r="O4" i="1" s="1"/>
  <c r="P4" i="1" s="1"/>
  <c r="G7" i="1"/>
  <c r="L7" i="1" s="1"/>
  <c r="N7" i="1" s="1"/>
  <c r="O7" i="1" s="1"/>
  <c r="P7" i="1" s="1"/>
  <c r="G3" i="1"/>
  <c r="L3" i="1" s="1"/>
  <c r="N3" i="1" s="1"/>
  <c r="O3" i="1" s="1"/>
  <c r="P3" i="1" s="1"/>
  <c r="G5" i="1"/>
  <c r="L5" i="1" s="1"/>
  <c r="N5" i="1" s="1"/>
  <c r="O5" i="1" s="1"/>
  <c r="P5" i="1" s="1"/>
  <c r="G6" i="1"/>
  <c r="I6" i="1" s="1"/>
  <c r="Q2" i="1" l="1"/>
  <c r="R2" i="1" s="1"/>
  <c r="T2" i="1" s="1"/>
  <c r="L6" i="1"/>
  <c r="N6" i="1" s="1"/>
  <c r="O6" i="1" s="1"/>
  <c r="P6" i="1" s="1"/>
  <c r="Q3" i="1"/>
  <c r="R3" i="1" s="1"/>
  <c r="Q7" i="1"/>
  <c r="R7" i="1" s="1"/>
  <c r="Q4" i="1"/>
  <c r="R4" i="1" s="1"/>
  <c r="Z4" i="1" s="1"/>
  <c r="X4" i="1"/>
  <c r="Q9" i="1"/>
  <c r="R9" i="1" s="1"/>
  <c r="I5" i="1"/>
  <c r="I9" i="1"/>
  <c r="Z9" i="1" s="1"/>
  <c r="I3" i="1"/>
  <c r="T3" i="1" s="1"/>
  <c r="L8" i="1"/>
  <c r="N8" i="1" s="1"/>
  <c r="O8" i="1" s="1"/>
  <c r="P8" i="1" s="1"/>
  <c r="I7" i="1"/>
  <c r="Q5" i="1"/>
  <c r="R5" i="1" s="1"/>
  <c r="Z5" i="1" l="1"/>
  <c r="Y9" i="1"/>
  <c r="Y5" i="1"/>
  <c r="Y4" i="1"/>
  <c r="W7" i="1"/>
  <c r="S3" i="1"/>
  <c r="S2" i="1"/>
  <c r="V2" i="1"/>
  <c r="U2" i="1"/>
  <c r="X7" i="1"/>
  <c r="Q6" i="1"/>
  <c r="R6" i="1" s="1"/>
  <c r="Z6" i="1" s="1"/>
  <c r="W4" i="1"/>
  <c r="W5" i="1"/>
  <c r="X5" i="1"/>
  <c r="Q8" i="1"/>
  <c r="R8" i="1" s="1"/>
  <c r="W8" i="1" s="1"/>
  <c r="X9" i="1"/>
  <c r="V3" i="1"/>
  <c r="W9" i="1"/>
  <c r="U3" i="1"/>
  <c r="Z7" i="1"/>
  <c r="Y7" i="1"/>
  <c r="X8" i="1" l="1"/>
  <c r="Y6" i="1"/>
  <c r="X6" i="1"/>
  <c r="W6" i="1"/>
  <c r="Z8" i="1"/>
  <c r="Y8" i="1"/>
</calcChain>
</file>

<file path=xl/sharedStrings.xml><?xml version="1.0" encoding="utf-8"?>
<sst xmlns="http://schemas.openxmlformats.org/spreadsheetml/2006/main" count="34" uniqueCount="34">
  <si>
    <t>y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</si>
  <si>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</si>
  <si>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</si>
  <si>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</si>
  <si>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</si>
  <si>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</si>
  <si>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</si>
  <si>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</si>
  <si>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</si>
  <si>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x</t>
  </si>
  <si>
    <t>L</t>
  </si>
  <si>
    <t>v</t>
  </si>
  <si>
    <t>r</t>
  </si>
  <si>
    <t>E</t>
  </si>
  <si>
    <t>U</t>
  </si>
  <si>
    <t>K</t>
  </si>
  <si>
    <t>M</t>
  </si>
  <si>
    <t>近日點</t>
  </si>
  <si>
    <t>Sun</t>
  </si>
  <si>
    <t>sin(theta)</t>
  </si>
  <si>
    <t>theta</t>
  </si>
  <si>
    <t>D from Earth</t>
  </si>
  <si>
    <t>h from earth_Right ascension</t>
  </si>
  <si>
    <t>m from earth_Right ascension</t>
  </si>
  <si>
    <t>s from earth_Right ascension</t>
  </si>
  <si>
    <t>vx1</t>
  </si>
  <si>
    <t>vy1</t>
  </si>
  <si>
    <t>vx2</t>
  </si>
  <si>
    <t>vy2</t>
  </si>
  <si>
    <t>vx3</t>
  </si>
  <si>
    <t>vy3</t>
  </si>
  <si>
    <t>vx4</t>
  </si>
  <si>
    <t>vy4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</si>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</sst>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E+00"/>
    <numFmt numFmtId="166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5F724-66C1-4BDA-BB71-F6EE4C24E46A}">
  <dimension ref="A1:Z12"/>
  <sheetViews>
    <sheetView tabSelected="1" topLeftCell="T1" zoomScale="115" zoomScaleNormal="85" workbookViewId="0">
      <selection activeCell="Z2" sqref="W2:Z2"/>
    </sheetView>
  </sheetViews>
  <sheetFormatPr defaultRowHeight="15.75" x14ac:dyDescent="0.5"/>
  <cols>
    <col min="7" max="8" width="12.3125" bestFit="1" customWidth="1"/>
    <col min="9" max="9" width="12.3125" customWidth="1"/>
    <col min="11" max="11" width="10.375" bestFit="1" customWidth="1"/>
    <col min="12" max="12" width="12.125" bestFit="1" customWidth="1"/>
    <col min="19" max="25" width="9.9375" bestFit="1" customWidth="1"/>
    <col min="26" max="26" width="9.375" bestFit="1" customWidth="1"/>
  </cols>
  <sheetData>
    <row r="1" spans="1:26" x14ac:dyDescent="0.5">
      <c r="B1" t="s">
        <v>16</v>
      </c>
      <c r="C1" t="s">
        <v>22</v>
      </c>
      <c r="D1" t="s">
        <v>23</v>
      </c>
      <c r="E1" t="s">
        <v>24</v>
      </c>
      <c r="F1" t="s">
        <v>21</v>
      </c>
      <c r="G1" t="s">
        <v>9</v>
      </c>
      <c r="H1" t="s">
        <v>0</v>
      </c>
      <c r="I1" t="s">
        <v>33</v>
      </c>
      <c r="J1" t="s">
        <v>10</v>
      </c>
      <c r="K1" t="s">
        <v>17</v>
      </c>
      <c r="L1" t="s">
        <v>12</v>
      </c>
      <c r="M1" t="s">
        <v>13</v>
      </c>
      <c r="N1" t="s">
        <v>14</v>
      </c>
      <c r="O1" t="s">
        <v>15</v>
      </c>
      <c r="P1" t="s">
        <v>11</v>
      </c>
      <c r="Q1" t="s">
        <v>19</v>
      </c>
      <c r="R1" t="s">
        <v>20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</row>
    <row r="2" spans="1:26" x14ac:dyDescent="0.5">
      <c r="A2" t="s">
        <v>1</v>
      </c>
      <c r="B2" s="1">
        <v>3.3000000000000003E+23</v>
      </c>
      <c r="C2" s="2">
        <v>16</v>
      </c>
      <c r="D2" s="2">
        <v>2</v>
      </c>
      <c r="E2" s="2">
        <v>1</v>
      </c>
      <c r="F2" s="1">
        <f>149597870700*1.437</f>
        <v>214972140195.89999</v>
      </c>
      <c r="G2" s="4">
        <f>F2*COS((C2+D2/60+E2/3600)*PI()/12)+G4</f>
        <v>-19918048891.999268</v>
      </c>
      <c r="H2" s="4">
        <f>F2*SIN((C2+D2/60+E2/3600)*PI()/12)+H4</f>
        <v>-66850152816.749939</v>
      </c>
      <c r="I2" s="5">
        <f>ATAN(H2/G2)</f>
        <v>1.2812206957072718</v>
      </c>
      <c r="J2" s="1">
        <f>8.9825E+38</f>
        <v>8.9825000000000002E+38</v>
      </c>
      <c r="K2" s="3">
        <v>46000000000</v>
      </c>
      <c r="L2">
        <f t="shared" ref="L2:L9" si="0">SQRT((G2)^2+(H2)^2)</f>
        <v>69754366195.148621</v>
      </c>
      <c r="M2" s="1">
        <f>1/2*J2^2/(B2*K2^2)-A12*B10*B2/K2</f>
        <v>-3.739932863178095E+32</v>
      </c>
      <c r="N2" s="1">
        <f>-A12*B10*B2/L2</f>
        <v>-6.2762922793275803E+32</v>
      </c>
      <c r="O2" s="1">
        <f>M2-N2</f>
        <v>2.5363594161494852E+32</v>
      </c>
      <c r="P2">
        <f>SQRT(2*O2/B2)</f>
        <v>39206.983114479517</v>
      </c>
      <c r="Q2" s="5">
        <f>J2/(B2 *L2*P2)</f>
        <v>0.99528730215943717</v>
      </c>
      <c r="R2" s="5">
        <f>ASIN(Q2)</f>
        <v>1.473673681790757</v>
      </c>
      <c r="S2" s="4">
        <f>P2*COS(I2+R2-PI())</f>
        <v>36311.91177640191</v>
      </c>
      <c r="T2" s="4">
        <f>P2*SIN(I2+R2-PI())</f>
        <v>-14786.229677706431</v>
      </c>
      <c r="U2" s="4">
        <f>P2*COS(I2-R2)</f>
        <v>38483.14429851489</v>
      </c>
      <c r="V2" s="4">
        <f>P2*SIN(I2-R2)</f>
        <v>-7499.0085903913441</v>
      </c>
      <c r="W2" s="4">
        <f>P2*COS(I2-R2+PI())</f>
        <v>-38483.144298514882</v>
      </c>
      <c r="X2" s="4">
        <f>P2*SIN(I2-R2+PI())</f>
        <v>7499.0085903913578</v>
      </c>
      <c r="Y2" s="4">
        <f>P2*COS(I2+R2)</f>
        <v>-36311.911776401903</v>
      </c>
      <c r="Z2" s="4">
        <f>P2*SIN(I2+R2)</f>
        <v>14786.229677706435</v>
      </c>
    </row>
    <row r="3" spans="1:26" x14ac:dyDescent="0.5">
      <c r="A3" t="s">
        <v>2</v>
      </c>
      <c r="B3" s="1">
        <v>4.8699999999999996E+24</v>
      </c>
      <c r="C3" s="2">
        <v>16</v>
      </c>
      <c r="D3" s="2">
        <v>6</v>
      </c>
      <c r="E3" s="2">
        <v>30</v>
      </c>
      <c r="F3" s="1">
        <f>149597870700*1.698</f>
        <v>254017184448.60001</v>
      </c>
      <c r="G3" s="4">
        <f>F3*COS((C3+D3/60+E3/3600)*PI()/12)+G4</f>
        <v>-34793523331.069931</v>
      </c>
      <c r="H3" s="4">
        <f>F3*SIN((C3+D3/60+E3/3600)*PI()/12)+H4</f>
        <v>-103238777211.74655</v>
      </c>
      <c r="I3" s="5">
        <f t="shared" ref="I3:I9" si="1">ATAN(H3/G3)</f>
        <v>1.2457315316459401</v>
      </c>
      <c r="J3" s="1">
        <v>1.8640999999999999E+40</v>
      </c>
      <c r="K3" s="3">
        <v>107500000000</v>
      </c>
      <c r="L3">
        <f t="shared" si="0"/>
        <v>108944180138.11636</v>
      </c>
      <c r="M3" s="1">
        <f>1/2*J3^2/(B3*K3^2)-A12*B10*B3/K3</f>
        <v>-2.922907825428029E+33</v>
      </c>
      <c r="N3" s="1">
        <f>-A12*B10*B3/L3</f>
        <v>-5.930421250413852E+33</v>
      </c>
      <c r="O3" s="1">
        <f t="shared" ref="O3:O9" si="2">M3-N3</f>
        <v>3.0075134249858229E+33</v>
      </c>
      <c r="P3">
        <f>SQRT(2*O3/B3)</f>
        <v>35144.25201489099</v>
      </c>
      <c r="Q3" s="5">
        <f>J3/(B3 *L3*P3)</f>
        <v>0.99972811494017522</v>
      </c>
      <c r="R3" s="5">
        <f t="shared" ref="R3:R9" si="3">ASIN(Q3)</f>
        <v>1.5474769193853701</v>
      </c>
      <c r="S3" s="4">
        <f>P3*COS(I3+R3-PI())</f>
        <v>33032.980044162963</v>
      </c>
      <c r="T3" s="4">
        <f>P3*SIN(I3+R3-PI())</f>
        <v>-11997.528040729918</v>
      </c>
      <c r="U3" s="4">
        <f>P3*COS(I3-R3)</f>
        <v>33556.407889724105</v>
      </c>
      <c r="V3" s="4">
        <f>P3*SIN(I3-R3)</f>
        <v>-10444.421440397329</v>
      </c>
      <c r="W3" s="4">
        <f t="shared" ref="W3" si="4">P3*COS(I3-R3+PI())</f>
        <v>-33556.407889724098</v>
      </c>
      <c r="X3" s="4">
        <f t="shared" ref="X3" si="5">P3*SIN(I3-R3+PI())</f>
        <v>10444.421440397342</v>
      </c>
      <c r="Y3" s="4">
        <f t="shared" ref="Y3" si="6">P3*COS(I3+R3)</f>
        <v>-33032.980044162963</v>
      </c>
      <c r="Z3" s="4">
        <f t="shared" ref="Z3" si="7">P3*SIN(I3+R3)</f>
        <v>11997.528040729921</v>
      </c>
    </row>
    <row r="4" spans="1:26" x14ac:dyDescent="0.5">
      <c r="A4" t="s">
        <v>3</v>
      </c>
      <c r="B4" s="1">
        <v>5.9700000000000003E+24</v>
      </c>
      <c r="C4" s="2"/>
      <c r="D4" s="2"/>
      <c r="E4" s="2"/>
      <c r="F4" s="1"/>
      <c r="G4" s="4">
        <f>-F10*COS((C10+D10/60+E10/3600)*PI()/12)</f>
        <v>85925690968.536621</v>
      </c>
      <c r="H4" s="4">
        <f>-F10*SIN((C10+D10/60+E10/3600)*PI()/12)</f>
        <v>120259771539.87228</v>
      </c>
      <c r="I4" s="5">
        <f t="shared" si="1"/>
        <v>0.9504044997630785</v>
      </c>
      <c r="J4" s="1">
        <v>2.6631999999999999E+40</v>
      </c>
      <c r="K4" s="3">
        <v>147100000000</v>
      </c>
      <c r="L4">
        <f t="shared" si="0"/>
        <v>147802696251.60001</v>
      </c>
      <c r="M4" s="1">
        <f>1/2*J4^2/(B4*K4^2)-A12*B10*B4/K4</f>
        <v>-2.6389888712100186E+33</v>
      </c>
      <c r="N4" s="1">
        <f>-A12*B10*B4/L4</f>
        <v>-5.3586154453621897E+33</v>
      </c>
      <c r="O4" s="1">
        <f t="shared" si="2"/>
        <v>2.7196265741521711E+33</v>
      </c>
      <c r="P4">
        <f>SQRT(2*O4/B4)</f>
        <v>30184.394639995215</v>
      </c>
      <c r="Q4" s="5">
        <f>J4/(B4 *L4*P4)</f>
        <v>0.99991854719884166</v>
      </c>
      <c r="R4" s="5">
        <f t="shared" si="3"/>
        <v>1.5580327922576169</v>
      </c>
      <c r="S4" s="4">
        <f t="shared" ref="S4:S9" si="8">P4*COS(I4+R4-PI())</f>
        <v>24333.588142841239</v>
      </c>
      <c r="T4" s="4">
        <f t="shared" ref="T4:T9" si="9">P4*SIN(I4+R4-PI())</f>
        <v>-17859.847924255908</v>
      </c>
      <c r="U4" s="4">
        <f t="shared" ref="U4:U9" si="10">P4*COS(I4-R4)</f>
        <v>24781.520369143011</v>
      </c>
      <c r="V4" s="4">
        <f t="shared" ref="V4:V9" si="11">P4*SIN(I4-R4)</f>
        <v>-17232.931496896337</v>
      </c>
      <c r="W4" s="4">
        <f>P4*COS(I4-R4+PI())</f>
        <v>-24781.520369143007</v>
      </c>
      <c r="X4" s="4">
        <f>P4*SIN(I4-R4+PI())</f>
        <v>17232.931496896341</v>
      </c>
      <c r="Y4" s="4">
        <f>P4*COS(I4+R4)</f>
        <v>-24333.588142841236</v>
      </c>
      <c r="Z4" s="4">
        <f>P4*SIN(I4+R4)</f>
        <v>17859.847924255911</v>
      </c>
    </row>
    <row r="5" spans="1:26" x14ac:dyDescent="0.5">
      <c r="A5" t="s">
        <v>4</v>
      </c>
      <c r="B5" s="1">
        <v>6.4200000000000005E+23</v>
      </c>
      <c r="C5" s="2">
        <v>5</v>
      </c>
      <c r="D5" s="2">
        <v>28</v>
      </c>
      <c r="E5" s="2">
        <v>30</v>
      </c>
      <c r="F5" s="1">
        <f>149597870700*0.558</f>
        <v>83475611850.600006</v>
      </c>
      <c r="G5" s="4">
        <f>F5*COS((C5+D5/60+E5/3600)*PI()/12)+G4</f>
        <v>97362880021.522369</v>
      </c>
      <c r="H5" s="4">
        <f>F5*SIN((C5+D5/60+E5/3600)*PI()/12)+H4</f>
        <v>202948153313.84521</v>
      </c>
      <c r="I5" s="5">
        <f t="shared" si="1"/>
        <v>1.1234855517327589</v>
      </c>
      <c r="J5" s="1">
        <v>3.5192E+39</v>
      </c>
      <c r="K5" s="3">
        <v>206600000000</v>
      </c>
      <c r="L5">
        <f t="shared" si="0"/>
        <v>225094387623.47092</v>
      </c>
      <c r="M5" s="1">
        <f>1/2*J5^2/(B5*K5^2)-A12*B10*B5/K5</f>
        <v>-1.8627846702553396E+32</v>
      </c>
      <c r="N5" s="1">
        <f>-A12*B10*B5/L5</f>
        <v>-3.7838244435695124E+32</v>
      </c>
      <c r="O5" s="1">
        <f t="shared" si="2"/>
        <v>1.9210397733141728E+32</v>
      </c>
      <c r="P5">
        <f>SQRT(2*O5/B5)</f>
        <v>24463.334973829678</v>
      </c>
      <c r="Q5" s="5">
        <f>J5/(B5 *L5*P5)</f>
        <v>0.99547095279786724</v>
      </c>
      <c r="R5" s="5">
        <f t="shared" si="3"/>
        <v>1.475586347816698</v>
      </c>
      <c r="S5" s="4">
        <f t="shared" si="8"/>
        <v>20950.643416524366</v>
      </c>
      <c r="T5" s="4">
        <f t="shared" si="9"/>
        <v>-12630.332476836962</v>
      </c>
      <c r="U5" s="4">
        <f t="shared" si="10"/>
        <v>22962.51627476568</v>
      </c>
      <c r="V5" s="4">
        <f t="shared" si="11"/>
        <v>-8436.6820713429515</v>
      </c>
      <c r="W5" s="4">
        <f>P5*COS(I5-R5+PI())</f>
        <v>-22962.516274765676</v>
      </c>
      <c r="X5" s="4">
        <f>P5*SIN(I5-R5+PI())</f>
        <v>8436.6820713429606</v>
      </c>
      <c r="Y5" s="4">
        <f>P5*COS(I5+R5)</f>
        <v>-20950.643416524363</v>
      </c>
      <c r="Z5" s="4">
        <f>P5*SIN(I5+R5)</f>
        <v>12630.332476836966</v>
      </c>
    </row>
    <row r="6" spans="1:26" x14ac:dyDescent="0.5">
      <c r="A6" t="s">
        <v>5</v>
      </c>
      <c r="B6" s="1">
        <v>1.9000000000000001E+27</v>
      </c>
      <c r="C6" s="2">
        <v>23</v>
      </c>
      <c r="D6" s="2">
        <v>58</v>
      </c>
      <c r="E6" s="2">
        <v>5</v>
      </c>
      <c r="F6" s="1">
        <f>149597870700*4.356</f>
        <v>651648324769.19995</v>
      </c>
      <c r="G6" s="4">
        <f>F6*COS((C6+D6/60+E6/3600)*PI()/12)+G4</f>
        <v>737551227607.71655</v>
      </c>
      <c r="H6" s="4">
        <f>F6*SIN((C6+D6/60+E6/3600)*PI()/12)+H4</f>
        <v>114810076667.18018</v>
      </c>
      <c r="I6" s="5">
        <f t="shared" si="1"/>
        <v>0.15442452729967848</v>
      </c>
      <c r="J6" s="1">
        <v>1.9292E+43</v>
      </c>
      <c r="K6" s="3">
        <v>740600000000</v>
      </c>
      <c r="L6">
        <f t="shared" si="0"/>
        <v>746433632046.39539</v>
      </c>
      <c r="M6" s="1">
        <f>1/2*J6^2/(B6*K6^2)-A12*B10*B6/K6</f>
        <v>-1.6178578427309408E+35</v>
      </c>
      <c r="N6" s="1">
        <f>-A12*B10*B6/L6</f>
        <v>-3.3769374687598824E+35</v>
      </c>
      <c r="O6" s="1">
        <f t="shared" si="2"/>
        <v>1.7590796260289416E+35</v>
      </c>
      <c r="P6">
        <f>SQRT(2*O6/B6)</f>
        <v>13607.581578814772</v>
      </c>
      <c r="Q6" s="5">
        <f>J6/(B6 *L6*P6)</f>
        <v>0.99965813948993298</v>
      </c>
      <c r="R6" s="5">
        <f t="shared" si="3"/>
        <v>1.5446475222354419</v>
      </c>
      <c r="S6" s="4">
        <f t="shared" si="8"/>
        <v>1740.7393021785124</v>
      </c>
      <c r="T6" s="4">
        <f t="shared" si="9"/>
        <v>-13495.780937239244</v>
      </c>
      <c r="U6" s="4">
        <f t="shared" si="10"/>
        <v>2443.8347386259625</v>
      </c>
      <c r="V6" s="4">
        <f t="shared" si="11"/>
        <v>-13386.334382286441</v>
      </c>
      <c r="W6" s="4">
        <f>P6*COS(I6-R6+PI())</f>
        <v>-2443.8347386259611</v>
      </c>
      <c r="X6" s="4">
        <f>P6*SIN(I6-R6+PI())</f>
        <v>13386.334382286441</v>
      </c>
      <c r="Y6" s="4">
        <f>P6*COS(I6+R6)</f>
        <v>-1740.7393021785106</v>
      </c>
      <c r="Z6" s="4">
        <f>P6*SIN(I6+R6)</f>
        <v>13495.780937239244</v>
      </c>
    </row>
    <row r="7" spans="1:26" x14ac:dyDescent="0.5">
      <c r="A7" t="s">
        <v>6</v>
      </c>
      <c r="B7" s="1">
        <v>5.6800000000000001E+26</v>
      </c>
      <c r="C7" s="2">
        <v>21</v>
      </c>
      <c r="D7" s="2">
        <v>28</v>
      </c>
      <c r="E7" s="2">
        <v>10</v>
      </c>
      <c r="F7" s="1">
        <f>149597870700*9.927</f>
        <v>1485058062438.8999</v>
      </c>
      <c r="G7" s="4">
        <f>F7*COS((C7+D7/60+E7/3600)*PI()/12)+G4</f>
        <v>1256831997060.9807</v>
      </c>
      <c r="H7" s="4">
        <f>F7*SIN((C7+D7/60+E7/3600)*PI()/12)+H4</f>
        <v>-793182000642.52979</v>
      </c>
      <c r="I7" s="5">
        <f t="shared" si="1"/>
        <v>-0.56297115235837913</v>
      </c>
      <c r="J7" s="1">
        <v>7.8198000000000006E+42</v>
      </c>
      <c r="K7" s="3">
        <v>1354000000000</v>
      </c>
      <c r="L7">
        <f t="shared" si="0"/>
        <v>1486191224230.4419</v>
      </c>
      <c r="M7" s="1">
        <f>1/2*J7^2/(B7*K7^2)-A12*B10*B7/K7</f>
        <v>-2.6291895195016288E+34</v>
      </c>
      <c r="N7" s="1">
        <f>-A12*B10*B7/L7</f>
        <v>-5.0703070487459625E+34</v>
      </c>
      <c r="O7" s="1">
        <f t="shared" si="2"/>
        <v>2.4411175292443337E+34</v>
      </c>
      <c r="P7">
        <f>SQRT(2*O7/B7)</f>
        <v>9271.1834508344091</v>
      </c>
      <c r="Q7" s="5">
        <f>J7/(B7 *L7*P7)</f>
        <v>0.99916552949313708</v>
      </c>
      <c r="R7" s="5">
        <f t="shared" si="3"/>
        <v>1.5299408108996531</v>
      </c>
      <c r="S7" s="4">
        <f t="shared" si="8"/>
        <v>-5264.1466003449978</v>
      </c>
      <c r="T7" s="4">
        <f>P7*SIN(I7+R7-PI())</f>
        <v>-7631.7496780949277</v>
      </c>
      <c r="U7" s="4">
        <f t="shared" si="10"/>
        <v>-4623.6783879763107</v>
      </c>
      <c r="V7" s="4">
        <f t="shared" si="11"/>
        <v>-8035.9467857612526</v>
      </c>
      <c r="W7" s="4">
        <f>P7*COS(I7-R7+PI())</f>
        <v>4623.6783879763116</v>
      </c>
      <c r="X7" s="4">
        <f>P7*SIN(I7-R7+PI())</f>
        <v>8035.9467857612526</v>
      </c>
      <c r="Y7" s="4">
        <f>P7*COS(I7+R7)</f>
        <v>5264.1466003449959</v>
      </c>
      <c r="Z7" s="4">
        <f>P7*SIN(I7+R7)</f>
        <v>7631.7496780949277</v>
      </c>
    </row>
    <row r="8" spans="1:26" x14ac:dyDescent="0.5">
      <c r="A8" t="s">
        <v>7</v>
      </c>
      <c r="B8" s="1">
        <v>8.6800000000000001E+25</v>
      </c>
      <c r="C8" s="2">
        <v>2</v>
      </c>
      <c r="D8" s="2">
        <v>56</v>
      </c>
      <c r="E8" s="2">
        <v>36</v>
      </c>
      <c r="F8" s="1">
        <f>149597870700*18.703</f>
        <v>2797928975702.1001</v>
      </c>
      <c r="G8" s="4">
        <f>F8*COS((C8+D8/60+E8/3600)*PI()/12)+G4</f>
        <v>2093492124822.5149</v>
      </c>
      <c r="H8" s="4">
        <f>F8*SIN((C8+D8/60+E8/3600)*PI()/12)+H4</f>
        <v>2069127023749.7871</v>
      </c>
      <c r="I8" s="5">
        <f t="shared" si="1"/>
        <v>0.77954492005490572</v>
      </c>
      <c r="J8" s="1">
        <v>1.7048999999999999E+42</v>
      </c>
      <c r="K8" s="3">
        <v>2749000000000</v>
      </c>
      <c r="L8">
        <f t="shared" si="0"/>
        <v>2943466649565.7021</v>
      </c>
      <c r="M8" s="1">
        <f>1/2*J8^2/(B8*K8^2)-A12*B10*B8/K8</f>
        <v>-1.9733170458737384E+33</v>
      </c>
      <c r="N8" s="1">
        <f>-A12*B10*B8/L8</f>
        <v>-3.9122015673930133E+33</v>
      </c>
      <c r="O8" s="1">
        <f t="shared" si="2"/>
        <v>1.9388845215192749E+33</v>
      </c>
      <c r="P8">
        <f>SQRT(2*O8/B8)</f>
        <v>6683.9179049680097</v>
      </c>
      <c r="Q8" s="5">
        <f>J8/(B8 *L8*P8)</f>
        <v>0.99836410727633029</v>
      </c>
      <c r="R8" s="5">
        <f t="shared" si="3"/>
        <v>1.5135890030939574</v>
      </c>
      <c r="S8" s="4">
        <f>P8*COS(I8+R8-PI())</f>
        <v>4419.0074029546404</v>
      </c>
      <c r="T8" s="4">
        <f t="shared" si="9"/>
        <v>-5014.691628902423</v>
      </c>
      <c r="U8" s="4">
        <f t="shared" si="10"/>
        <v>4962.6181517872865</v>
      </c>
      <c r="V8" s="4">
        <f t="shared" si="11"/>
        <v>-4477.4076919466788</v>
      </c>
      <c r="W8" s="4">
        <f>P8*COS(I8-R8+PI())</f>
        <v>-4962.6181517872865</v>
      </c>
      <c r="X8" s="4">
        <f>P8*SIN(I8-R8+PI())</f>
        <v>4477.4076919466788</v>
      </c>
      <c r="Y8" s="4">
        <f>P8*COS(I8+R8)</f>
        <v>-4419.0074029546395</v>
      </c>
      <c r="Z8" s="4">
        <f>P8*SIN(I8+R8)</f>
        <v>5014.691628902423</v>
      </c>
    </row>
    <row r="9" spans="1:26" x14ac:dyDescent="0.5">
      <c r="A9" t="s">
        <v>8</v>
      </c>
      <c r="B9" s="1">
        <v>1.0200000000000001E+26</v>
      </c>
      <c r="C9" s="2">
        <v>23</v>
      </c>
      <c r="D9" s="2">
        <v>35</v>
      </c>
      <c r="E9" s="2">
        <v>7</v>
      </c>
      <c r="F9" s="1">
        <f>149597870700*29.468</f>
        <v>4408350053787.5996</v>
      </c>
      <c r="G9" s="4">
        <f>F9*COS((C9+D9/60+E9/3600)*PI()/12)+G4</f>
        <v>4468317742288.8672</v>
      </c>
      <c r="H9" s="4">
        <f>F9*SIN((C9+D9/60+E9/3600)*PI()/12)+H4</f>
        <v>-357432708255.9823</v>
      </c>
      <c r="I9" s="5">
        <f t="shared" si="1"/>
        <v>-7.9822711581786152E-2</v>
      </c>
      <c r="J9" s="1">
        <v>2.5176000000000001E+42</v>
      </c>
      <c r="K9" s="3">
        <v>4453000000000</v>
      </c>
      <c r="L9">
        <f t="shared" si="0"/>
        <v>4482590945757.2285</v>
      </c>
      <c r="M9" s="1">
        <f>1/2*J9^2/(B9*K9^2)-A12*B10*B9/K9</f>
        <v>-1.4719540035836564E+33</v>
      </c>
      <c r="N9" s="1">
        <f>-A12*B10*B9/L9</f>
        <v>-3.0187814957347383E+33</v>
      </c>
      <c r="O9" s="1">
        <f t="shared" si="2"/>
        <v>1.5468274921510818E+33</v>
      </c>
      <c r="P9">
        <f>SQRT(2*O9/B9)</f>
        <v>5507.2634607844757</v>
      </c>
      <c r="Q9" s="5">
        <f>J9/(B9 *L9*P9)</f>
        <v>0.99981948319132974</v>
      </c>
      <c r="R9" s="5">
        <f t="shared" si="3"/>
        <v>1.5517951563054373</v>
      </c>
      <c r="S9" s="4">
        <f t="shared" si="8"/>
        <v>-543.36371657023653</v>
      </c>
      <c r="T9" s="4">
        <f t="shared" si="9"/>
        <v>-5480.3929328111844</v>
      </c>
      <c r="U9" s="4">
        <f t="shared" si="10"/>
        <v>-334.75377157925732</v>
      </c>
      <c r="V9" s="4">
        <f t="shared" si="11"/>
        <v>-5497.0802012436807</v>
      </c>
      <c r="W9" s="4">
        <f>P9*COS(I9-R9+PI())</f>
        <v>334.753771579258</v>
      </c>
      <c r="X9" s="4">
        <f>P9*SIN(I9-R9+PI())</f>
        <v>5497.0802012436798</v>
      </c>
      <c r="Y9" s="4">
        <f>P9*COS(I9+R9)</f>
        <v>543.36371657023722</v>
      </c>
      <c r="Z9" s="4">
        <f>P9*SIN(I9+R9)</f>
        <v>5480.3929328111844</v>
      </c>
    </row>
    <row r="10" spans="1:26" x14ac:dyDescent="0.5">
      <c r="A10" t="s">
        <v>18</v>
      </c>
      <c r="B10" s="1">
        <v>1.9889999999999999E+30</v>
      </c>
      <c r="C10" s="2">
        <v>15</v>
      </c>
      <c r="D10" s="2">
        <v>37</v>
      </c>
      <c r="E10" s="2">
        <v>49</v>
      </c>
      <c r="F10" s="1">
        <f>149597870700*0.988</f>
        <v>147802696251.60001</v>
      </c>
    </row>
    <row r="12" spans="1:26" x14ac:dyDescent="0.5">
      <c r="A12" s="1">
        <v>6.67E-11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2022-11-19T01:54:04Z</dcterms:created>
  <dcterms:modified xsi:type="dcterms:W3CDTF">2022-11-19T07:24:46Z</dcterms:modified>
</cp:coreProperties>
</file>