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ing\vpython\期末專題\"/>
    </mc:Choice>
  </mc:AlternateContent>
  <xr:revisionPtr revIDLastSave="0" documentId="13_ncr:1_{D604E266-49B9-4C07-A4B7-2C2242A4E862}" xr6:coauthVersionLast="47" xr6:coauthVersionMax="47" xr10:uidLastSave="{00000000-0000-0000-0000-000000000000}"/>
  <bookViews>
    <workbookView xWindow="-98" yWindow="-98" windowWidth="21795" windowHeight="12975" xr2:uid="{44B9A786-E704-4B87-AE7C-0B859E290A7B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8" i="1" l="1"/>
  <c r="AC9" i="1"/>
  <c r="AC7" i="1"/>
  <c r="AB8" i="1"/>
  <c r="AB9" i="1"/>
  <c r="AB7" i="1"/>
  <c r="AC3" i="1"/>
  <c r="AC4" i="1"/>
  <c r="AC5" i="1"/>
  <c r="AC6" i="1"/>
  <c r="AB3" i="1"/>
  <c r="AB4" i="1"/>
  <c r="AB5" i="1"/>
  <c r="AB6" i="1"/>
  <c r="AC2" i="1"/>
  <c r="AB2" i="1"/>
  <c r="M2" i="1"/>
  <c r="G2" i="1"/>
  <c r="F9" i="1"/>
  <c r="F8" i="1"/>
  <c r="F7" i="1"/>
  <c r="F6" i="1"/>
  <c r="F3" i="1"/>
  <c r="F2" i="1"/>
  <c r="F5" i="1"/>
  <c r="F10" i="1"/>
  <c r="H4" i="1" s="1"/>
  <c r="J2" i="1"/>
  <c r="M9" i="1"/>
  <c r="M8" i="1"/>
  <c r="M7" i="1"/>
  <c r="M6" i="1"/>
  <c r="M5" i="1"/>
  <c r="M4" i="1"/>
  <c r="M3" i="1"/>
  <c r="H2" i="1" l="1"/>
  <c r="H7" i="1"/>
  <c r="H6" i="1"/>
  <c r="H5" i="1"/>
  <c r="H8" i="1"/>
  <c r="H3" i="1"/>
  <c r="H9" i="1"/>
  <c r="G4" i="1"/>
  <c r="L2" i="1" l="1"/>
  <c r="N2" i="1" s="1"/>
  <c r="O2" i="1" s="1"/>
  <c r="P2" i="1" s="1"/>
  <c r="I2" i="1"/>
  <c r="G8" i="1"/>
  <c r="I8" i="1" s="1"/>
  <c r="I4" i="1"/>
  <c r="G9" i="1"/>
  <c r="L9" i="1" s="1"/>
  <c r="N9" i="1" s="1"/>
  <c r="O9" i="1" s="1"/>
  <c r="P9" i="1" s="1"/>
  <c r="L4" i="1"/>
  <c r="N4" i="1" s="1"/>
  <c r="O4" i="1" s="1"/>
  <c r="P4" i="1" s="1"/>
  <c r="G7" i="1"/>
  <c r="L7" i="1" s="1"/>
  <c r="N7" i="1" s="1"/>
  <c r="O7" i="1" s="1"/>
  <c r="P7" i="1" s="1"/>
  <c r="G3" i="1"/>
  <c r="L3" i="1" s="1"/>
  <c r="N3" i="1" s="1"/>
  <c r="O3" i="1" s="1"/>
  <c r="P3" i="1" s="1"/>
  <c r="G5" i="1"/>
  <c r="L5" i="1" s="1"/>
  <c r="N5" i="1" s="1"/>
  <c r="O5" i="1" s="1"/>
  <c r="P5" i="1" s="1"/>
  <c r="G6" i="1"/>
  <c r="I6" i="1" s="1"/>
  <c r="Q2" i="1" l="1"/>
  <c r="R2" i="1" s="1"/>
  <c r="T2" i="1" s="1"/>
  <c r="L6" i="1"/>
  <c r="N6" i="1" s="1"/>
  <c r="O6" i="1" s="1"/>
  <c r="P6" i="1" s="1"/>
  <c r="Q3" i="1"/>
  <c r="R3" i="1" s="1"/>
  <c r="Q7" i="1"/>
  <c r="R7" i="1" s="1"/>
  <c r="Q4" i="1"/>
  <c r="R4" i="1" s="1"/>
  <c r="Z4" i="1" s="1"/>
  <c r="Q9" i="1"/>
  <c r="R9" i="1" s="1"/>
  <c r="I5" i="1"/>
  <c r="I9" i="1"/>
  <c r="I3" i="1"/>
  <c r="L8" i="1"/>
  <c r="N8" i="1" s="1"/>
  <c r="O8" i="1" s="1"/>
  <c r="P8" i="1" s="1"/>
  <c r="I7" i="1"/>
  <c r="Q5" i="1"/>
  <c r="R5" i="1" s="1"/>
  <c r="T7" i="1" l="1"/>
  <c r="Z3" i="1"/>
  <c r="X4" i="1"/>
  <c r="S5" i="1"/>
  <c r="T9" i="1"/>
  <c r="U7" i="1"/>
  <c r="X3" i="1"/>
  <c r="S4" i="1"/>
  <c r="S9" i="1"/>
  <c r="W2" i="1"/>
  <c r="S7" i="1"/>
  <c r="X2" i="1"/>
  <c r="V7" i="1"/>
  <c r="Y2" i="1"/>
  <c r="U9" i="1"/>
  <c r="U4" i="1"/>
  <c r="T4" i="1"/>
  <c r="V4" i="1"/>
  <c r="V5" i="1"/>
  <c r="V9" i="1"/>
  <c r="Z2" i="1"/>
  <c r="U5" i="1"/>
  <c r="T3" i="1"/>
  <c r="T5" i="1"/>
  <c r="Y3" i="1"/>
  <c r="Z9" i="1"/>
  <c r="W3" i="1"/>
  <c r="Z5" i="1"/>
  <c r="Y9" i="1"/>
  <c r="Y5" i="1"/>
  <c r="Y4" i="1"/>
  <c r="W7" i="1"/>
  <c r="S3" i="1"/>
  <c r="S2" i="1"/>
  <c r="V2" i="1"/>
  <c r="U2" i="1"/>
  <c r="X7" i="1"/>
  <c r="Q6" i="1"/>
  <c r="R6" i="1" s="1"/>
  <c r="Z6" i="1" s="1"/>
  <c r="W4" i="1"/>
  <c r="W5" i="1"/>
  <c r="X5" i="1"/>
  <c r="Q8" i="1"/>
  <c r="R8" i="1" s="1"/>
  <c r="W8" i="1" s="1"/>
  <c r="X9" i="1"/>
  <c r="V3" i="1"/>
  <c r="W9" i="1"/>
  <c r="U3" i="1"/>
  <c r="Z7" i="1"/>
  <c r="Y7" i="1"/>
  <c r="T6" i="1" l="1"/>
  <c r="U6" i="1"/>
  <c r="V8" i="1"/>
  <c r="U8" i="1"/>
  <c r="S8" i="1"/>
  <c r="V6" i="1"/>
  <c r="T8" i="1"/>
  <c r="S6" i="1"/>
  <c r="X8" i="1"/>
  <c r="Y6" i="1"/>
  <c r="X6" i="1"/>
  <c r="W6" i="1"/>
  <c r="Z8" i="1"/>
  <c r="Y8" i="1"/>
</calcChain>
</file>

<file path=xl/sharedStrings.xml><?xml version="1.0" encoding="utf-8"?>
<sst xmlns="http://schemas.openxmlformats.org/spreadsheetml/2006/main" count="37" uniqueCount="37">
  <si>
    <t>y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</si>
  <si>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</si>
  <si>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</si>
  <si>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</si>
  <si>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</si>
  <si>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</si>
  <si>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</si>
  <si>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</si>
  <si>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</si>
  <si>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x</t>
  </si>
  <si>
    <t>L</t>
  </si>
  <si>
    <t>v</t>
  </si>
  <si>
    <t>r</t>
  </si>
  <si>
    <t>E</t>
  </si>
  <si>
    <t>U</t>
  </si>
  <si>
    <t>K</t>
  </si>
  <si>
    <t>M</t>
  </si>
  <si>
    <t>近日點</t>
  </si>
  <si>
    <t>Sun</t>
  </si>
  <si>
    <t>sin(theta)</t>
  </si>
  <si>
    <t>theta</t>
  </si>
  <si>
    <t>D from Earth</t>
  </si>
  <si>
    <t>h from earth_Right ascension</t>
  </si>
  <si>
    <t>m from earth_Right ascension</t>
  </si>
  <si>
    <t>s from earth_Right ascension</t>
  </si>
  <si>
    <t>vx1</t>
  </si>
  <si>
    <t>vy1</t>
  </si>
  <si>
    <t>vx2</t>
  </si>
  <si>
    <t>vy2</t>
  </si>
  <si>
    <t>vx3</t>
  </si>
  <si>
    <t>vy3</t>
  </si>
  <si>
    <t>vx4</t>
  </si>
  <si>
    <t>vy4</t>
  </si>
  <si>
    <t>phi</t>
  </si>
  <si>
    <t>which one?</t>
  </si>
  <si>
    <t>vx</t>
  </si>
  <si>
    <t>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</si>
</sst>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E+00"/>
    <numFmt numFmtId="165" formatCode="0.000E+00"/>
    <numFmt numFmtId="166" formatCode="0.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5F724-66C1-4BDA-BB71-F6EE4C24E46A}">
  <dimension ref="A1:AC12"/>
  <sheetViews>
    <sheetView tabSelected="1" topLeftCell="V1" zoomScale="115" zoomScaleNormal="85" workbookViewId="0">
      <selection activeCell="AC11" sqref="AC11"/>
    </sheetView>
  </sheetViews>
  <sheetFormatPr defaultRowHeight="15.75" x14ac:dyDescent="0.5"/>
  <cols>
    <col min="7" max="8" width="12.3125" bestFit="1" customWidth="1"/>
    <col min="9" max="9" width="12.3125" customWidth="1"/>
    <col min="11" max="11" width="10.375" bestFit="1" customWidth="1"/>
    <col min="12" max="12" width="12.125" bestFit="1" customWidth="1"/>
    <col min="19" max="25" width="9.9375" bestFit="1" customWidth="1"/>
    <col min="26" max="26" width="9.375" bestFit="1" customWidth="1"/>
    <col min="28" max="28" width="10.0625" bestFit="1" customWidth="1"/>
    <col min="29" max="29" width="9.9375" bestFit="1" customWidth="1"/>
  </cols>
  <sheetData>
    <row r="1" spans="1:29" x14ac:dyDescent="0.5">
      <c r="B1" t="s">
        <v>16</v>
      </c>
      <c r="C1" t="s">
        <v>22</v>
      </c>
      <c r="D1" t="s">
        <v>23</v>
      </c>
      <c r="E1" t="s">
        <v>24</v>
      </c>
      <c r="F1" t="s">
        <v>21</v>
      </c>
      <c r="G1" t="s">
        <v>9</v>
      </c>
      <c r="H1" t="s">
        <v>0</v>
      </c>
      <c r="I1" t="s">
        <v>33</v>
      </c>
      <c r="J1" t="s">
        <v>10</v>
      </c>
      <c r="K1" t="s">
        <v>17</v>
      </c>
      <c r="L1" t="s">
        <v>12</v>
      </c>
      <c r="M1" t="s">
        <v>13</v>
      </c>
      <c r="N1" t="s">
        <v>14</v>
      </c>
      <c r="O1" t="s">
        <v>15</v>
      </c>
      <c r="P1" t="s">
        <v>11</v>
      </c>
      <c r="Q1" t="s">
        <v>19</v>
      </c>
      <c r="R1" t="s">
        <v>20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34</v>
      </c>
      <c r="AB1" t="s">
        <v>35</v>
      </c>
      <c r="AC1" t="s">
        <v>36</v>
      </c>
    </row>
    <row r="2" spans="1:29" x14ac:dyDescent="0.5">
      <c r="A2" t="s">
        <v>1</v>
      </c>
      <c r="B2" s="1">
        <v>3.3000000000000003E+23</v>
      </c>
      <c r="C2" s="2">
        <v>11</v>
      </c>
      <c r="D2" s="2">
        <v>19</v>
      </c>
      <c r="E2" s="2">
        <v>29</v>
      </c>
      <c r="F2" s="1">
        <f>149597870700*0.728</f>
        <v>108907249869.59999</v>
      </c>
      <c r="G2" s="4">
        <f>F2*COS((C2+D2/60+E2/3600)*PI()/12)+G4</f>
        <v>22774895976.635193</v>
      </c>
      <c r="H2" s="4">
        <f>F2*SIN((C2+D2/60+E2/3600)*PI()/12)+H4</f>
        <v>-57286278396.717529</v>
      </c>
      <c r="I2" s="5">
        <f>ATAN(H2/G2)</f>
        <v>-1.1923927070530276</v>
      </c>
      <c r="J2" s="1">
        <f>8.9825E+38</f>
        <v>8.9825000000000002E+38</v>
      </c>
      <c r="K2" s="3">
        <v>46000000000</v>
      </c>
      <c r="L2">
        <f t="shared" ref="L2:L9" si="0">SQRT((G2)^2+(H2)^2)</f>
        <v>61647494509.450905</v>
      </c>
      <c r="M2" s="1">
        <f>1/2*J2^2/(B2*K2^2)-A12*B10*B2/K2</f>
        <v>-3.739932863178095E+32</v>
      </c>
      <c r="N2" s="1">
        <f>-A12*B10*B2/L2</f>
        <v>-7.1016477390315192E+32</v>
      </c>
      <c r="O2" s="1">
        <f>M2-N2</f>
        <v>3.3617148758534242E+32</v>
      </c>
      <c r="P2">
        <f t="shared" ref="P2:P9" si="1">SQRT(2*O2/B2)</f>
        <v>45137.600235974896</v>
      </c>
      <c r="Q2" s="5">
        <f t="shared" ref="Q2:Q9" si="2">J2/(B2 *L2*P2)</f>
        <v>0.97820389900166804</v>
      </c>
      <c r="R2" s="5">
        <f>ASIN(Q2)</f>
        <v>1.3616277689670808</v>
      </c>
      <c r="S2" s="4">
        <f>P2*COS(I2+R2-PI())</f>
        <v>-44492.759629938279</v>
      </c>
      <c r="T2" s="4">
        <f>P2*SIN(I2+R2-PI())</f>
        <v>-7602.4532603111584</v>
      </c>
      <c r="U2" s="4">
        <f>P2*COS(I2-R2)</f>
        <v>-37567.52701762825</v>
      </c>
      <c r="V2" s="4">
        <f>P2*SIN(I2-R2)</f>
        <v>-25021.667986815999</v>
      </c>
      <c r="W2" s="4">
        <f>P2*COS(I2-R2+PI())</f>
        <v>37567.52701762825</v>
      </c>
      <c r="X2" s="4">
        <f>P2*SIN(I2-R2+PI())</f>
        <v>25021.667986815992</v>
      </c>
      <c r="Y2" s="4">
        <f>P2*COS(I2+R2)</f>
        <v>44492.759629938279</v>
      </c>
      <c r="Z2" s="4">
        <f>P2*SIN(I2+R2)</f>
        <v>7602.4532603111629</v>
      </c>
      <c r="AA2">
        <v>34</v>
      </c>
      <c r="AB2" s="4">
        <f>(W2+Y2)/2</f>
        <v>41030.143323783268</v>
      </c>
      <c r="AC2" s="4">
        <f>(X2+Z2)/2</f>
        <v>16312.060623563577</v>
      </c>
    </row>
    <row r="3" spans="1:29" x14ac:dyDescent="0.5">
      <c r="A3" t="s">
        <v>2</v>
      </c>
      <c r="B3" s="1">
        <v>4.8699999999999996E+24</v>
      </c>
      <c r="C3" s="2">
        <v>7</v>
      </c>
      <c r="D3" s="2">
        <v>27</v>
      </c>
      <c r="E3" s="2">
        <v>52</v>
      </c>
      <c r="F3" s="1">
        <f>149597870700*1.199</f>
        <v>179367846969.30002</v>
      </c>
      <c r="G3" s="4">
        <f>F3*COS((C3+D3/60+E3/3600)*PI()/12)+G4</f>
        <v>62889080341.418869</v>
      </c>
      <c r="H3" s="4">
        <f>F3*SIN((C3+D3/60+E3/3600)*PI()/12)+H4</f>
        <v>89906470183.896835</v>
      </c>
      <c r="I3" s="5">
        <f t="shared" ref="I3:I9" si="3">ATAN(H3/G3)</f>
        <v>0.96040971269179298</v>
      </c>
      <c r="J3" s="1">
        <v>1.8640999999999999E+40</v>
      </c>
      <c r="K3" s="3">
        <v>107500000000</v>
      </c>
      <c r="L3">
        <f t="shared" si="0"/>
        <v>109718776000.81659</v>
      </c>
      <c r="M3" s="1">
        <f>1/2*J3^2/(B3*K3^2)-A12*B10*B3/K3</f>
        <v>-2.922907825428029E+33</v>
      </c>
      <c r="N3" s="1">
        <f>-A12*B10*B3/L3</f>
        <v>-5.8885534869181494E+33</v>
      </c>
      <c r="O3" s="1">
        <f t="shared" ref="O3:O9" si="4">M3-N3</f>
        <v>2.9656456614901204E+33</v>
      </c>
      <c r="P3">
        <f t="shared" si="1"/>
        <v>34898.772131693178</v>
      </c>
      <c r="Q3" s="5">
        <f t="shared" si="2"/>
        <v>0.99965270163465769</v>
      </c>
      <c r="R3" s="5">
        <f t="shared" ref="R3:R9" si="5">ASIN(Q3)</f>
        <v>1.5444403608707757</v>
      </c>
      <c r="S3" s="4">
        <f>P3*COS(I3+R3-PI())</f>
        <v>28059.897605208887</v>
      </c>
      <c r="T3" s="4">
        <f>P3*SIN(I3+R3-PI())</f>
        <v>-20750.095004241233</v>
      </c>
      <c r="U3" s="4">
        <f>P3*COS(I3-R3)</f>
        <v>29114.194893075386</v>
      </c>
      <c r="V3" s="4">
        <f>P3*SIN(I3-R3)</f>
        <v>-19242.86756249877</v>
      </c>
      <c r="W3" s="4">
        <f t="shared" ref="W3" si="6">P3*COS(I3-R3+PI())</f>
        <v>-29114.194893075386</v>
      </c>
      <c r="X3" s="4">
        <f t="shared" ref="X3" si="7">P3*SIN(I3-R3+PI())</f>
        <v>19242.867562498777</v>
      </c>
      <c r="Y3" s="4">
        <f t="shared" ref="Y3" si="8">P3*COS(I3+R3)</f>
        <v>-28059.897605208884</v>
      </c>
      <c r="Z3" s="4">
        <f t="shared" ref="Z3" si="9">P3*SIN(I3+R3)</f>
        <v>20750.095004241237</v>
      </c>
      <c r="AA3">
        <v>34</v>
      </c>
      <c r="AB3" s="4">
        <f t="shared" ref="AB3:AB7" si="10">(W3+Y3)/2</f>
        <v>-28587.046249142135</v>
      </c>
      <c r="AC3" s="4">
        <f t="shared" ref="AC3:AC7" si="11">(X3+Z3)/2</f>
        <v>19996.481283370005</v>
      </c>
    </row>
    <row r="4" spans="1:29" x14ac:dyDescent="0.5">
      <c r="A4" t="s">
        <v>3</v>
      </c>
      <c r="B4" s="1">
        <v>5.9700000000000003E+24</v>
      </c>
      <c r="C4" s="2"/>
      <c r="D4" s="2"/>
      <c r="E4" s="2"/>
      <c r="F4" s="1"/>
      <c r="G4" s="4">
        <f>-F10*COS((C10+D10/60+E10/3600)*PI()/12)</f>
        <v>129984693623.1042</v>
      </c>
      <c r="H4" s="4">
        <f>-F10*SIN((C10+D10/60+E10/3600)*PI()/12)</f>
        <v>-76439564348.810806</v>
      </c>
      <c r="I4" s="5">
        <f t="shared" si="3"/>
        <v>-0.53159820133660651</v>
      </c>
      <c r="J4" s="1">
        <v>2.6631999999999999E+40</v>
      </c>
      <c r="K4" s="3">
        <v>147100000000</v>
      </c>
      <c r="L4">
        <f t="shared" si="0"/>
        <v>150794653665.60001</v>
      </c>
      <c r="M4" s="1">
        <f>1/2*J4^2/(B4*K4^2)-A12*B10*B4/K4</f>
        <v>-2.6389888712100186E+33</v>
      </c>
      <c r="N4" s="1">
        <f>-A12*B10*B4/L4</f>
        <v>-5.2522937103351623E+33</v>
      </c>
      <c r="O4" s="1">
        <f t="shared" si="4"/>
        <v>2.6133048391251437E+33</v>
      </c>
      <c r="P4">
        <f t="shared" si="1"/>
        <v>29588.494522062545</v>
      </c>
      <c r="Q4" s="5">
        <f t="shared" si="2"/>
        <v>0.99981727955810185</v>
      </c>
      <c r="R4" s="5">
        <f t="shared" si="5"/>
        <v>1.5516795275529063</v>
      </c>
      <c r="S4" s="4">
        <f t="shared" ref="S4:S9" si="12">P4*COS(I4+R4-PI())</f>
        <v>-15483.560085599513</v>
      </c>
      <c r="T4" s="4">
        <f t="shared" ref="T4:T9" si="13">P4*SIN(I4+R4-PI())</f>
        <v>-25213.852842391123</v>
      </c>
      <c r="U4" s="4">
        <f t="shared" ref="U4:U9" si="14">P4*COS(I4-R4)</f>
        <v>-14508.462992555909</v>
      </c>
      <c r="V4" s="4">
        <f t="shared" ref="V4:V9" si="15">P4*SIN(I4-R4)</f>
        <v>-25787.274180800126</v>
      </c>
      <c r="W4" s="4">
        <f t="shared" ref="W4:W9" si="16">P4*COS(I4-R4+PI())</f>
        <v>14508.462992555913</v>
      </c>
      <c r="X4" s="4">
        <f t="shared" ref="X4:X9" si="17">P4*SIN(I4-R4+PI())</f>
        <v>25787.274180800126</v>
      </c>
      <c r="Y4" s="4">
        <f t="shared" ref="Y4:Y9" si="18">P4*COS(I4+R4)</f>
        <v>15483.560085599509</v>
      </c>
      <c r="Z4" s="4">
        <f t="shared" ref="Z4:Z9" si="19">P4*SIN(I4+R4)</f>
        <v>25213.852842391123</v>
      </c>
      <c r="AA4">
        <v>34</v>
      </c>
      <c r="AB4" s="4">
        <f t="shared" si="10"/>
        <v>14996.01153907771</v>
      </c>
      <c r="AC4" s="4">
        <f t="shared" si="11"/>
        <v>25500.563511595625</v>
      </c>
    </row>
    <row r="5" spans="1:29" x14ac:dyDescent="0.5">
      <c r="A5" t="s">
        <v>4</v>
      </c>
      <c r="B5" s="1">
        <v>6.4200000000000005E+23</v>
      </c>
      <c r="C5" s="2">
        <v>5</v>
      </c>
      <c r="D5" s="2">
        <v>28</v>
      </c>
      <c r="E5" s="2">
        <v>24</v>
      </c>
      <c r="F5" s="1">
        <f>149597870700*1.572</f>
        <v>235167852740.40002</v>
      </c>
      <c r="G5" s="4">
        <f>F5*COS((C5+D5/60+E5/3600)*PI()/12)+G4</f>
        <v>162307232385.53906</v>
      </c>
      <c r="H5" s="4">
        <f>F5*SIN((C5+D5/60+E5/3600)*PI()/12)+H4</f>
        <v>156496419239.98846</v>
      </c>
      <c r="I5" s="5">
        <f t="shared" si="3"/>
        <v>0.76717324736359893</v>
      </c>
      <c r="J5" s="1">
        <v>3.5192E+39</v>
      </c>
      <c r="K5" s="3">
        <v>206600000000</v>
      </c>
      <c r="L5">
        <f t="shared" si="0"/>
        <v>225465666831.09784</v>
      </c>
      <c r="M5" s="1">
        <f>1/2*J5^2/(B5*K5^2)-A12*B10*B5/K5</f>
        <v>-1.8627846702553396E+32</v>
      </c>
      <c r="N5" s="1">
        <f>-A12*B10*B5/L5</f>
        <v>-3.7775935377249419E+32</v>
      </c>
      <c r="O5" s="1">
        <f t="shared" si="4"/>
        <v>1.9148088674696023E+32</v>
      </c>
      <c r="P5">
        <f t="shared" si="1"/>
        <v>24423.62925280313</v>
      </c>
      <c r="Q5" s="5">
        <f t="shared" si="2"/>
        <v>0.99544737058377897</v>
      </c>
      <c r="R5" s="5">
        <f t="shared" si="5"/>
        <v>1.4753386081766242</v>
      </c>
      <c r="S5" s="4">
        <f t="shared" si="12"/>
        <v>15199.550871653673</v>
      </c>
      <c r="T5" s="4">
        <f t="shared" si="13"/>
        <v>-19117.722646235688</v>
      </c>
      <c r="U5" s="4">
        <f t="shared" si="14"/>
        <v>18551.125835123345</v>
      </c>
      <c r="V5" s="4">
        <f t="shared" si="15"/>
        <v>-15886.138490136613</v>
      </c>
      <c r="W5" s="4">
        <f t="shared" si="16"/>
        <v>-18551.125835123341</v>
      </c>
      <c r="X5" s="4">
        <f t="shared" si="17"/>
        <v>15886.138490136615</v>
      </c>
      <c r="Y5" s="4">
        <f t="shared" si="18"/>
        <v>-15199.55087165367</v>
      </c>
      <c r="Z5" s="4">
        <f t="shared" si="19"/>
        <v>19117.722646235688</v>
      </c>
      <c r="AA5">
        <v>34</v>
      </c>
      <c r="AB5" s="4">
        <f t="shared" si="10"/>
        <v>-16875.338353388506</v>
      </c>
      <c r="AC5" s="4">
        <f t="shared" si="11"/>
        <v>17501.930568186152</v>
      </c>
    </row>
    <row r="6" spans="1:29" x14ac:dyDescent="0.5">
      <c r="A6" t="s">
        <v>5</v>
      </c>
      <c r="B6" s="1">
        <v>1.9000000000000001E+27</v>
      </c>
      <c r="C6" s="2">
        <v>5</v>
      </c>
      <c r="D6" s="2">
        <v>59</v>
      </c>
      <c r="E6" s="2">
        <v>58</v>
      </c>
      <c r="F6" s="1">
        <f>149597870700*5.566</f>
        <v>832661748316.19995</v>
      </c>
      <c r="G6" s="4">
        <f>F6*COS((C6+D6/60+E6/3600)*PI()/12)+G4</f>
        <v>130105799364.87341</v>
      </c>
      <c r="H6" s="4">
        <f>F6*SIN((C6+D6/60+E6/3600)*PI()/12)+H4</f>
        <v>756222175160.33105</v>
      </c>
      <c r="I6" s="5">
        <f t="shared" si="3"/>
        <v>1.40041728660635</v>
      </c>
      <c r="J6" s="1">
        <v>1.9292E+43</v>
      </c>
      <c r="K6" s="3">
        <v>740600000000</v>
      </c>
      <c r="L6">
        <f t="shared" si="0"/>
        <v>767332716122.9314</v>
      </c>
      <c r="M6" s="1">
        <f>1/2*J6^2/(B6*K6^2)-A12*B10*B6/K6</f>
        <v>-1.6178578427309408E+35</v>
      </c>
      <c r="N6" s="1">
        <f>-A12*B10*B6/L6</f>
        <v>-3.2849631548828358E+35</v>
      </c>
      <c r="O6" s="1">
        <f t="shared" si="4"/>
        <v>1.667105312151895E+35</v>
      </c>
      <c r="P6">
        <f t="shared" si="1"/>
        <v>13247.066456397033</v>
      </c>
      <c r="Q6" s="5">
        <f t="shared" si="2"/>
        <v>0.99889588034728838</v>
      </c>
      <c r="R6" s="5">
        <f t="shared" si="5"/>
        <v>1.5238000951887321</v>
      </c>
      <c r="S6" s="4">
        <f t="shared" si="12"/>
        <v>12935.321659067966</v>
      </c>
      <c r="T6" s="4">
        <f t="shared" si="13"/>
        <v>-2856.9604961648656</v>
      </c>
      <c r="U6" s="4">
        <f t="shared" si="14"/>
        <v>13146.362159157452</v>
      </c>
      <c r="V6" s="4">
        <f t="shared" si="15"/>
        <v>-1630.3164356874036</v>
      </c>
      <c r="W6" s="4">
        <f t="shared" si="16"/>
        <v>-13146.362159157452</v>
      </c>
      <c r="X6" s="4">
        <f t="shared" si="17"/>
        <v>1630.3164356874022</v>
      </c>
      <c r="Y6" s="4">
        <f t="shared" si="18"/>
        <v>-12935.321659067966</v>
      </c>
      <c r="Z6" s="4">
        <f t="shared" si="19"/>
        <v>2856.960496164867</v>
      </c>
      <c r="AA6">
        <v>34</v>
      </c>
      <c r="AB6" s="4">
        <f t="shared" si="10"/>
        <v>-13040.841909112709</v>
      </c>
      <c r="AC6" s="4">
        <f t="shared" si="11"/>
        <v>2243.6384659261348</v>
      </c>
    </row>
    <row r="7" spans="1:29" x14ac:dyDescent="0.5">
      <c r="A7" t="s">
        <v>6</v>
      </c>
      <c r="B7" s="1">
        <v>5.6800000000000001E+26</v>
      </c>
      <c r="C7" s="2">
        <v>9</v>
      </c>
      <c r="D7" s="2">
        <v>36</v>
      </c>
      <c r="E7" s="2">
        <v>10</v>
      </c>
      <c r="F7" s="1">
        <f>149597870700*10.186</f>
        <v>1523803910950.2</v>
      </c>
      <c r="G7" s="4">
        <f>F7*COS((C7+D7/60+E7/3600)*PI()/12)+G4</f>
        <v>-1103449589611.1787</v>
      </c>
      <c r="H7" s="4">
        <f>F7*SIN((C7+D7/60+E7/3600)*PI()/12)+H4</f>
        <v>818333159849.60583</v>
      </c>
      <c r="I7" s="5">
        <f t="shared" si="3"/>
        <v>-0.63811213506330589</v>
      </c>
      <c r="J7" s="1">
        <v>7.8198000000000006E+42</v>
      </c>
      <c r="K7" s="3">
        <v>1354000000000</v>
      </c>
      <c r="L7">
        <f t="shared" si="0"/>
        <v>1373779515541.8933</v>
      </c>
      <c r="M7" s="1">
        <f>1/2*J7^2/(B7*K7^2)-A12*B10*B7/K7</f>
        <v>-2.6291895195016288E+34</v>
      </c>
      <c r="N7" s="1">
        <f>-A12*B10*B7/L7</f>
        <v>-5.4851930420782338E+34</v>
      </c>
      <c r="O7" s="1">
        <f t="shared" si="4"/>
        <v>2.856003522576605E+34</v>
      </c>
      <c r="P7">
        <f t="shared" si="1"/>
        <v>10028.135635105742</v>
      </c>
      <c r="Q7" s="5">
        <f t="shared" si="2"/>
        <v>0.99933264409558853</v>
      </c>
      <c r="R7" s="5">
        <f t="shared" si="5"/>
        <v>1.5342605868970622</v>
      </c>
      <c r="S7" s="4">
        <f t="shared" si="12"/>
        <v>-6263.7978623914414</v>
      </c>
      <c r="T7" s="4">
        <f>P7*SIN(I7+R7-PI())</f>
        <v>-7831.2413227519728</v>
      </c>
      <c r="U7" s="4">
        <f t="shared" si="14"/>
        <v>-5675.3514244045691</v>
      </c>
      <c r="V7" s="4">
        <f t="shared" si="15"/>
        <v>-8267.6411705870905</v>
      </c>
      <c r="W7" s="4">
        <f t="shared" si="16"/>
        <v>5675.35142440457</v>
      </c>
      <c r="X7" s="4">
        <f t="shared" si="17"/>
        <v>8267.6411705870887</v>
      </c>
      <c r="Y7" s="4">
        <f t="shared" si="18"/>
        <v>6263.7978623914414</v>
      </c>
      <c r="Z7" s="4">
        <f t="shared" si="19"/>
        <v>7831.2413227519719</v>
      </c>
      <c r="AA7">
        <v>12</v>
      </c>
      <c r="AB7" s="4">
        <f>(S7+U7)/2</f>
        <v>-5969.5746433980057</v>
      </c>
      <c r="AC7" s="4">
        <f>(T7+V7)/2</f>
        <v>-8049.4412466695321</v>
      </c>
    </row>
    <row r="8" spans="1:29" x14ac:dyDescent="0.5">
      <c r="A8" t="s">
        <v>7</v>
      </c>
      <c r="B8" s="1">
        <v>8.6800000000000001E+25</v>
      </c>
      <c r="C8" s="2">
        <v>14</v>
      </c>
      <c r="D8" s="2">
        <v>23</v>
      </c>
      <c r="E8" s="2">
        <v>55</v>
      </c>
      <c r="F8" s="1">
        <f>149597870700*18.895</f>
        <v>2826651766876.5</v>
      </c>
      <c r="G8" s="4">
        <f>F8*COS((C8+D8/60+E8/3600)*PI()/12)+G4</f>
        <v>-2157428597213.449</v>
      </c>
      <c r="H8" s="4">
        <f>F8*SIN((C8+D8/60+E8/3600)*PI()/12)+H4</f>
        <v>-1737072169138.4221</v>
      </c>
      <c r="I8" s="5">
        <f t="shared" si="3"/>
        <v>0.67787851875932603</v>
      </c>
      <c r="J8" s="1">
        <v>1.7048999999999999E+42</v>
      </c>
      <c r="K8" s="3">
        <v>2749000000000</v>
      </c>
      <c r="L8">
        <f t="shared" si="0"/>
        <v>2769822715061.3184</v>
      </c>
      <c r="M8" s="1">
        <f>1/2*J8^2/(B8*K8^2)-A12*B10*B8/K8</f>
        <v>-1.9733170458737384E+33</v>
      </c>
      <c r="N8" s="1">
        <f>-A12*B10*B8/L8</f>
        <v>-4.1574627781710107E+33</v>
      </c>
      <c r="O8" s="1">
        <f t="shared" si="4"/>
        <v>2.1841457322972723E+33</v>
      </c>
      <c r="P8">
        <f t="shared" si="1"/>
        <v>7094.0777083561197</v>
      </c>
      <c r="Q8" s="5">
        <f t="shared" si="2"/>
        <v>0.99961156401024687</v>
      </c>
      <c r="R8" s="5">
        <f t="shared" si="5"/>
        <v>1.5429230012148865</v>
      </c>
      <c r="S8" s="4">
        <f>P8*COS(I8+R8-PI())</f>
        <v>4293.2687186523408</v>
      </c>
      <c r="T8" s="4">
        <f t="shared" si="13"/>
        <v>-5647.4580336321678</v>
      </c>
      <c r="U8" s="4">
        <f t="shared" si="14"/>
        <v>4601.2632081444708</v>
      </c>
      <c r="V8" s="4">
        <f t="shared" si="15"/>
        <v>-5399.473624490749</v>
      </c>
      <c r="W8" s="4">
        <f t="shared" si="16"/>
        <v>-4601.2632081444699</v>
      </c>
      <c r="X8" s="4">
        <f t="shared" si="17"/>
        <v>5399.4736244907508</v>
      </c>
      <c r="Y8" s="4">
        <f t="shared" si="18"/>
        <v>-4293.2687186523399</v>
      </c>
      <c r="Z8" s="4">
        <f t="shared" si="19"/>
        <v>5647.4580336321678</v>
      </c>
      <c r="AA8">
        <v>12</v>
      </c>
      <c r="AB8" s="4">
        <f t="shared" ref="AB8:AB9" si="20">(S8+U8)/2</f>
        <v>4447.2659633984058</v>
      </c>
      <c r="AC8" s="4">
        <f t="shared" ref="AC8:AC9" si="21">(T8+V8)/2</f>
        <v>-5523.4658290614589</v>
      </c>
    </row>
    <row r="9" spans="1:29" x14ac:dyDescent="0.5">
      <c r="A9" t="s">
        <v>8</v>
      </c>
      <c r="B9" s="1">
        <v>1.0200000000000001E+26</v>
      </c>
      <c r="C9" s="2">
        <v>16</v>
      </c>
      <c r="D9" s="2">
        <v>48</v>
      </c>
      <c r="E9" s="2">
        <v>41</v>
      </c>
      <c r="F9" s="1">
        <f>149597870700*29.994</f>
        <v>4487038533775.7998</v>
      </c>
      <c r="G9" s="4">
        <f>F9*COS((C9+D9/60+E9/3600)*PI()/12)+G4</f>
        <v>-1243856544592.1931</v>
      </c>
      <c r="H9" s="4">
        <f>F9*SIN((C9+D9/60+E9/3600)*PI()/12)+H4</f>
        <v>-4347982032330.1299</v>
      </c>
      <c r="I9" s="5">
        <f t="shared" si="3"/>
        <v>1.2921615965544875</v>
      </c>
      <c r="J9" s="1">
        <v>2.5176000000000001E+42</v>
      </c>
      <c r="K9" s="3">
        <v>4453000000000</v>
      </c>
      <c r="L9">
        <f t="shared" si="0"/>
        <v>4522402774741.5947</v>
      </c>
      <c r="M9" s="1">
        <f>1/2*J9^2/(B9*K9^2)-A12*B10*B9/K9</f>
        <v>-1.4719540035836564E+33</v>
      </c>
      <c r="N9" s="1">
        <f>-A12*B10*B9/L9</f>
        <v>-2.9922064163719261E+33</v>
      </c>
      <c r="O9" s="1">
        <f t="shared" si="4"/>
        <v>1.5202524127882697E+33</v>
      </c>
      <c r="P9">
        <f t="shared" si="1"/>
        <v>5459.7500711100029</v>
      </c>
      <c r="Q9" s="5">
        <f t="shared" si="2"/>
        <v>0.99964214239123128</v>
      </c>
      <c r="R9" s="5">
        <f t="shared" si="5"/>
        <v>1.5440426745401565</v>
      </c>
      <c r="S9" s="4">
        <f t="shared" si="12"/>
        <v>5207.128811277219</v>
      </c>
      <c r="T9" s="4">
        <f t="shared" si="13"/>
        <v>-1641.5481661384097</v>
      </c>
      <c r="U9" s="4">
        <f t="shared" si="14"/>
        <v>5287.4694135704722</v>
      </c>
      <c r="V9" s="4">
        <f t="shared" si="15"/>
        <v>-1360.7123279894272</v>
      </c>
      <c r="W9" s="4">
        <f t="shared" si="16"/>
        <v>-5287.4694135704722</v>
      </c>
      <c r="X9" s="4">
        <f t="shared" si="17"/>
        <v>1360.7123279894276</v>
      </c>
      <c r="Y9" s="4">
        <f t="shared" si="18"/>
        <v>-5207.128811277219</v>
      </c>
      <c r="Z9" s="4">
        <f t="shared" si="19"/>
        <v>1641.5481661384104</v>
      </c>
      <c r="AA9">
        <v>12</v>
      </c>
      <c r="AB9" s="4">
        <f t="shared" si="20"/>
        <v>5247.2991124238451</v>
      </c>
      <c r="AC9" s="4">
        <f t="shared" si="21"/>
        <v>-1501.1302470639184</v>
      </c>
    </row>
    <row r="10" spans="1:29" x14ac:dyDescent="0.5">
      <c r="A10" t="s">
        <v>18</v>
      </c>
      <c r="B10" s="1">
        <v>1.9889999999999999E+30</v>
      </c>
      <c r="C10" s="2">
        <v>9</v>
      </c>
      <c r="D10" s="2">
        <v>58</v>
      </c>
      <c r="E10" s="2">
        <v>10</v>
      </c>
      <c r="F10" s="1">
        <f>149597870700*1.008</f>
        <v>150794653665.60001</v>
      </c>
    </row>
    <row r="12" spans="1:29" x14ac:dyDescent="0.5">
      <c r="A12" s="1">
        <v>6.67E-11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dcterms:created xsi:type="dcterms:W3CDTF">2022-11-19T01:54:04Z</dcterms:created>
  <dcterms:modified xsi:type="dcterms:W3CDTF">2022-12-03T13:23:14Z</dcterms:modified>
</cp:coreProperties>
</file>