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tabRatio="601" firstSheet="5" activeTab="6"/>
  </bookViews>
  <sheets>
    <sheet name="Дашборд" sheetId="19" r:id="rId1"/>
    <sheet name="Заявки" sheetId="3" r:id="rId2"/>
    <sheet name="Расходы" sheetId="22" r:id="rId3"/>
    <sheet name="Фактуры" sheetId="32" r:id="rId4"/>
    <sheet name="Общее задание" sheetId="35" r:id="rId5"/>
    <sheet name="Ежедневный отчет" sheetId="1" r:id="rId6"/>
    <sheet name="ЕДО" sheetId="36" r:id="rId7"/>
    <sheet name="Ежемесячный отчет" sheetId="25" r:id="rId8"/>
    <sheet name="Сады и школы" sheetId="28" r:id="rId9"/>
    <sheet name="Выручка" sheetId="16" state="hidden" r:id="rId10"/>
    <sheet name="Категории" sheetId="11" state="hidden" r:id="rId11"/>
    <sheet name="Топ-10 товаров" sheetId="14" state="hidden" r:id="rId12"/>
    <sheet name="Заказчики" sheetId="12" state="hidden" r:id="rId13"/>
    <sheet name="Направления" sheetId="21" state="hidden" r:id="rId14"/>
    <sheet name="Пекарь" sheetId="24" r:id="rId15"/>
    <sheet name="Карта" sheetId="17" state="hidden" r:id="rId16"/>
    <sheet name="Прайс" sheetId="4" r:id="rId17"/>
    <sheet name="Контрагенты" sheetId="6" r:id="rId18"/>
  </sheets>
  <definedNames>
    <definedName name="Срез_Дата1">#N/A</definedName>
    <definedName name="Срез_Заказчик2">#N/A</definedName>
    <definedName name="Срез_Направление">#N/A</definedName>
    <definedName name="Срез_Населенный_пункт">#N/A</definedName>
  </definedNames>
  <calcPr calcId="152511"/>
  <pivotCaches>
    <pivotCache cacheId="0" r:id="rId19"/>
    <pivotCache cacheId="8" r:id="rId20"/>
    <pivotCache cacheId="18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37" i="36" l="1"/>
  <c r="G37" i="36"/>
  <c r="L37" i="36" l="1"/>
  <c r="K37" i="36"/>
  <c r="H7" i="1"/>
  <c r="C22" i="1"/>
  <c r="D13" i="36"/>
  <c r="C13" i="36"/>
  <c r="C8" i="36"/>
  <c r="T37" i="36"/>
  <c r="S37" i="36"/>
  <c r="P37" i="36"/>
  <c r="O37" i="36"/>
  <c r="D37" i="36"/>
  <c r="C37" i="36"/>
  <c r="C1" i="36"/>
  <c r="B1" i="36"/>
  <c r="C7" i="36" s="1"/>
  <c r="C3" i="36"/>
  <c r="C4" i="36" l="1"/>
  <c r="I33" i="1" l="1"/>
  <c r="I34" i="1" s="1"/>
  <c r="H34" i="1"/>
  <c r="H33" i="1"/>
  <c r="C127" i="3"/>
  <c r="D127" i="3"/>
  <c r="E127" i="3"/>
  <c r="G127" i="3"/>
  <c r="H127" i="3"/>
  <c r="I127" i="3"/>
  <c r="K127" i="3"/>
  <c r="M127" i="3"/>
  <c r="N127" i="3" s="1"/>
  <c r="I32" i="1"/>
  <c r="H32" i="1"/>
  <c r="E22" i="24"/>
  <c r="F22" i="24" s="1"/>
  <c r="G22" i="24"/>
  <c r="C126" i="3" l="1"/>
  <c r="D126" i="3"/>
  <c r="E126" i="3"/>
  <c r="G126" i="3"/>
  <c r="H126" i="3"/>
  <c r="I126" i="3"/>
  <c r="K126" i="3"/>
  <c r="M126" i="3"/>
  <c r="N126" i="3" s="1"/>
  <c r="C125" i="3"/>
  <c r="D125" i="3"/>
  <c r="E125" i="3" s="1"/>
  <c r="G125" i="3"/>
  <c r="H125" i="3"/>
  <c r="I125" i="3"/>
  <c r="K125" i="3"/>
  <c r="M125" i="3"/>
  <c r="N125" i="3" s="1"/>
  <c r="C124" i="3"/>
  <c r="D124" i="3"/>
  <c r="E124" i="3" s="1"/>
  <c r="G124" i="3"/>
  <c r="H124" i="3"/>
  <c r="I124" i="3"/>
  <c r="K124" i="3"/>
  <c r="M124" i="3"/>
  <c r="N124" i="3" s="1"/>
  <c r="E21" i="24" l="1"/>
  <c r="F21" i="24" s="1"/>
  <c r="G21" i="24"/>
  <c r="E20" i="24"/>
  <c r="F20" i="24" s="1"/>
  <c r="G20" i="24"/>
  <c r="C13" i="22"/>
  <c r="D13" i="22"/>
  <c r="E13" i="22"/>
  <c r="K13" i="22"/>
  <c r="E3" i="22"/>
  <c r="E4" i="22"/>
  <c r="E5" i="22"/>
  <c r="E6" i="22"/>
  <c r="E7" i="22"/>
  <c r="E8" i="22"/>
  <c r="E9" i="22"/>
  <c r="E10" i="22"/>
  <c r="E11" i="22"/>
  <c r="E12" i="22"/>
  <c r="E2" i="22"/>
  <c r="C123" i="3"/>
  <c r="D123" i="3"/>
  <c r="E123" i="3" s="1"/>
  <c r="G123" i="3"/>
  <c r="H123" i="3"/>
  <c r="I123" i="3"/>
  <c r="K123" i="3"/>
  <c r="M123" i="3"/>
  <c r="N123" i="3" s="1"/>
  <c r="C122" i="3"/>
  <c r="D122" i="3"/>
  <c r="E122" i="3" s="1"/>
  <c r="G122" i="3"/>
  <c r="H122" i="3"/>
  <c r="I122" i="3"/>
  <c r="K122" i="3"/>
  <c r="M122" i="3"/>
  <c r="N122" i="3" s="1"/>
  <c r="C121" i="3" l="1"/>
  <c r="D121" i="3"/>
  <c r="E121" i="3" s="1"/>
  <c r="G121" i="3"/>
  <c r="H121" i="3"/>
  <c r="I121" i="3"/>
  <c r="K121" i="3"/>
  <c r="M121" i="3"/>
  <c r="N121" i="3" s="1"/>
  <c r="C120" i="3"/>
  <c r="D120" i="3"/>
  <c r="E120" i="3" s="1"/>
  <c r="G120" i="3"/>
  <c r="H120" i="3"/>
  <c r="I120" i="3"/>
  <c r="K120" i="3"/>
  <c r="M120" i="3"/>
  <c r="N120" i="3" s="1"/>
  <c r="C119" i="3"/>
  <c r="D119" i="3"/>
  <c r="E119" i="3" s="1"/>
  <c r="G119" i="3"/>
  <c r="H119" i="3"/>
  <c r="I119" i="3"/>
  <c r="K119" i="3"/>
  <c r="M119" i="3"/>
  <c r="N119" i="3" s="1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C118" i="3"/>
  <c r="D118" i="3"/>
  <c r="E118" i="3" s="1"/>
  <c r="G118" i="3"/>
  <c r="H118" i="3"/>
  <c r="I118" i="3"/>
  <c r="K118" i="3"/>
  <c r="M118" i="3"/>
  <c r="N118" i="3" s="1"/>
  <c r="C117" i="3"/>
  <c r="D117" i="3"/>
  <c r="E117" i="3" s="1"/>
  <c r="G117" i="3"/>
  <c r="H117" i="3"/>
  <c r="I117" i="3"/>
  <c r="K117" i="3"/>
  <c r="M117" i="3"/>
  <c r="N117" i="3" s="1"/>
  <c r="C116" i="3" l="1"/>
  <c r="D116" i="3"/>
  <c r="E116" i="3" s="1"/>
  <c r="G116" i="3"/>
  <c r="H116" i="3"/>
  <c r="I116" i="3"/>
  <c r="K116" i="3"/>
  <c r="M116" i="3"/>
  <c r="N116" i="3" s="1"/>
  <c r="J7" i="17"/>
  <c r="J8" i="17" l="1"/>
  <c r="J9" i="17"/>
  <c r="J10" i="17"/>
  <c r="J11" i="17"/>
  <c r="J12" i="17"/>
  <c r="J13" i="17"/>
  <c r="J14" i="17"/>
  <c r="J15" i="17"/>
  <c r="K7" i="17"/>
  <c r="K8" i="17"/>
  <c r="K9" i="17"/>
  <c r="K10" i="17"/>
  <c r="K11" i="17"/>
  <c r="K12" i="17"/>
  <c r="K13" i="17"/>
  <c r="K14" i="17"/>
  <c r="K15" i="17"/>
  <c r="C115" i="3"/>
  <c r="D115" i="3"/>
  <c r="E115" i="3" s="1"/>
  <c r="G115" i="3"/>
  <c r="H115" i="3"/>
  <c r="I115" i="3"/>
  <c r="K115" i="3"/>
  <c r="M115" i="3"/>
  <c r="N115" i="3" s="1"/>
  <c r="C114" i="3"/>
  <c r="D114" i="3"/>
  <c r="E114" i="3" s="1"/>
  <c r="G114" i="3"/>
  <c r="H114" i="3"/>
  <c r="I114" i="3"/>
  <c r="K114" i="3"/>
  <c r="M114" i="3"/>
  <c r="N114" i="3" s="1"/>
  <c r="C113" i="3"/>
  <c r="D113" i="3"/>
  <c r="E113" i="3" s="1"/>
  <c r="G113" i="3"/>
  <c r="H113" i="3"/>
  <c r="I113" i="3"/>
  <c r="K113" i="3"/>
  <c r="M113" i="3"/>
  <c r="N113" i="3" s="1"/>
  <c r="C112" i="3"/>
  <c r="D112" i="3"/>
  <c r="E112" i="3" s="1"/>
  <c r="G112" i="3"/>
  <c r="H112" i="3"/>
  <c r="I112" i="3"/>
  <c r="K112" i="3"/>
  <c r="M112" i="3"/>
  <c r="N112" i="3" s="1"/>
  <c r="C111" i="3"/>
  <c r="D111" i="3"/>
  <c r="E111" i="3" s="1"/>
  <c r="G111" i="3"/>
  <c r="H111" i="3"/>
  <c r="I111" i="3"/>
  <c r="K111" i="3"/>
  <c r="M111" i="3"/>
  <c r="N111" i="3" s="1"/>
  <c r="C12" i="22" l="1"/>
  <c r="D12" i="22"/>
  <c r="K12" i="22"/>
  <c r="K108" i="3"/>
  <c r="K109" i="3"/>
  <c r="K11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C110" i="3"/>
  <c r="D110" i="3"/>
  <c r="E110" i="3" s="1"/>
  <c r="G110" i="3"/>
  <c r="H110" i="3"/>
  <c r="I110" i="3"/>
  <c r="M110" i="3"/>
  <c r="N110" i="3" s="1"/>
  <c r="G109" i="3"/>
  <c r="H10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C109" i="3"/>
  <c r="D109" i="3"/>
  <c r="E109" i="3" s="1"/>
  <c r="I109" i="3"/>
  <c r="M109" i="3"/>
  <c r="N109" i="3" s="1"/>
  <c r="C11" i="22" l="1"/>
  <c r="D11" i="22"/>
  <c r="K11" i="22"/>
  <c r="C2" i="25" l="1"/>
  <c r="C10" i="22"/>
  <c r="D10" i="22"/>
  <c r="K10" i="22"/>
  <c r="D2" i="22"/>
  <c r="D3" i="22"/>
  <c r="D4" i="22"/>
  <c r="D5" i="22"/>
  <c r="D6" i="22"/>
  <c r="D7" i="22"/>
  <c r="D8" i="22"/>
  <c r="D9" i="22"/>
  <c r="C2" i="22"/>
  <c r="C3" i="22"/>
  <c r="C4" i="22"/>
  <c r="C5" i="22"/>
  <c r="C6" i="22"/>
  <c r="C7" i="22"/>
  <c r="C8" i="22"/>
  <c r="C9" i="22"/>
  <c r="K2" i="3"/>
  <c r="I73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N100" i="3"/>
  <c r="C92" i="3"/>
  <c r="D92" i="3"/>
  <c r="E92" i="3" s="1"/>
  <c r="H92" i="3"/>
  <c r="I92" i="3"/>
  <c r="M92" i="3"/>
  <c r="N92" i="3" s="1"/>
  <c r="C7" i="1"/>
  <c r="G2" i="3"/>
  <c r="D27" i="1" s="1"/>
  <c r="E5" i="25" l="1"/>
  <c r="I5" i="25"/>
  <c r="M5" i="25"/>
  <c r="H5" i="25"/>
  <c r="F5" i="25"/>
  <c r="J5" i="25"/>
  <c r="N5" i="25"/>
  <c r="G5" i="25"/>
  <c r="K5" i="25"/>
  <c r="L5" i="25"/>
  <c r="D8" i="1"/>
  <c r="D19" i="1"/>
  <c r="C8" i="1"/>
  <c r="C19" i="1"/>
  <c r="C17" i="1"/>
  <c r="D7" i="1"/>
  <c r="D9" i="1"/>
  <c r="C18" i="1"/>
  <c r="C9" i="1"/>
  <c r="H32" i="3"/>
  <c r="C91" i="3"/>
  <c r="D91" i="3"/>
  <c r="E91" i="3" s="1"/>
  <c r="H91" i="3"/>
  <c r="I91" i="3"/>
  <c r="M91" i="3"/>
  <c r="N91" i="3" s="1"/>
  <c r="C90" i="3"/>
  <c r="D90" i="3"/>
  <c r="E90" i="3" s="1"/>
  <c r="H90" i="3"/>
  <c r="I90" i="3"/>
  <c r="M90" i="3"/>
  <c r="N90" i="3" s="1"/>
  <c r="C89" i="3"/>
  <c r="D89" i="3"/>
  <c r="E89" i="3" s="1"/>
  <c r="H89" i="3"/>
  <c r="I89" i="3"/>
  <c r="M89" i="3"/>
  <c r="N89" i="3" s="1"/>
  <c r="C88" i="3"/>
  <c r="D88" i="3"/>
  <c r="E88" i="3" s="1"/>
  <c r="H88" i="3"/>
  <c r="I88" i="3"/>
  <c r="M88" i="3"/>
  <c r="N88" i="3" s="1"/>
  <c r="C87" i="3"/>
  <c r="D87" i="3"/>
  <c r="E87" i="3" s="1"/>
  <c r="H87" i="3"/>
  <c r="I87" i="3"/>
  <c r="M87" i="3"/>
  <c r="N87" i="3" s="1"/>
  <c r="C37" i="1" l="1"/>
  <c r="C27" i="1"/>
  <c r="D23" i="1"/>
  <c r="D24" i="1"/>
  <c r="C28" i="1"/>
  <c r="D29" i="1"/>
  <c r="D22" i="1"/>
  <c r="C23" i="1"/>
  <c r="D38" i="1"/>
  <c r="C12" i="1"/>
  <c r="C24" i="1"/>
  <c r="C39" i="1"/>
  <c r="D14" i="1"/>
  <c r="C29" i="1"/>
  <c r="C13" i="1"/>
  <c r="D12" i="1"/>
  <c r="D13" i="1"/>
  <c r="D28" i="1"/>
  <c r="C38" i="1"/>
  <c r="C14" i="1"/>
  <c r="E2" i="24"/>
  <c r="F2" i="24" s="1"/>
  <c r="E3" i="24"/>
  <c r="F3" i="24" s="1"/>
  <c r="E4" i="24"/>
  <c r="F4" i="24" s="1"/>
  <c r="E5" i="24"/>
  <c r="F5" i="24" s="1"/>
  <c r="E6" i="24"/>
  <c r="F6" i="24" s="1"/>
  <c r="E7" i="24"/>
  <c r="F7" i="24" s="1"/>
  <c r="E8" i="24"/>
  <c r="F8" i="24" s="1"/>
  <c r="E9" i="24"/>
  <c r="F9" i="24" s="1"/>
  <c r="E10" i="24"/>
  <c r="F10" i="24" s="1"/>
  <c r="E11" i="24"/>
  <c r="F11" i="24" s="1"/>
  <c r="E12" i="24"/>
  <c r="F12" i="24" s="1"/>
  <c r="E13" i="24"/>
  <c r="F13" i="24" s="1"/>
  <c r="E14" i="24"/>
  <c r="F14" i="24" s="1"/>
  <c r="E15" i="24"/>
  <c r="F15" i="24" s="1"/>
  <c r="E16" i="24"/>
  <c r="F16" i="24" s="1"/>
  <c r="E17" i="24"/>
  <c r="F17" i="24" s="1"/>
  <c r="E18" i="24"/>
  <c r="F18" i="24" s="1"/>
  <c r="E19" i="24"/>
  <c r="F19" i="24" s="1"/>
  <c r="M65" i="3"/>
  <c r="G4" i="1"/>
  <c r="G3" i="1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4" i="1" l="1"/>
  <c r="E4" i="25"/>
  <c r="E6" i="25" s="1"/>
  <c r="J4" i="25"/>
  <c r="J6" i="25" s="1"/>
  <c r="H4" i="25"/>
  <c r="H6" i="25" s="1"/>
  <c r="I4" i="25"/>
  <c r="I6" i="25" s="1"/>
  <c r="N4" i="25"/>
  <c r="N6" i="25" s="1"/>
  <c r="L4" i="25"/>
  <c r="L6" i="25" s="1"/>
  <c r="K4" i="25"/>
  <c r="K6" i="25" s="1"/>
  <c r="M4" i="25"/>
  <c r="M6" i="25" s="1"/>
  <c r="G4" i="25"/>
  <c r="G6" i="25" s="1"/>
  <c r="F4" i="25"/>
  <c r="F6" i="25" s="1"/>
  <c r="C32" i="1"/>
  <c r="C34" i="1"/>
  <c r="C33" i="1"/>
  <c r="M73" i="3"/>
  <c r="N73" i="3" s="1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I70" i="3"/>
  <c r="I71" i="3"/>
  <c r="I72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M70" i="3"/>
  <c r="N70" i="3" s="1"/>
  <c r="M71" i="3"/>
  <c r="N71" i="3" s="1"/>
  <c r="M72" i="3"/>
  <c r="N72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H69" i="3"/>
  <c r="I69" i="3"/>
  <c r="M69" i="3"/>
  <c r="N69" i="3" s="1"/>
  <c r="H68" i="3" l="1"/>
  <c r="I68" i="3"/>
  <c r="M68" i="3"/>
  <c r="N68" i="3" s="1"/>
  <c r="D4" i="25" s="1"/>
  <c r="H67" i="3" l="1"/>
  <c r="I67" i="3"/>
  <c r="M67" i="3"/>
  <c r="N67" i="3" s="1"/>
  <c r="H66" i="3"/>
  <c r="I66" i="3"/>
  <c r="M66" i="3"/>
  <c r="N66" i="3" s="1"/>
  <c r="K9" i="22" l="1"/>
  <c r="K3" i="22"/>
  <c r="K4" i="22"/>
  <c r="K5" i="22"/>
  <c r="K6" i="22"/>
  <c r="K7" i="22"/>
  <c r="K8" i="22"/>
  <c r="K2" i="22"/>
  <c r="H65" i="3"/>
  <c r="I65" i="3"/>
  <c r="N65" i="3"/>
  <c r="H64" i="3"/>
  <c r="I64" i="3"/>
  <c r="M64" i="3"/>
  <c r="N64" i="3" s="1"/>
  <c r="C5" i="25" l="1"/>
  <c r="D5" i="25"/>
  <c r="D6" i="25" s="1"/>
  <c r="H63" i="3"/>
  <c r="I63" i="3"/>
  <c r="M63" i="3"/>
  <c r="N63" i="3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M62" i="3"/>
  <c r="N62" i="3" s="1"/>
  <c r="M61" i="3"/>
  <c r="N61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N59" i="3" s="1"/>
  <c r="M60" i="3"/>
  <c r="N60" i="3" s="1"/>
  <c r="D39" i="1" l="1"/>
  <c r="D34" i="1" s="1"/>
  <c r="O5" i="25"/>
  <c r="N58" i="3"/>
  <c r="N56" i="3" l="1"/>
  <c r="N57" i="3"/>
  <c r="N45" i="3"/>
  <c r="N46" i="3"/>
  <c r="N47" i="3"/>
  <c r="N49" i="3"/>
  <c r="N50" i="3"/>
  <c r="N51" i="3"/>
  <c r="N53" i="3"/>
  <c r="N54" i="3"/>
  <c r="N55" i="3"/>
  <c r="N48" i="3"/>
  <c r="N52" i="3"/>
  <c r="D18" i="1" s="1"/>
  <c r="D33" i="1" s="1"/>
  <c r="N34" i="3"/>
  <c r="N35" i="3"/>
  <c r="N37" i="3"/>
  <c r="N38" i="3"/>
  <c r="N39" i="3"/>
  <c r="N41" i="3"/>
  <c r="N42" i="3"/>
  <c r="N43" i="3"/>
  <c r="N44" i="3"/>
  <c r="N36" i="3"/>
  <c r="N40" i="3"/>
  <c r="N23" i="3"/>
  <c r="N24" i="3"/>
  <c r="N26" i="3"/>
  <c r="N27" i="3"/>
  <c r="N28" i="3"/>
  <c r="N29" i="3"/>
  <c r="N30" i="3"/>
  <c r="N31" i="3"/>
  <c r="N32" i="3"/>
  <c r="N33" i="3"/>
  <c r="N25" i="3"/>
  <c r="N20" i="3"/>
  <c r="N21" i="3"/>
  <c r="N22" i="3"/>
  <c r="N19" i="3"/>
  <c r="N18" i="3"/>
  <c r="N10" i="3"/>
  <c r="N11" i="3"/>
  <c r="D17" i="1" s="1"/>
  <c r="N12" i="3"/>
  <c r="N13" i="3"/>
  <c r="N14" i="3"/>
  <c r="N15" i="3"/>
  <c r="N16" i="3"/>
  <c r="N17" i="3"/>
  <c r="H8" i="1" l="1"/>
  <c r="C3" i="1"/>
  <c r="N9" i="3"/>
  <c r="N5" i="3"/>
  <c r="N6" i="3"/>
  <c r="N7" i="3"/>
  <c r="N8" i="3"/>
  <c r="N3" i="3"/>
  <c r="N4" i="3"/>
  <c r="N2" i="3"/>
  <c r="C4" i="25" l="1"/>
  <c r="D37" i="1"/>
  <c r="D32" i="1" s="1"/>
  <c r="O4" i="25" l="1"/>
  <c r="O6" i="25" s="1"/>
  <c r="C6" i="25"/>
</calcChain>
</file>

<file path=xl/sharedStrings.xml><?xml version="1.0" encoding="utf-8"?>
<sst xmlns="http://schemas.openxmlformats.org/spreadsheetml/2006/main" count="1163" uniqueCount="235">
  <si>
    <t>Наименование</t>
  </si>
  <si>
    <t>Себестоимость</t>
  </si>
  <si>
    <t>№</t>
  </si>
  <si>
    <t>Хлеб "белый" 1 сорт</t>
  </si>
  <si>
    <t>Хлеб белый 1 сорт</t>
  </si>
  <si>
    <t>Хлеб ржано-пшеничный!</t>
  </si>
  <si>
    <t>Хлеб "Ромашка"</t>
  </si>
  <si>
    <t xml:space="preserve">Хлеб "ржано-пшеничный" </t>
  </si>
  <si>
    <t xml:space="preserve">Хлеб ржано-пшеничный </t>
  </si>
  <si>
    <t>Хлеб фитнес</t>
  </si>
  <si>
    <t>Хлеб "Фитнес"</t>
  </si>
  <si>
    <t>Хлеб "Бородино"</t>
  </si>
  <si>
    <t>Хлеб "Луковый"</t>
  </si>
  <si>
    <t>Хлеб луковый</t>
  </si>
  <si>
    <t>Хлеб "Датский"</t>
  </si>
  <si>
    <t>Хлеб Чемпион</t>
  </si>
  <si>
    <t>Хлеб "Чемпион"</t>
  </si>
  <si>
    <t>Хлеб "Интеграл"</t>
  </si>
  <si>
    <t>Хлеб "Купеческий"</t>
  </si>
  <si>
    <t>Батон</t>
  </si>
  <si>
    <t>Багет</t>
  </si>
  <si>
    <t>Плетенка</t>
  </si>
  <si>
    <t>Булочка "Плетенка"</t>
  </si>
  <si>
    <t>Ракушка</t>
  </si>
  <si>
    <t>Булочка "Ракушка"</t>
  </si>
  <si>
    <t>Ново-Майская</t>
  </si>
  <si>
    <t>Булочка "Ново-майская"</t>
  </si>
  <si>
    <t>Домашняя</t>
  </si>
  <si>
    <t>Булочка "Домашняя"</t>
  </si>
  <si>
    <t>Карусель</t>
  </si>
  <si>
    <t>Ватрушка</t>
  </si>
  <si>
    <t>Булочка "Ватрушка"</t>
  </si>
  <si>
    <t>Плюшка</t>
  </si>
  <si>
    <t>Булочка "Плюшка"</t>
  </si>
  <si>
    <t>С вареной сгущенкой</t>
  </si>
  <si>
    <t>Булочка "С вареной сгущенкой"</t>
  </si>
  <si>
    <t>Бутербродная с кунжутом</t>
  </si>
  <si>
    <t>Булочка "Бутербродная с кунжутом"</t>
  </si>
  <si>
    <t>Ванильная</t>
  </si>
  <si>
    <t>Булочка "Ванильная"</t>
  </si>
  <si>
    <t>Сочень</t>
  </si>
  <si>
    <t>Булочка "Сочень"</t>
  </si>
  <si>
    <t>Плетенка с маком</t>
  </si>
  <si>
    <t>Булочка "Плетенка с маком"</t>
  </si>
  <si>
    <t>Плюшка с маком</t>
  </si>
  <si>
    <t>Булочка "Плюшка с маком"</t>
  </si>
  <si>
    <t>Бублик с маком</t>
  </si>
  <si>
    <t>Булочка "Бублик с маком"</t>
  </si>
  <si>
    <t>Джемка</t>
  </si>
  <si>
    <t>Булочка "Джемка"</t>
  </si>
  <si>
    <t>Сухарь Осенний</t>
  </si>
  <si>
    <t>Сухарь "Осенний"</t>
  </si>
  <si>
    <t>Пирог с яблоком</t>
  </si>
  <si>
    <t>Пирог "С яблоком"</t>
  </si>
  <si>
    <t>Булочка медуза</t>
  </si>
  <si>
    <t>Булочка "Медуза"</t>
  </si>
  <si>
    <t>Лепешка сырная</t>
  </si>
  <si>
    <t>Лепешка "Сырная"</t>
  </si>
  <si>
    <t>Тесто</t>
  </si>
  <si>
    <t>Крабик</t>
  </si>
  <si>
    <t>Булочка "Крабик"</t>
  </si>
  <si>
    <t>Тюльпан</t>
  </si>
  <si>
    <t>Булочка "Тюльпан"</t>
  </si>
  <si>
    <t>Яблоко-творог</t>
  </si>
  <si>
    <t>Булочка "Яблоко-творог"</t>
  </si>
  <si>
    <t>Батон ржаной</t>
  </si>
  <si>
    <t>Сосиска в тесте</t>
  </si>
  <si>
    <t>Хлеб "Бородино!"</t>
  </si>
  <si>
    <t>Булочка творог изюм</t>
  </si>
  <si>
    <t>Булочка "творог изюм"</t>
  </si>
  <si>
    <t>Чебурек</t>
  </si>
  <si>
    <t>Хлеб 2 сорт</t>
  </si>
  <si>
    <t>Пицца</t>
  </si>
  <si>
    <t>Сочень Песочный</t>
  </si>
  <si>
    <t>Корж Песочный</t>
  </si>
  <si>
    <t>Бутерброд</t>
  </si>
  <si>
    <t>"Батон"</t>
  </si>
  <si>
    <t>"Багет"</t>
  </si>
  <si>
    <t>Блины</t>
  </si>
  <si>
    <t>Вес, гр.</t>
  </si>
  <si>
    <t>Кулич 500 гр.</t>
  </si>
  <si>
    <t>Кулич 350 гр.</t>
  </si>
  <si>
    <t>Цена</t>
  </si>
  <si>
    <t>Дата</t>
  </si>
  <si>
    <t>ПО Ижморское Колыон</t>
  </si>
  <si>
    <t>Адрес</t>
  </si>
  <si>
    <t>Номер телефона</t>
  </si>
  <si>
    <t>Контактное лицо</t>
  </si>
  <si>
    <t>ПО Ижморское Тёплая речка</t>
  </si>
  <si>
    <t>ИП Везнер Е.В.</t>
  </si>
  <si>
    <t>ИП Корнев Н.Г.</t>
  </si>
  <si>
    <t>Почитанка</t>
  </si>
  <si>
    <t>ПО Ижморское "Ижморочка"</t>
  </si>
  <si>
    <t>ИП Лоскутникова Н.В.</t>
  </si>
  <si>
    <t>Магазин "Радуга" ИП Кузнецов</t>
  </si>
  <si>
    <t>ИП Полева, ул. Кирова</t>
  </si>
  <si>
    <t>Магазин "У Ксюши"</t>
  </si>
  <si>
    <t>Магазин "Перекресток"</t>
  </si>
  <si>
    <t>Сибирь Николаевка</t>
  </si>
  <si>
    <t>Сибирячка</t>
  </si>
  <si>
    <t>Тельмана</t>
  </si>
  <si>
    <t>24 часа</t>
  </si>
  <si>
    <t>Сибирь Осоавиохимовская</t>
  </si>
  <si>
    <t>Сибирь Школьная</t>
  </si>
  <si>
    <t>Сибирь Анжерская</t>
  </si>
  <si>
    <t>Микс</t>
  </si>
  <si>
    <t>Сергеевка</t>
  </si>
  <si>
    <t>Апрельский</t>
  </si>
  <si>
    <t>Школа №3</t>
  </si>
  <si>
    <t>Д/д Колокольчик</t>
  </si>
  <si>
    <t>Д/с Гнездышко</t>
  </si>
  <si>
    <t>Школа Новониколаевка</t>
  </si>
  <si>
    <t>Ижморский Интернат</t>
  </si>
  <si>
    <t>Школа Теплая речка</t>
  </si>
  <si>
    <t>Коррекционная школа</t>
  </si>
  <si>
    <t>Д/с школа №1</t>
  </si>
  <si>
    <t>Школа №1</t>
  </si>
  <si>
    <t>Д/с Колыон</t>
  </si>
  <si>
    <t>Школа Колыон</t>
  </si>
  <si>
    <t>Магазин "Эконом"</t>
  </si>
  <si>
    <t>Количество, шт.</t>
  </si>
  <si>
    <t>За сегодня</t>
  </si>
  <si>
    <t>За текущий месяц</t>
  </si>
  <si>
    <t>Продажи (руб.)</t>
  </si>
  <si>
    <t>Продажи (шт.)</t>
  </si>
  <si>
    <t>Водитель</t>
  </si>
  <si>
    <t>Сумма заказов</t>
  </si>
  <si>
    <t>Хлеб</t>
  </si>
  <si>
    <t>Булочки</t>
  </si>
  <si>
    <t>Другое</t>
  </si>
  <si>
    <t>Мука</t>
  </si>
  <si>
    <t>Масло сливочное</t>
  </si>
  <si>
    <t>Доход</t>
  </si>
  <si>
    <t>Расход</t>
  </si>
  <si>
    <t>Операция</t>
  </si>
  <si>
    <t>Пирог</t>
  </si>
  <si>
    <t>Общий итог</t>
  </si>
  <si>
    <t>(Все)</t>
  </si>
  <si>
    <t>Стоимость, руб.</t>
  </si>
  <si>
    <t>Населенный пункт</t>
  </si>
  <si>
    <t>Цена за шт.</t>
  </si>
  <si>
    <t>Заказчик</t>
  </si>
  <si>
    <t>Яя</t>
  </si>
  <si>
    <t>Ижморка</t>
  </si>
  <si>
    <t>Итого</t>
  </si>
  <si>
    <t>Категория</t>
  </si>
  <si>
    <t>Выручка руб.</t>
  </si>
  <si>
    <t>Заказчики</t>
  </si>
  <si>
    <t>Товар</t>
  </si>
  <si>
    <t xml:space="preserve">Месяц </t>
  </si>
  <si>
    <t>X</t>
  </si>
  <si>
    <t>Y</t>
  </si>
  <si>
    <t>Значение</t>
  </si>
  <si>
    <t>Подписи</t>
  </si>
  <si>
    <t>КАРТА</t>
  </si>
  <si>
    <t>Колыон</t>
  </si>
  <si>
    <t>Направление</t>
  </si>
  <si>
    <t>Название</t>
  </si>
  <si>
    <t>Школы и сады</t>
  </si>
  <si>
    <t>Теплая речка</t>
  </si>
  <si>
    <t>Булочка "Карусель"</t>
  </si>
  <si>
    <t>Мука высший сорт</t>
  </si>
  <si>
    <t>Ед. изм.</t>
  </si>
  <si>
    <t>кг</t>
  </si>
  <si>
    <t>Количество</t>
  </si>
  <si>
    <t>Молоко</t>
  </si>
  <si>
    <t>л</t>
  </si>
  <si>
    <t>Джем</t>
  </si>
  <si>
    <t>Дрожжи сырые</t>
  </si>
  <si>
    <t>Цена за ед.</t>
  </si>
  <si>
    <t>ГСМ</t>
  </si>
  <si>
    <t>Категория расходов</t>
  </si>
  <si>
    <t>Дрожжи</t>
  </si>
  <si>
    <t>Начинка</t>
  </si>
  <si>
    <t xml:space="preserve">Количество, шт. </t>
  </si>
  <si>
    <t xml:space="preserve">Цена за шт. </t>
  </si>
  <si>
    <t xml:space="preserve">Стоимость, руб. </t>
  </si>
  <si>
    <t>Сумма к оплате</t>
  </si>
  <si>
    <t xml:space="preserve"> </t>
  </si>
  <si>
    <t>ФИО пекаря</t>
  </si>
  <si>
    <t>Испекли</t>
  </si>
  <si>
    <t>Продано</t>
  </si>
  <si>
    <t>Магазин</t>
  </si>
  <si>
    <t>Иванова И.И.</t>
  </si>
  <si>
    <t>Петрова Н.Н.</t>
  </si>
  <si>
    <t>Месяц</t>
  </si>
  <si>
    <t>Год</t>
  </si>
  <si>
    <t>Взяли себе</t>
  </si>
  <si>
    <t>Месяц и год</t>
  </si>
  <si>
    <t>Оплата</t>
  </si>
  <si>
    <t>Безналичная</t>
  </si>
  <si>
    <t>Выручка за сегодня</t>
  </si>
  <si>
    <t>Наличными</t>
  </si>
  <si>
    <t>Остаток за предыдущий день</t>
  </si>
  <si>
    <t>Категория товара</t>
  </si>
  <si>
    <t>Заработная плата</t>
  </si>
  <si>
    <t>руб./час.</t>
  </si>
  <si>
    <t>Сумма по полю Стоимость, руб.</t>
  </si>
  <si>
    <t>2023</t>
  </si>
  <si>
    <t>Сумма по полю Итого</t>
  </si>
  <si>
    <t>Чистая прибыль</t>
  </si>
  <si>
    <t>Наименование учреждения</t>
  </si>
  <si>
    <t xml:space="preserve">Наименование </t>
  </si>
  <si>
    <t xml:space="preserve">Фактура от </t>
  </si>
  <si>
    <t>Сдал: __________________</t>
  </si>
  <si>
    <t>Принял: __________________</t>
  </si>
  <si>
    <t>Остаток с учетом предыдущего дня</t>
  </si>
  <si>
    <t>янв</t>
  </si>
  <si>
    <t>фев</t>
  </si>
  <si>
    <t>мар</t>
  </si>
  <si>
    <t>Годы</t>
  </si>
  <si>
    <t>Святославка</t>
  </si>
  <si>
    <t>Новославянка</t>
  </si>
  <si>
    <t>Новониколаевка</t>
  </si>
  <si>
    <t>Островка</t>
  </si>
  <si>
    <t>Доходы</t>
  </si>
  <si>
    <t>Расходы</t>
  </si>
  <si>
    <t>ВЫРУЧКА, тыс.руб.</t>
  </si>
  <si>
    <t>КАТЕГОРИИ ТОВАРОВ, тыс.руб.</t>
  </si>
  <si>
    <t>ТОП-10 ТОВАРОВ, тыс.руб.</t>
  </si>
  <si>
    <t>ЗАКАЗЧИКИ, тыс.руб.</t>
  </si>
  <si>
    <t>НАПРАВЛЕНИЯ, тыс.руб.</t>
  </si>
  <si>
    <t>апр</t>
  </si>
  <si>
    <t>май</t>
  </si>
  <si>
    <t>Общая сумма</t>
  </si>
  <si>
    <t>Сухарь</t>
  </si>
  <si>
    <t>Выпекли</t>
  </si>
  <si>
    <t>Продали</t>
  </si>
  <si>
    <t>Остаток</t>
  </si>
  <si>
    <t>Кол-во, шт.</t>
  </si>
  <si>
    <t>Сумма, руб.</t>
  </si>
  <si>
    <t>Задание общее</t>
  </si>
  <si>
    <t>Выпек пекарь</t>
  </si>
  <si>
    <t>Кулич</t>
  </si>
  <si>
    <t>Остаток на сегодня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</si>
</sst>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FF663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1E1E1E"/>
      <name val="Segoe UI"/>
      <family val="2"/>
      <charset val="204"/>
    </font>
    <font>
      <sz val="12"/>
      <color theme="1"/>
      <name val="Calibri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CC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wrapText="1"/>
    </xf>
    <xf numFmtId="14" fontId="0" fillId="0" borderId="0" xfId="0" applyNumberFormat="1"/>
    <xf numFmtId="2" fontId="3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left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on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6" fillId="0" borderId="0" xfId="0" applyFont="1"/>
    <xf numFmtId="0" fontId="0" fillId="5" borderId="0" xfId="0" applyFill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" fontId="0" fillId="0" borderId="0" xfId="0" applyNumberFormat="1"/>
    <xf numFmtId="0" fontId="0" fillId="3" borderId="0" xfId="0" applyFont="1" applyFill="1"/>
    <xf numFmtId="2" fontId="7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10" fillId="0" borderId="0" xfId="0" applyFont="1" applyFill="1" applyBorder="1" applyAlignment="1">
      <alignment horizontal="right" wrapText="1"/>
    </xf>
    <xf numFmtId="10" fontId="10" fillId="0" borderId="0" xfId="0" applyNumberFormat="1" applyFont="1" applyBorder="1" applyAlignment="1">
      <alignment horizontal="right" wrapText="1"/>
    </xf>
    <xf numFmtId="1" fontId="10" fillId="0" borderId="0" xfId="0" applyNumberFormat="1" applyFont="1" applyBorder="1" applyAlignment="1">
      <alignment horizontal="center" vertical="center" wrapText="1"/>
    </xf>
    <xf numFmtId="14" fontId="11" fillId="0" borderId="0" xfId="0" applyNumberFormat="1" applyFont="1" applyBorder="1" applyAlignment="1">
      <alignment vertical="center" wrapText="1"/>
    </xf>
    <xf numFmtId="1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right" wrapText="1"/>
    </xf>
    <xf numFmtId="1" fontId="10" fillId="0" borderId="0" xfId="0" applyNumberFormat="1" applyFont="1" applyBorder="1"/>
    <xf numFmtId="0" fontId="10" fillId="4" borderId="0" xfId="0" applyFont="1" applyFill="1" applyBorder="1" applyAlignment="1">
      <alignment horizontal="center" vertical="center" wrapText="1"/>
    </xf>
    <xf numFmtId="43" fontId="12" fillId="0" borderId="0" xfId="1" applyFont="1"/>
    <xf numFmtId="0" fontId="9" fillId="4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43" fontId="10" fillId="0" borderId="0" xfId="1" applyFont="1" applyBorder="1"/>
    <xf numFmtId="43" fontId="12" fillId="0" borderId="0" xfId="1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9" fillId="4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43" fontId="10" fillId="0" borderId="0" xfId="1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/>
    <xf numFmtId="0" fontId="13" fillId="4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12" fillId="0" borderId="0" xfId="0" pivotButton="1" applyFont="1"/>
    <xf numFmtId="0" fontId="12" fillId="0" borderId="0" xfId="0" applyFont="1" applyAlignment="1">
      <alignment horizontal="left"/>
    </xf>
    <xf numFmtId="2" fontId="12" fillId="0" borderId="0" xfId="0" applyNumberFormat="1" applyFont="1"/>
    <xf numFmtId="0" fontId="13" fillId="4" borderId="0" xfId="0" applyFont="1" applyFill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/>
    </xf>
    <xf numFmtId="0" fontId="12" fillId="0" borderId="0" xfId="0" pivotButton="1" applyFont="1" applyAlignment="1">
      <alignment vertical="center"/>
    </xf>
    <xf numFmtId="0" fontId="12" fillId="0" borderId="0" xfId="0" pivotButton="1" applyFont="1" applyAlignment="1">
      <alignment horizontal="left" vertical="center"/>
    </xf>
    <xf numFmtId="4" fontId="12" fillId="0" borderId="0" xfId="0" applyNumberFormat="1" applyFont="1"/>
    <xf numFmtId="43" fontId="12" fillId="0" borderId="0" xfId="0" applyNumberFormat="1" applyFont="1"/>
    <xf numFmtId="43" fontId="13" fillId="5" borderId="0" xfId="1" applyFont="1" applyFill="1"/>
    <xf numFmtId="0" fontId="10" fillId="0" borderId="0" xfId="0" applyFont="1" applyFill="1" applyBorder="1" applyAlignment="1">
      <alignment horizontal="left" vertical="top" wrapText="1"/>
    </xf>
    <xf numFmtId="1" fontId="10" fillId="0" borderId="0" xfId="0" applyNumberFormat="1" applyFont="1" applyFill="1" applyBorder="1"/>
    <xf numFmtId="1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12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0" xfId="0" applyFont="1"/>
    <xf numFmtId="1" fontId="12" fillId="0" borderId="0" xfId="0" applyNumberFormat="1" applyFont="1" applyAlignment="1">
      <alignment horizontal="right" vertical="center"/>
    </xf>
    <xf numFmtId="4" fontId="12" fillId="0" borderId="0" xfId="0" applyNumberFormat="1" applyFont="1" applyAlignment="1">
      <alignment horizontal="right" vertical="center"/>
    </xf>
    <xf numFmtId="1" fontId="14" fillId="0" borderId="0" xfId="0" applyNumberFormat="1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4" fontId="0" fillId="0" borderId="0" xfId="0" applyNumberFormat="1"/>
    <xf numFmtId="1" fontId="12" fillId="0" borderId="0" xfId="0" applyNumberFormat="1" applyFont="1" applyAlignment="1">
      <alignment vertical="center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1" fillId="0" borderId="0" xfId="0" applyFont="1"/>
    <xf numFmtId="4" fontId="12" fillId="0" borderId="0" xfId="0" applyNumberFormat="1" applyFont="1" applyAlignment="1">
      <alignment vertical="center"/>
    </xf>
    <xf numFmtId="1" fontId="14" fillId="0" borderId="0" xfId="0" applyNumberFormat="1" applyFont="1" applyAlignment="1">
      <alignment vertical="center"/>
    </xf>
    <xf numFmtId="4" fontId="14" fillId="0" borderId="0" xfId="0" applyNumberFormat="1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NumberFormat="1" applyAlignment="1">
      <alignment horizontal="left" vertical="center" wrapText="1"/>
    </xf>
    <xf numFmtId="1" fontId="1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/>
    <xf numFmtId="43" fontId="16" fillId="0" borderId="0" xfId="1" applyFont="1"/>
    <xf numFmtId="0" fontId="0" fillId="0" borderId="0" xfId="0" applyNumberFormat="1" applyAlignment="1">
      <alignment horizontal="left" vertical="center"/>
    </xf>
    <xf numFmtId="14" fontId="10" fillId="6" borderId="0" xfId="0" applyNumberFormat="1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/>
    </xf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43" fontId="9" fillId="0" borderId="0" xfId="1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17" fillId="0" borderId="0" xfId="0" applyFont="1"/>
    <xf numFmtId="43" fontId="0" fillId="0" borderId="0" xfId="1" applyFont="1" applyBorder="1" applyAlignment="1">
      <alignment horizontal="center"/>
    </xf>
    <xf numFmtId="43" fontId="0" fillId="0" borderId="0" xfId="1" applyFont="1" applyBorder="1"/>
    <xf numFmtId="43" fontId="9" fillId="4" borderId="0" xfId="1" applyFont="1" applyFill="1" applyBorder="1" applyAlignment="1">
      <alignment horizontal="center" vertical="center" wrapText="1"/>
    </xf>
    <xf numFmtId="43" fontId="0" fillId="0" borderId="0" xfId="1" applyFont="1"/>
    <xf numFmtId="0" fontId="9" fillId="7" borderId="0" xfId="0" applyFont="1" applyFill="1" applyBorder="1" applyAlignment="1">
      <alignment vertical="center" wrapText="1"/>
    </xf>
    <xf numFmtId="14" fontId="10" fillId="7" borderId="0" xfId="0" applyNumberFormat="1" applyFont="1" applyFill="1" applyBorder="1" applyAlignment="1">
      <alignment vertical="center" wrapText="1"/>
    </xf>
    <xf numFmtId="0" fontId="10" fillId="0" borderId="0" xfId="0" applyFont="1" applyBorder="1" applyAlignment="1">
      <alignment horizontal="left"/>
    </xf>
    <xf numFmtId="0" fontId="9" fillId="7" borderId="0" xfId="0" applyFont="1" applyFill="1" applyBorder="1" applyAlignment="1">
      <alignment horizontal="center" vertical="center" wrapText="1"/>
    </xf>
    <xf numFmtId="43" fontId="9" fillId="7" borderId="0" xfId="1" applyFont="1" applyFill="1" applyBorder="1" applyAlignment="1">
      <alignment horizontal="center" vertical="center" wrapText="1"/>
    </xf>
    <xf numFmtId="43" fontId="9" fillId="4" borderId="0" xfId="0" applyNumberFormat="1" applyFont="1" applyFill="1" applyBorder="1" applyAlignment="1">
      <alignment horizontal="center" vertical="center" wrapText="1"/>
    </xf>
    <xf numFmtId="14" fontId="10" fillId="9" borderId="0" xfId="0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229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readingOrder="0"/>
    </dxf>
    <dxf>
      <alignment horizontal="left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numFmt numFmtId="4" formatCode="#,##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4" formatCode="#,##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0" tint="-0.14999847407452621"/>
      </font>
    </dxf>
    <dxf>
      <numFmt numFmtId="1" formatCode="0"/>
    </dxf>
    <dxf>
      <numFmt numFmtId="4" formatCode="#,##0.00"/>
    </dxf>
    <dxf>
      <numFmt numFmtId="4" formatCode="#,##0.00"/>
    </dxf>
    <dxf>
      <font>
        <sz val="12"/>
      </font>
    </dxf>
    <dxf>
      <font>
        <sz val="12"/>
      </font>
    </dxf>
    <dxf>
      <alignment vertic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right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color theme="0" tint="-0.14999847407452621"/>
      </font>
    </dxf>
    <dxf>
      <numFmt numFmtId="1" formatCode="0"/>
    </dxf>
    <dxf>
      <numFmt numFmtId="4" formatCode="#,##0.00"/>
    </dxf>
    <dxf>
      <numFmt numFmtId="4" formatCode="#,##0.00"/>
    </dxf>
    <dxf>
      <font>
        <sz val="12"/>
      </font>
    </dxf>
    <dxf>
      <font>
        <sz val="12"/>
      </font>
    </dxf>
    <dxf>
      <alignment vertic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right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E6E6E6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left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4" formatCode="#,##0.0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4" formatCode="#,##0.0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sz val="12"/>
      </font>
    </dxf>
    <dxf>
      <font>
        <sz val="12"/>
      </font>
    </dxf>
    <dxf>
      <numFmt numFmtId="4" formatCode="#,##0.00"/>
    </dxf>
    <dxf>
      <numFmt numFmtId="4" formatCode="#,##0.00"/>
    </dxf>
    <dxf>
      <numFmt numFmtId="1" formatCode="0"/>
    </dxf>
    <dxf>
      <font>
        <color theme="0" tint="-0.14999847407452621"/>
      </font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sz val="12"/>
      </font>
    </dxf>
    <dxf>
      <font>
        <sz val="12"/>
      </font>
    </dxf>
    <dxf>
      <numFmt numFmtId="4" formatCode="#,##0.00"/>
    </dxf>
    <dxf>
      <numFmt numFmtId="4" formatCode="#,##0.00"/>
    </dxf>
    <dxf>
      <numFmt numFmtId="1" formatCode="0"/>
    </dxf>
    <dxf>
      <font>
        <color theme="0" tint="-0.14999847407452621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Medium9">
    <tableStyle name="Стиль сводной таблицы 1" table="0" count="0"/>
  </tableStyles>
  <colors>
    <mruColors>
      <color rgb="FFFFFFCC"/>
      <color rgb="FF99CCCC"/>
      <color rgb="FF8BE1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пекарни.xlsx]Категории!Категории</c:name>
    <c:fmtId val="6"/>
  </c:pivotSource>
  <c:chart>
    <c:title>
      <c:tx>
        <c:strRef>
          <c:f>Категории!$B$2</c:f>
          <c:strCache>
            <c:ptCount val="1"/>
            <c:pt idx="0">
              <c:v>КАТЕГОРИИ ТОВАРОВ,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Категории!$B$2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Категории!$B$2</c:f>
              <c:strCache>
                <c:ptCount val="4"/>
                <c:pt idx="0">
                  <c:v>Хлеб</c:v>
                </c:pt>
                <c:pt idx="1">
                  <c:v>Булочки</c:v>
                </c:pt>
                <c:pt idx="2">
                  <c:v>Другое</c:v>
                </c:pt>
                <c:pt idx="3">
                  <c:v>Сухарь</c:v>
                </c:pt>
              </c:strCache>
            </c:strRef>
          </c:cat>
          <c:val>
            <c:numRef>
              <c:f>Категории!$B$2</c:f>
              <c:numCache>
                <c:formatCode>#,##0.00</c:formatCode>
                <c:ptCount val="4"/>
                <c:pt idx="0">
                  <c:v>8879</c:v>
                </c:pt>
                <c:pt idx="1">
                  <c:v>8539</c:v>
                </c:pt>
                <c:pt idx="2">
                  <c:v>3230</c:v>
                </c:pt>
                <c:pt idx="3">
                  <c:v>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411280"/>
        <c:axId val="252736832"/>
      </c:barChart>
      <c:catAx>
        <c:axId val="252411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736832"/>
        <c:crosses val="autoZero"/>
        <c:auto val="1"/>
        <c:lblAlgn val="ctr"/>
        <c:lblOffset val="100"/>
        <c:noMultiLvlLbl val="0"/>
      </c:catAx>
      <c:valAx>
        <c:axId val="252736832"/>
        <c:scaling>
          <c:orientation val="minMax"/>
        </c:scaling>
        <c:delete val="0"/>
        <c:axPos val="t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112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пекарни.xlsx]Топ-10 товаров!ТОП-10</c:name>
    <c:fmtId val="3"/>
  </c:pivotSource>
  <c:chart>
    <c:title>
      <c:tx>
        <c:strRef>
          <c:f>'Топ-10 товаров'!$B$2</c:f>
          <c:strCache>
            <c:ptCount val="1"/>
            <c:pt idx="0">
              <c:v>ТОП-10 ТОВАРОВ,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'Топ-10 товаров'!$B$2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'Топ-10 товаров'!$B$2</c:f>
              <c:strCache>
                <c:ptCount val="10"/>
                <c:pt idx="0">
                  <c:v>Сочень Песочный</c:v>
                </c:pt>
                <c:pt idx="1">
                  <c:v>Сухарь Осенний</c:v>
                </c:pt>
                <c:pt idx="2">
                  <c:v>Хлеб "ржано-пшеничный" </c:v>
                </c:pt>
                <c:pt idx="3">
                  <c:v>Хлеб белый 1 сорт</c:v>
                </c:pt>
                <c:pt idx="4">
                  <c:v>Хлеб "Ромашка"</c:v>
                </c:pt>
                <c:pt idx="5">
                  <c:v>Блины</c:v>
                </c:pt>
                <c:pt idx="6">
                  <c:v>Булочка "Джемка"</c:v>
                </c:pt>
                <c:pt idx="7">
                  <c:v>Чебурек</c:v>
                </c:pt>
                <c:pt idx="8">
                  <c:v>Пирог</c:v>
                </c:pt>
                <c:pt idx="9">
                  <c:v>Хлеб "Датский"</c:v>
                </c:pt>
              </c:strCache>
            </c:strRef>
          </c:cat>
          <c:val>
            <c:numRef>
              <c:f>'Топ-10 товаров'!$B$2</c:f>
              <c:numCache>
                <c:formatCode>#,##0.00</c:formatCode>
                <c:ptCount val="10"/>
                <c:pt idx="0">
                  <c:v>6745</c:v>
                </c:pt>
                <c:pt idx="1">
                  <c:v>2700</c:v>
                </c:pt>
                <c:pt idx="2">
                  <c:v>2349</c:v>
                </c:pt>
                <c:pt idx="3">
                  <c:v>1998</c:v>
                </c:pt>
                <c:pt idx="4">
                  <c:v>1426</c:v>
                </c:pt>
                <c:pt idx="5">
                  <c:v>1280</c:v>
                </c:pt>
                <c:pt idx="6">
                  <c:v>1000</c:v>
                </c:pt>
                <c:pt idx="7">
                  <c:v>900</c:v>
                </c:pt>
                <c:pt idx="8">
                  <c:v>900</c:v>
                </c:pt>
                <c:pt idx="9">
                  <c:v>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847216"/>
        <c:axId val="253847608"/>
      </c:barChart>
      <c:catAx>
        <c:axId val="253847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47608"/>
        <c:crosses val="autoZero"/>
        <c:auto val="1"/>
        <c:lblAlgn val="ctr"/>
        <c:lblOffset val="100"/>
        <c:noMultiLvlLbl val="0"/>
      </c:catAx>
      <c:valAx>
        <c:axId val="253847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47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пекарни.xlsx]Заказчики!Заказчики</c:name>
    <c:fmtId val="2"/>
  </c:pivotSource>
  <c:chart>
    <c:title>
      <c:tx>
        <c:strRef>
          <c:f>Заказчики!$B$2</c:f>
          <c:strCache>
            <c:ptCount val="1"/>
            <c:pt idx="0">
              <c:v>ЗАКАЗЧИКИ,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Заказчики!$B$2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Заказчики!$B$2</c:f>
              <c:strCache>
                <c:ptCount val="17"/>
                <c:pt idx="0">
                  <c:v>Школа №1</c:v>
                </c:pt>
                <c:pt idx="1">
                  <c:v>Водитель</c:v>
                </c:pt>
                <c:pt idx="2">
                  <c:v>Школа №3</c:v>
                </c:pt>
                <c:pt idx="3">
                  <c:v>Магазин</c:v>
                </c:pt>
                <c:pt idx="4">
                  <c:v>ПО Ижморское "Ижморочка"</c:v>
                </c:pt>
                <c:pt idx="5">
                  <c:v>ИП Корнев Н.Г.</c:v>
                </c:pt>
                <c:pt idx="6">
                  <c:v>ИП Везнер Е.В.</c:v>
                </c:pt>
                <c:pt idx="7">
                  <c:v>Почитанка</c:v>
                </c:pt>
                <c:pt idx="8">
                  <c:v>Магазин "У Ксюши"</c:v>
                </c:pt>
                <c:pt idx="9">
                  <c:v>ИП Лоскутникова Н.В.</c:v>
                </c:pt>
                <c:pt idx="10">
                  <c:v>Школа Теплая речка</c:v>
                </c:pt>
                <c:pt idx="11">
                  <c:v>Тельмана</c:v>
                </c:pt>
                <c:pt idx="12">
                  <c:v>Магазин "Эконом"</c:v>
                </c:pt>
                <c:pt idx="13">
                  <c:v>Д/с Колыон</c:v>
                </c:pt>
                <c:pt idx="14">
                  <c:v>Д/с Гнездышко</c:v>
                </c:pt>
                <c:pt idx="15">
                  <c:v>Школа Колыон</c:v>
                </c:pt>
                <c:pt idx="16">
                  <c:v>Взяли себе</c:v>
                </c:pt>
              </c:strCache>
            </c:strRef>
          </c:cat>
          <c:val>
            <c:numRef>
              <c:f>Заказчики!$B$2</c:f>
              <c:numCache>
                <c:formatCode>#,##0.00</c:formatCode>
                <c:ptCount val="17"/>
                <c:pt idx="0">
                  <c:v>6455</c:v>
                </c:pt>
                <c:pt idx="1">
                  <c:v>3725</c:v>
                </c:pt>
                <c:pt idx="2">
                  <c:v>3038</c:v>
                </c:pt>
                <c:pt idx="3">
                  <c:v>2329</c:v>
                </c:pt>
                <c:pt idx="4">
                  <c:v>1635</c:v>
                </c:pt>
                <c:pt idx="5">
                  <c:v>1508</c:v>
                </c:pt>
                <c:pt idx="6">
                  <c:v>1045</c:v>
                </c:pt>
                <c:pt idx="7">
                  <c:v>1017</c:v>
                </c:pt>
                <c:pt idx="8">
                  <c:v>1000</c:v>
                </c:pt>
                <c:pt idx="9">
                  <c:v>456</c:v>
                </c:pt>
                <c:pt idx="10">
                  <c:v>220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150</c:v>
                </c:pt>
                <c:pt idx="1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848000"/>
        <c:axId val="253851136"/>
      </c:barChart>
      <c:catAx>
        <c:axId val="25384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51136"/>
        <c:crosses val="autoZero"/>
        <c:auto val="1"/>
        <c:lblAlgn val="ctr"/>
        <c:lblOffset val="100"/>
        <c:noMultiLvlLbl val="0"/>
      </c:catAx>
      <c:valAx>
        <c:axId val="25385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480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пекарни.xlsx]Направления!Заказчики</c:name>
    <c:fmtId val="7"/>
  </c:pivotSource>
  <c:chart>
    <c:title>
      <c:tx>
        <c:strRef>
          <c:f>Направления!$B$2</c:f>
          <c:strCache>
            <c:ptCount val="1"/>
            <c:pt idx="0">
              <c:v>НАПРАВЛЕНИЯ,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Направления!$B$2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Направления!$B$2</c:f>
              <c:strCache>
                <c:ptCount val="5"/>
                <c:pt idx="0">
                  <c:v>Школы и сады</c:v>
                </c:pt>
                <c:pt idx="1">
                  <c:v>Ижморка</c:v>
                </c:pt>
                <c:pt idx="2">
                  <c:v>Водитель</c:v>
                </c:pt>
                <c:pt idx="3">
                  <c:v>Яя</c:v>
                </c:pt>
                <c:pt idx="4">
                  <c:v>Колыон</c:v>
                </c:pt>
              </c:strCache>
            </c:strRef>
          </c:cat>
          <c:val>
            <c:numRef>
              <c:f>Направления!$B$2</c:f>
              <c:numCache>
                <c:formatCode>#,##0.00</c:formatCode>
                <c:ptCount val="5"/>
                <c:pt idx="0">
                  <c:v>10183</c:v>
                </c:pt>
                <c:pt idx="1">
                  <c:v>4108</c:v>
                </c:pt>
                <c:pt idx="2">
                  <c:v>3725</c:v>
                </c:pt>
                <c:pt idx="3">
                  <c:v>3504</c:v>
                </c:pt>
                <c:pt idx="4">
                  <c:v>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852312"/>
        <c:axId val="249777768"/>
      </c:barChart>
      <c:catAx>
        <c:axId val="253852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777768"/>
        <c:crosses val="autoZero"/>
        <c:auto val="1"/>
        <c:lblAlgn val="ctr"/>
        <c:lblOffset val="100"/>
        <c:noMultiLvlLbl val="0"/>
      </c:catAx>
      <c:valAx>
        <c:axId val="249777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523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0502724850267698"/>
                  <c:y val="-4.938271112579624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A004BF-DA9A-4680-A557-2E8C6832E83A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8964636740297675E-2"/>
                      <c:h val="3.58929457001547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2.7082018901150841E-2"/>
                  <c:y val="4.756732569438384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FABB8B-7E51-4CB9-A821-8CF87CFC5F9D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757564088357213E-2"/>
                      <c:h val="3.58929457001547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03B63A-9643-4CF1-A08A-D26DD4CEEC27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1699922623429843"/>
                  <c:y val="-5.444760457459583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4ED63A-6431-4010-BB53-BB344D0C48E3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8964636740297675E-2"/>
                      <c:h val="3.58929457001547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1608121846294983"/>
                  <c:y val="-3.925292422819697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110C7E-1408-4484-B470-6CA0D52EFE91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8964636740297675E-2"/>
                      <c:h val="3.58929457001547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8BB987-FE0D-4076-AD90-8803A22F7A5E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9.5827929739371959E-2"/>
                  <c:y val="-3.6720477503797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B53CE17-8A27-4355-90B8-7F368DFA3DCD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8964636740297675E-2"/>
                      <c:h val="3.58929457001547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B0C494-52EE-4FC7-BEE9-F813F3D86D23}" type="CELLRANGE">
                      <a:rPr lang="en-US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488E00-08D4-4F68-9EA6-EE2623B294E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Карта!$H$7:$H$15</c:f>
              <c:numCache>
                <c:formatCode>General</c:formatCode>
                <c:ptCount val="9"/>
                <c:pt idx="0">
                  <c:v>45</c:v>
                </c:pt>
                <c:pt idx="1">
                  <c:v>55</c:v>
                </c:pt>
                <c:pt idx="2">
                  <c:v>60</c:v>
                </c:pt>
                <c:pt idx="3">
                  <c:v>50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42</c:v>
                </c:pt>
                <c:pt idx="8">
                  <c:v>68</c:v>
                </c:pt>
              </c:numCache>
            </c:numRef>
          </c:xVal>
          <c:yVal>
            <c:numRef>
              <c:f>Карта!$I$7:$I$15</c:f>
              <c:numCache>
                <c:formatCode>General</c:formatCode>
                <c:ptCount val="9"/>
                <c:pt idx="0">
                  <c:v>55</c:v>
                </c:pt>
                <c:pt idx="1">
                  <c:v>54</c:v>
                </c:pt>
                <c:pt idx="2">
                  <c:v>68</c:v>
                </c:pt>
                <c:pt idx="3">
                  <c:v>77</c:v>
                </c:pt>
                <c:pt idx="4">
                  <c:v>65</c:v>
                </c:pt>
                <c:pt idx="5">
                  <c:v>75</c:v>
                </c:pt>
                <c:pt idx="6">
                  <c:v>80</c:v>
                </c:pt>
                <c:pt idx="7">
                  <c:v>42</c:v>
                </c:pt>
                <c:pt idx="8">
                  <c:v>70</c:v>
                </c:pt>
              </c:numCache>
            </c:numRef>
          </c:yVal>
          <c:bubbleSize>
            <c:numRef>
              <c:f>Карта!$J$7:$J$15</c:f>
              <c:numCache>
                <c:formatCode>General</c:formatCode>
                <c:ptCount val="9"/>
                <c:pt idx="0">
                  <c:v>16722</c:v>
                </c:pt>
                <c:pt idx="1">
                  <c:v>3091</c:v>
                </c:pt>
                <c:pt idx="2">
                  <c:v>1017</c:v>
                </c:pt>
                <c:pt idx="3">
                  <c:v>1818</c:v>
                </c:pt>
                <c:pt idx="4">
                  <c:v>220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Карта!$K$7:$K$15</c15:f>
                <c15:dlblRangeCache>
                  <c:ptCount val="9"/>
                  <c:pt idx="0">
                    <c:v>Яя</c:v>
                  </c:pt>
                  <c:pt idx="1">
                    <c:v>Ижморка</c:v>
                  </c:pt>
                  <c:pt idx="2">
                    <c:v>Почитанка</c:v>
                  </c:pt>
                  <c:pt idx="3">
                    <c:v>Колыон</c:v>
                  </c:pt>
                  <c:pt idx="4">
                    <c:v>Теплая речка</c:v>
                  </c:pt>
                  <c:pt idx="5">
                    <c:v>Святославка</c:v>
                  </c:pt>
                  <c:pt idx="6">
                    <c:v>Новославянка</c:v>
                  </c:pt>
                  <c:pt idx="7">
                    <c:v>Новониколаевка</c:v>
                  </c:pt>
                  <c:pt idx="8">
                    <c:v>Островка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02464880"/>
        <c:axId val="302458608"/>
      </c:bubbleChart>
      <c:valAx>
        <c:axId val="302464880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302458608"/>
        <c:crosses val="autoZero"/>
        <c:crossBetween val="midCat"/>
      </c:valAx>
      <c:valAx>
        <c:axId val="302458608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2464880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пекарни.xlsx]Заказчики!Заказчики</c:name>
    <c:fmtId val="4"/>
  </c:pivotSource>
  <c:chart>
    <c:title>
      <c:tx>
        <c:strRef>
          <c:f>Заказчики!$B$2</c:f>
          <c:strCache>
            <c:ptCount val="1"/>
            <c:pt idx="0">
              <c:v>ЗАКАЗЧИКИ,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Заказчики!$B$2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Заказчики!$B$2</c:f>
              <c:strCache>
                <c:ptCount val="17"/>
                <c:pt idx="0">
                  <c:v>Школа №1</c:v>
                </c:pt>
                <c:pt idx="1">
                  <c:v>Водитель</c:v>
                </c:pt>
                <c:pt idx="2">
                  <c:v>Школа №3</c:v>
                </c:pt>
                <c:pt idx="3">
                  <c:v>Магазин</c:v>
                </c:pt>
                <c:pt idx="4">
                  <c:v>ПО Ижморское "Ижморочка"</c:v>
                </c:pt>
                <c:pt idx="5">
                  <c:v>ИП Корнев Н.Г.</c:v>
                </c:pt>
                <c:pt idx="6">
                  <c:v>ИП Везнер Е.В.</c:v>
                </c:pt>
                <c:pt idx="7">
                  <c:v>Почитанка</c:v>
                </c:pt>
                <c:pt idx="8">
                  <c:v>Магазин "У Ксюши"</c:v>
                </c:pt>
                <c:pt idx="9">
                  <c:v>ИП Лоскутникова Н.В.</c:v>
                </c:pt>
                <c:pt idx="10">
                  <c:v>Школа Теплая речка</c:v>
                </c:pt>
                <c:pt idx="11">
                  <c:v>Тельмана</c:v>
                </c:pt>
                <c:pt idx="12">
                  <c:v>Магазин "Эконом"</c:v>
                </c:pt>
                <c:pt idx="13">
                  <c:v>Д/с Колыон</c:v>
                </c:pt>
                <c:pt idx="14">
                  <c:v>Д/с Гнездышко</c:v>
                </c:pt>
                <c:pt idx="15">
                  <c:v>Школа Колыон</c:v>
                </c:pt>
                <c:pt idx="16">
                  <c:v>Взяли себе</c:v>
                </c:pt>
              </c:strCache>
            </c:strRef>
          </c:cat>
          <c:val>
            <c:numRef>
              <c:f>Заказчики!$B$2</c:f>
              <c:numCache>
                <c:formatCode>#,##0.00</c:formatCode>
                <c:ptCount val="17"/>
                <c:pt idx="0">
                  <c:v>6455</c:v>
                </c:pt>
                <c:pt idx="1">
                  <c:v>3725</c:v>
                </c:pt>
                <c:pt idx="2">
                  <c:v>3038</c:v>
                </c:pt>
                <c:pt idx="3">
                  <c:v>2329</c:v>
                </c:pt>
                <c:pt idx="4">
                  <c:v>1635</c:v>
                </c:pt>
                <c:pt idx="5">
                  <c:v>1508</c:v>
                </c:pt>
                <c:pt idx="6">
                  <c:v>1045</c:v>
                </c:pt>
                <c:pt idx="7">
                  <c:v>1017</c:v>
                </c:pt>
                <c:pt idx="8">
                  <c:v>1000</c:v>
                </c:pt>
                <c:pt idx="9">
                  <c:v>456</c:v>
                </c:pt>
                <c:pt idx="10">
                  <c:v>220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150</c:v>
                </c:pt>
                <c:pt idx="1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024448"/>
        <c:axId val="252024832"/>
      </c:barChart>
      <c:catAx>
        <c:axId val="252024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024832"/>
        <c:crosses val="autoZero"/>
        <c:auto val="1"/>
        <c:lblAlgn val="ctr"/>
        <c:lblOffset val="100"/>
        <c:noMultiLvlLbl val="0"/>
      </c:catAx>
      <c:valAx>
        <c:axId val="252024832"/>
        <c:scaling>
          <c:orientation val="minMax"/>
        </c:scaling>
        <c:delete val="0"/>
        <c:axPos val="t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0244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пекарни.xlsx]Топ-10 товаров!ТОП-10</c:name>
    <c:fmtId val="5"/>
  </c:pivotSource>
  <c:chart>
    <c:title>
      <c:tx>
        <c:strRef>
          <c:f>'Топ-10 товаров'!$B$2</c:f>
          <c:strCache>
            <c:ptCount val="1"/>
            <c:pt idx="0">
              <c:v>ТОП-10 ТОВАРОВ,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'Топ-10 товаров'!$B$2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'Топ-10 товаров'!$B$2</c:f>
              <c:strCache>
                <c:ptCount val="10"/>
                <c:pt idx="0">
                  <c:v>Сочень Песочный</c:v>
                </c:pt>
                <c:pt idx="1">
                  <c:v>Сухарь Осенний</c:v>
                </c:pt>
                <c:pt idx="2">
                  <c:v>Хлеб "ржано-пшеничный" </c:v>
                </c:pt>
                <c:pt idx="3">
                  <c:v>Хлеб белый 1 сорт</c:v>
                </c:pt>
                <c:pt idx="4">
                  <c:v>Хлеб "Ромашка"</c:v>
                </c:pt>
                <c:pt idx="5">
                  <c:v>Блины</c:v>
                </c:pt>
                <c:pt idx="6">
                  <c:v>Булочка "Джемка"</c:v>
                </c:pt>
                <c:pt idx="7">
                  <c:v>Чебурек</c:v>
                </c:pt>
                <c:pt idx="8">
                  <c:v>Пирог</c:v>
                </c:pt>
                <c:pt idx="9">
                  <c:v>Хлеб "Датский"</c:v>
                </c:pt>
              </c:strCache>
            </c:strRef>
          </c:cat>
          <c:val>
            <c:numRef>
              <c:f>'Топ-10 товаров'!$B$2</c:f>
              <c:numCache>
                <c:formatCode>#,##0.00</c:formatCode>
                <c:ptCount val="10"/>
                <c:pt idx="0">
                  <c:v>6745</c:v>
                </c:pt>
                <c:pt idx="1">
                  <c:v>2700</c:v>
                </c:pt>
                <c:pt idx="2">
                  <c:v>2349</c:v>
                </c:pt>
                <c:pt idx="3">
                  <c:v>1998</c:v>
                </c:pt>
                <c:pt idx="4">
                  <c:v>1426</c:v>
                </c:pt>
                <c:pt idx="5">
                  <c:v>1280</c:v>
                </c:pt>
                <c:pt idx="6">
                  <c:v>1000</c:v>
                </c:pt>
                <c:pt idx="7">
                  <c:v>900</c:v>
                </c:pt>
                <c:pt idx="8">
                  <c:v>900</c:v>
                </c:pt>
                <c:pt idx="9">
                  <c:v>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356832"/>
        <c:axId val="253357216"/>
      </c:barChart>
      <c:catAx>
        <c:axId val="253356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57216"/>
        <c:crosses val="autoZero"/>
        <c:auto val="1"/>
        <c:lblAlgn val="ctr"/>
        <c:lblOffset val="100"/>
        <c:noMultiLvlLbl val="0"/>
      </c:catAx>
      <c:valAx>
        <c:axId val="253357216"/>
        <c:scaling>
          <c:orientation val="minMax"/>
        </c:scaling>
        <c:delete val="0"/>
        <c:axPos val="t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568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[Автоматизация пекарни.xlsx]Выручка!ВЫРУЧКА</c:name>
    <c:fmtId val="19"/>
  </c:pivotSource>
  <c:chart>
    <c:title>
      <c:tx>
        <c:strRef>
          <c:f>Выручка!$B$2</c:f>
          <c:strCache>
            <c:ptCount val="1"/>
            <c:pt idx="0">
              <c:v>ВЫРУЧКА,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shade val="6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>
              <a:tint val="6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ru-RU"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Выручка!$B$2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Выручка!$B$2</c:f>
              <c:multiLvlStrCache>
                <c:ptCount val="5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Выручка!$B$2</c:f>
              <c:numCache>
                <c:formatCode>#,##0.00</c:formatCode>
                <c:ptCount val="5"/>
                <c:pt idx="0">
                  <c:v>5746</c:v>
                </c:pt>
                <c:pt idx="1">
                  <c:v>3928</c:v>
                </c:pt>
                <c:pt idx="2">
                  <c:v>7135</c:v>
                </c:pt>
                <c:pt idx="3">
                  <c:v>960</c:v>
                </c:pt>
                <c:pt idx="4">
                  <c:v>5579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53818832"/>
        <c:axId val="253819216"/>
      </c:barChart>
      <c:catAx>
        <c:axId val="25381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19216"/>
        <c:crosses val="autoZero"/>
        <c:auto val="1"/>
        <c:lblAlgn val="ctr"/>
        <c:lblOffset val="100"/>
        <c:noMultiLvlLbl val="0"/>
      </c:catAx>
      <c:valAx>
        <c:axId val="253819216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crossAx val="25381883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пекарни.xlsx]Направления!Заказчики</c:name>
    <c:fmtId val="9"/>
  </c:pivotSource>
  <c:chart>
    <c:title>
      <c:tx>
        <c:strRef>
          <c:f>Направления!$B$2</c:f>
          <c:strCache>
            <c:ptCount val="1"/>
            <c:pt idx="0">
              <c:v>НАПРАВЛЕНИЯ,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Направления!$B$2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Направления!$B$2</c:f>
              <c:strCache>
                <c:ptCount val="5"/>
                <c:pt idx="0">
                  <c:v>Школы и сады</c:v>
                </c:pt>
                <c:pt idx="1">
                  <c:v>Ижморка</c:v>
                </c:pt>
                <c:pt idx="2">
                  <c:v>Водитель</c:v>
                </c:pt>
                <c:pt idx="3">
                  <c:v>Яя</c:v>
                </c:pt>
                <c:pt idx="4">
                  <c:v>Колыон</c:v>
                </c:pt>
              </c:strCache>
            </c:strRef>
          </c:cat>
          <c:val>
            <c:numRef>
              <c:f>Направления!$B$2</c:f>
              <c:numCache>
                <c:formatCode>#,##0.00</c:formatCode>
                <c:ptCount val="5"/>
                <c:pt idx="0">
                  <c:v>10183</c:v>
                </c:pt>
                <c:pt idx="1">
                  <c:v>4108</c:v>
                </c:pt>
                <c:pt idx="2">
                  <c:v>3725</c:v>
                </c:pt>
                <c:pt idx="3">
                  <c:v>3504</c:v>
                </c:pt>
                <c:pt idx="4">
                  <c:v>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778552"/>
        <c:axId val="249776984"/>
      </c:barChart>
      <c:catAx>
        <c:axId val="249778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776984"/>
        <c:crosses val="autoZero"/>
        <c:auto val="1"/>
        <c:lblAlgn val="ctr"/>
        <c:lblOffset val="100"/>
        <c:noMultiLvlLbl val="0"/>
      </c:catAx>
      <c:valAx>
        <c:axId val="249776984"/>
        <c:scaling>
          <c:orientation val="minMax"/>
        </c:scaling>
        <c:delete val="0"/>
        <c:axPos val="t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7785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6927683350649015"/>
                  <c:y val="-5.596561550069832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73E130-C39B-4566-B295-07B6787F8A8A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981552609203765"/>
                      <c:h val="6.22656929004138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6.4610999902991059E-2"/>
                  <c:y val="6.0753699294513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D27B50-8DDF-4183-BECE-63DCF3AD0618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981552609203765"/>
                      <c:h val="6.22656929004138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6.3349362621794469E-2"/>
                  <c:y val="4.869903665940709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470D81-2759-4DBD-AE7D-AC138EA80CDD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981552609203765"/>
                      <c:h val="6.22656929004138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27361925715600144"/>
                  <c:y val="-4.126122762386719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BF590D8-5DF7-4CE8-A154-496F5B82A650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981552609203765"/>
                      <c:h val="6.22656929004138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9400630260942761"/>
                  <c:y val="-3.092166666666670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779FA2-9CF5-4B47-B944-E83B899F8124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181818181818182"/>
                      <c:h val="6.6666666666666666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AD3B49-024D-4BDF-BA2A-C7F544024D3D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2.0163235174455972E-3"/>
                  <c:y val="-6.08762166673152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B140FE5-A7CB-4F12-A768-3E284D9D122B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276445525183998"/>
                      <c:h val="6.226569290041379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5.6911786730567571E-2"/>
                  <c:y val="6.150466776496430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4ADCF2-53BC-4906-A998-A610C1E70753}" type="CELLRANGE">
                      <a:rPr lang="ru-RU"/>
                      <a:pPr>
                        <a:defRPr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165767076779024"/>
                      <c:h val="6.66588834550541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D9F03B-A9EA-4310-B173-62FE0BACA04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Карта!$H$7:$H$15</c:f>
              <c:numCache>
                <c:formatCode>General</c:formatCode>
                <c:ptCount val="9"/>
                <c:pt idx="0">
                  <c:v>45</c:v>
                </c:pt>
                <c:pt idx="1">
                  <c:v>55</c:v>
                </c:pt>
                <c:pt idx="2">
                  <c:v>60</c:v>
                </c:pt>
                <c:pt idx="3">
                  <c:v>50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42</c:v>
                </c:pt>
                <c:pt idx="8">
                  <c:v>68</c:v>
                </c:pt>
              </c:numCache>
            </c:numRef>
          </c:xVal>
          <c:yVal>
            <c:numRef>
              <c:f>Карта!$I$7:$I$15</c:f>
              <c:numCache>
                <c:formatCode>General</c:formatCode>
                <c:ptCount val="9"/>
                <c:pt idx="0">
                  <c:v>55</c:v>
                </c:pt>
                <c:pt idx="1">
                  <c:v>54</c:v>
                </c:pt>
                <c:pt idx="2">
                  <c:v>68</c:v>
                </c:pt>
                <c:pt idx="3">
                  <c:v>77</c:v>
                </c:pt>
                <c:pt idx="4">
                  <c:v>65</c:v>
                </c:pt>
                <c:pt idx="5">
                  <c:v>75</c:v>
                </c:pt>
                <c:pt idx="6">
                  <c:v>80</c:v>
                </c:pt>
                <c:pt idx="7">
                  <c:v>42</c:v>
                </c:pt>
                <c:pt idx="8">
                  <c:v>70</c:v>
                </c:pt>
              </c:numCache>
            </c:numRef>
          </c:yVal>
          <c:bubbleSize>
            <c:numRef>
              <c:f>Карта!$J$7:$J$15</c:f>
              <c:numCache>
                <c:formatCode>General</c:formatCode>
                <c:ptCount val="9"/>
                <c:pt idx="0">
                  <c:v>16722</c:v>
                </c:pt>
                <c:pt idx="1">
                  <c:v>3091</c:v>
                </c:pt>
                <c:pt idx="2">
                  <c:v>1017</c:v>
                </c:pt>
                <c:pt idx="3">
                  <c:v>1818</c:v>
                </c:pt>
                <c:pt idx="4">
                  <c:v>220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Карта!$K$7:$K$15</c15:f>
                <c15:dlblRangeCache>
                  <c:ptCount val="9"/>
                  <c:pt idx="0">
                    <c:v>Яя</c:v>
                  </c:pt>
                  <c:pt idx="1">
                    <c:v>Ижморка</c:v>
                  </c:pt>
                  <c:pt idx="2">
                    <c:v>Почитанка</c:v>
                  </c:pt>
                  <c:pt idx="3">
                    <c:v>Колыон</c:v>
                  </c:pt>
                  <c:pt idx="4">
                    <c:v>Теплая речка</c:v>
                  </c:pt>
                  <c:pt idx="5">
                    <c:v>Святославка</c:v>
                  </c:pt>
                  <c:pt idx="6">
                    <c:v>Новославянка</c:v>
                  </c:pt>
                  <c:pt idx="7">
                    <c:v>Новониколаевка</c:v>
                  </c:pt>
                  <c:pt idx="8">
                    <c:v>Островка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53851920"/>
        <c:axId val="253850352"/>
      </c:bubbleChart>
      <c:valAx>
        <c:axId val="253851920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53850352"/>
        <c:crosses val="autoZero"/>
        <c:crossBetween val="midCat"/>
      </c:valAx>
      <c:valAx>
        <c:axId val="253850352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53851920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 sz="1400" i="1"/>
              <a:t>Итого за текущий год, тыс.руб</a:t>
            </a:r>
            <a:r>
              <a:rPr lang="ru-RU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'Ежемесячный отчет'!$O$3</c:f>
              <c:strCache>
                <c:ptCount val="1"/>
                <c:pt idx="0">
                  <c:v>Итого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'Ежемесячный отчет'!$B$4:$B$6</c15:sqref>
                  </c15:fullRef>
                </c:ext>
              </c:extLst>
              <c:f>'Ежемесячный отчет'!$B$4:$B$5</c:f>
              <c:strCache>
                <c:ptCount val="2"/>
                <c:pt idx="0">
                  <c:v>Доходы</c:v>
                </c:pt>
                <c:pt idx="1">
                  <c:v>Расходы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'Ежемесячный отчет'!$O$4:$O$6</c15:sqref>
                  </c15:fullRef>
                </c:ext>
              </c:extLst>
              <c:f>'Ежемесячный отчет'!$O$4:$O$5</c:f>
              <c:numCache>
                <c:formatCode>_(* #,##0.00_);_(* \(#,##0.00\);_(* "-"??_);_(@_)</c:formatCode>
                <c:ptCount val="2"/>
                <c:pt idx="0">
                  <c:v>23348</c:v>
                </c:pt>
                <c:pt idx="1">
                  <c:v>34550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53852704"/>
        <c:axId val="253845648"/>
      </c:barChart>
      <c:catAx>
        <c:axId val="2538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45648"/>
        <c:crosses val="autoZero"/>
        <c:auto val="1"/>
        <c:lblAlgn val="ctr"/>
        <c:lblOffset val="100"/>
        <c:noMultiLvlLbl val="0"/>
      </c:catAx>
      <c:valAx>
        <c:axId val="25384564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527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[Автоматизация пекарни.xlsx]Выручка!ВЫРУЧКА</c:name>
    <c:fmtId val="12"/>
  </c:pivotSource>
  <c:chart>
    <c:title>
      <c:tx>
        <c:strRef>
          <c:f>Выручка!$B$2</c:f>
          <c:strCache>
            <c:ptCount val="1"/>
            <c:pt idx="0">
              <c:v>ВЫРУЧКА,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shade val="6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>
              <a:tint val="6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8"/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ru-RU"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Выручка!$B$2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Выручка!$B$2</c:f>
              <c:multiLvlStrCache>
                <c:ptCount val="5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Выручка!$B$2</c:f>
              <c:numCache>
                <c:formatCode>#,##0.00</c:formatCode>
                <c:ptCount val="5"/>
                <c:pt idx="0">
                  <c:v>5746</c:v>
                </c:pt>
                <c:pt idx="1">
                  <c:v>3928</c:v>
                </c:pt>
                <c:pt idx="2">
                  <c:v>7135</c:v>
                </c:pt>
                <c:pt idx="3">
                  <c:v>960</c:v>
                </c:pt>
                <c:pt idx="4">
                  <c:v>5579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53846040"/>
        <c:axId val="253846824"/>
      </c:barChart>
      <c:catAx>
        <c:axId val="25384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46824"/>
        <c:crosses val="autoZero"/>
        <c:auto val="1"/>
        <c:lblAlgn val="ctr"/>
        <c:lblOffset val="100"/>
        <c:noMultiLvlLbl val="0"/>
      </c:catAx>
      <c:valAx>
        <c:axId val="253846824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crossAx val="2538460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[Автоматизация пекарни.xlsx]Категории!Категории</c:name>
    <c:fmtId val="1"/>
  </c:pivotSource>
  <c:chart>
    <c:title>
      <c:tx>
        <c:strRef>
          <c:f>Категории!$B$2</c:f>
          <c:strCache>
            <c:ptCount val="1"/>
            <c:pt idx="0">
              <c:v>КАТЕГОРИИ ТОВАРОВ, тыс.руб.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Категории!$B$2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Категории!$B$2</c:f>
              <c:strCache>
                <c:ptCount val="4"/>
                <c:pt idx="0">
                  <c:v>Хлеб</c:v>
                </c:pt>
                <c:pt idx="1">
                  <c:v>Булочки</c:v>
                </c:pt>
                <c:pt idx="2">
                  <c:v>Другое</c:v>
                </c:pt>
                <c:pt idx="3">
                  <c:v>Сухарь</c:v>
                </c:pt>
              </c:strCache>
            </c:strRef>
          </c:cat>
          <c:val>
            <c:numRef>
              <c:f>Категории!$B$2</c:f>
              <c:numCache>
                <c:formatCode>#,##0.00</c:formatCode>
                <c:ptCount val="4"/>
                <c:pt idx="0">
                  <c:v>8879</c:v>
                </c:pt>
                <c:pt idx="1">
                  <c:v>8539</c:v>
                </c:pt>
                <c:pt idx="2">
                  <c:v>3230</c:v>
                </c:pt>
                <c:pt idx="3">
                  <c:v>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848784"/>
        <c:axId val="253850744"/>
      </c:barChart>
      <c:catAx>
        <c:axId val="253848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50744"/>
        <c:crosses val="autoZero"/>
        <c:auto val="1"/>
        <c:lblAlgn val="ctr"/>
        <c:lblOffset val="100"/>
        <c:noMultiLvlLbl val="0"/>
      </c:catAx>
      <c:valAx>
        <c:axId val="253850744"/>
        <c:scaling>
          <c:orientation val="minMax"/>
        </c:scaling>
        <c:delete val="0"/>
        <c:axPos val="t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48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538163</xdr:colOff>
      <xdr:row>1</xdr:row>
      <xdr:rowOff>123825</xdr:rowOff>
    </xdr:from>
    <xdr:to>
      <xdr:col>15</xdr:col>
      <xdr:colOff>120563</xdr:colOff>
      <xdr:row>14</xdr:row>
      <xdr:rowOff>167325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538163</xdr:colOff>
      <xdr:row>15</xdr:row>
      <xdr:rowOff>142875</xdr:rowOff>
    </xdr:from>
    <xdr:to>
      <xdr:col>15</xdr:col>
      <xdr:colOff>120563</xdr:colOff>
      <xdr:row>28</xdr:row>
      <xdr:rowOff>186375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561975</xdr:colOff>
      <xdr:row>29</xdr:row>
      <xdr:rowOff>171450</xdr:rowOff>
    </xdr:from>
    <xdr:to>
      <xdr:col>15</xdr:col>
      <xdr:colOff>144375</xdr:colOff>
      <xdr:row>43</xdr:row>
      <xdr:rowOff>24450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180975</xdr:colOff>
      <xdr:row>1</xdr:row>
      <xdr:rowOff>123825</xdr:rowOff>
    </xdr:from>
    <xdr:to>
      <xdr:col>9</xdr:col>
      <xdr:colOff>372975</xdr:colOff>
      <xdr:row>14</xdr:row>
      <xdr:rowOff>167325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57150</xdr:colOff>
      <xdr:row>25</xdr:row>
      <xdr:rowOff>41275</xdr:rowOff>
    </xdr:from>
    <xdr:to>
      <xdr:col>4</xdr:col>
      <xdr:colOff>28350</xdr:colOff>
      <xdr:row>36</xdr:row>
      <xdr:rowOff>105775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Заказчик 3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казчик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" y="4803775"/>
              <a:ext cx="180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37</xdr:row>
      <xdr:rowOff>0</xdr:rowOff>
    </xdr:from>
    <xdr:to>
      <xdr:col>4</xdr:col>
      <xdr:colOff>18825</xdr:colOff>
      <xdr:row>48</xdr:row>
      <xdr:rowOff>64500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Населенный пункт 1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селенный пункт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" y="7048500"/>
              <a:ext cx="180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57150</xdr:colOff>
      <xdr:row>13</xdr:row>
      <xdr:rowOff>82550</xdr:rowOff>
    </xdr:from>
    <xdr:to>
      <xdr:col>4</xdr:col>
      <xdr:colOff>28350</xdr:colOff>
      <xdr:row>24</xdr:row>
      <xdr:rowOff>147050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Направление 1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правление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" y="2559050"/>
              <a:ext cx="180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180975</xdr:colOff>
      <xdr:row>15</xdr:row>
      <xdr:rowOff>142875</xdr:rowOff>
    </xdr:from>
    <xdr:to>
      <xdr:col>9</xdr:col>
      <xdr:colOff>372975</xdr:colOff>
      <xdr:row>28</xdr:row>
      <xdr:rowOff>186375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15</xdr:col>
      <xdr:colOff>285748</xdr:colOff>
      <xdr:row>1</xdr:row>
      <xdr:rowOff>152400</xdr:rowOff>
    </xdr:from>
    <xdr:to>
      <xdr:col>24</xdr:col>
      <xdr:colOff>228600</xdr:colOff>
      <xdr:row>35</xdr:row>
      <xdr:rowOff>156731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66675</xdr:colOff>
      <xdr:row>1</xdr:row>
      <xdr:rowOff>123825</xdr:rowOff>
    </xdr:from>
    <xdr:to>
      <xdr:col>4</xdr:col>
      <xdr:colOff>37875</xdr:colOff>
      <xdr:row>12</xdr:row>
      <xdr:rowOff>188325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Дата 2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" y="314325"/>
              <a:ext cx="180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180975</xdr:colOff>
      <xdr:row>29</xdr:row>
      <xdr:rowOff>171450</xdr:rowOff>
    </xdr:from>
    <xdr:to>
      <xdr:col>9</xdr:col>
      <xdr:colOff>372975</xdr:colOff>
      <xdr:row>43</xdr:row>
      <xdr:rowOff>24450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171450</xdr:rowOff>
    </xdr:from>
    <xdr:to>
      <xdr:col>11</xdr:col>
      <xdr:colOff>171450</xdr:colOff>
      <xdr:row>15</xdr:row>
      <xdr:rowOff>57150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28575</xdr:rowOff>
    </xdr:from>
    <xdr:to>
      <xdr:col>11</xdr:col>
      <xdr:colOff>152400</xdr:colOff>
      <xdr:row>15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38100</xdr:rowOff>
    </xdr:from>
    <xdr:to>
      <xdr:col>11</xdr:col>
      <xdr:colOff>152400</xdr:colOff>
      <xdr:row>17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180975</xdr:rowOff>
    </xdr:from>
    <xdr:to>
      <xdr:col>11</xdr:col>
      <xdr:colOff>0</xdr:colOff>
      <xdr:row>17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57150</xdr:rowOff>
    </xdr:from>
    <xdr:to>
      <xdr:col>10</xdr:col>
      <xdr:colOff>533400</xdr:colOff>
      <xdr:row>15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24</xdr:row>
      <xdr:rowOff>47625</xdr:rowOff>
    </xdr:from>
    <xdr:to>
      <xdr:col>4</xdr:col>
      <xdr:colOff>1150719</xdr:colOff>
      <xdr:row>48</xdr:row>
      <xdr:rowOff>114301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2;&#1080;&#1090;&#1072;&#1083;&#1080;&#1081;\OneDrive\&#1056;&#1072;&#1073;&#1086;&#1095;&#1080;&#1081;%20&#1089;&#1090;&#1086;&#1083;\&#1060;&#1072;&#1082;&#1090;&#1091;&#1088;&#1099;%20&#1087;&#1077;&#1082;&#1072;&#1088;&#1085;&#1103;\&#1040;&#1074;&#1090;&#1086;&#1084;&#1072;&#1090;&#1080;&#1079;&#1072;&#1094;&#1080;&#1103;%20&#1087;&#1077;&#1082;&#1072;&#1088;&#1085;&#1080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2;&#1080;&#1090;&#1072;&#1083;&#1080;&#1081;\OneDrive\&#1056;&#1072;&#1073;&#1086;&#1095;&#1080;&#1081;%20&#1089;&#1090;&#1086;&#1083;\&#1060;&#1072;&#1082;&#1090;&#1091;&#1088;&#1099;%20&#1087;&#1077;&#1082;&#1072;&#1088;&#1085;&#1103;\&#1040;&#1074;&#1090;&#1086;&#1084;&#1072;&#1090;&#1080;&#1079;&#1072;&#1094;&#1080;&#1103;%20&#1087;&#1077;&#1082;&#1072;&#1088;&#1085;&#1080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2;&#1080;&#1090;&#1072;&#1083;&#1080;&#1081;\OneDrive\&#1056;&#1072;&#1073;&#1086;&#1095;&#1080;&#1081;%20&#1089;&#1090;&#1086;&#1083;\&#1060;&#1072;&#1082;&#1090;&#1091;&#1088;&#1099;%20&#1087;&#1077;&#1082;&#1072;&#1088;&#1085;&#1103;\&#1040;&#1074;&#1090;&#1086;&#1084;&#1072;&#1090;&#1080;&#1079;&#1072;&#1094;&#1080;&#1103;%20&#1087;&#1077;&#1082;&#1072;&#1088;&#1085;&#1080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946.666532986113" createdVersion="5" refreshedVersion="5" minRefreshableVersion="3" recordCount="11">
  <cacheSource type="worksheet">
    <worksheetSource name="Расходы" r:id="rId2"/>
  </cacheSource>
  <cacheFields count="10">
    <cacheField name="Дата" numFmtId="14">
      <sharedItems containsSemiMixedTypes="0" containsNonDate="0" containsDate="1" containsString="0" minDate="2023-01-11T00:00:00" maxDate="2023-05-06T00:00:00" count="4">
        <d v="2023-01-11T00:00:00"/>
        <d v="2023-02-01T00:00:00"/>
        <d v="2023-03-01T00:00:00"/>
        <d v="2023-05-05T00:00:00"/>
      </sharedItems>
      <fieldGroup base="0">
        <rangePr groupBy="months" startDate="2023-01-11T00:00:00" endDate="2023-05-06T00:00:00"/>
        <groupItems count="14">
          <s v="&lt;1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6.05.2023"/>
        </groupItems>
      </fieldGroup>
    </cacheField>
    <cacheField name="Месяц" numFmtId="1">
      <sharedItems containsSemiMixedTypes="0" containsString="0" containsNumber="1" containsInteger="1" minValue="1" maxValue="5" count="4">
        <n v="1"/>
        <n v="2"/>
        <n v="3"/>
        <n v="5"/>
      </sharedItems>
    </cacheField>
    <cacheField name="Год" numFmtId="1">
      <sharedItems containsSemiMixedTypes="0" containsString="0" containsNumber="1" containsInteger="1" minValue="2023" maxValue="2023"/>
    </cacheField>
    <cacheField name="Операция" numFmtId="0">
      <sharedItems/>
    </cacheField>
    <cacheField name="Наименование" numFmtId="0">
      <sharedItems/>
    </cacheField>
    <cacheField name="Категория расходов" numFmtId="0">
      <sharedItems count="7">
        <s v="Мука"/>
        <s v="Масло сливочное"/>
        <s v="Молоко"/>
        <s v="Начинка"/>
        <s v="Дрожжи"/>
        <s v="ГСМ"/>
        <s v="Заработная плата"/>
      </sharedItems>
    </cacheField>
    <cacheField name="Количество" numFmtId="0">
      <sharedItems containsSemiMixedTypes="0" containsString="0" containsNumber="1" containsInteger="1" minValue="2" maxValue="30"/>
    </cacheField>
    <cacheField name="Ед. изм." numFmtId="0">
      <sharedItems/>
    </cacheField>
    <cacheField name="Цена за ед." numFmtId="43">
      <sharedItems containsSemiMixedTypes="0" containsString="0" containsNumber="1" containsInteger="1" minValue="50" maxValue="500"/>
    </cacheField>
    <cacheField name="Итого" numFmtId="43">
      <sharedItems containsSemiMixedTypes="0" containsString="0" containsNumber="1" containsInteger="1" minValue="250" maxValue="1500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Автор" refreshedDate="44963.633690972223" createdVersion="5" refreshedVersion="5" minRefreshableVersion="3" recordCount="126">
  <cacheSource type="worksheet">
    <worksheetSource name="Заявки" r:id="rId2"/>
  </cacheSource>
  <cacheFields count="13">
    <cacheField name="Дата" numFmtId="14">
      <sharedItems containsSemiMixedTypes="0" containsNonDate="0" containsDate="1" containsString="0" minDate="2023-01-16T00:00:00" maxDate="2023-05-17T00:00:00" count="17">
        <d v="2023-01-16T00:00:00"/>
        <d v="2023-01-17T00:00:00"/>
        <d v="2023-01-18T00:00:00"/>
        <d v="2023-01-19T00:00:00"/>
        <d v="2023-02-01T00:00:00"/>
        <d v="2023-02-02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4-12T00:00:00"/>
        <d v="2023-04-14T00:00:00"/>
        <d v="2023-05-15T00:00:00"/>
        <d v="2023-05-16T00:00:00"/>
      </sharedItems>
    </cacheField>
    <cacheField name="Месяц" numFmtId="1">
      <sharedItems containsSemiMixedTypes="0" containsString="0" containsNumber="1" containsInteger="1" minValue="1" maxValue="5"/>
    </cacheField>
    <cacheField name="Год" numFmtId="1">
      <sharedItems containsSemiMixedTypes="0" containsString="0" containsNumber="1" containsInteger="1" minValue="2023" maxValue="2023"/>
    </cacheField>
    <cacheField name="Операция" numFmtId="14">
      <sharedItems/>
    </cacheField>
    <cacheField name="Заказчик" numFmtId="0">
      <sharedItems count="17">
        <s v="Почитанка"/>
        <s v="ИП Корнев Н.Г."/>
        <s v="ИП Лоскутникова Н.В."/>
        <s v="ИП Везнер Е.В."/>
        <s v="Школа №3"/>
        <s v="Школа Теплая речка"/>
        <s v="Водитель"/>
        <s v="ПО Ижморское &quot;Ижморочка&quot;"/>
        <s v="Школа №1"/>
        <s v="Магазин"/>
        <s v="Взяли себе"/>
        <s v="Школа Колыон"/>
        <s v="Д/с Гнездышко"/>
        <s v="Тельмана"/>
        <s v="Магазин &quot;Эконом&quot;"/>
        <s v="Д/с Колыон"/>
        <s v="Магазин &quot;У Ксюши&quot;"/>
      </sharedItems>
    </cacheField>
    <cacheField name="Оплата" numFmtId="14">
      <sharedItems/>
    </cacheField>
    <cacheField name="Населенный пункт" numFmtId="0">
      <sharedItems/>
    </cacheField>
    <cacheField name="Направление" numFmtId="0">
      <sharedItems count="5">
        <s v="Ижморка"/>
        <s v="Колыон"/>
        <s v="Яя"/>
        <s v="Школы и сады"/>
        <s v="Водитель"/>
      </sharedItems>
    </cacheField>
    <cacheField name="Наименование" numFmtId="0">
      <sharedItems count="18">
        <s v="Хлеб фитнес"/>
        <s v="Хлеб ржано-пшеничный "/>
        <s v="Хлеб &quot;Датский&quot;"/>
        <s v="Хлеб &quot;ржано-пшеничный&quot; "/>
        <s v="Хлеб белый 1 сорт"/>
        <s v="Плетенка"/>
        <s v="Пирог"/>
        <s v="Хлеб &quot;Ромашка&quot;"/>
        <s v="Кулич 350 гр."/>
        <s v="Булочка &quot;творог изюм&quot;"/>
        <s v="Хлеб &quot;белый&quot; 1 сорт"/>
        <s v="Сочень Песочный"/>
        <s v="Чебурек"/>
        <s v="Хлеб ржано-пшеничный!"/>
        <s v="Блины"/>
        <s v="Лепешка &quot;Сырная&quot;"/>
        <s v="Булочка &quot;Джемка&quot;"/>
        <s v="Сухарь Осенний"/>
      </sharedItems>
    </cacheField>
    <cacheField name="Категория" numFmtId="0">
      <sharedItems/>
    </cacheField>
    <cacheField name="Количество, шт." numFmtId="0">
      <sharedItems containsSemiMixedTypes="0" containsString="0" containsNumber="1" containsInteger="1" minValue="1" maxValue="100"/>
    </cacheField>
    <cacheField name="Цена за шт." numFmtId="2">
      <sharedItems containsSemiMixedTypes="0" containsString="0" containsNumber="1" containsInteger="1" minValue="16" maxValue="180"/>
    </cacheField>
    <cacheField name="Стоимость, руб." numFmtId="2">
      <sharedItems containsSemiMixedTypes="0" containsString="0" containsNumber="1" containsInteger="1" minValue="19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Автор" refreshedDate="44963.633691435185" createdVersion="5" refreshedVersion="5" minRefreshableVersion="3" recordCount="126">
  <cacheSource type="worksheet">
    <worksheetSource name="Заявки" r:id="rId2"/>
  </cacheSource>
  <cacheFields count="14">
    <cacheField name="Дата" numFmtId="14">
      <sharedItems containsSemiMixedTypes="0" containsNonDate="0" containsDate="1" containsString="0" minDate="2023-01-16T00:00:00" maxDate="2023-05-17T00:00:00" count="17">
        <d v="2023-01-16T00:00:00"/>
        <d v="2023-01-17T00:00:00"/>
        <d v="2023-01-18T00:00:00"/>
        <d v="2023-01-19T00:00:00"/>
        <d v="2023-02-01T00:00:00"/>
        <d v="2023-02-02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4-12T00:00:00"/>
        <d v="2023-04-14T00:00:00"/>
        <d v="2023-05-15T00:00:00"/>
        <d v="2023-05-16T00:00:00"/>
      </sharedItems>
      <fieldGroup par="13" base="0">
        <rangePr groupBy="months" startDate="2023-01-16T00:00:00" endDate="2023-05-17T00:00:00"/>
        <groupItems count="14">
          <s v="&lt;16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7.05.2023"/>
        </groupItems>
      </fieldGroup>
    </cacheField>
    <cacheField name="Месяц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Год" numFmtId="1">
      <sharedItems containsSemiMixedTypes="0" containsString="0" containsNumber="1" containsInteger="1" minValue="2023" maxValue="2024" count="2">
        <n v="2023"/>
        <n v="2024" u="1"/>
      </sharedItems>
    </cacheField>
    <cacheField name="Операция" numFmtId="14">
      <sharedItems/>
    </cacheField>
    <cacheField name="Заказчик" numFmtId="0">
      <sharedItems containsBlank="1" count="21">
        <s v="Почитанка"/>
        <s v="ИП Корнев Н.Г."/>
        <s v="ИП Лоскутникова Н.В."/>
        <s v="ИП Везнер Е.В."/>
        <s v="Школа №3"/>
        <s v="Школа Теплая речка"/>
        <s v="Водитель"/>
        <s v="ПО Ижморское &quot;Ижморочка&quot;"/>
        <s v="Школа №1"/>
        <s v="Магазин"/>
        <s v="Взяли себе"/>
        <s v="Школа Колыон"/>
        <s v="Д/с Гнездышко"/>
        <s v="Тельмана"/>
        <s v="Магазин &quot;Эконом&quot;"/>
        <s v="Д/с Колыон"/>
        <s v="Магазин &quot;У Ксюши&quot;"/>
        <m u="1"/>
        <s v="Детский сад" u="1"/>
        <s v="Школа" u="1"/>
        <s v="Магазин &quot;Перекресток&quot;" u="1"/>
      </sharedItems>
    </cacheField>
    <cacheField name="Оплата" numFmtId="14">
      <sharedItems/>
    </cacheField>
    <cacheField name="Населенный пункт" numFmtId="0">
      <sharedItems count="9">
        <s v="Почитанка"/>
        <s v="Колыон"/>
        <s v="Ижморка"/>
        <s v="Яя"/>
        <s v="Теплая речка"/>
        <s v="Святославка"/>
        <s v="Новославянка"/>
        <s v="Новониколаевка"/>
        <e v="#N/A" u="1"/>
      </sharedItems>
    </cacheField>
    <cacheField name="Направление" numFmtId="0">
      <sharedItems count="6">
        <s v="Ижморка"/>
        <s v="Колыон"/>
        <s v="Яя"/>
        <s v="Школы и сады"/>
        <s v="Водитель"/>
        <e v="#N/A" u="1"/>
      </sharedItems>
    </cacheField>
    <cacheField name="Наименование" numFmtId="0">
      <sharedItems containsBlank="1" count="22">
        <s v="Хлеб фитнес"/>
        <s v="Хлеб ржано-пшеничный "/>
        <s v="Хлеб &quot;Датский&quot;"/>
        <s v="Хлеб &quot;ржано-пшеничный&quot; "/>
        <s v="Хлеб белый 1 сорт"/>
        <s v="Плетенка"/>
        <s v="Пирог"/>
        <s v="Хлеб &quot;Ромашка&quot;"/>
        <s v="Кулич 350 гр."/>
        <s v="Булочка &quot;творог изюм&quot;"/>
        <s v="Хлеб &quot;белый&quot; 1 сорт"/>
        <s v="Сочень Песочный"/>
        <s v="Чебурек"/>
        <s v="Хлеб ржано-пшеничный!"/>
        <s v="Блины"/>
        <s v="Лепешка &quot;Сырная&quot;"/>
        <s v="Булочка &quot;Джемка&quot;"/>
        <s v="Сухарь Осенний"/>
        <m u="1"/>
        <s v="Сосиска в тесте" u="1"/>
        <s v="Хлеб Чемпион" u="1"/>
        <s v="Хлеб &quot;Бородино!&quot;" u="1"/>
      </sharedItems>
    </cacheField>
    <cacheField name="Категория" numFmtId="0">
      <sharedItems count="5">
        <s v="Хлеб"/>
        <s v="Булочки"/>
        <s v="Другое"/>
        <s v="Сухарь"/>
        <e v="#N/A" u="1"/>
      </sharedItems>
    </cacheField>
    <cacheField name="Количество, шт." numFmtId="0">
      <sharedItems containsSemiMixedTypes="0" containsString="0" containsNumber="1" containsInteger="1" minValue="1" maxValue="100"/>
    </cacheField>
    <cacheField name="Цена за шт." numFmtId="2">
      <sharedItems containsSemiMixedTypes="0" containsString="0" containsNumber="1" containsInteger="1" minValue="16" maxValue="180"/>
    </cacheField>
    <cacheField name="Стоимость, руб." numFmtId="2">
      <sharedItems containsSemiMixedTypes="0" containsString="0" containsNumber="1" containsInteger="1" minValue="19" maxValue="2700"/>
    </cacheField>
    <cacheField name="Годы" numFmtId="0" databaseField="0">
      <fieldGroup base="0">
        <rangePr groupBy="years" startDate="2023-01-16T00:00:00" endDate="2023-05-17T00:00:00"/>
        <groupItems count="3">
          <s v="&lt;16.01.2023"/>
          <s v="2023"/>
          <s v="&gt;17.05.2023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n v="2023"/>
    <s v="Расходы"/>
    <s v="Мука высший сорт"/>
    <x v="0"/>
    <n v="30"/>
    <s v="кг"/>
    <n v="500"/>
    <n v="15000"/>
  </r>
  <r>
    <x v="0"/>
    <x v="0"/>
    <n v="2023"/>
    <s v="Расходы"/>
    <s v="Масло сливочное"/>
    <x v="1"/>
    <n v="3"/>
    <s v="кг"/>
    <n v="100"/>
    <n v="300"/>
  </r>
  <r>
    <x v="0"/>
    <x v="0"/>
    <n v="2023"/>
    <s v="Расходы"/>
    <s v="Молоко"/>
    <x v="2"/>
    <n v="5"/>
    <s v="л"/>
    <n v="50"/>
    <n v="250"/>
  </r>
  <r>
    <x v="0"/>
    <x v="0"/>
    <n v="2023"/>
    <s v="Расходы"/>
    <s v="Джем"/>
    <x v="3"/>
    <n v="2"/>
    <s v="кг"/>
    <n v="200"/>
    <n v="400"/>
  </r>
  <r>
    <x v="0"/>
    <x v="0"/>
    <n v="2023"/>
    <s v="Расходы"/>
    <s v="Дрожжи сырые"/>
    <x v="4"/>
    <n v="3"/>
    <s v="кг"/>
    <n v="150"/>
    <n v="450"/>
  </r>
  <r>
    <x v="0"/>
    <x v="0"/>
    <n v="2023"/>
    <s v="Расходы"/>
    <s v="ГСМ"/>
    <x v="5"/>
    <n v="15"/>
    <s v="л"/>
    <n v="55"/>
    <n v="825"/>
  </r>
  <r>
    <x v="1"/>
    <x v="1"/>
    <n v="2023"/>
    <s v="Расходы"/>
    <s v="Мука высший сорт"/>
    <x v="0"/>
    <n v="15"/>
    <s v="кг"/>
    <n v="500"/>
    <n v="7500"/>
  </r>
  <r>
    <x v="1"/>
    <x v="1"/>
    <n v="2023"/>
    <s v="Расходы"/>
    <s v="Мука высший сорт"/>
    <x v="0"/>
    <n v="10"/>
    <s v="кг"/>
    <n v="500"/>
    <n v="5000"/>
  </r>
  <r>
    <x v="1"/>
    <x v="1"/>
    <n v="2023"/>
    <s v="Расходы"/>
    <s v="Заработная плата"/>
    <x v="6"/>
    <n v="5"/>
    <s v="руб./час."/>
    <n v="200"/>
    <n v="1000"/>
  </r>
  <r>
    <x v="2"/>
    <x v="2"/>
    <n v="2023"/>
    <s v="Расходы"/>
    <s v="Заработная плата"/>
    <x v="6"/>
    <n v="10"/>
    <s v="руб./час."/>
    <n v="250"/>
    <n v="2500"/>
  </r>
  <r>
    <x v="3"/>
    <x v="3"/>
    <n v="2023"/>
    <s v="Расходы"/>
    <s v="ГСМ"/>
    <x v="5"/>
    <n v="15"/>
    <s v="л"/>
    <n v="5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n v="1"/>
    <n v="2023"/>
    <s v="Доходы"/>
    <x v="0"/>
    <s v="Наличными"/>
    <s v="Почитанка"/>
    <x v="0"/>
    <x v="0"/>
    <s v="Хлеб"/>
    <n v="2"/>
    <n v="26"/>
    <n v="52"/>
  </r>
  <r>
    <x v="0"/>
    <n v="1"/>
    <n v="2023"/>
    <s v="Доходы"/>
    <x v="1"/>
    <s v="Наличными"/>
    <s v="Колыон"/>
    <x v="1"/>
    <x v="1"/>
    <s v="Хлеб"/>
    <n v="3"/>
    <n v="23"/>
    <n v="69"/>
  </r>
  <r>
    <x v="0"/>
    <n v="1"/>
    <n v="2023"/>
    <s v="Доходы"/>
    <x v="2"/>
    <s v="Наличными"/>
    <s v="Ижморка"/>
    <x v="0"/>
    <x v="2"/>
    <s v="Хлеб"/>
    <n v="5"/>
    <n v="19"/>
    <n v="95"/>
  </r>
  <r>
    <x v="0"/>
    <n v="1"/>
    <n v="2023"/>
    <s v="Доходы"/>
    <x v="0"/>
    <s v="Наличными"/>
    <s v="Почитанка"/>
    <x v="0"/>
    <x v="0"/>
    <s v="Хлеб"/>
    <n v="3"/>
    <n v="26"/>
    <n v="78"/>
  </r>
  <r>
    <x v="0"/>
    <n v="1"/>
    <n v="2023"/>
    <s v="Доходы"/>
    <x v="3"/>
    <s v="Наличными"/>
    <s v="Яя"/>
    <x v="2"/>
    <x v="1"/>
    <s v="Хлеб"/>
    <n v="5"/>
    <n v="23"/>
    <n v="115"/>
  </r>
  <r>
    <x v="0"/>
    <n v="1"/>
    <n v="2023"/>
    <s v="Доходы"/>
    <x v="2"/>
    <s v="Наличными"/>
    <s v="Ижморка"/>
    <x v="0"/>
    <x v="2"/>
    <s v="Хлеб"/>
    <n v="3"/>
    <n v="19"/>
    <n v="57"/>
  </r>
  <r>
    <x v="0"/>
    <n v="1"/>
    <n v="2023"/>
    <s v="Доходы"/>
    <x v="3"/>
    <s v="Наличными"/>
    <s v="Яя"/>
    <x v="2"/>
    <x v="3"/>
    <s v="Хлеб"/>
    <n v="2"/>
    <n v="29"/>
    <n v="58"/>
  </r>
  <r>
    <x v="0"/>
    <n v="1"/>
    <n v="2023"/>
    <s v="Доходы"/>
    <x v="0"/>
    <s v="Наличными"/>
    <s v="Почитанка"/>
    <x v="0"/>
    <x v="4"/>
    <s v="Хлеб"/>
    <n v="1"/>
    <n v="27"/>
    <n v="27"/>
  </r>
  <r>
    <x v="0"/>
    <n v="1"/>
    <n v="2023"/>
    <s v="Доходы"/>
    <x v="0"/>
    <s v="Наличными"/>
    <s v="Почитанка"/>
    <x v="0"/>
    <x v="0"/>
    <s v="Хлеб"/>
    <n v="2"/>
    <n v="26"/>
    <n v="52"/>
  </r>
  <r>
    <x v="1"/>
    <n v="1"/>
    <n v="2023"/>
    <s v="Доходы"/>
    <x v="1"/>
    <s v="Наличными"/>
    <s v="Колыон"/>
    <x v="1"/>
    <x v="1"/>
    <s v="Хлеб"/>
    <n v="3"/>
    <n v="23"/>
    <n v="69"/>
  </r>
  <r>
    <x v="1"/>
    <n v="1"/>
    <n v="2023"/>
    <s v="Доходы"/>
    <x v="2"/>
    <s v="Наличными"/>
    <s v="Ижморка"/>
    <x v="0"/>
    <x v="2"/>
    <s v="Хлеб"/>
    <n v="5"/>
    <n v="19"/>
    <n v="95"/>
  </r>
  <r>
    <x v="1"/>
    <n v="1"/>
    <n v="2023"/>
    <s v="Доходы"/>
    <x v="0"/>
    <s v="Наличными"/>
    <s v="Почитанка"/>
    <x v="0"/>
    <x v="0"/>
    <s v="Хлеб"/>
    <n v="3"/>
    <n v="26"/>
    <n v="78"/>
  </r>
  <r>
    <x v="1"/>
    <n v="1"/>
    <n v="2023"/>
    <s v="Доходы"/>
    <x v="3"/>
    <s v="Наличными"/>
    <s v="Яя"/>
    <x v="2"/>
    <x v="1"/>
    <s v="Хлеб"/>
    <n v="5"/>
    <n v="23"/>
    <n v="115"/>
  </r>
  <r>
    <x v="1"/>
    <n v="1"/>
    <n v="2023"/>
    <s v="Доходы"/>
    <x v="2"/>
    <s v="Наличными"/>
    <s v="Ижморка"/>
    <x v="0"/>
    <x v="2"/>
    <s v="Хлеб"/>
    <n v="3"/>
    <n v="19"/>
    <n v="57"/>
  </r>
  <r>
    <x v="1"/>
    <n v="1"/>
    <n v="2023"/>
    <s v="Доходы"/>
    <x v="3"/>
    <s v="Наличными"/>
    <s v="Яя"/>
    <x v="2"/>
    <x v="3"/>
    <s v="Хлеб"/>
    <n v="2"/>
    <n v="29"/>
    <n v="58"/>
  </r>
  <r>
    <x v="1"/>
    <n v="1"/>
    <n v="2023"/>
    <s v="Доходы"/>
    <x v="0"/>
    <s v="Наличными"/>
    <s v="Почитанка"/>
    <x v="0"/>
    <x v="4"/>
    <s v="Хлеб"/>
    <n v="1"/>
    <n v="27"/>
    <n v="27"/>
  </r>
  <r>
    <x v="1"/>
    <n v="1"/>
    <n v="2023"/>
    <s v="Доходы"/>
    <x v="3"/>
    <s v="Наличными"/>
    <s v="Яя"/>
    <x v="2"/>
    <x v="3"/>
    <s v="Хлеб"/>
    <n v="2"/>
    <n v="29"/>
    <n v="58"/>
  </r>
  <r>
    <x v="1"/>
    <n v="1"/>
    <n v="2023"/>
    <s v="Доходы"/>
    <x v="4"/>
    <s v="Безналичная"/>
    <s v="Яя"/>
    <x v="3"/>
    <x v="2"/>
    <s v="Хлеб"/>
    <n v="5"/>
    <n v="19"/>
    <n v="95"/>
  </r>
  <r>
    <x v="1"/>
    <n v="1"/>
    <n v="2023"/>
    <s v="Доходы"/>
    <x v="4"/>
    <s v="Безналичная"/>
    <s v="Яя"/>
    <x v="3"/>
    <x v="3"/>
    <s v="Хлеб"/>
    <n v="10"/>
    <n v="29"/>
    <n v="290"/>
  </r>
  <r>
    <x v="1"/>
    <n v="1"/>
    <n v="2023"/>
    <s v="Доходы"/>
    <x v="4"/>
    <s v="Безналичная"/>
    <s v="Яя"/>
    <x v="3"/>
    <x v="4"/>
    <s v="Хлеб"/>
    <n v="11"/>
    <n v="27"/>
    <n v="297"/>
  </r>
  <r>
    <x v="1"/>
    <n v="1"/>
    <n v="2023"/>
    <s v="Доходы"/>
    <x v="4"/>
    <s v="Безналичная"/>
    <s v="Яя"/>
    <x v="3"/>
    <x v="3"/>
    <s v="Хлеб"/>
    <n v="12"/>
    <n v="29"/>
    <n v="348"/>
  </r>
  <r>
    <x v="2"/>
    <n v="1"/>
    <n v="2023"/>
    <s v="Доходы"/>
    <x v="2"/>
    <s v="Наличными"/>
    <s v="Ижморка"/>
    <x v="0"/>
    <x v="2"/>
    <s v="Хлеб"/>
    <n v="5"/>
    <n v="19"/>
    <n v="95"/>
  </r>
  <r>
    <x v="2"/>
    <n v="1"/>
    <n v="2023"/>
    <s v="Доходы"/>
    <x v="0"/>
    <s v="Наличными"/>
    <s v="Почитанка"/>
    <x v="0"/>
    <x v="0"/>
    <s v="Хлеб"/>
    <n v="3"/>
    <n v="26"/>
    <n v="78"/>
  </r>
  <r>
    <x v="2"/>
    <n v="1"/>
    <n v="2023"/>
    <s v="Доходы"/>
    <x v="3"/>
    <s v="Наличными"/>
    <s v="Яя"/>
    <x v="2"/>
    <x v="1"/>
    <s v="Хлеб"/>
    <n v="5"/>
    <n v="23"/>
    <n v="115"/>
  </r>
  <r>
    <x v="2"/>
    <n v="1"/>
    <n v="2023"/>
    <s v="Доходы"/>
    <x v="2"/>
    <s v="Наличными"/>
    <s v="Ижморка"/>
    <x v="0"/>
    <x v="2"/>
    <s v="Хлеб"/>
    <n v="3"/>
    <n v="19"/>
    <n v="57"/>
  </r>
  <r>
    <x v="2"/>
    <n v="1"/>
    <n v="2023"/>
    <s v="Доходы"/>
    <x v="3"/>
    <s v="Наличными"/>
    <s v="Яя"/>
    <x v="2"/>
    <x v="3"/>
    <s v="Хлеб"/>
    <n v="2"/>
    <n v="29"/>
    <n v="58"/>
  </r>
  <r>
    <x v="2"/>
    <n v="1"/>
    <n v="2023"/>
    <s v="Доходы"/>
    <x v="0"/>
    <s v="Наличными"/>
    <s v="Почитанка"/>
    <x v="0"/>
    <x v="4"/>
    <s v="Хлеб"/>
    <n v="1"/>
    <n v="27"/>
    <n v="27"/>
  </r>
  <r>
    <x v="2"/>
    <n v="1"/>
    <n v="2023"/>
    <s v="Доходы"/>
    <x v="3"/>
    <s v="Наличными"/>
    <s v="Яя"/>
    <x v="2"/>
    <x v="3"/>
    <s v="Хлеб"/>
    <n v="2"/>
    <n v="29"/>
    <n v="58"/>
  </r>
  <r>
    <x v="2"/>
    <n v="1"/>
    <n v="2023"/>
    <s v="Доходы"/>
    <x v="4"/>
    <s v="Безналичная"/>
    <s v="Яя"/>
    <x v="3"/>
    <x v="2"/>
    <s v="Хлеб"/>
    <n v="5"/>
    <n v="19"/>
    <n v="95"/>
  </r>
  <r>
    <x v="2"/>
    <n v="1"/>
    <n v="2023"/>
    <s v="Доходы"/>
    <x v="4"/>
    <s v="Безналичная"/>
    <s v="Яя"/>
    <x v="3"/>
    <x v="3"/>
    <s v="Хлеб"/>
    <n v="10"/>
    <n v="29"/>
    <n v="290"/>
  </r>
  <r>
    <x v="2"/>
    <n v="1"/>
    <n v="2023"/>
    <s v="Доходы"/>
    <x v="4"/>
    <s v="Безналичная"/>
    <s v="Яя"/>
    <x v="3"/>
    <x v="4"/>
    <s v="Хлеб"/>
    <n v="11"/>
    <n v="27"/>
    <n v="297"/>
  </r>
  <r>
    <x v="2"/>
    <n v="1"/>
    <n v="2023"/>
    <s v="Доходы"/>
    <x v="4"/>
    <s v="Безналичная"/>
    <s v="Яя"/>
    <x v="3"/>
    <x v="3"/>
    <s v="Хлеб"/>
    <n v="12"/>
    <n v="29"/>
    <n v="348"/>
  </r>
  <r>
    <x v="2"/>
    <n v="1"/>
    <n v="2023"/>
    <s v="Доходы"/>
    <x v="4"/>
    <s v="Безналичная"/>
    <s v="Яя"/>
    <x v="3"/>
    <x v="2"/>
    <s v="Хлеб"/>
    <n v="5"/>
    <n v="19"/>
    <n v="95"/>
  </r>
  <r>
    <x v="2"/>
    <n v="1"/>
    <n v="2023"/>
    <s v="Доходы"/>
    <x v="4"/>
    <s v="Безналичная"/>
    <s v="Яя"/>
    <x v="3"/>
    <x v="0"/>
    <s v="Хлеб"/>
    <n v="3"/>
    <n v="26"/>
    <n v="78"/>
  </r>
  <r>
    <x v="2"/>
    <n v="1"/>
    <n v="2023"/>
    <s v="Доходы"/>
    <x v="4"/>
    <s v="Безналичная"/>
    <s v="Яя"/>
    <x v="3"/>
    <x v="1"/>
    <s v="Хлеб"/>
    <n v="5"/>
    <n v="23"/>
    <n v="115"/>
  </r>
  <r>
    <x v="2"/>
    <n v="1"/>
    <n v="2023"/>
    <s v="Доходы"/>
    <x v="4"/>
    <s v="Безналичная"/>
    <s v="Яя"/>
    <x v="3"/>
    <x v="2"/>
    <s v="Хлеб"/>
    <n v="3"/>
    <n v="19"/>
    <n v="57"/>
  </r>
  <r>
    <x v="2"/>
    <n v="1"/>
    <n v="2023"/>
    <s v="Доходы"/>
    <x v="4"/>
    <s v="Безналичная"/>
    <s v="Яя"/>
    <x v="3"/>
    <x v="3"/>
    <s v="Хлеб"/>
    <n v="2"/>
    <n v="29"/>
    <n v="58"/>
  </r>
  <r>
    <x v="2"/>
    <n v="1"/>
    <n v="2023"/>
    <s v="Доходы"/>
    <x v="4"/>
    <s v="Безналичная"/>
    <s v="Яя"/>
    <x v="3"/>
    <x v="4"/>
    <s v="Хлеб"/>
    <n v="1"/>
    <n v="27"/>
    <n v="27"/>
  </r>
  <r>
    <x v="2"/>
    <n v="1"/>
    <n v="2023"/>
    <s v="Доходы"/>
    <x v="4"/>
    <s v="Безналичная"/>
    <s v="Яя"/>
    <x v="3"/>
    <x v="3"/>
    <s v="Хлеб"/>
    <n v="1"/>
    <n v="29"/>
    <n v="29"/>
  </r>
  <r>
    <x v="2"/>
    <n v="1"/>
    <n v="2023"/>
    <s v="Доходы"/>
    <x v="4"/>
    <s v="Безналичная"/>
    <s v="Яя"/>
    <x v="3"/>
    <x v="2"/>
    <s v="Хлеб"/>
    <n v="1"/>
    <n v="19"/>
    <n v="19"/>
  </r>
  <r>
    <x v="2"/>
    <n v="1"/>
    <n v="2023"/>
    <s v="Доходы"/>
    <x v="4"/>
    <s v="Безналичная"/>
    <s v="Яя"/>
    <x v="3"/>
    <x v="3"/>
    <s v="Хлеб"/>
    <n v="1"/>
    <n v="29"/>
    <n v="29"/>
  </r>
  <r>
    <x v="2"/>
    <n v="1"/>
    <n v="2023"/>
    <s v="Доходы"/>
    <x v="4"/>
    <s v="Безналичная"/>
    <s v="Яя"/>
    <x v="3"/>
    <x v="4"/>
    <s v="Хлеб"/>
    <n v="1"/>
    <n v="27"/>
    <n v="27"/>
  </r>
  <r>
    <x v="2"/>
    <n v="1"/>
    <n v="2023"/>
    <s v="Доходы"/>
    <x v="4"/>
    <s v="Безналичная"/>
    <s v="Яя"/>
    <x v="3"/>
    <x v="3"/>
    <s v="Хлеб"/>
    <n v="1"/>
    <n v="29"/>
    <n v="29"/>
  </r>
  <r>
    <x v="2"/>
    <n v="1"/>
    <n v="2023"/>
    <s v="Доходы"/>
    <x v="4"/>
    <s v="Безналичная"/>
    <s v="Яя"/>
    <x v="3"/>
    <x v="2"/>
    <s v="Хлеб"/>
    <n v="1"/>
    <n v="19"/>
    <n v="19"/>
  </r>
  <r>
    <x v="2"/>
    <n v="1"/>
    <n v="2023"/>
    <s v="Доходы"/>
    <x v="4"/>
    <s v="Безналичная"/>
    <s v="Яя"/>
    <x v="3"/>
    <x v="0"/>
    <s v="Хлеб"/>
    <n v="1"/>
    <n v="26"/>
    <n v="26"/>
  </r>
  <r>
    <x v="2"/>
    <n v="1"/>
    <n v="2023"/>
    <s v="Доходы"/>
    <x v="4"/>
    <s v="Безналичная"/>
    <s v="Яя"/>
    <x v="3"/>
    <x v="1"/>
    <s v="Хлеб"/>
    <n v="1"/>
    <n v="23"/>
    <n v="23"/>
  </r>
  <r>
    <x v="2"/>
    <n v="1"/>
    <n v="2023"/>
    <s v="Доходы"/>
    <x v="4"/>
    <s v="Безналичная"/>
    <s v="Яя"/>
    <x v="3"/>
    <x v="2"/>
    <s v="Хлеб"/>
    <n v="1"/>
    <n v="19"/>
    <n v="19"/>
  </r>
  <r>
    <x v="2"/>
    <n v="1"/>
    <n v="2023"/>
    <s v="Доходы"/>
    <x v="4"/>
    <s v="Безналичная"/>
    <s v="Яя"/>
    <x v="3"/>
    <x v="3"/>
    <s v="Хлеб"/>
    <n v="1"/>
    <n v="29"/>
    <n v="29"/>
  </r>
  <r>
    <x v="2"/>
    <n v="1"/>
    <n v="2023"/>
    <s v="Доходы"/>
    <x v="4"/>
    <s v="Безналичная"/>
    <s v="Яя"/>
    <x v="3"/>
    <x v="4"/>
    <s v="Хлеб"/>
    <n v="1"/>
    <n v="27"/>
    <n v="27"/>
  </r>
  <r>
    <x v="2"/>
    <n v="1"/>
    <n v="2023"/>
    <s v="Доходы"/>
    <x v="4"/>
    <s v="Безналичная"/>
    <s v="Яя"/>
    <x v="3"/>
    <x v="3"/>
    <s v="Хлеб"/>
    <n v="1"/>
    <n v="29"/>
    <n v="29"/>
  </r>
  <r>
    <x v="2"/>
    <n v="1"/>
    <n v="2023"/>
    <s v="Доходы"/>
    <x v="4"/>
    <s v="Безналичная"/>
    <s v="Яя"/>
    <x v="3"/>
    <x v="5"/>
    <s v="Булочки"/>
    <n v="1"/>
    <n v="20"/>
    <n v="20"/>
  </r>
  <r>
    <x v="2"/>
    <n v="1"/>
    <n v="2023"/>
    <s v="Доходы"/>
    <x v="4"/>
    <s v="Безналичная"/>
    <s v="Яя"/>
    <x v="3"/>
    <x v="3"/>
    <s v="Хлеб"/>
    <n v="1"/>
    <n v="29"/>
    <n v="29"/>
  </r>
  <r>
    <x v="2"/>
    <n v="1"/>
    <n v="2023"/>
    <s v="Доходы"/>
    <x v="4"/>
    <s v="Безналичная"/>
    <s v="Яя"/>
    <x v="3"/>
    <x v="4"/>
    <s v="Хлеб"/>
    <n v="1"/>
    <n v="27"/>
    <n v="27"/>
  </r>
  <r>
    <x v="3"/>
    <n v="1"/>
    <n v="2023"/>
    <s v="Доходы"/>
    <x v="4"/>
    <s v="Безналичная"/>
    <s v="Яя"/>
    <x v="3"/>
    <x v="3"/>
    <s v="Хлеб"/>
    <n v="1"/>
    <n v="29"/>
    <n v="29"/>
  </r>
  <r>
    <x v="3"/>
    <n v="1"/>
    <n v="2023"/>
    <s v="Доходы"/>
    <x v="4"/>
    <s v="Безналичная"/>
    <s v="Яя"/>
    <x v="3"/>
    <x v="2"/>
    <s v="Хлеб"/>
    <n v="1"/>
    <n v="19"/>
    <n v="19"/>
  </r>
  <r>
    <x v="3"/>
    <n v="1"/>
    <n v="2023"/>
    <s v="Доходы"/>
    <x v="4"/>
    <s v="Безналичная"/>
    <s v="Яя"/>
    <x v="3"/>
    <x v="3"/>
    <s v="Хлеб"/>
    <n v="1"/>
    <n v="29"/>
    <n v="29"/>
  </r>
  <r>
    <x v="3"/>
    <n v="1"/>
    <n v="2023"/>
    <s v="Доходы"/>
    <x v="0"/>
    <s v="Наличными"/>
    <s v="Почитанка"/>
    <x v="0"/>
    <x v="3"/>
    <s v="Хлеб"/>
    <n v="2"/>
    <n v="29"/>
    <n v="58"/>
  </r>
  <r>
    <x v="3"/>
    <n v="1"/>
    <n v="2023"/>
    <s v="Доходы"/>
    <x v="5"/>
    <s v="Безналичная"/>
    <s v="Теплая речка"/>
    <x v="3"/>
    <x v="6"/>
    <s v="Другое"/>
    <n v="2"/>
    <n v="30"/>
    <n v="60"/>
  </r>
  <r>
    <x v="3"/>
    <n v="1"/>
    <n v="2023"/>
    <s v="Доходы"/>
    <x v="4"/>
    <s v="Безналичная"/>
    <s v="Яя"/>
    <x v="3"/>
    <x v="6"/>
    <s v="Другое"/>
    <n v="3"/>
    <n v="30"/>
    <n v="90"/>
  </r>
  <r>
    <x v="3"/>
    <n v="1"/>
    <n v="2023"/>
    <s v="Доходы"/>
    <x v="6"/>
    <s v="Наличными"/>
    <s v="Яя"/>
    <x v="4"/>
    <x v="3"/>
    <s v="Хлеб"/>
    <n v="5"/>
    <n v="29"/>
    <n v="145"/>
  </r>
  <r>
    <x v="3"/>
    <n v="1"/>
    <n v="2023"/>
    <s v="Доходы"/>
    <x v="6"/>
    <s v="Наличными"/>
    <s v="Яя"/>
    <x v="4"/>
    <x v="3"/>
    <s v="Хлеб"/>
    <n v="10"/>
    <n v="29"/>
    <n v="290"/>
  </r>
  <r>
    <x v="3"/>
    <n v="1"/>
    <n v="2023"/>
    <s v="Доходы"/>
    <x v="6"/>
    <s v="Наличными"/>
    <s v="Яя"/>
    <x v="4"/>
    <x v="6"/>
    <s v="Другое"/>
    <n v="3"/>
    <n v="30"/>
    <n v="90"/>
  </r>
  <r>
    <x v="3"/>
    <n v="1"/>
    <n v="2023"/>
    <s v="Доходы"/>
    <x v="6"/>
    <s v="Наличными"/>
    <s v="Яя"/>
    <x v="4"/>
    <x v="6"/>
    <s v="Другое"/>
    <n v="4"/>
    <n v="30"/>
    <n v="120"/>
  </r>
  <r>
    <x v="3"/>
    <n v="1"/>
    <n v="2023"/>
    <s v="Доходы"/>
    <x v="3"/>
    <s v="Наличными"/>
    <s v="Яя"/>
    <x v="2"/>
    <x v="1"/>
    <s v="Хлеб"/>
    <n v="5"/>
    <n v="23"/>
    <n v="115"/>
  </r>
  <r>
    <x v="3"/>
    <n v="1"/>
    <n v="2023"/>
    <s v="Доходы"/>
    <x v="1"/>
    <s v="Наличными"/>
    <s v="Колыон"/>
    <x v="1"/>
    <x v="6"/>
    <s v="Другое"/>
    <n v="3"/>
    <n v="30"/>
    <n v="90"/>
  </r>
  <r>
    <x v="3"/>
    <n v="1"/>
    <n v="2023"/>
    <s v="Доходы"/>
    <x v="7"/>
    <s v="Наличными"/>
    <s v="Ижморка"/>
    <x v="0"/>
    <x v="7"/>
    <s v="Хлеб"/>
    <n v="4"/>
    <n v="23"/>
    <n v="92"/>
  </r>
  <r>
    <x v="4"/>
    <n v="2"/>
    <n v="2023"/>
    <s v="Доходы"/>
    <x v="8"/>
    <s v="Безналичная"/>
    <s v="Яя"/>
    <x v="3"/>
    <x v="4"/>
    <s v="Хлеб"/>
    <n v="5"/>
    <n v="27"/>
    <n v="135"/>
  </r>
  <r>
    <x v="4"/>
    <n v="2"/>
    <n v="2023"/>
    <s v="Доходы"/>
    <x v="7"/>
    <s v="Наличными"/>
    <s v="Ижморка"/>
    <x v="0"/>
    <x v="8"/>
    <s v="Другое"/>
    <n v="2"/>
    <n v="75"/>
    <n v="150"/>
  </r>
  <r>
    <x v="4"/>
    <n v="2"/>
    <n v="2023"/>
    <s v="Доходы"/>
    <x v="7"/>
    <s v="Наличными"/>
    <s v="Ижморка"/>
    <x v="0"/>
    <x v="9"/>
    <s v="Булочки"/>
    <n v="3"/>
    <n v="18"/>
    <n v="54"/>
  </r>
  <r>
    <x v="4"/>
    <n v="2"/>
    <n v="2023"/>
    <s v="Доходы"/>
    <x v="7"/>
    <s v="Наличными"/>
    <s v="Ижморка"/>
    <x v="0"/>
    <x v="10"/>
    <s v="Хлеб"/>
    <n v="4"/>
    <n v="26"/>
    <n v="104"/>
  </r>
  <r>
    <x v="4"/>
    <n v="2"/>
    <n v="2023"/>
    <s v="Доходы"/>
    <x v="7"/>
    <s v="Наличными"/>
    <s v="Ижморка"/>
    <x v="0"/>
    <x v="11"/>
    <s v="Булочки"/>
    <n v="5"/>
    <n v="19"/>
    <n v="95"/>
  </r>
  <r>
    <x v="4"/>
    <n v="2"/>
    <n v="2023"/>
    <s v="Доходы"/>
    <x v="7"/>
    <s v="Наличными"/>
    <s v="Ижморка"/>
    <x v="0"/>
    <x v="11"/>
    <s v="Булочки"/>
    <n v="10"/>
    <n v="19"/>
    <n v="190"/>
  </r>
  <r>
    <x v="4"/>
    <n v="2"/>
    <n v="2023"/>
    <s v="Доходы"/>
    <x v="7"/>
    <s v="Наличными"/>
    <s v="Ижморка"/>
    <x v="0"/>
    <x v="11"/>
    <s v="Булочки"/>
    <n v="10"/>
    <n v="19"/>
    <n v="190"/>
  </r>
  <r>
    <x v="4"/>
    <n v="2"/>
    <n v="2023"/>
    <s v="Доходы"/>
    <x v="7"/>
    <s v="Наличными"/>
    <s v="Ижморка"/>
    <x v="0"/>
    <x v="11"/>
    <s v="Булочки"/>
    <n v="10"/>
    <n v="19"/>
    <n v="190"/>
  </r>
  <r>
    <x v="4"/>
    <n v="2"/>
    <n v="2023"/>
    <s v="Доходы"/>
    <x v="7"/>
    <s v="Наличными"/>
    <s v="Ижморка"/>
    <x v="0"/>
    <x v="11"/>
    <s v="Булочки"/>
    <n v="10"/>
    <n v="19"/>
    <n v="190"/>
  </r>
  <r>
    <x v="4"/>
    <n v="2"/>
    <n v="2023"/>
    <s v="Доходы"/>
    <x v="7"/>
    <s v="Наличными"/>
    <s v="Ижморка"/>
    <x v="0"/>
    <x v="11"/>
    <s v="Булочки"/>
    <n v="10"/>
    <n v="19"/>
    <n v="190"/>
  </r>
  <r>
    <x v="4"/>
    <n v="2"/>
    <n v="2023"/>
    <s v="Доходы"/>
    <x v="6"/>
    <s v="Наличными"/>
    <s v="Яя"/>
    <x v="4"/>
    <x v="11"/>
    <s v="Булочки"/>
    <n v="10"/>
    <n v="19"/>
    <n v="190"/>
  </r>
  <r>
    <x v="4"/>
    <n v="2"/>
    <n v="2023"/>
    <s v="Доходы"/>
    <x v="6"/>
    <s v="Наличными"/>
    <s v="Яя"/>
    <x v="4"/>
    <x v="11"/>
    <s v="Булочки"/>
    <n v="10"/>
    <n v="19"/>
    <n v="190"/>
  </r>
  <r>
    <x v="4"/>
    <n v="2"/>
    <n v="2023"/>
    <s v="Доходы"/>
    <x v="7"/>
    <s v="Наличными"/>
    <s v="Ижморка"/>
    <x v="0"/>
    <x v="11"/>
    <s v="Булочки"/>
    <n v="10"/>
    <n v="19"/>
    <n v="190"/>
  </r>
  <r>
    <x v="4"/>
    <n v="2"/>
    <n v="2023"/>
    <s v="Доходы"/>
    <x v="8"/>
    <s v="Безналичная"/>
    <s v="Яя"/>
    <x v="3"/>
    <x v="11"/>
    <s v="Булочки"/>
    <n v="10"/>
    <n v="19"/>
    <n v="190"/>
  </r>
  <r>
    <x v="4"/>
    <n v="2"/>
    <n v="2023"/>
    <s v="Доходы"/>
    <x v="8"/>
    <s v="Безналичная"/>
    <s v="Яя"/>
    <x v="3"/>
    <x v="11"/>
    <s v="Булочки"/>
    <n v="10"/>
    <n v="19"/>
    <n v="190"/>
  </r>
  <r>
    <x v="5"/>
    <n v="2"/>
    <n v="2023"/>
    <s v="Доходы"/>
    <x v="8"/>
    <s v="Безналичная"/>
    <s v="Яя"/>
    <x v="3"/>
    <x v="11"/>
    <s v="Булочки"/>
    <n v="10"/>
    <n v="19"/>
    <n v="190"/>
  </r>
  <r>
    <x v="5"/>
    <n v="2"/>
    <n v="2023"/>
    <s v="Доходы"/>
    <x v="8"/>
    <s v="Безналичная"/>
    <s v="Яя"/>
    <x v="3"/>
    <x v="11"/>
    <s v="Булочки"/>
    <n v="10"/>
    <n v="19"/>
    <n v="190"/>
  </r>
  <r>
    <x v="5"/>
    <n v="2"/>
    <n v="2023"/>
    <s v="Доходы"/>
    <x v="8"/>
    <s v="Безналичная"/>
    <s v="Яя"/>
    <x v="3"/>
    <x v="11"/>
    <s v="Булочки"/>
    <n v="10"/>
    <n v="19"/>
    <n v="190"/>
  </r>
  <r>
    <x v="5"/>
    <n v="2"/>
    <n v="2023"/>
    <s v="Доходы"/>
    <x v="8"/>
    <s v="Безналичная"/>
    <s v="Яя"/>
    <x v="3"/>
    <x v="11"/>
    <s v="Булочки"/>
    <n v="10"/>
    <n v="19"/>
    <n v="190"/>
  </r>
  <r>
    <x v="5"/>
    <n v="2"/>
    <n v="2023"/>
    <s v="Доходы"/>
    <x v="9"/>
    <s v="Наличными"/>
    <s v="Яя"/>
    <x v="2"/>
    <x v="9"/>
    <s v="Булочки"/>
    <n v="5"/>
    <n v="18"/>
    <n v="90"/>
  </r>
  <r>
    <x v="5"/>
    <n v="2"/>
    <n v="2023"/>
    <s v="Доходы"/>
    <x v="9"/>
    <s v="Наличными"/>
    <s v="Яя"/>
    <x v="2"/>
    <x v="12"/>
    <s v="Другое"/>
    <n v="5"/>
    <n v="45"/>
    <n v="225"/>
  </r>
  <r>
    <x v="5"/>
    <n v="2"/>
    <n v="2023"/>
    <s v="Доходы"/>
    <x v="9"/>
    <s v="Наличными"/>
    <s v="Яя"/>
    <x v="2"/>
    <x v="4"/>
    <s v="Хлеб"/>
    <n v="5"/>
    <n v="27"/>
    <n v="135"/>
  </r>
  <r>
    <x v="5"/>
    <n v="2"/>
    <n v="2023"/>
    <s v="Доходы"/>
    <x v="10"/>
    <s v="Наличными"/>
    <s v="Яя"/>
    <x v="2"/>
    <x v="10"/>
    <s v="Хлеб"/>
    <n v="5"/>
    <n v="26"/>
    <n v="130"/>
  </r>
  <r>
    <x v="5"/>
    <n v="2"/>
    <n v="2023"/>
    <s v="Доходы"/>
    <x v="11"/>
    <s v="Безналичная"/>
    <s v="Колыон"/>
    <x v="3"/>
    <x v="6"/>
    <s v="Другое"/>
    <n v="5"/>
    <n v="30"/>
    <n v="150"/>
  </r>
  <r>
    <x v="6"/>
    <n v="3"/>
    <n v="2023"/>
    <s v="Доходы"/>
    <x v="8"/>
    <s v="Безналичная"/>
    <s v="Яя"/>
    <x v="3"/>
    <x v="9"/>
    <s v="Булочки"/>
    <n v="10"/>
    <n v="18"/>
    <n v="180"/>
  </r>
  <r>
    <x v="6"/>
    <n v="3"/>
    <n v="2023"/>
    <s v="Доходы"/>
    <x v="8"/>
    <s v="Безналичная"/>
    <s v="Яя"/>
    <x v="3"/>
    <x v="9"/>
    <s v="Булочки"/>
    <n v="10"/>
    <n v="18"/>
    <n v="180"/>
  </r>
  <r>
    <x v="6"/>
    <n v="3"/>
    <n v="2023"/>
    <s v="Доходы"/>
    <x v="8"/>
    <s v="Безналичная"/>
    <s v="Яя"/>
    <x v="3"/>
    <x v="13"/>
    <s v="Хлеб"/>
    <n v="10"/>
    <n v="28"/>
    <n v="280"/>
  </r>
  <r>
    <x v="6"/>
    <n v="3"/>
    <n v="2023"/>
    <s v="Доходы"/>
    <x v="8"/>
    <s v="Безналичная"/>
    <s v="Яя"/>
    <x v="3"/>
    <x v="4"/>
    <s v="Хлеб"/>
    <n v="10"/>
    <n v="27"/>
    <n v="270"/>
  </r>
  <r>
    <x v="6"/>
    <n v="3"/>
    <n v="2023"/>
    <s v="Доходы"/>
    <x v="8"/>
    <s v="Безналичная"/>
    <s v="Яя"/>
    <x v="3"/>
    <x v="13"/>
    <s v="Хлеб"/>
    <n v="10"/>
    <n v="28"/>
    <n v="28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0"/>
    <n v="19"/>
    <n v="190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6"/>
    <n v="3"/>
    <n v="2023"/>
    <s v="Доходы"/>
    <x v="8"/>
    <s v="Безналичная"/>
    <s v="Яя"/>
    <x v="3"/>
    <x v="11"/>
    <s v="Булочки"/>
    <n v="10"/>
    <n v="19"/>
    <n v="190"/>
  </r>
  <r>
    <x v="7"/>
    <n v="3"/>
    <n v="2023"/>
    <s v="Доходы"/>
    <x v="0"/>
    <s v="Наличными"/>
    <s v="Почитанка"/>
    <x v="0"/>
    <x v="14"/>
    <s v="Другое"/>
    <n v="5"/>
    <n v="16"/>
    <n v="80"/>
  </r>
  <r>
    <x v="8"/>
    <n v="3"/>
    <n v="2023"/>
    <s v="Доходы"/>
    <x v="3"/>
    <s v="Наличными"/>
    <s v="Яя"/>
    <x v="2"/>
    <x v="14"/>
    <s v="Другое"/>
    <n v="10"/>
    <n v="16"/>
    <n v="160"/>
  </r>
  <r>
    <x v="9"/>
    <n v="3"/>
    <n v="2023"/>
    <s v="Доходы"/>
    <x v="12"/>
    <s v="Безналичная"/>
    <s v="Святославка"/>
    <x v="3"/>
    <x v="14"/>
    <s v="Другое"/>
    <n v="10"/>
    <n v="16"/>
    <n v="160"/>
  </r>
  <r>
    <x v="9"/>
    <n v="3"/>
    <n v="2023"/>
    <s v="Доходы"/>
    <x v="5"/>
    <s v="Безналичная"/>
    <s v="Теплая речка"/>
    <x v="3"/>
    <x v="14"/>
    <s v="Другое"/>
    <n v="10"/>
    <n v="16"/>
    <n v="160"/>
  </r>
  <r>
    <x v="9"/>
    <n v="3"/>
    <n v="2023"/>
    <s v="Доходы"/>
    <x v="13"/>
    <s v="Наличными"/>
    <s v="Новославянка"/>
    <x v="1"/>
    <x v="14"/>
    <s v="Другое"/>
    <n v="10"/>
    <n v="16"/>
    <n v="160"/>
  </r>
  <r>
    <x v="9"/>
    <n v="3"/>
    <n v="2023"/>
    <s v="Доходы"/>
    <x v="14"/>
    <s v="Наличными"/>
    <s v="Новониколаевка"/>
    <x v="1"/>
    <x v="14"/>
    <s v="Другое"/>
    <n v="10"/>
    <n v="16"/>
    <n v="160"/>
  </r>
  <r>
    <x v="9"/>
    <n v="3"/>
    <n v="2023"/>
    <s v="Доходы"/>
    <x v="15"/>
    <s v="Безналичная"/>
    <s v="Колыон"/>
    <x v="3"/>
    <x v="14"/>
    <s v="Другое"/>
    <n v="10"/>
    <n v="16"/>
    <n v="160"/>
  </r>
  <r>
    <x v="10"/>
    <n v="3"/>
    <n v="2023"/>
    <s v="Доходы"/>
    <x v="1"/>
    <s v="Наличными"/>
    <s v="Колыон"/>
    <x v="1"/>
    <x v="14"/>
    <s v="Другое"/>
    <n v="15"/>
    <n v="16"/>
    <n v="240"/>
  </r>
  <r>
    <x v="11"/>
    <n v="3"/>
    <n v="2023"/>
    <s v="Доходы"/>
    <x v="1"/>
    <s v="Наличными"/>
    <s v="Колыон"/>
    <x v="1"/>
    <x v="4"/>
    <s v="Хлеб"/>
    <n v="20"/>
    <n v="27"/>
    <n v="540"/>
  </r>
  <r>
    <x v="12"/>
    <n v="3"/>
    <n v="2023"/>
    <s v="Доходы"/>
    <x v="3"/>
    <s v="Наличными"/>
    <s v="Яя"/>
    <x v="2"/>
    <x v="4"/>
    <s v="Хлеб"/>
    <n v="5"/>
    <n v="27"/>
    <n v="135"/>
  </r>
  <r>
    <x v="13"/>
    <n v="4"/>
    <n v="2023"/>
    <s v="Доходы"/>
    <x v="1"/>
    <s v="Наличными"/>
    <s v="Колыон"/>
    <x v="1"/>
    <x v="7"/>
    <s v="Хлеб"/>
    <n v="10"/>
    <n v="23"/>
    <n v="230"/>
  </r>
  <r>
    <x v="14"/>
    <n v="4"/>
    <n v="2023"/>
    <s v="Доходы"/>
    <x v="1"/>
    <s v="Наличными"/>
    <s v="Колыон"/>
    <x v="1"/>
    <x v="15"/>
    <s v="Булочки"/>
    <n v="15"/>
    <n v="18"/>
    <n v="270"/>
  </r>
  <r>
    <x v="14"/>
    <n v="4"/>
    <n v="2023"/>
    <s v="Доходы"/>
    <x v="0"/>
    <s v="Наличными"/>
    <s v="Почитанка"/>
    <x v="0"/>
    <x v="7"/>
    <s v="Хлеб"/>
    <n v="20"/>
    <n v="23"/>
    <n v="460"/>
  </r>
  <r>
    <x v="15"/>
    <n v="5"/>
    <n v="2023"/>
    <s v="Доходы"/>
    <x v="16"/>
    <s v="Наличными"/>
    <s v="Ижморка"/>
    <x v="0"/>
    <x v="16"/>
    <s v="Булочки"/>
    <n v="50"/>
    <n v="20"/>
    <n v="1000"/>
  </r>
  <r>
    <x v="15"/>
    <n v="5"/>
    <n v="2023"/>
    <s v="Доходы"/>
    <x v="9"/>
    <s v="Наличными"/>
    <s v="Яя"/>
    <x v="2"/>
    <x v="0"/>
    <s v="Хлеб"/>
    <n v="10"/>
    <n v="26"/>
    <n v="260"/>
  </r>
  <r>
    <x v="15"/>
    <n v="5"/>
    <n v="2023"/>
    <s v="Доходы"/>
    <x v="9"/>
    <s v="Наличными"/>
    <s v="Яя"/>
    <x v="2"/>
    <x v="6"/>
    <s v="Другое"/>
    <n v="10"/>
    <n v="30"/>
    <n v="300"/>
  </r>
  <r>
    <x v="15"/>
    <n v="5"/>
    <n v="2023"/>
    <s v="Доходы"/>
    <x v="9"/>
    <s v="Наличными"/>
    <s v="Яя"/>
    <x v="2"/>
    <x v="12"/>
    <s v="Другое"/>
    <n v="15"/>
    <n v="45"/>
    <n v="675"/>
  </r>
  <r>
    <x v="15"/>
    <n v="5"/>
    <n v="2023"/>
    <s v="Доходы"/>
    <x v="9"/>
    <s v="Наличными"/>
    <s v="Яя"/>
    <x v="2"/>
    <x v="7"/>
    <s v="Хлеб"/>
    <n v="28"/>
    <n v="23"/>
    <n v="644"/>
  </r>
  <r>
    <x v="16"/>
    <n v="5"/>
    <n v="2023"/>
    <s v="Доходы"/>
    <x v="6"/>
    <s v="Наличными"/>
    <s v="Яя"/>
    <x v="4"/>
    <x v="17"/>
    <s v="Сухарь"/>
    <n v="15"/>
    <n v="180"/>
    <n v="27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6">
  <r>
    <x v="0"/>
    <x v="0"/>
    <x v="0"/>
    <s v="Доходы"/>
    <x v="0"/>
    <s v="Наличными"/>
    <x v="0"/>
    <x v="0"/>
    <x v="0"/>
    <x v="0"/>
    <n v="2"/>
    <n v="26"/>
    <n v="52"/>
  </r>
  <r>
    <x v="0"/>
    <x v="0"/>
    <x v="0"/>
    <s v="Доходы"/>
    <x v="1"/>
    <s v="Наличными"/>
    <x v="1"/>
    <x v="1"/>
    <x v="1"/>
    <x v="0"/>
    <n v="3"/>
    <n v="23"/>
    <n v="69"/>
  </r>
  <r>
    <x v="0"/>
    <x v="0"/>
    <x v="0"/>
    <s v="Доходы"/>
    <x v="2"/>
    <s v="Наличными"/>
    <x v="2"/>
    <x v="0"/>
    <x v="2"/>
    <x v="0"/>
    <n v="5"/>
    <n v="19"/>
    <n v="95"/>
  </r>
  <r>
    <x v="0"/>
    <x v="0"/>
    <x v="0"/>
    <s v="Доходы"/>
    <x v="0"/>
    <s v="Наличными"/>
    <x v="0"/>
    <x v="0"/>
    <x v="0"/>
    <x v="0"/>
    <n v="3"/>
    <n v="26"/>
    <n v="78"/>
  </r>
  <r>
    <x v="0"/>
    <x v="0"/>
    <x v="0"/>
    <s v="Доходы"/>
    <x v="3"/>
    <s v="Наличными"/>
    <x v="3"/>
    <x v="2"/>
    <x v="1"/>
    <x v="0"/>
    <n v="5"/>
    <n v="23"/>
    <n v="115"/>
  </r>
  <r>
    <x v="0"/>
    <x v="0"/>
    <x v="0"/>
    <s v="Доходы"/>
    <x v="2"/>
    <s v="Наличными"/>
    <x v="2"/>
    <x v="0"/>
    <x v="2"/>
    <x v="0"/>
    <n v="3"/>
    <n v="19"/>
    <n v="57"/>
  </r>
  <r>
    <x v="0"/>
    <x v="0"/>
    <x v="0"/>
    <s v="Доходы"/>
    <x v="3"/>
    <s v="Наличными"/>
    <x v="3"/>
    <x v="2"/>
    <x v="3"/>
    <x v="0"/>
    <n v="2"/>
    <n v="29"/>
    <n v="58"/>
  </r>
  <r>
    <x v="0"/>
    <x v="0"/>
    <x v="0"/>
    <s v="Доходы"/>
    <x v="0"/>
    <s v="Наличными"/>
    <x v="0"/>
    <x v="0"/>
    <x v="4"/>
    <x v="0"/>
    <n v="1"/>
    <n v="27"/>
    <n v="27"/>
  </r>
  <r>
    <x v="0"/>
    <x v="0"/>
    <x v="0"/>
    <s v="Доходы"/>
    <x v="0"/>
    <s v="Наличными"/>
    <x v="0"/>
    <x v="0"/>
    <x v="0"/>
    <x v="0"/>
    <n v="2"/>
    <n v="26"/>
    <n v="52"/>
  </r>
  <r>
    <x v="1"/>
    <x v="0"/>
    <x v="0"/>
    <s v="Доходы"/>
    <x v="1"/>
    <s v="Наличными"/>
    <x v="1"/>
    <x v="1"/>
    <x v="1"/>
    <x v="0"/>
    <n v="3"/>
    <n v="23"/>
    <n v="69"/>
  </r>
  <r>
    <x v="1"/>
    <x v="0"/>
    <x v="0"/>
    <s v="Доходы"/>
    <x v="2"/>
    <s v="Наличными"/>
    <x v="2"/>
    <x v="0"/>
    <x v="2"/>
    <x v="0"/>
    <n v="5"/>
    <n v="19"/>
    <n v="95"/>
  </r>
  <r>
    <x v="1"/>
    <x v="0"/>
    <x v="0"/>
    <s v="Доходы"/>
    <x v="0"/>
    <s v="Наличными"/>
    <x v="0"/>
    <x v="0"/>
    <x v="0"/>
    <x v="0"/>
    <n v="3"/>
    <n v="26"/>
    <n v="78"/>
  </r>
  <r>
    <x v="1"/>
    <x v="0"/>
    <x v="0"/>
    <s v="Доходы"/>
    <x v="3"/>
    <s v="Наличными"/>
    <x v="3"/>
    <x v="2"/>
    <x v="1"/>
    <x v="0"/>
    <n v="5"/>
    <n v="23"/>
    <n v="115"/>
  </r>
  <r>
    <x v="1"/>
    <x v="0"/>
    <x v="0"/>
    <s v="Доходы"/>
    <x v="2"/>
    <s v="Наличными"/>
    <x v="2"/>
    <x v="0"/>
    <x v="2"/>
    <x v="0"/>
    <n v="3"/>
    <n v="19"/>
    <n v="57"/>
  </r>
  <r>
    <x v="1"/>
    <x v="0"/>
    <x v="0"/>
    <s v="Доходы"/>
    <x v="3"/>
    <s v="Наличными"/>
    <x v="3"/>
    <x v="2"/>
    <x v="3"/>
    <x v="0"/>
    <n v="2"/>
    <n v="29"/>
    <n v="58"/>
  </r>
  <r>
    <x v="1"/>
    <x v="0"/>
    <x v="0"/>
    <s v="Доходы"/>
    <x v="0"/>
    <s v="Наличными"/>
    <x v="0"/>
    <x v="0"/>
    <x v="4"/>
    <x v="0"/>
    <n v="1"/>
    <n v="27"/>
    <n v="27"/>
  </r>
  <r>
    <x v="1"/>
    <x v="0"/>
    <x v="0"/>
    <s v="Доходы"/>
    <x v="3"/>
    <s v="Наличными"/>
    <x v="3"/>
    <x v="2"/>
    <x v="3"/>
    <x v="0"/>
    <n v="2"/>
    <n v="29"/>
    <n v="58"/>
  </r>
  <r>
    <x v="1"/>
    <x v="0"/>
    <x v="0"/>
    <s v="Доходы"/>
    <x v="4"/>
    <s v="Безналичная"/>
    <x v="3"/>
    <x v="3"/>
    <x v="2"/>
    <x v="0"/>
    <n v="5"/>
    <n v="19"/>
    <n v="95"/>
  </r>
  <r>
    <x v="1"/>
    <x v="0"/>
    <x v="0"/>
    <s v="Доходы"/>
    <x v="4"/>
    <s v="Безналичная"/>
    <x v="3"/>
    <x v="3"/>
    <x v="3"/>
    <x v="0"/>
    <n v="10"/>
    <n v="29"/>
    <n v="290"/>
  </r>
  <r>
    <x v="1"/>
    <x v="0"/>
    <x v="0"/>
    <s v="Доходы"/>
    <x v="4"/>
    <s v="Безналичная"/>
    <x v="3"/>
    <x v="3"/>
    <x v="4"/>
    <x v="0"/>
    <n v="11"/>
    <n v="27"/>
    <n v="297"/>
  </r>
  <r>
    <x v="1"/>
    <x v="0"/>
    <x v="0"/>
    <s v="Доходы"/>
    <x v="4"/>
    <s v="Безналичная"/>
    <x v="3"/>
    <x v="3"/>
    <x v="3"/>
    <x v="0"/>
    <n v="12"/>
    <n v="29"/>
    <n v="348"/>
  </r>
  <r>
    <x v="2"/>
    <x v="0"/>
    <x v="0"/>
    <s v="Доходы"/>
    <x v="2"/>
    <s v="Наличными"/>
    <x v="2"/>
    <x v="0"/>
    <x v="2"/>
    <x v="0"/>
    <n v="5"/>
    <n v="19"/>
    <n v="95"/>
  </r>
  <r>
    <x v="2"/>
    <x v="0"/>
    <x v="0"/>
    <s v="Доходы"/>
    <x v="0"/>
    <s v="Наличными"/>
    <x v="0"/>
    <x v="0"/>
    <x v="0"/>
    <x v="0"/>
    <n v="3"/>
    <n v="26"/>
    <n v="78"/>
  </r>
  <r>
    <x v="2"/>
    <x v="0"/>
    <x v="0"/>
    <s v="Доходы"/>
    <x v="3"/>
    <s v="Наличными"/>
    <x v="3"/>
    <x v="2"/>
    <x v="1"/>
    <x v="0"/>
    <n v="5"/>
    <n v="23"/>
    <n v="115"/>
  </r>
  <r>
    <x v="2"/>
    <x v="0"/>
    <x v="0"/>
    <s v="Доходы"/>
    <x v="2"/>
    <s v="Наличными"/>
    <x v="2"/>
    <x v="0"/>
    <x v="2"/>
    <x v="0"/>
    <n v="3"/>
    <n v="19"/>
    <n v="57"/>
  </r>
  <r>
    <x v="2"/>
    <x v="0"/>
    <x v="0"/>
    <s v="Доходы"/>
    <x v="3"/>
    <s v="Наличными"/>
    <x v="3"/>
    <x v="2"/>
    <x v="3"/>
    <x v="0"/>
    <n v="2"/>
    <n v="29"/>
    <n v="58"/>
  </r>
  <r>
    <x v="2"/>
    <x v="0"/>
    <x v="0"/>
    <s v="Доходы"/>
    <x v="0"/>
    <s v="Наличными"/>
    <x v="0"/>
    <x v="0"/>
    <x v="4"/>
    <x v="0"/>
    <n v="1"/>
    <n v="27"/>
    <n v="27"/>
  </r>
  <r>
    <x v="2"/>
    <x v="0"/>
    <x v="0"/>
    <s v="Доходы"/>
    <x v="3"/>
    <s v="Наличными"/>
    <x v="3"/>
    <x v="2"/>
    <x v="3"/>
    <x v="0"/>
    <n v="2"/>
    <n v="29"/>
    <n v="58"/>
  </r>
  <r>
    <x v="2"/>
    <x v="0"/>
    <x v="0"/>
    <s v="Доходы"/>
    <x v="4"/>
    <s v="Безналичная"/>
    <x v="3"/>
    <x v="3"/>
    <x v="2"/>
    <x v="0"/>
    <n v="5"/>
    <n v="19"/>
    <n v="95"/>
  </r>
  <r>
    <x v="2"/>
    <x v="0"/>
    <x v="0"/>
    <s v="Доходы"/>
    <x v="4"/>
    <s v="Безналичная"/>
    <x v="3"/>
    <x v="3"/>
    <x v="3"/>
    <x v="0"/>
    <n v="10"/>
    <n v="29"/>
    <n v="290"/>
  </r>
  <r>
    <x v="2"/>
    <x v="0"/>
    <x v="0"/>
    <s v="Доходы"/>
    <x v="4"/>
    <s v="Безналичная"/>
    <x v="3"/>
    <x v="3"/>
    <x v="4"/>
    <x v="0"/>
    <n v="11"/>
    <n v="27"/>
    <n v="297"/>
  </r>
  <r>
    <x v="2"/>
    <x v="0"/>
    <x v="0"/>
    <s v="Доходы"/>
    <x v="4"/>
    <s v="Безналичная"/>
    <x v="3"/>
    <x v="3"/>
    <x v="3"/>
    <x v="0"/>
    <n v="12"/>
    <n v="29"/>
    <n v="348"/>
  </r>
  <r>
    <x v="2"/>
    <x v="0"/>
    <x v="0"/>
    <s v="Доходы"/>
    <x v="4"/>
    <s v="Безналичная"/>
    <x v="3"/>
    <x v="3"/>
    <x v="2"/>
    <x v="0"/>
    <n v="5"/>
    <n v="19"/>
    <n v="95"/>
  </r>
  <r>
    <x v="2"/>
    <x v="0"/>
    <x v="0"/>
    <s v="Доходы"/>
    <x v="4"/>
    <s v="Безналичная"/>
    <x v="3"/>
    <x v="3"/>
    <x v="0"/>
    <x v="0"/>
    <n v="3"/>
    <n v="26"/>
    <n v="78"/>
  </r>
  <r>
    <x v="2"/>
    <x v="0"/>
    <x v="0"/>
    <s v="Доходы"/>
    <x v="4"/>
    <s v="Безналичная"/>
    <x v="3"/>
    <x v="3"/>
    <x v="1"/>
    <x v="0"/>
    <n v="5"/>
    <n v="23"/>
    <n v="115"/>
  </r>
  <r>
    <x v="2"/>
    <x v="0"/>
    <x v="0"/>
    <s v="Доходы"/>
    <x v="4"/>
    <s v="Безналичная"/>
    <x v="3"/>
    <x v="3"/>
    <x v="2"/>
    <x v="0"/>
    <n v="3"/>
    <n v="19"/>
    <n v="57"/>
  </r>
  <r>
    <x v="2"/>
    <x v="0"/>
    <x v="0"/>
    <s v="Доходы"/>
    <x v="4"/>
    <s v="Безналичная"/>
    <x v="3"/>
    <x v="3"/>
    <x v="3"/>
    <x v="0"/>
    <n v="2"/>
    <n v="29"/>
    <n v="58"/>
  </r>
  <r>
    <x v="2"/>
    <x v="0"/>
    <x v="0"/>
    <s v="Доходы"/>
    <x v="4"/>
    <s v="Безналичная"/>
    <x v="3"/>
    <x v="3"/>
    <x v="4"/>
    <x v="0"/>
    <n v="1"/>
    <n v="27"/>
    <n v="27"/>
  </r>
  <r>
    <x v="2"/>
    <x v="0"/>
    <x v="0"/>
    <s v="Доходы"/>
    <x v="4"/>
    <s v="Безналичная"/>
    <x v="3"/>
    <x v="3"/>
    <x v="3"/>
    <x v="0"/>
    <n v="1"/>
    <n v="29"/>
    <n v="29"/>
  </r>
  <r>
    <x v="2"/>
    <x v="0"/>
    <x v="0"/>
    <s v="Доходы"/>
    <x v="4"/>
    <s v="Безналичная"/>
    <x v="3"/>
    <x v="3"/>
    <x v="2"/>
    <x v="0"/>
    <n v="1"/>
    <n v="19"/>
    <n v="19"/>
  </r>
  <r>
    <x v="2"/>
    <x v="0"/>
    <x v="0"/>
    <s v="Доходы"/>
    <x v="4"/>
    <s v="Безналичная"/>
    <x v="3"/>
    <x v="3"/>
    <x v="3"/>
    <x v="0"/>
    <n v="1"/>
    <n v="29"/>
    <n v="29"/>
  </r>
  <r>
    <x v="2"/>
    <x v="0"/>
    <x v="0"/>
    <s v="Доходы"/>
    <x v="4"/>
    <s v="Безналичная"/>
    <x v="3"/>
    <x v="3"/>
    <x v="4"/>
    <x v="0"/>
    <n v="1"/>
    <n v="27"/>
    <n v="27"/>
  </r>
  <r>
    <x v="2"/>
    <x v="0"/>
    <x v="0"/>
    <s v="Доходы"/>
    <x v="4"/>
    <s v="Безналичная"/>
    <x v="3"/>
    <x v="3"/>
    <x v="3"/>
    <x v="0"/>
    <n v="1"/>
    <n v="29"/>
    <n v="29"/>
  </r>
  <r>
    <x v="2"/>
    <x v="0"/>
    <x v="0"/>
    <s v="Доходы"/>
    <x v="4"/>
    <s v="Безналичная"/>
    <x v="3"/>
    <x v="3"/>
    <x v="2"/>
    <x v="0"/>
    <n v="1"/>
    <n v="19"/>
    <n v="19"/>
  </r>
  <r>
    <x v="2"/>
    <x v="0"/>
    <x v="0"/>
    <s v="Доходы"/>
    <x v="4"/>
    <s v="Безналичная"/>
    <x v="3"/>
    <x v="3"/>
    <x v="0"/>
    <x v="0"/>
    <n v="1"/>
    <n v="26"/>
    <n v="26"/>
  </r>
  <r>
    <x v="2"/>
    <x v="0"/>
    <x v="0"/>
    <s v="Доходы"/>
    <x v="4"/>
    <s v="Безналичная"/>
    <x v="3"/>
    <x v="3"/>
    <x v="1"/>
    <x v="0"/>
    <n v="1"/>
    <n v="23"/>
    <n v="23"/>
  </r>
  <r>
    <x v="2"/>
    <x v="0"/>
    <x v="0"/>
    <s v="Доходы"/>
    <x v="4"/>
    <s v="Безналичная"/>
    <x v="3"/>
    <x v="3"/>
    <x v="2"/>
    <x v="0"/>
    <n v="1"/>
    <n v="19"/>
    <n v="19"/>
  </r>
  <r>
    <x v="2"/>
    <x v="0"/>
    <x v="0"/>
    <s v="Доходы"/>
    <x v="4"/>
    <s v="Безналичная"/>
    <x v="3"/>
    <x v="3"/>
    <x v="3"/>
    <x v="0"/>
    <n v="1"/>
    <n v="29"/>
    <n v="29"/>
  </r>
  <r>
    <x v="2"/>
    <x v="0"/>
    <x v="0"/>
    <s v="Доходы"/>
    <x v="4"/>
    <s v="Безналичная"/>
    <x v="3"/>
    <x v="3"/>
    <x v="4"/>
    <x v="0"/>
    <n v="1"/>
    <n v="27"/>
    <n v="27"/>
  </r>
  <r>
    <x v="2"/>
    <x v="0"/>
    <x v="0"/>
    <s v="Доходы"/>
    <x v="4"/>
    <s v="Безналичная"/>
    <x v="3"/>
    <x v="3"/>
    <x v="3"/>
    <x v="0"/>
    <n v="1"/>
    <n v="29"/>
    <n v="29"/>
  </r>
  <r>
    <x v="2"/>
    <x v="0"/>
    <x v="0"/>
    <s v="Доходы"/>
    <x v="4"/>
    <s v="Безналичная"/>
    <x v="3"/>
    <x v="3"/>
    <x v="5"/>
    <x v="1"/>
    <n v="1"/>
    <n v="20"/>
    <n v="20"/>
  </r>
  <r>
    <x v="2"/>
    <x v="0"/>
    <x v="0"/>
    <s v="Доходы"/>
    <x v="4"/>
    <s v="Безналичная"/>
    <x v="3"/>
    <x v="3"/>
    <x v="3"/>
    <x v="0"/>
    <n v="1"/>
    <n v="29"/>
    <n v="29"/>
  </r>
  <r>
    <x v="2"/>
    <x v="0"/>
    <x v="0"/>
    <s v="Доходы"/>
    <x v="4"/>
    <s v="Безналичная"/>
    <x v="3"/>
    <x v="3"/>
    <x v="4"/>
    <x v="0"/>
    <n v="1"/>
    <n v="27"/>
    <n v="27"/>
  </r>
  <r>
    <x v="3"/>
    <x v="0"/>
    <x v="0"/>
    <s v="Доходы"/>
    <x v="4"/>
    <s v="Безналичная"/>
    <x v="3"/>
    <x v="3"/>
    <x v="3"/>
    <x v="0"/>
    <n v="1"/>
    <n v="29"/>
    <n v="29"/>
  </r>
  <r>
    <x v="3"/>
    <x v="0"/>
    <x v="0"/>
    <s v="Доходы"/>
    <x v="4"/>
    <s v="Безналичная"/>
    <x v="3"/>
    <x v="3"/>
    <x v="2"/>
    <x v="0"/>
    <n v="1"/>
    <n v="19"/>
    <n v="19"/>
  </r>
  <r>
    <x v="3"/>
    <x v="0"/>
    <x v="0"/>
    <s v="Доходы"/>
    <x v="4"/>
    <s v="Безналичная"/>
    <x v="3"/>
    <x v="3"/>
    <x v="3"/>
    <x v="0"/>
    <n v="1"/>
    <n v="29"/>
    <n v="29"/>
  </r>
  <r>
    <x v="3"/>
    <x v="0"/>
    <x v="0"/>
    <s v="Доходы"/>
    <x v="0"/>
    <s v="Наличными"/>
    <x v="0"/>
    <x v="0"/>
    <x v="3"/>
    <x v="0"/>
    <n v="2"/>
    <n v="29"/>
    <n v="58"/>
  </r>
  <r>
    <x v="3"/>
    <x v="0"/>
    <x v="0"/>
    <s v="Доходы"/>
    <x v="5"/>
    <s v="Безналичная"/>
    <x v="4"/>
    <x v="3"/>
    <x v="6"/>
    <x v="2"/>
    <n v="2"/>
    <n v="30"/>
    <n v="60"/>
  </r>
  <r>
    <x v="3"/>
    <x v="0"/>
    <x v="0"/>
    <s v="Доходы"/>
    <x v="4"/>
    <s v="Безналичная"/>
    <x v="3"/>
    <x v="3"/>
    <x v="6"/>
    <x v="2"/>
    <n v="3"/>
    <n v="30"/>
    <n v="90"/>
  </r>
  <r>
    <x v="3"/>
    <x v="0"/>
    <x v="0"/>
    <s v="Доходы"/>
    <x v="6"/>
    <s v="Наличными"/>
    <x v="3"/>
    <x v="4"/>
    <x v="3"/>
    <x v="0"/>
    <n v="5"/>
    <n v="29"/>
    <n v="145"/>
  </r>
  <r>
    <x v="3"/>
    <x v="0"/>
    <x v="0"/>
    <s v="Доходы"/>
    <x v="6"/>
    <s v="Наличными"/>
    <x v="3"/>
    <x v="4"/>
    <x v="3"/>
    <x v="0"/>
    <n v="10"/>
    <n v="29"/>
    <n v="290"/>
  </r>
  <r>
    <x v="3"/>
    <x v="0"/>
    <x v="0"/>
    <s v="Доходы"/>
    <x v="6"/>
    <s v="Наличными"/>
    <x v="3"/>
    <x v="4"/>
    <x v="6"/>
    <x v="2"/>
    <n v="3"/>
    <n v="30"/>
    <n v="90"/>
  </r>
  <r>
    <x v="3"/>
    <x v="0"/>
    <x v="0"/>
    <s v="Доходы"/>
    <x v="6"/>
    <s v="Наличными"/>
    <x v="3"/>
    <x v="4"/>
    <x v="6"/>
    <x v="2"/>
    <n v="4"/>
    <n v="30"/>
    <n v="120"/>
  </r>
  <r>
    <x v="3"/>
    <x v="0"/>
    <x v="0"/>
    <s v="Доходы"/>
    <x v="3"/>
    <s v="Наличными"/>
    <x v="3"/>
    <x v="2"/>
    <x v="1"/>
    <x v="0"/>
    <n v="5"/>
    <n v="23"/>
    <n v="115"/>
  </r>
  <r>
    <x v="3"/>
    <x v="0"/>
    <x v="0"/>
    <s v="Доходы"/>
    <x v="1"/>
    <s v="Наличными"/>
    <x v="1"/>
    <x v="1"/>
    <x v="6"/>
    <x v="2"/>
    <n v="3"/>
    <n v="30"/>
    <n v="90"/>
  </r>
  <r>
    <x v="3"/>
    <x v="0"/>
    <x v="0"/>
    <s v="Доходы"/>
    <x v="7"/>
    <s v="Наличными"/>
    <x v="2"/>
    <x v="0"/>
    <x v="7"/>
    <x v="0"/>
    <n v="4"/>
    <n v="23"/>
    <n v="92"/>
  </r>
  <r>
    <x v="4"/>
    <x v="1"/>
    <x v="0"/>
    <s v="Доходы"/>
    <x v="8"/>
    <s v="Безналичная"/>
    <x v="3"/>
    <x v="3"/>
    <x v="4"/>
    <x v="0"/>
    <n v="5"/>
    <n v="27"/>
    <n v="135"/>
  </r>
  <r>
    <x v="4"/>
    <x v="1"/>
    <x v="0"/>
    <s v="Доходы"/>
    <x v="7"/>
    <s v="Наличными"/>
    <x v="2"/>
    <x v="0"/>
    <x v="8"/>
    <x v="2"/>
    <n v="2"/>
    <n v="75"/>
    <n v="150"/>
  </r>
  <r>
    <x v="4"/>
    <x v="1"/>
    <x v="0"/>
    <s v="Доходы"/>
    <x v="7"/>
    <s v="Наличными"/>
    <x v="2"/>
    <x v="0"/>
    <x v="9"/>
    <x v="1"/>
    <n v="3"/>
    <n v="18"/>
    <n v="54"/>
  </r>
  <r>
    <x v="4"/>
    <x v="1"/>
    <x v="0"/>
    <s v="Доходы"/>
    <x v="7"/>
    <s v="Наличными"/>
    <x v="2"/>
    <x v="0"/>
    <x v="10"/>
    <x v="0"/>
    <n v="4"/>
    <n v="26"/>
    <n v="104"/>
  </r>
  <r>
    <x v="4"/>
    <x v="1"/>
    <x v="0"/>
    <s v="Доходы"/>
    <x v="7"/>
    <s v="Наличными"/>
    <x v="2"/>
    <x v="0"/>
    <x v="11"/>
    <x v="1"/>
    <n v="5"/>
    <n v="19"/>
    <n v="95"/>
  </r>
  <r>
    <x v="4"/>
    <x v="1"/>
    <x v="0"/>
    <s v="Доходы"/>
    <x v="7"/>
    <s v="Наличными"/>
    <x v="2"/>
    <x v="0"/>
    <x v="11"/>
    <x v="1"/>
    <n v="10"/>
    <n v="19"/>
    <n v="190"/>
  </r>
  <r>
    <x v="4"/>
    <x v="1"/>
    <x v="0"/>
    <s v="Доходы"/>
    <x v="7"/>
    <s v="Наличными"/>
    <x v="2"/>
    <x v="0"/>
    <x v="11"/>
    <x v="1"/>
    <n v="10"/>
    <n v="19"/>
    <n v="190"/>
  </r>
  <r>
    <x v="4"/>
    <x v="1"/>
    <x v="0"/>
    <s v="Доходы"/>
    <x v="7"/>
    <s v="Наличными"/>
    <x v="2"/>
    <x v="0"/>
    <x v="11"/>
    <x v="1"/>
    <n v="10"/>
    <n v="19"/>
    <n v="190"/>
  </r>
  <r>
    <x v="4"/>
    <x v="1"/>
    <x v="0"/>
    <s v="Доходы"/>
    <x v="7"/>
    <s v="Наличными"/>
    <x v="2"/>
    <x v="0"/>
    <x v="11"/>
    <x v="1"/>
    <n v="10"/>
    <n v="19"/>
    <n v="190"/>
  </r>
  <r>
    <x v="4"/>
    <x v="1"/>
    <x v="0"/>
    <s v="Доходы"/>
    <x v="7"/>
    <s v="Наличными"/>
    <x v="2"/>
    <x v="0"/>
    <x v="11"/>
    <x v="1"/>
    <n v="10"/>
    <n v="19"/>
    <n v="190"/>
  </r>
  <r>
    <x v="4"/>
    <x v="1"/>
    <x v="0"/>
    <s v="Доходы"/>
    <x v="6"/>
    <s v="Наличными"/>
    <x v="3"/>
    <x v="4"/>
    <x v="11"/>
    <x v="1"/>
    <n v="10"/>
    <n v="19"/>
    <n v="190"/>
  </r>
  <r>
    <x v="4"/>
    <x v="1"/>
    <x v="0"/>
    <s v="Доходы"/>
    <x v="6"/>
    <s v="Наличными"/>
    <x v="3"/>
    <x v="4"/>
    <x v="11"/>
    <x v="1"/>
    <n v="10"/>
    <n v="19"/>
    <n v="190"/>
  </r>
  <r>
    <x v="4"/>
    <x v="1"/>
    <x v="0"/>
    <s v="Доходы"/>
    <x v="7"/>
    <s v="Наличными"/>
    <x v="2"/>
    <x v="0"/>
    <x v="11"/>
    <x v="1"/>
    <n v="10"/>
    <n v="19"/>
    <n v="190"/>
  </r>
  <r>
    <x v="4"/>
    <x v="1"/>
    <x v="0"/>
    <s v="Доходы"/>
    <x v="8"/>
    <s v="Безналичная"/>
    <x v="3"/>
    <x v="3"/>
    <x v="11"/>
    <x v="1"/>
    <n v="10"/>
    <n v="19"/>
    <n v="190"/>
  </r>
  <r>
    <x v="4"/>
    <x v="1"/>
    <x v="0"/>
    <s v="Доходы"/>
    <x v="8"/>
    <s v="Безналичная"/>
    <x v="3"/>
    <x v="3"/>
    <x v="11"/>
    <x v="1"/>
    <n v="10"/>
    <n v="19"/>
    <n v="190"/>
  </r>
  <r>
    <x v="5"/>
    <x v="1"/>
    <x v="0"/>
    <s v="Доходы"/>
    <x v="8"/>
    <s v="Безналичная"/>
    <x v="3"/>
    <x v="3"/>
    <x v="11"/>
    <x v="1"/>
    <n v="10"/>
    <n v="19"/>
    <n v="190"/>
  </r>
  <r>
    <x v="5"/>
    <x v="1"/>
    <x v="0"/>
    <s v="Доходы"/>
    <x v="8"/>
    <s v="Безналичная"/>
    <x v="3"/>
    <x v="3"/>
    <x v="11"/>
    <x v="1"/>
    <n v="10"/>
    <n v="19"/>
    <n v="190"/>
  </r>
  <r>
    <x v="5"/>
    <x v="1"/>
    <x v="0"/>
    <s v="Доходы"/>
    <x v="8"/>
    <s v="Безналичная"/>
    <x v="3"/>
    <x v="3"/>
    <x v="11"/>
    <x v="1"/>
    <n v="10"/>
    <n v="19"/>
    <n v="190"/>
  </r>
  <r>
    <x v="5"/>
    <x v="1"/>
    <x v="0"/>
    <s v="Доходы"/>
    <x v="8"/>
    <s v="Безналичная"/>
    <x v="3"/>
    <x v="3"/>
    <x v="11"/>
    <x v="1"/>
    <n v="10"/>
    <n v="19"/>
    <n v="190"/>
  </r>
  <r>
    <x v="5"/>
    <x v="1"/>
    <x v="0"/>
    <s v="Доходы"/>
    <x v="9"/>
    <s v="Наличными"/>
    <x v="3"/>
    <x v="2"/>
    <x v="9"/>
    <x v="1"/>
    <n v="5"/>
    <n v="18"/>
    <n v="90"/>
  </r>
  <r>
    <x v="5"/>
    <x v="1"/>
    <x v="0"/>
    <s v="Доходы"/>
    <x v="9"/>
    <s v="Наличными"/>
    <x v="3"/>
    <x v="2"/>
    <x v="12"/>
    <x v="2"/>
    <n v="5"/>
    <n v="45"/>
    <n v="225"/>
  </r>
  <r>
    <x v="5"/>
    <x v="1"/>
    <x v="0"/>
    <s v="Доходы"/>
    <x v="9"/>
    <s v="Наличными"/>
    <x v="3"/>
    <x v="2"/>
    <x v="4"/>
    <x v="0"/>
    <n v="5"/>
    <n v="27"/>
    <n v="135"/>
  </r>
  <r>
    <x v="5"/>
    <x v="1"/>
    <x v="0"/>
    <s v="Доходы"/>
    <x v="10"/>
    <s v="Наличными"/>
    <x v="3"/>
    <x v="2"/>
    <x v="10"/>
    <x v="0"/>
    <n v="5"/>
    <n v="26"/>
    <n v="130"/>
  </r>
  <r>
    <x v="5"/>
    <x v="1"/>
    <x v="0"/>
    <s v="Доходы"/>
    <x v="11"/>
    <s v="Безналичная"/>
    <x v="1"/>
    <x v="3"/>
    <x v="6"/>
    <x v="2"/>
    <n v="5"/>
    <n v="30"/>
    <n v="150"/>
  </r>
  <r>
    <x v="6"/>
    <x v="2"/>
    <x v="0"/>
    <s v="Доходы"/>
    <x v="8"/>
    <s v="Безналичная"/>
    <x v="3"/>
    <x v="3"/>
    <x v="9"/>
    <x v="1"/>
    <n v="10"/>
    <n v="18"/>
    <n v="180"/>
  </r>
  <r>
    <x v="6"/>
    <x v="2"/>
    <x v="0"/>
    <s v="Доходы"/>
    <x v="8"/>
    <s v="Безналичная"/>
    <x v="3"/>
    <x v="3"/>
    <x v="9"/>
    <x v="1"/>
    <n v="10"/>
    <n v="18"/>
    <n v="180"/>
  </r>
  <r>
    <x v="6"/>
    <x v="2"/>
    <x v="0"/>
    <s v="Доходы"/>
    <x v="8"/>
    <s v="Безналичная"/>
    <x v="3"/>
    <x v="3"/>
    <x v="13"/>
    <x v="0"/>
    <n v="10"/>
    <n v="28"/>
    <n v="280"/>
  </r>
  <r>
    <x v="6"/>
    <x v="2"/>
    <x v="0"/>
    <s v="Доходы"/>
    <x v="8"/>
    <s v="Безналичная"/>
    <x v="3"/>
    <x v="3"/>
    <x v="4"/>
    <x v="0"/>
    <n v="10"/>
    <n v="27"/>
    <n v="270"/>
  </r>
  <r>
    <x v="6"/>
    <x v="2"/>
    <x v="0"/>
    <s v="Доходы"/>
    <x v="8"/>
    <s v="Безналичная"/>
    <x v="3"/>
    <x v="3"/>
    <x v="13"/>
    <x v="0"/>
    <n v="10"/>
    <n v="28"/>
    <n v="28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0"/>
    <n v="19"/>
    <n v="190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6"/>
    <x v="2"/>
    <x v="0"/>
    <s v="Доходы"/>
    <x v="8"/>
    <s v="Безналичная"/>
    <x v="3"/>
    <x v="3"/>
    <x v="11"/>
    <x v="1"/>
    <n v="10"/>
    <n v="19"/>
    <n v="190"/>
  </r>
  <r>
    <x v="7"/>
    <x v="2"/>
    <x v="0"/>
    <s v="Доходы"/>
    <x v="0"/>
    <s v="Наличными"/>
    <x v="0"/>
    <x v="0"/>
    <x v="14"/>
    <x v="2"/>
    <n v="5"/>
    <n v="16"/>
    <n v="80"/>
  </r>
  <r>
    <x v="8"/>
    <x v="2"/>
    <x v="0"/>
    <s v="Доходы"/>
    <x v="3"/>
    <s v="Наличными"/>
    <x v="3"/>
    <x v="2"/>
    <x v="14"/>
    <x v="2"/>
    <n v="10"/>
    <n v="16"/>
    <n v="160"/>
  </r>
  <r>
    <x v="9"/>
    <x v="2"/>
    <x v="0"/>
    <s v="Доходы"/>
    <x v="12"/>
    <s v="Безналичная"/>
    <x v="5"/>
    <x v="3"/>
    <x v="14"/>
    <x v="2"/>
    <n v="10"/>
    <n v="16"/>
    <n v="160"/>
  </r>
  <r>
    <x v="9"/>
    <x v="2"/>
    <x v="0"/>
    <s v="Доходы"/>
    <x v="5"/>
    <s v="Безналичная"/>
    <x v="4"/>
    <x v="3"/>
    <x v="14"/>
    <x v="2"/>
    <n v="10"/>
    <n v="16"/>
    <n v="160"/>
  </r>
  <r>
    <x v="9"/>
    <x v="2"/>
    <x v="0"/>
    <s v="Доходы"/>
    <x v="13"/>
    <s v="Наличными"/>
    <x v="6"/>
    <x v="1"/>
    <x v="14"/>
    <x v="2"/>
    <n v="10"/>
    <n v="16"/>
    <n v="160"/>
  </r>
  <r>
    <x v="9"/>
    <x v="2"/>
    <x v="0"/>
    <s v="Доходы"/>
    <x v="14"/>
    <s v="Наличными"/>
    <x v="7"/>
    <x v="1"/>
    <x v="14"/>
    <x v="2"/>
    <n v="10"/>
    <n v="16"/>
    <n v="160"/>
  </r>
  <r>
    <x v="9"/>
    <x v="2"/>
    <x v="0"/>
    <s v="Доходы"/>
    <x v="15"/>
    <s v="Безналичная"/>
    <x v="1"/>
    <x v="3"/>
    <x v="14"/>
    <x v="2"/>
    <n v="10"/>
    <n v="16"/>
    <n v="160"/>
  </r>
  <r>
    <x v="10"/>
    <x v="2"/>
    <x v="0"/>
    <s v="Доходы"/>
    <x v="1"/>
    <s v="Наличными"/>
    <x v="1"/>
    <x v="1"/>
    <x v="14"/>
    <x v="2"/>
    <n v="15"/>
    <n v="16"/>
    <n v="240"/>
  </r>
  <r>
    <x v="11"/>
    <x v="2"/>
    <x v="0"/>
    <s v="Доходы"/>
    <x v="1"/>
    <s v="Наличными"/>
    <x v="1"/>
    <x v="1"/>
    <x v="4"/>
    <x v="0"/>
    <n v="20"/>
    <n v="27"/>
    <n v="540"/>
  </r>
  <r>
    <x v="12"/>
    <x v="2"/>
    <x v="0"/>
    <s v="Доходы"/>
    <x v="3"/>
    <s v="Наличными"/>
    <x v="3"/>
    <x v="2"/>
    <x v="4"/>
    <x v="0"/>
    <n v="5"/>
    <n v="27"/>
    <n v="135"/>
  </r>
  <r>
    <x v="13"/>
    <x v="3"/>
    <x v="0"/>
    <s v="Доходы"/>
    <x v="1"/>
    <s v="Наличными"/>
    <x v="1"/>
    <x v="1"/>
    <x v="7"/>
    <x v="0"/>
    <n v="10"/>
    <n v="23"/>
    <n v="230"/>
  </r>
  <r>
    <x v="14"/>
    <x v="3"/>
    <x v="0"/>
    <s v="Доходы"/>
    <x v="1"/>
    <s v="Наличными"/>
    <x v="1"/>
    <x v="1"/>
    <x v="15"/>
    <x v="1"/>
    <n v="15"/>
    <n v="18"/>
    <n v="270"/>
  </r>
  <r>
    <x v="14"/>
    <x v="3"/>
    <x v="0"/>
    <s v="Доходы"/>
    <x v="0"/>
    <s v="Наличными"/>
    <x v="0"/>
    <x v="0"/>
    <x v="7"/>
    <x v="0"/>
    <n v="20"/>
    <n v="23"/>
    <n v="460"/>
  </r>
  <r>
    <x v="15"/>
    <x v="4"/>
    <x v="0"/>
    <s v="Доходы"/>
    <x v="16"/>
    <s v="Наличными"/>
    <x v="2"/>
    <x v="0"/>
    <x v="16"/>
    <x v="1"/>
    <n v="50"/>
    <n v="20"/>
    <n v="1000"/>
  </r>
  <r>
    <x v="15"/>
    <x v="4"/>
    <x v="0"/>
    <s v="Доходы"/>
    <x v="9"/>
    <s v="Наличными"/>
    <x v="3"/>
    <x v="2"/>
    <x v="0"/>
    <x v="0"/>
    <n v="10"/>
    <n v="26"/>
    <n v="260"/>
  </r>
  <r>
    <x v="15"/>
    <x v="4"/>
    <x v="0"/>
    <s v="Доходы"/>
    <x v="9"/>
    <s v="Наличными"/>
    <x v="3"/>
    <x v="2"/>
    <x v="6"/>
    <x v="2"/>
    <n v="10"/>
    <n v="30"/>
    <n v="300"/>
  </r>
  <r>
    <x v="15"/>
    <x v="4"/>
    <x v="0"/>
    <s v="Доходы"/>
    <x v="9"/>
    <s v="Наличными"/>
    <x v="3"/>
    <x v="2"/>
    <x v="12"/>
    <x v="2"/>
    <n v="15"/>
    <n v="45"/>
    <n v="675"/>
  </r>
  <r>
    <x v="15"/>
    <x v="4"/>
    <x v="0"/>
    <s v="Доходы"/>
    <x v="9"/>
    <s v="Наличными"/>
    <x v="3"/>
    <x v="2"/>
    <x v="7"/>
    <x v="0"/>
    <n v="28"/>
    <n v="23"/>
    <n v="644"/>
  </r>
  <r>
    <x v="16"/>
    <x v="4"/>
    <x v="0"/>
    <s v="Доходы"/>
    <x v="6"/>
    <s v="Наличными"/>
    <x v="3"/>
    <x v="4"/>
    <x v="17"/>
    <x v="3"/>
    <n v="15"/>
    <n v="180"/>
    <n v="2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5" cacheId="8" applyNumberFormats="0" applyBorderFormats="0" applyFontFormats="0" applyPatternFormats="0" applyAlignmentFormats="0" applyWidthHeightFormats="1" dataCaption="Значения" grandTotalCaption="Сумма к оплате" updatedVersion="5" minRefreshableVersion="3" itemPrintTitles="1" createdVersion="5" indent="0" outline="1" outlineData="1" multipleFieldFilters="0" rowHeaderCaption="Наименование ">
  <location ref="B5:E11" firstHeaderRow="0" firstDataRow="1" firstDataCol="1" rowPageCount="2" colPageCount="1"/>
  <pivotFields count="13">
    <pivotField name="Фактура от " axis="axisPage" numFmtId="14" multipleItemSelectionAllowed="1" showAll="0">
      <items count="18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umFmtId="1" showAll="0"/>
    <pivotField numFmtId="1" showAll="0"/>
    <pivotField showAll="0"/>
    <pivotField axis="axisPage" multipleItemSelectionAllowed="1" showAll="0">
      <items count="18">
        <item x="10"/>
        <item x="6"/>
        <item x="3"/>
        <item x="1"/>
        <item x="2"/>
        <item x="9"/>
        <item x="7"/>
        <item x="0"/>
        <item x="8"/>
        <item x="4"/>
        <item x="11"/>
        <item x="5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Row" showAll="0">
      <items count="19">
        <item x="14"/>
        <item x="9"/>
        <item x="8"/>
        <item x="6"/>
        <item x="5"/>
        <item x="11"/>
        <item x="10"/>
        <item x="2"/>
        <item x="3"/>
        <item x="7"/>
        <item x="4"/>
        <item x="1"/>
        <item x="13"/>
        <item x="0"/>
        <item x="12"/>
        <item x="15"/>
        <item x="16"/>
        <item x="17"/>
        <item t="default"/>
      </items>
    </pivotField>
    <pivotField showAll="0"/>
    <pivotField dataField="1" showAll="0"/>
    <pivotField dataField="1" numFmtId="2" showAll="0"/>
    <pivotField dataField="1" numFmtId="2" showAll="0"/>
  </pivotFields>
  <rowFields count="1">
    <field x="8"/>
  </rowFields>
  <rowItems count="6">
    <i>
      <x v="3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4" hier="-1"/>
  </pageFields>
  <dataFields count="3">
    <dataField name="Количество, шт. " fld="10" baseField="0" baseItem="0" numFmtId="1"/>
    <dataField name="Цена за шт. " fld="11" baseField="8" baseItem="0" numFmtId="4"/>
    <dataField name="Стоимость, руб. " fld="12" baseField="0" baseItem="0" numFmtId="4"/>
  </dataFields>
  <formats count="22">
    <format dxfId="202">
      <pivotArea field="8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201">
      <pivotArea outline="0" fieldPosition="0">
        <references count="1">
          <reference field="4294967294" count="1">
            <x v="0"/>
          </reference>
        </references>
      </pivotArea>
    </format>
    <format dxfId="200">
      <pivotArea outline="0" fieldPosition="0">
        <references count="1">
          <reference field="4294967294" count="1">
            <x v="1"/>
          </reference>
        </references>
      </pivotArea>
    </format>
    <format dxfId="199">
      <pivotArea outline="0" fieldPosition="0">
        <references count="1">
          <reference field="4294967294" count="1">
            <x v="2"/>
          </reference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outline="0" collapsedLevelsAreSubtotals="1" fieldPosition="0"/>
    </format>
    <format dxfId="195">
      <pivotArea outline="0" collapsedLevelsAreSubtotals="1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8" type="button" dataOnly="0" labelOnly="1" outline="0" axis="axisRow" fieldPosition="0"/>
    </format>
    <format dxfId="191">
      <pivotArea dataOnly="0" labelOnly="1" fieldPosition="0">
        <references count="1">
          <reference field="8" count="5">
            <x v="7"/>
            <x v="8"/>
            <x v="10"/>
            <x v="11"/>
            <x v="13"/>
          </reference>
        </references>
      </pivotArea>
    </format>
    <format dxfId="190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8">
      <pivotArea outline="0" collapsedLevelsAreSubtotals="1" fieldPosition="0"/>
    </format>
    <format dxfId="1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5">
      <pivotArea dataOnly="0" labelOnly="1" outline="0" fieldPosition="0">
        <references count="1">
          <reference field="4" count="0"/>
        </references>
      </pivotArea>
    </format>
    <format dxfId="184">
      <pivotArea field="4" type="button" dataOnly="0" labelOnly="1" outline="0" axis="axisPage" fieldPosition="1"/>
    </format>
    <format dxfId="183">
      <pivotArea field="0" type="button" dataOnly="0" labelOnly="1" outline="0" axis="axisPage" fieldPosition="0"/>
    </format>
    <format dxfId="182">
      <pivotArea dataOnly="0" outline="0" fieldPosition="0">
        <references count="1">
          <reference field="4" count="0"/>
        </references>
      </pivotArea>
    </format>
    <format dxfId="181">
      <pivotArea dataOnly="0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Заказчики" cacheId="1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7" rowHeaderCaption="Заказчики">
  <location ref="B7:C25" firstHeaderRow="1" firstDataRow="1" firstDataCol="1" rowPageCount="2" colPageCount="1"/>
  <pivotFields count="14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numFmtId="1" showAll="0" defaultSubtotal="0"/>
    <pivotField showAll="0" defaultSubtotal="0"/>
    <pivotField axis="axisRow" showAll="0" sortType="descending">
      <items count="22">
        <item m="1" x="18"/>
        <item x="3"/>
        <item x="1"/>
        <item x="2"/>
        <item x="0"/>
        <item m="1" x="19"/>
        <item x="4"/>
        <item x="5"/>
        <item x="6"/>
        <item m="1" x="17"/>
        <item x="7"/>
        <item x="8"/>
        <item x="9"/>
        <item x="10"/>
        <item x="11"/>
        <item x="15"/>
        <item m="1" x="20"/>
        <item x="12"/>
        <item x="13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Page" multipleItemSelectionAllowed="1" showAll="0">
      <items count="10">
        <item x="2"/>
        <item x="0"/>
        <item x="3"/>
        <item x="1"/>
        <item x="4"/>
        <item m="1" x="8"/>
        <item x="5"/>
        <item x="6"/>
        <item x="7"/>
        <item t="default"/>
      </items>
    </pivotField>
    <pivotField showAll="0" defaultSubtotal="0">
      <items count="6">
        <item x="4"/>
        <item x="0"/>
        <item x="1"/>
        <item x="3"/>
        <item x="2"/>
        <item m="1" x="5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showAll="0" defaultSubtotal="0">
      <items count="3">
        <item x="0"/>
        <item x="1"/>
        <item x="2"/>
      </items>
    </pivotField>
  </pivotFields>
  <rowFields count="1">
    <field x="4"/>
  </rowFields>
  <rowItems count="18">
    <i>
      <x v="11"/>
    </i>
    <i>
      <x v="8"/>
    </i>
    <i>
      <x v="6"/>
    </i>
    <i>
      <x v="12"/>
    </i>
    <i>
      <x v="10"/>
    </i>
    <i>
      <x v="2"/>
    </i>
    <i>
      <x v="1"/>
    </i>
    <i>
      <x v="4"/>
    </i>
    <i>
      <x v="20"/>
    </i>
    <i>
      <x v="3"/>
    </i>
    <i>
      <x v="7"/>
    </i>
    <i>
      <x v="18"/>
    </i>
    <i>
      <x v="19"/>
    </i>
    <i>
      <x v="15"/>
    </i>
    <i>
      <x v="17"/>
    </i>
    <i>
      <x v="14"/>
    </i>
    <i>
      <x v="13"/>
    </i>
    <i t="grand">
      <x/>
    </i>
  </rowItems>
  <colItems count="1">
    <i/>
  </colItems>
  <pageFields count="2">
    <pageField fld="0" hier="-1"/>
    <pageField fld="6" hier="-1"/>
  </pageFields>
  <dataFields count="1">
    <dataField name="Выручка руб." fld="12" baseField="0" baseItem="0" numFmtId="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Заказчики" cacheId="1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0" rowHeaderCaption="Заказчики">
  <location ref="B6:C12" firstHeaderRow="1" firstDataRow="1" firstDataCol="1" rowPageCount="1" colPageCount="1"/>
  <pivotFields count="14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numFmtId="1" showAll="0" defaultSubtotal="0"/>
    <pivotField showAll="0" defaultSubtotal="0"/>
    <pivotField showAll="0" sortType="descending">
      <items count="22">
        <item x="10"/>
        <item x="6"/>
        <item x="12"/>
        <item x="15"/>
        <item m="1" x="18"/>
        <item x="3"/>
        <item x="1"/>
        <item x="2"/>
        <item x="9"/>
        <item m="1" x="20"/>
        <item x="16"/>
        <item x="14"/>
        <item x="7"/>
        <item x="0"/>
        <item x="13"/>
        <item m="1" x="19"/>
        <item x="8"/>
        <item x="4"/>
        <item x="11"/>
        <item x="5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multipleItemSelectionAllowed="1" showAll="0">
      <items count="10">
        <item x="2"/>
        <item x="1"/>
        <item x="7"/>
        <item x="6"/>
        <item x="0"/>
        <item x="5"/>
        <item x="4"/>
        <item x="3"/>
        <item m="1" x="8"/>
        <item t="default"/>
      </items>
    </pivotField>
    <pivotField axis="axisRow" showAll="0" sortType="descending" defaultSubtotal="0">
      <items count="6">
        <item x="4"/>
        <item x="0"/>
        <item x="1"/>
        <item x="3"/>
        <item x="2"/>
        <item m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showAll="0" defaultSubtotal="0">
      <items count="3">
        <item x="0"/>
        <item x="1"/>
        <item x="2"/>
      </items>
    </pivotField>
  </pivotFields>
  <rowFields count="1">
    <field x="7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pageFields count="1">
    <pageField fld="0" hier="-1"/>
  </pageFields>
  <dataFields count="1">
    <dataField name="Выручка руб." fld="12" baseField="0" baseItem="0" numFmtId="4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ВЫРУЧКА" cacheId="18" applyNumberFormats="0" applyBorderFormats="0" applyFontFormats="0" applyPatternFormats="0" applyAlignmentFormats="0" applyWidthHeightFormats="1" dataCaption="Значения" updatedVersion="5" minRefreshableVersion="3" itemPrintTitles="1" createdVersion="5" indent="0" compact="0" compactData="0" multipleFieldFilters="0" chartFormat="19" rowHeaderCaption="Месяц ">
  <location ref="B6:E26" firstHeaderRow="1" firstDataRow="1" firstDataCol="3" rowPageCount="1" colPageCount="1"/>
  <pivotFields count="14">
    <pivotField axis="axisRow" compact="0" numFmtId="14" outline="0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descending" defaultSubtotal="0">
      <items count="21">
        <item m="1" x="18"/>
        <item x="3"/>
        <item x="1"/>
        <item x="2"/>
        <item x="0"/>
        <item m="1" x="19"/>
        <item x="4"/>
        <item x="5"/>
        <item x="6"/>
        <item m="1" x="17"/>
        <item x="7"/>
        <item x="8"/>
        <item x="9"/>
        <item x="10"/>
        <item x="11"/>
        <item x="15"/>
        <item m="1" x="20"/>
        <item x="12"/>
        <item x="13"/>
        <item x="14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2"/>
        <item x="0"/>
        <item x="1"/>
        <item x="4"/>
        <item m="1" x="8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0"/>
    <field x="6"/>
  </rowFields>
  <rowItems count="20">
    <i>
      <x v="1"/>
      <x v="1"/>
      <x/>
    </i>
    <i r="2">
      <x v="1"/>
    </i>
    <i r="2">
      <x v="2"/>
    </i>
    <i r="2">
      <x v="3"/>
    </i>
    <i r="2">
      <x v="4"/>
    </i>
    <i r="1">
      <x v="2"/>
      <x/>
    </i>
    <i r="2">
      <x v="1"/>
    </i>
    <i r="2">
      <x v="3"/>
    </i>
    <i r="1">
      <x v="3"/>
      <x/>
    </i>
    <i r="2">
      <x v="2"/>
    </i>
    <i r="2">
      <x v="3"/>
    </i>
    <i r="2">
      <x v="4"/>
    </i>
    <i r="2">
      <x v="6"/>
    </i>
    <i r="2">
      <x v="7"/>
    </i>
    <i r="2">
      <x v="8"/>
    </i>
    <i r="1">
      <x v="4"/>
      <x v="2"/>
    </i>
    <i r="2">
      <x v="3"/>
    </i>
    <i r="1">
      <x v="5"/>
      <x/>
    </i>
    <i r="2">
      <x v="1"/>
    </i>
    <i t="grand">
      <x/>
    </i>
  </rowItems>
  <colItems count="1">
    <i/>
  </colItems>
  <pageFields count="1">
    <pageField fld="4" hier="-1"/>
  </pageFields>
  <dataFields count="1">
    <dataField name="Выручка руб." fld="12" baseField="0" baseItem="0" numFmtId="4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8" applyNumberFormats="0" applyBorderFormats="0" applyFontFormats="0" applyPatternFormats="0" applyAlignmentFormats="0" applyWidthHeightFormats="1" dataCaption="Значения" grandTotalCaption="Общая сумма" updatedVersion="5" minRefreshableVersion="3" itemPrintTitles="1" createdVersion="5" indent="0" outline="1" outlineData="1" multipleFieldFilters="0" rowHeaderCaption="Наименование ">
  <location ref="B5:E24" firstHeaderRow="0" firstDataRow="1" firstDataCol="1" rowPageCount="2" colPageCount="1"/>
  <pivotFields count="13">
    <pivotField name="Фактура от " axis="axisPage" numFmtId="14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" showAll="0"/>
    <pivotField numFmtId="1" showAll="0"/>
    <pivotField showAll="0"/>
    <pivotField multipleItemSelectionAllowed="1" showAll="0">
      <items count="18">
        <item x="10"/>
        <item x="6"/>
        <item x="3"/>
        <item x="1"/>
        <item x="2"/>
        <item x="9"/>
        <item x="7"/>
        <item x="0"/>
        <item x="8"/>
        <item x="4"/>
        <item x="11"/>
        <item x="5"/>
        <item x="12"/>
        <item x="13"/>
        <item x="14"/>
        <item x="15"/>
        <item x="16"/>
        <item t="default"/>
      </items>
    </pivotField>
    <pivotField showAll="0"/>
    <pivotField showAll="0"/>
    <pivotField axis="axisPage" multipleItemSelectionAllowed="1" showAll="0">
      <items count="6">
        <item x="4"/>
        <item x="0"/>
        <item x="1"/>
        <item x="3"/>
        <item x="2"/>
        <item t="default"/>
      </items>
    </pivotField>
    <pivotField axis="axisRow" showAll="0">
      <items count="19">
        <item x="14"/>
        <item x="9"/>
        <item x="8"/>
        <item x="6"/>
        <item x="5"/>
        <item x="11"/>
        <item x="10"/>
        <item x="2"/>
        <item x="3"/>
        <item x="7"/>
        <item x="4"/>
        <item x="1"/>
        <item x="13"/>
        <item x="0"/>
        <item x="12"/>
        <item x="15"/>
        <item x="16"/>
        <item x="17"/>
        <item t="default"/>
      </items>
    </pivotField>
    <pivotField showAll="0"/>
    <pivotField dataField="1" showAll="0"/>
    <pivotField dataField="1" numFmtId="2" showAll="0"/>
    <pivotField dataField="1" numFmtId="2"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7" hier="-1"/>
  </pageFields>
  <dataFields count="3">
    <dataField name="Количество, шт. " fld="10" baseField="0" baseItem="0" numFmtId="1"/>
    <dataField name="Цена за шт. " fld="11" baseField="8" baseItem="0" numFmtId="4"/>
    <dataField name="Стоимость, руб. " fld="12" baseField="0" baseItem="0" numFmtId="4"/>
  </dataFields>
  <formats count="19">
    <format dxfId="180">
      <pivotArea field="8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179">
      <pivotArea outline="0" fieldPosition="0">
        <references count="1">
          <reference field="4294967294" count="1">
            <x v="0"/>
          </reference>
        </references>
      </pivotArea>
    </format>
    <format dxfId="178">
      <pivotArea outline="0" fieldPosition="0">
        <references count="1">
          <reference field="4294967294" count="1">
            <x v="1"/>
          </reference>
        </references>
      </pivotArea>
    </format>
    <format dxfId="177">
      <pivotArea outline="0" fieldPosition="0">
        <references count="1">
          <reference field="4294967294" count="1">
            <x v="2"/>
          </reference>
        </references>
      </pivotArea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outline="0" collapsedLevelsAreSubtotals="1" fieldPosition="0"/>
    </format>
    <format dxfId="173">
      <pivotArea outline="0" collapsedLevelsAreSubtotals="1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8" type="button" dataOnly="0" labelOnly="1" outline="0" axis="axisRow" fieldPosition="0"/>
    </format>
    <format dxfId="169">
      <pivotArea dataOnly="0" labelOnly="1" fieldPosition="0">
        <references count="1">
          <reference field="8" count="5">
            <x v="7"/>
            <x v="8"/>
            <x v="10"/>
            <x v="11"/>
            <x v="13"/>
          </reference>
        </references>
      </pivotArea>
    </format>
    <format dxfId="168">
      <pivotArea dataOnly="0" labelOnly="1" grandRow="1" outline="0" fieldPosition="0"/>
    </format>
    <format dxfId="1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6">
      <pivotArea outline="0" collapsedLevelsAreSubtotals="1" fieldPosition="0"/>
    </format>
    <format dxfId="1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3">
      <pivotArea field="4" type="button" dataOnly="0" labelOnly="1" outline="0"/>
    </format>
    <format dxfId="162">
      <pivotArea field="0" type="button" dataOnly="0" labelOnly="1" outline="0" axis="axisPage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grandTotalCaption="Итого" updatedVersion="5" minRefreshableVersion="3" itemPrintTitles="1" createdVersion="5" indent="0" outline="1" outlineData="1" multipleFieldFilters="0" rowHeaderCaption="Категория расходов" colHeaderCaption=" ">
  <location ref="B15:G24" firstHeaderRow="1" firstDataRow="2" firstDataCol="1"/>
  <pivotFields count="10">
    <pivotField numFmtId="14" showAll="0"/>
    <pivotField axis="axisCol" numFmtId="1" showAll="0" defaultSubtotal="0">
      <items count="4">
        <item x="0"/>
        <item x="1"/>
        <item x="2"/>
        <item x="3"/>
      </items>
    </pivotField>
    <pivotField numFmtId="1" showAll="0" defaultSubtotal="0"/>
    <pivotField showAll="0"/>
    <pivotField showAll="0"/>
    <pivotField axis="axisRow" showAll="0" sortType="descending">
      <items count="8">
        <item x="5"/>
        <item x="4"/>
        <item x="1"/>
        <item x="2"/>
        <item x="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5"/>
  </rowFields>
  <rowItems count="8">
    <i>
      <x v="4"/>
    </i>
    <i>
      <x v="6"/>
    </i>
    <i>
      <x/>
    </i>
    <i>
      <x v="1"/>
    </i>
    <i>
      <x v="5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Итого" fld="9" baseField="0" baseItem="0" numFmtId="4"/>
  </dataFields>
  <formats count="15">
    <format dxfId="130">
      <pivotArea type="all" dataOnly="0" outline="0" fieldPosition="0"/>
    </format>
    <format dxfId="129">
      <pivotArea dataOnly="0" labelOnly="1" grandCol="1" outline="0" fieldPosition="0"/>
    </format>
    <format dxfId="128">
      <pivotArea dataOnly="0" labelOnly="1" grandCol="1" outline="0" fieldPosition="0"/>
    </format>
    <format dxfId="127">
      <pivotArea dataOnly="0" labelOnly="1" grandCol="1" outline="0" fieldPosition="0"/>
    </format>
    <format dxfId="126">
      <pivotArea dataOnly="0" labelOnly="1" fieldPosition="0">
        <references count="1">
          <reference field="1" count="0"/>
        </references>
      </pivotArea>
    </format>
    <format dxfId="125">
      <pivotArea dataOnly="0" labelOnly="1" fieldPosition="0">
        <references count="1">
          <reference field="1" count="0"/>
        </references>
      </pivotArea>
    </format>
    <format dxfId="124">
      <pivotArea field="5" type="button" dataOnly="0" labelOnly="1" outline="0" axis="axisRow" fieldPosition="0"/>
    </format>
    <format dxfId="123">
      <pivotArea field="5" type="button" dataOnly="0" labelOnly="1" outline="0" axis="axisRow" fieldPosition="0"/>
    </format>
    <format dxfId="122">
      <pivotArea outline="0" fieldPosition="0">
        <references count="1">
          <reference field="4294967294" count="1">
            <x v="0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dataOnly="0" labelOnly="1" fieldPosition="0">
        <references count="1">
          <reference field="5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4" cacheId="18" applyNumberFormats="0" applyBorderFormats="0" applyFontFormats="0" applyPatternFormats="0" applyAlignmentFormats="0" applyWidthHeightFormats="1" dataCaption="Значения" grandTotalCaption="Итого" updatedVersion="5" minRefreshableVersion="3" itemPrintTitles="1" createdVersion="5" indent="0" outline="1" outlineData="1" multipleFieldFilters="0" rowHeaderCaption="Категория товара" colHeaderCaption=" ">
  <location ref="B8:H14" firstHeaderRow="1" firstDataRow="2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" showAll="0">
      <items count="6">
        <item x="0"/>
        <item x="1"/>
        <item x="2"/>
        <item x="3"/>
        <item x="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1"/>
        <item x="2"/>
        <item x="0"/>
        <item m="1"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showAll="0" defaultSubtotal="0">
      <items count="3">
        <item x="0"/>
        <item x="1"/>
        <item x="2"/>
      </items>
    </pivotField>
  </pivotFields>
  <rowFields count="1">
    <field x="9"/>
  </rowFields>
  <rowItems count="5">
    <i>
      <x v="2"/>
    </i>
    <i>
      <x/>
    </i>
    <i>
      <x v="1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Стоимость, руб." fld="12" baseField="0" baseItem="0" numFmtId="4"/>
  </dataFields>
  <formats count="14">
    <format dxfId="144">
      <pivotArea type="all" dataOnly="0" outline="0" fieldPosition="0"/>
    </format>
    <format dxfId="143">
      <pivotArea dataOnly="0" labelOnly="1" grandCol="1" outline="0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Col="1" outline="0" fieldPosition="0"/>
    </format>
    <format dxfId="140">
      <pivotArea dataOnly="0" labelOnly="1" fieldPosition="0">
        <references count="1">
          <reference field="1" count="0"/>
        </references>
      </pivotArea>
    </format>
    <format dxfId="139">
      <pivotArea dataOnly="0" labelOnly="1" grandCol="1" outline="0" fieldPosition="0"/>
    </format>
    <format dxfId="138">
      <pivotArea field="9" type="button" dataOnly="0" labelOnly="1" outline="0" axis="axisRow" fieldPosition="0"/>
    </format>
    <format dxfId="137">
      <pivotArea outline="0" fieldPosition="0">
        <references count="1">
          <reference field="4294967294" count="1">
            <x v="0"/>
          </reference>
        </references>
      </pivotArea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dataOnly="0" labelOnly="1" fieldPosition="0">
        <references count="1">
          <reference field="9" count="0"/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1">
          <reference field="1" count="0"/>
        </references>
      </pivotArea>
    </format>
    <format dxfId="131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3" cacheId="18" applyNumberFormats="0" applyBorderFormats="0" applyFontFormats="0" applyPatternFormats="0" applyAlignmentFormats="0" applyWidthHeightFormats="1" dataCaption="Значения" grandTotalCaption="Итого" updatedVersion="5" minRefreshableVersion="3" itemPrintTitles="1" createdVersion="5" indent="0" outline="1" outlineData="1" multipleFieldFilters="0" rowHeaderCaption="Заказчики" colHeaderCaption=" ">
  <location ref="B26:H45" firstHeaderRow="1" firstDataRow="2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" showAll="0">
      <items count="6">
        <item x="0"/>
        <item x="1"/>
        <item x="2"/>
        <item x="3"/>
        <item x="4"/>
        <item t="default"/>
      </items>
    </pivotField>
    <pivotField numFmtId="1" showAll="0"/>
    <pivotField showAll="0"/>
    <pivotField axis="axisRow" showAll="0" sortType="descending">
      <items count="22">
        <item x="10"/>
        <item x="6"/>
        <item x="15"/>
        <item m="1" x="18"/>
        <item x="3"/>
        <item x="1"/>
        <item x="2"/>
        <item x="9"/>
        <item m="1" x="20"/>
        <item x="7"/>
        <item x="0"/>
        <item m="1" x="19"/>
        <item x="8"/>
        <item x="4"/>
        <item x="11"/>
        <item x="5"/>
        <item m="1" x="17"/>
        <item x="12"/>
        <item x="13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 defaultSubtotal="0">
      <items count="3">
        <item x="0"/>
        <item x="1"/>
        <item x="2"/>
      </items>
    </pivotField>
  </pivotFields>
  <rowFields count="1">
    <field x="4"/>
  </rowFields>
  <rowItems count="18">
    <i>
      <x v="12"/>
    </i>
    <i>
      <x v="1"/>
    </i>
    <i>
      <x v="13"/>
    </i>
    <i>
      <x v="7"/>
    </i>
    <i>
      <x v="9"/>
    </i>
    <i>
      <x v="5"/>
    </i>
    <i>
      <x v="4"/>
    </i>
    <i>
      <x v="10"/>
    </i>
    <i>
      <x v="20"/>
    </i>
    <i>
      <x v="6"/>
    </i>
    <i>
      <x v="15"/>
    </i>
    <i>
      <x v="2"/>
    </i>
    <i>
      <x v="19"/>
    </i>
    <i>
      <x v="18"/>
    </i>
    <i>
      <x v="17"/>
    </i>
    <i>
      <x v="14"/>
    </i>
    <i>
      <x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" fld="12" baseField="0" baseItem="0" numFmtId="4"/>
  </dataFields>
  <formats count="17">
    <format dxfId="161">
      <pivotArea type="origin" dataOnly="0" labelOnly="1" outline="0" fieldPosition="0"/>
    </format>
    <format dxfId="160">
      <pivotArea field="4" type="button" dataOnly="0" labelOnly="1" outline="0" axis="axisRow" fieldPosition="0"/>
    </format>
    <format dxfId="159">
      <pivotArea dataOnly="0" labelOnly="1" fieldPosition="0">
        <references count="1">
          <reference field="1" count="0"/>
        </references>
      </pivotArea>
    </format>
    <format dxfId="158">
      <pivotArea dataOnly="0" labelOnly="1" grandCol="1" outline="0" fieldPosition="0"/>
    </format>
    <format dxfId="157">
      <pivotArea field="4" type="button" dataOnly="0" labelOnly="1" outline="0" axis="axisRow" fieldPosition="0"/>
    </format>
    <format dxfId="156">
      <pivotArea dataOnly="0" labelOnly="1" fieldPosition="0">
        <references count="1">
          <reference field="1" count="0"/>
        </references>
      </pivotArea>
    </format>
    <format dxfId="155">
      <pivotArea dataOnly="0" labelOnly="1" grandCol="1" outline="0" fieldPosition="0"/>
    </format>
    <format dxfId="154">
      <pivotArea dataOnly="0" labelOnly="1" fieldPosition="0">
        <references count="1">
          <reference field="1" count="0"/>
        </references>
      </pivotArea>
    </format>
    <format dxfId="153">
      <pivotArea dataOnly="0" labelOnly="1" grandCol="1" outline="0" fieldPosition="0"/>
    </format>
    <format dxfId="152">
      <pivotArea field="4" type="button" dataOnly="0" labelOnly="1" outline="0" axis="axisRow" fieldPosition="0"/>
    </format>
    <format dxfId="151">
      <pivotArea outline="0" fieldPosition="0">
        <references count="1">
          <reference field="4294967294" count="1">
            <x v="0"/>
          </reference>
        </references>
      </pivotArea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fieldPosition="0">
        <references count="1">
          <reference field="4" count="0"/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1">
          <reference field="1" count="0"/>
        </references>
      </pivotArea>
    </format>
    <format dxfId="145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ады и школы" cacheId="18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Наименование учреждения" colHeaderCaption=" ">
  <location ref="B6:D15" firstHeaderRow="1" firstDataRow="3" firstDataCol="1" rowPageCount="3" colPageCount="1"/>
  <pivotFields count="14">
    <pivotField axis="axisCol"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Page" numFmtId="1" multipleItemSelectionAllowed="1" showAll="0">
      <items count="6">
        <item x="0"/>
        <item x="1"/>
        <item x="2"/>
        <item x="3"/>
        <item x="4"/>
        <item t="default"/>
      </items>
    </pivotField>
    <pivotField axis="axisPage" numFmtId="1" showAll="0">
      <items count="3">
        <item x="0"/>
        <item m="1" x="1"/>
        <item t="default"/>
      </items>
    </pivotField>
    <pivotField showAll="0"/>
    <pivotField axis="axisRow" showAll="0">
      <items count="22">
        <item x="10"/>
        <item x="6"/>
        <item x="15"/>
        <item m="1" x="18"/>
        <item x="3"/>
        <item x="1"/>
        <item x="2"/>
        <item x="9"/>
        <item m="1" x="20"/>
        <item x="7"/>
        <item x="0"/>
        <item m="1" x="19"/>
        <item x="8"/>
        <item x="4"/>
        <item x="11"/>
        <item x="5"/>
        <item m="1" x="17"/>
        <item x="12"/>
        <item x="13"/>
        <item x="14"/>
        <item x="16"/>
        <item t="default"/>
      </items>
    </pivotField>
    <pivotField showAll="0"/>
    <pivotField showAll="0"/>
    <pivotField axis="axisPage" showAll="0">
      <items count="7">
        <item x="4"/>
        <item x="0"/>
        <item x="1"/>
        <item x="3"/>
        <item x="2"/>
        <item m="1" x="5"/>
        <item t="default"/>
      </items>
    </pivotField>
    <pivotField showAll="0"/>
    <pivotField axis="axisRow" showAll="0">
      <items count="6">
        <item x="1"/>
        <item x="2"/>
        <item x="0"/>
        <item m="1" x="4"/>
        <item x="3"/>
        <item t="default"/>
      </items>
    </pivotField>
    <pivotField dataField="1" showAll="0"/>
    <pivotField numFmtId="2" showAll="0"/>
    <pivotField numFmtId="2" showAll="0"/>
    <pivotField axis="axisCol" showAll="0" defaultSubtotal="0">
      <items count="3">
        <item x="0"/>
        <item x="1"/>
        <item x="2"/>
      </items>
    </pivotField>
  </pivotFields>
  <rowFields count="2">
    <field x="4"/>
    <field x="9"/>
  </rowFields>
  <rowItems count="7">
    <i>
      <x v="13"/>
    </i>
    <i r="1">
      <x/>
    </i>
    <i r="1">
      <x v="1"/>
    </i>
    <i r="1">
      <x v="2"/>
    </i>
    <i>
      <x v="15"/>
    </i>
    <i r="1">
      <x v="1"/>
    </i>
    <i t="grand">
      <x/>
    </i>
  </rowItems>
  <colFields count="2">
    <field x="13"/>
    <field x="0"/>
  </colFields>
  <colItems count="2">
    <i>
      <x v="1"/>
      <x v="1"/>
    </i>
    <i t="grand">
      <x/>
    </i>
  </colItems>
  <pageFields count="3">
    <pageField fld="7" item="3" hier="-1"/>
    <pageField fld="2" item="0" hier="-1"/>
    <pageField fld="1" hier="-1"/>
  </pageFields>
  <dataFields count="1">
    <dataField name=" " fld="10" baseField="0" baseItem="0"/>
  </dataFields>
  <formats count="12">
    <format dxfId="115">
      <pivotArea type="all" dataOnly="0" outline="0" fieldPosition="0"/>
    </format>
    <format dxfId="114">
      <pivotArea outline="0" collapsedLevelsAreSubtotals="1" fieldPosition="0"/>
    </format>
    <format dxfId="113">
      <pivotArea dataOnly="0" labelOnly="1" fieldPosition="0">
        <references count="1">
          <reference field="4" count="3">
            <x v="2"/>
            <x v="12"/>
            <x v="14"/>
          </reference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4" count="1" selected="0">
            <x v="2"/>
          </reference>
          <reference field="9" count="0"/>
        </references>
      </pivotArea>
    </format>
    <format dxfId="110">
      <pivotArea dataOnly="0" labelOnly="1" grandCol="1" outline="0" fieldPosition="0"/>
    </format>
    <format dxfId="109">
      <pivotArea field="4" type="button" dataOnly="0" labelOnly="1" outline="0" axis="axisRow" fieldPosition="0"/>
    </format>
    <format dxfId="108">
      <pivotArea field="4" type="button" dataOnly="0" labelOnly="1" outline="0" axis="axisRow" fieldPosition="0"/>
    </format>
    <format dxfId="107">
      <pivotArea dataOnly="0" labelOnly="1" grandCol="1" outline="0" fieldPosition="0"/>
    </format>
    <format dxfId="106">
      <pivotArea dataOnly="0" labelOnly="1" grandCol="1" outline="0" fieldPosition="0"/>
    </format>
    <format dxfId="105">
      <pivotArea dataOnly="0" labelOnly="1" fieldPosition="0">
        <references count="2">
          <reference field="0" count="3">
            <x v="1"/>
            <x v="2"/>
            <x v="3"/>
          </reference>
          <reference field="13" count="1" selected="0">
            <x v="1"/>
          </reference>
        </references>
      </pivotArea>
    </format>
    <format dxfId="104">
      <pivotArea dataOnly="0" labelOnly="1" fieldPosition="0">
        <references count="2">
          <reference field="0" count="3">
            <x v="1"/>
            <x v="2"/>
            <x v="3"/>
          </reference>
          <reference field="13" count="1" selected="0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ВЫРУЧКА" cacheId="18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22" rowHeaderCaption="Месяц ">
  <location ref="B7:C14" firstHeaderRow="1" firstDataRow="1" firstDataCol="1" rowPageCount="2" colPageCount="1"/>
  <pivotFields count="14"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" showAll="0" defaultSubtotal="0"/>
    <pivotField numFmtId="1" showAll="0" defaultSubtotal="0"/>
    <pivotField showAll="0" defaultSubtotal="0"/>
    <pivotField axis="axisPage" multipleItemSelectionAllowed="1" showAll="0" sortType="descending">
      <items count="22">
        <item m="1" x="18"/>
        <item x="3"/>
        <item x="1"/>
        <item x="2"/>
        <item x="0"/>
        <item m="1" x="19"/>
        <item x="4"/>
        <item x="5"/>
        <item x="6"/>
        <item m="1" x="17"/>
        <item x="7"/>
        <item x="8"/>
        <item x="9"/>
        <item x="10"/>
        <item x="11"/>
        <item x="15"/>
        <item m="1" x="20"/>
        <item x="12"/>
        <item x="13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Page" showAll="0">
      <items count="10">
        <item x="3"/>
        <item x="2"/>
        <item x="0"/>
        <item x="1"/>
        <item x="4"/>
        <item m="1" x="8"/>
        <item x="5"/>
        <item x="6"/>
        <item x="7"/>
        <item t="default"/>
      </items>
    </pivotField>
    <pivotField showAll="0" defaultSubtotal="0">
      <items count="6">
        <item x="4"/>
        <item x="0"/>
        <item x="1"/>
        <item x="3"/>
        <item x="2"/>
        <item m="1" x="5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axis="axisRow" showAll="0" defaultSubtotal="0">
      <items count="3">
        <item x="0"/>
        <item x="1"/>
        <item x="2"/>
      </items>
    </pivotField>
  </pivotFields>
  <rowFields count="2">
    <field x="13"/>
    <field x="0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4" hier="-1"/>
    <pageField fld="6" hier="-1"/>
  </pageFields>
  <dataFields count="1">
    <dataField name="Выручка руб." fld="12" baseField="0" baseItem="0" numFmtId="4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Категории" cacheId="1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2" rowHeaderCaption="Категория">
  <location ref="B8:C13" firstHeaderRow="1" firstDataRow="1" firstDataCol="1" rowPageCount="3" colPageCount="1"/>
  <pivotFields count="14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numFmtId="1" showAll="0" defaultSubtotal="0"/>
    <pivotField showAll="0" defaultSubtotal="0"/>
    <pivotField axis="axisPage" multipleItemSelectionAllowed="1" showAll="0">
      <items count="22">
        <item m="1" x="18"/>
        <item x="3"/>
        <item x="1"/>
        <item x="2"/>
        <item x="0"/>
        <item m="1" x="19"/>
        <item x="4"/>
        <item x="5"/>
        <item x="6"/>
        <item m="1" x="17"/>
        <item x="7"/>
        <item x="8"/>
        <item x="9"/>
        <item x="10"/>
        <item x="11"/>
        <item x="15"/>
        <item m="1" x="20"/>
        <item x="12"/>
        <item x="13"/>
        <item x="14"/>
        <item x="16"/>
        <item t="default"/>
      </items>
    </pivotField>
    <pivotField showAll="0" defaultSubtotal="0"/>
    <pivotField axis="axisPage" showAll="0">
      <items count="10">
        <item x="2"/>
        <item x="0"/>
        <item x="3"/>
        <item x="1"/>
        <item x="4"/>
        <item m="1" x="8"/>
        <item x="5"/>
        <item x="6"/>
        <item x="7"/>
        <item t="default"/>
      </items>
    </pivotField>
    <pivotField showAll="0" defaultSubtotal="0">
      <items count="6">
        <item x="4"/>
        <item x="0"/>
        <item x="1"/>
        <item x="3"/>
        <item x="2"/>
        <item m="1" x="5"/>
      </items>
    </pivotField>
    <pivotField showAll="0"/>
    <pivotField axis="axisRow" showAll="0" sortType="descending">
      <items count="6">
        <item x="1"/>
        <item x="2"/>
        <item x="0"/>
        <item m="1"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showAll="0" defaultSubtotal="0">
      <items count="3">
        <item x="0"/>
        <item x="1"/>
        <item x="2"/>
      </items>
    </pivotField>
  </pivotFields>
  <rowFields count="1">
    <field x="9"/>
  </rowFields>
  <rowItems count="5">
    <i>
      <x v="2"/>
    </i>
    <i>
      <x/>
    </i>
    <i>
      <x v="1"/>
    </i>
    <i>
      <x v="4"/>
    </i>
    <i t="grand">
      <x/>
    </i>
  </rowItems>
  <colItems count="1">
    <i/>
  </colItems>
  <pageFields count="3">
    <pageField fld="0" hier="-1"/>
    <pageField fld="6" hier="-1"/>
    <pageField fld="4" hier="-1"/>
  </pageFields>
  <dataFields count="1">
    <dataField name="Выручка руб." fld="12" baseField="0" baseItem="0" numFmtId="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ТОП-10" cacheId="1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0" rowHeaderCaption="Товар">
  <location ref="B7:C18" firstHeaderRow="1" firstDataRow="1" firstDataCol="1" rowPageCount="2" colPageCount="1"/>
  <pivotFields count="14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numFmtId="1" showAll="0" defaultSubtotal="0"/>
    <pivotField showAll="0" defaultSubtotal="0"/>
    <pivotField showAll="0" sortType="descending">
      <items count="22">
        <item x="10"/>
        <item x="6"/>
        <item x="12"/>
        <item x="15"/>
        <item m="1" x="18"/>
        <item x="3"/>
        <item x="1"/>
        <item x="2"/>
        <item x="9"/>
        <item m="1" x="20"/>
        <item x="16"/>
        <item x="14"/>
        <item x="7"/>
        <item x="0"/>
        <item x="13"/>
        <item m="1" x="19"/>
        <item x="8"/>
        <item x="4"/>
        <item x="11"/>
        <item x="5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Page" showAll="0">
      <items count="10">
        <item x="2"/>
        <item x="0"/>
        <item x="3"/>
        <item x="1"/>
        <item x="4"/>
        <item m="1" x="8"/>
        <item x="5"/>
        <item x="6"/>
        <item x="7"/>
        <item t="default"/>
      </items>
    </pivotField>
    <pivotField showAll="0" defaultSubtotal="0">
      <items count="6">
        <item x="4"/>
        <item x="0"/>
        <item x="1"/>
        <item x="3"/>
        <item x="2"/>
        <item m="1" x="5"/>
      </items>
    </pivotField>
    <pivotField axis="axisRow" showAll="0" measureFilter="1" sortType="descending">
      <items count="23">
        <item x="2"/>
        <item x="3"/>
        <item x="4"/>
        <item x="1"/>
        <item x="0"/>
        <item x="6"/>
        <item m="1" x="18"/>
        <item x="7"/>
        <item x="5"/>
        <item x="8"/>
        <item x="9"/>
        <item x="10"/>
        <item x="11"/>
        <item x="12"/>
        <item x="13"/>
        <item m="1" x="20"/>
        <item x="14"/>
        <item m="1" x="21"/>
        <item m="1" x="19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showAll="0" defaultSubtotal="0">
      <items count="3">
        <item x="0"/>
        <item x="1"/>
        <item x="2"/>
      </items>
    </pivotField>
  </pivotFields>
  <rowFields count="1">
    <field x="8"/>
  </rowFields>
  <rowItems count="11">
    <i>
      <x v="12"/>
    </i>
    <i>
      <x v="21"/>
    </i>
    <i>
      <x v="1"/>
    </i>
    <i>
      <x v="2"/>
    </i>
    <i>
      <x v="7"/>
    </i>
    <i>
      <x v="16"/>
    </i>
    <i>
      <x v="20"/>
    </i>
    <i>
      <x v="13"/>
    </i>
    <i>
      <x v="5"/>
    </i>
    <i>
      <x/>
    </i>
    <i t="grand">
      <x/>
    </i>
  </rowItems>
  <colItems count="1">
    <i/>
  </colItems>
  <pageFields count="2">
    <pageField fld="0" hier="-1"/>
    <pageField fld="6" hier="-1"/>
  </pageFields>
  <dataFields count="1">
    <dataField name="Выручка руб." fld="12" baseField="0" baseItem="0" numFmtId="4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Заказчик2" sourceName="Заказчик">
  <pivotTables>
    <pivotTable tabId="17" name="ВЫРУЧКА"/>
    <pivotTable tabId="16" name="ВЫРУЧКА"/>
    <pivotTable tabId="12" name="Заказчики"/>
    <pivotTable tabId="11" name="Категории"/>
    <pivotTable tabId="14" name="ТОП-10"/>
    <pivotTable tabId="21" name="Заказчики"/>
  </pivotTables>
  <data>
    <tabular pivotCacheId="2" sortOrder="descending">
      <items count="21">
        <i x="5" s="1"/>
        <i x="11" s="1"/>
        <i x="4" s="1"/>
        <i x="8" s="1"/>
        <i x="13" s="1"/>
        <i x="0" s="1"/>
        <i x="7" s="1"/>
        <i x="14" s="1"/>
        <i x="16" s="1"/>
        <i x="9" s="1"/>
        <i x="2" s="1"/>
        <i x="1" s="1"/>
        <i x="3" s="1"/>
        <i x="15" s="1"/>
        <i x="12" s="1"/>
        <i x="6" s="1"/>
        <i x="10" s="1"/>
        <i x="17" s="1" nd="1"/>
        <i x="19" s="1" nd="1"/>
        <i x="20" s="1" nd="1"/>
        <i x="1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селенный_пункт" sourceName="Населенный пункт">
  <pivotTables>
    <pivotTable tabId="17" name="ВЫРУЧКА"/>
    <pivotTable tabId="16" name="ВЫРУЧКА"/>
    <pivotTable tabId="12" name="Заказчики"/>
    <pivotTable tabId="11" name="Категории"/>
    <pivotTable tabId="14" name="ТОП-10"/>
    <pivotTable tabId="21" name="Заказчики"/>
  </pivotTables>
  <data>
    <tabular pivotCacheId="2">
      <items count="9">
        <i x="2" s="1"/>
        <i x="1" s="1"/>
        <i x="7" s="1"/>
        <i x="6" s="1"/>
        <i x="0" s="1"/>
        <i x="5" s="1"/>
        <i x="4" s="1"/>
        <i x="3" s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правление" sourceName="Направление">
  <pivotTables>
    <pivotTable tabId="21" name="Заказчики"/>
    <pivotTable tabId="16" name="ВЫРУЧКА"/>
    <pivotTable tabId="12" name="Заказчики"/>
    <pivotTable tabId="11" name="Категории"/>
    <pivotTable tabId="14" name="ТОП-10"/>
  </pivotTables>
  <data>
    <tabular pivotCacheId="2">
      <items count="6">
        <i x="4" s="1"/>
        <i x="0" s="1"/>
        <i x="1" s="1"/>
        <i x="3" s="1"/>
        <i x="2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Дата1" sourceName="Дата">
  <pivotTables>
    <pivotTable tabId="16" name="ВЫРУЧКА"/>
    <pivotTable tabId="12" name="Заказчики"/>
    <pivotTable tabId="11" name="Категории"/>
    <pivotTable tabId="21" name="Заказчики"/>
    <pivotTable tabId="14" name="ТОП-10"/>
    <pivotTable tabId="17" name="ВЫРУЧКА"/>
  </pivotTables>
  <data>
    <tabular pivotCacheId="2">
      <items count="14">
        <i x="1" s="1"/>
        <i x="2" s="1"/>
        <i x="3" s="1"/>
        <i x="4" s="1"/>
        <i x="5" s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Заказчик 3" cache="Срез_Заказчик2" caption="Заказчик" startItem="10" lockedPosition="1" rowHeight="241300"/>
  <slicer name="Населенный пункт 1" cache="Срез_Населенный_пункт" caption="Населенный пункт" lockedPosition="1" rowHeight="241300"/>
  <slicer name="Направление 1" cache="Срез_Направление" caption="Направление" lockedPosition="1" rowHeight="241300"/>
  <slicer name="Дата 2" cache="Срез_Дата1" caption="Месяц" lockedPosition="1" rowHeight="241300"/>
</slicers>
</file>

<file path=xl/tables/table1.xml><?xml version="1.0" encoding="utf-8"?>
<table xmlns="http://schemas.openxmlformats.org/spreadsheetml/2006/main" id="3" name="Заявки" displayName="Заявки" ref="B1:N127" totalsRowShown="0" headerRowDxfId="228">
  <autoFilter ref="B1:N127"/>
  <tableColumns count="13">
    <tableColumn id="1" name="Дата" dataDxfId="227"/>
    <tableColumn id="11" name="Месяц" dataDxfId="226">
      <calculatedColumnFormula>MONTH(Заявки[[#This Row],[Дата]])</calculatedColumnFormula>
    </tableColumn>
    <tableColumn id="12" name="Год" dataDxfId="225">
      <calculatedColumnFormula>YEAR(Заявки[[#This Row],[Дата]])</calculatedColumnFormula>
    </tableColumn>
    <tableColumn id="10" name="Операция" dataDxfId="224">
      <calculatedColumnFormula>IF(Заявки[[#This Row],[Год]]="","Пустая","Доходы")</calculatedColumnFormula>
    </tableColumn>
    <tableColumn id="2" name="Заказчик" dataDxfId="223"/>
    <tableColumn id="13" name="Оплата" dataDxfId="222">
      <calculatedColumnFormula>VLOOKUP(Заявки[[#This Row],[Заказчик]],Контрагенты!B:E,4,FALSE)</calculatedColumnFormula>
    </tableColumn>
    <tableColumn id="3" name="Населенный пункт" dataDxfId="221">
      <calculatedColumnFormula>VLOOKUP(Заявки[[#This Row],[Заказчик]],Контрагенты!B:D,2,FALSE)</calculatedColumnFormula>
    </tableColumn>
    <tableColumn id="9" name="Направление" dataDxfId="220">
      <calculatedColumnFormula>VLOOKUP(Заявки[[#This Row],[Заказчик]],Контрагенты!B:D,3,FALSE)</calculatedColumnFormula>
    </tableColumn>
    <tableColumn id="4" name="Наименование" dataDxfId="219"/>
    <tableColumn id="8" name="Категория" dataDxfId="218">
      <calculatedColumnFormula>VLOOKUP(J2,Прайс!$B$2:$F$81,2,FALSE)</calculatedColumnFormula>
    </tableColumn>
    <tableColumn id="5" name="Количество, шт." dataDxfId="217"/>
    <tableColumn id="6" name="Цена за шт." dataDxfId="216">
      <calculatedColumnFormula>VLOOKUP(J2,Прайс!$B$2:$F$81,5,0)</calculatedColumnFormula>
    </tableColumn>
    <tableColumn id="7" name="Стоимость, руб." dataDxfId="215">
      <calculatedColumnFormula>L2*M2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Расходы" displayName="Расходы" ref="B1:K13" totalsRowShown="0" headerRowDxfId="214" dataDxfId="213">
  <tableColumns count="10">
    <tableColumn id="1" name="Дата" dataDxfId="212"/>
    <tableColumn id="9" name="Месяц" dataDxfId="211">
      <calculatedColumnFormula>MONTH(Расходы[[#This Row],[Дата]])</calculatedColumnFormula>
    </tableColumn>
    <tableColumn id="10" name="Год" dataDxfId="210">
      <calculatedColumnFormula>YEAR(Расходы[[#This Row],[Дата]])</calculatedColumnFormula>
    </tableColumn>
    <tableColumn id="2" name="Операция" dataDxfId="209">
      <calculatedColumnFormula>IF(Расходы[[#This Row],[Дата]]="","Пустая","Расходы")</calculatedColumnFormula>
    </tableColumn>
    <tableColumn id="3" name="Наименование" dataDxfId="208"/>
    <tableColumn id="8" name="Категория расходов" dataDxfId="207"/>
    <tableColumn id="4" name="Количество" dataDxfId="206"/>
    <tableColumn id="5" name="Ед. изм." dataDxfId="205"/>
    <tableColumn id="6" name="Цена за ед." dataDxfId="204" dataCellStyle="Финансовый"/>
    <tableColumn id="7" name="Итого" dataDxfId="203" dataCellStyle="Финансовый">
      <calculatedColumnFormula>Расходы[[#This Row],[Количество]]*Расходы[[#This Row],[Цена за ед.]]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Таблица6" displayName="Таблица6" ref="B1:H22" totalsRowShown="0" headerRowDxfId="103" dataDxfId="102">
  <autoFilter ref="B1:H22"/>
  <sortState ref="B2:F18">
    <sortCondition ref="B5"/>
  </sortState>
  <tableColumns count="7">
    <tableColumn id="1" name="Дата" dataDxfId="101"/>
    <tableColumn id="2" name="Наименование" dataDxfId="100"/>
    <tableColumn id="4" name="Количество, шт." dataDxfId="99"/>
    <tableColumn id="7" name="Цена за шт." dataDxfId="98">
      <calculatedColumnFormula>VLOOKUP(Таблица6[[#This Row],[Наименование]],Прайс!$B$2:$F$81,5,0)</calculatedColumnFormula>
    </tableColumn>
    <tableColumn id="6" name="Стоимость, руб." dataDxfId="97">
      <calculatedColumnFormula>Таблица6[[#This Row],[Количество, шт.]]*Таблица6[[#This Row],[Цена за шт.]]</calculatedColumnFormula>
    </tableColumn>
    <tableColumn id="3" name="Категория" dataDxfId="96">
      <calculatedColumnFormula>VLOOKUP(Таблица6[Наименование],Прайс!$B$2:$F$81,2,0)</calculatedColumnFormula>
    </tableColumn>
    <tableColumn id="5" name="ФИО пекаря" dataDxfId="9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G6:K15" totalsRowShown="0">
  <autoFilter ref="G6:K15"/>
  <tableColumns count="5">
    <tableColumn id="1" name="Населенный пункт" dataDxfId="94"/>
    <tableColumn id="2" name="X"/>
    <tableColumn id="3" name="Y"/>
    <tableColumn id="4" name="Значение" dataDxfId="93">
      <calculatedColumnFormula>SUMIFS(E:E,D:D,Таблица5[[#This Row],[Населенный пункт]])</calculatedColumnFormula>
    </tableColumn>
    <tableColumn id="5" name="Подписи" dataDxfId="92">
      <calculatedColumnFormula>Таблица5[[#This Row],[Населенный пункт]]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Таблица2" displayName="Таблица2" ref="A1:F81" totalsRowShown="0">
  <autoFilter ref="A1:F81"/>
  <tableColumns count="6">
    <tableColumn id="1" name="№" dataDxfId="91"/>
    <tableColumn id="2" name="Наименование"/>
    <tableColumn id="3" name="Категория"/>
    <tableColumn id="4" name="Вес, гр."/>
    <tableColumn id="5" name="Себестоимость"/>
    <tableColumn id="6" name="Цена" dataDxfId="9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Таблица1" displayName="Таблица1" ref="L1:M9" totalsRowShown="0" headerRowDxfId="89" dataDxfId="87" headerRowBorderDxfId="88" tableBorderDxfId="86">
  <autoFilter ref="L1:M9"/>
  <tableColumns count="2">
    <tableColumn id="1" name="Категория расходов" dataDxfId="85"/>
    <tableColumn id="2" name="Ед. изм." dataDxfId="8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Relationship Id="rId4" Type="http://schemas.openxmlformats.org/officeDocument/2006/relationships/table" Target="../tables/table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showGridLines="0" zoomScaleNormal="100" workbookViewId="0">
      <selection activeCell="Z17" sqref="Z17"/>
    </sheetView>
  </sheetViews>
  <sheetFormatPr defaultRowHeight="15" x14ac:dyDescent="0.25"/>
  <cols>
    <col min="1" max="1" width="5.7109375" style="34" customWidth="1"/>
    <col min="2" max="16384" width="9.140625" style="34"/>
  </cols>
  <sheetData/>
  <sheetProtection sort="0" autoFilter="0" pivotTables="0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workbookViewId="0">
      <selection activeCell="D24" sqref="D24"/>
    </sheetView>
  </sheetViews>
  <sheetFormatPr defaultRowHeight="15" x14ac:dyDescent="0.25"/>
  <cols>
    <col min="1" max="1" width="5.7109375" customWidth="1"/>
    <col min="2" max="2" width="18.28515625" customWidth="1"/>
    <col min="3" max="3" width="13.28515625" customWidth="1"/>
  </cols>
  <sheetData>
    <row r="2" spans="2:3" x14ac:dyDescent="0.25">
      <c r="B2" s="33" t="s">
        <v>217</v>
      </c>
    </row>
    <row r="4" spans="2:3" x14ac:dyDescent="0.25">
      <c r="B4" s="23" t="s">
        <v>141</v>
      </c>
      <c r="C4" t="s">
        <v>137</v>
      </c>
    </row>
    <row r="5" spans="2:3" x14ac:dyDescent="0.25">
      <c r="B5" s="23" t="s">
        <v>139</v>
      </c>
      <c r="C5" t="s">
        <v>137</v>
      </c>
    </row>
    <row r="7" spans="2:3" x14ac:dyDescent="0.25">
      <c r="B7" s="23" t="s">
        <v>149</v>
      </c>
      <c r="C7" t="s">
        <v>146</v>
      </c>
    </row>
    <row r="8" spans="2:3" x14ac:dyDescent="0.25">
      <c r="B8" s="24" t="s">
        <v>198</v>
      </c>
      <c r="C8" s="103"/>
    </row>
    <row r="9" spans="2:3" x14ac:dyDescent="0.25">
      <c r="B9" s="106" t="s">
        <v>207</v>
      </c>
      <c r="C9" s="103">
        <v>5746</v>
      </c>
    </row>
    <row r="10" spans="2:3" x14ac:dyDescent="0.25">
      <c r="B10" s="106" t="s">
        <v>208</v>
      </c>
      <c r="C10" s="103">
        <v>3928</v>
      </c>
    </row>
    <row r="11" spans="2:3" x14ac:dyDescent="0.25">
      <c r="B11" s="106" t="s">
        <v>209</v>
      </c>
      <c r="C11" s="103">
        <v>7135</v>
      </c>
    </row>
    <row r="12" spans="2:3" x14ac:dyDescent="0.25">
      <c r="B12" s="106" t="s">
        <v>222</v>
      </c>
      <c r="C12" s="103">
        <v>960</v>
      </c>
    </row>
    <row r="13" spans="2:3" x14ac:dyDescent="0.25">
      <c r="B13" s="106" t="s">
        <v>223</v>
      </c>
      <c r="C13" s="103">
        <v>5579</v>
      </c>
    </row>
    <row r="14" spans="2:3" x14ac:dyDescent="0.25">
      <c r="B14" s="24" t="s">
        <v>136</v>
      </c>
      <c r="C14" s="103">
        <v>23348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showGridLines="0" workbookViewId="0">
      <selection activeCell="J23" sqref="J23"/>
    </sheetView>
  </sheetViews>
  <sheetFormatPr defaultRowHeight="15" x14ac:dyDescent="0.25"/>
  <cols>
    <col min="1" max="1" width="5.7109375" customWidth="1"/>
    <col min="2" max="2" width="18.28515625" bestFit="1" customWidth="1"/>
    <col min="3" max="3" width="13.28515625" customWidth="1"/>
  </cols>
  <sheetData>
    <row r="2" spans="2:3" x14ac:dyDescent="0.25">
      <c r="B2" s="33" t="s">
        <v>218</v>
      </c>
    </row>
    <row r="4" spans="2:3" x14ac:dyDescent="0.25">
      <c r="B4" s="23" t="s">
        <v>83</v>
      </c>
      <c r="C4" t="s">
        <v>137</v>
      </c>
    </row>
    <row r="5" spans="2:3" x14ac:dyDescent="0.25">
      <c r="B5" s="23" t="s">
        <v>139</v>
      </c>
      <c r="C5" t="s">
        <v>137</v>
      </c>
    </row>
    <row r="6" spans="2:3" x14ac:dyDescent="0.25">
      <c r="B6" s="23" t="s">
        <v>141</v>
      </c>
      <c r="C6" t="s">
        <v>137</v>
      </c>
    </row>
    <row r="8" spans="2:3" x14ac:dyDescent="0.25">
      <c r="B8" s="23" t="s">
        <v>145</v>
      </c>
      <c r="C8" t="s">
        <v>146</v>
      </c>
    </row>
    <row r="9" spans="2:3" x14ac:dyDescent="0.25">
      <c r="B9" s="24" t="s">
        <v>127</v>
      </c>
      <c r="C9" s="103">
        <v>8879</v>
      </c>
    </row>
    <row r="10" spans="2:3" x14ac:dyDescent="0.25">
      <c r="B10" s="24" t="s">
        <v>128</v>
      </c>
      <c r="C10" s="103">
        <v>8539</v>
      </c>
    </row>
    <row r="11" spans="2:3" x14ac:dyDescent="0.25">
      <c r="B11" s="24" t="s">
        <v>129</v>
      </c>
      <c r="C11" s="103">
        <v>3230</v>
      </c>
    </row>
    <row r="12" spans="2:3" x14ac:dyDescent="0.25">
      <c r="B12" s="24" t="s">
        <v>225</v>
      </c>
      <c r="C12" s="103">
        <v>2700</v>
      </c>
    </row>
    <row r="13" spans="2:3" x14ac:dyDescent="0.25">
      <c r="B13" s="24" t="s">
        <v>136</v>
      </c>
      <c r="C13" s="103">
        <v>23348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workbookViewId="0">
      <selection activeCell="C15" sqref="C15"/>
    </sheetView>
  </sheetViews>
  <sheetFormatPr defaultRowHeight="15" x14ac:dyDescent="0.25"/>
  <cols>
    <col min="1" max="1" width="5.7109375" customWidth="1"/>
    <col min="2" max="2" width="26.140625" customWidth="1"/>
    <col min="3" max="3" width="13.28515625" customWidth="1"/>
  </cols>
  <sheetData>
    <row r="2" spans="2:3" x14ac:dyDescent="0.25">
      <c r="B2" s="33" t="s">
        <v>219</v>
      </c>
    </row>
    <row r="4" spans="2:3" x14ac:dyDescent="0.25">
      <c r="B4" s="23" t="s">
        <v>83</v>
      </c>
      <c r="C4" t="s">
        <v>137</v>
      </c>
    </row>
    <row r="5" spans="2:3" x14ac:dyDescent="0.25">
      <c r="B5" s="23" t="s">
        <v>139</v>
      </c>
      <c r="C5" t="s">
        <v>137</v>
      </c>
    </row>
    <row r="7" spans="2:3" x14ac:dyDescent="0.25">
      <c r="B7" s="23" t="s">
        <v>148</v>
      </c>
      <c r="C7" t="s">
        <v>146</v>
      </c>
    </row>
    <row r="8" spans="2:3" x14ac:dyDescent="0.25">
      <c r="B8" s="24" t="s">
        <v>73</v>
      </c>
      <c r="C8" s="103">
        <v>6745</v>
      </c>
    </row>
    <row r="9" spans="2:3" x14ac:dyDescent="0.25">
      <c r="B9" s="24" t="s">
        <v>50</v>
      </c>
      <c r="C9" s="103">
        <v>2700</v>
      </c>
    </row>
    <row r="10" spans="2:3" x14ac:dyDescent="0.25">
      <c r="B10" s="24" t="s">
        <v>7</v>
      </c>
      <c r="C10" s="103">
        <v>2349</v>
      </c>
    </row>
    <row r="11" spans="2:3" x14ac:dyDescent="0.25">
      <c r="B11" s="24" t="s">
        <v>4</v>
      </c>
      <c r="C11" s="103">
        <v>1998</v>
      </c>
    </row>
    <row r="12" spans="2:3" x14ac:dyDescent="0.25">
      <c r="B12" s="24" t="s">
        <v>6</v>
      </c>
      <c r="C12" s="103">
        <v>1426</v>
      </c>
    </row>
    <row r="13" spans="2:3" x14ac:dyDescent="0.25">
      <c r="B13" s="24" t="s">
        <v>78</v>
      </c>
      <c r="C13" s="103">
        <v>1280</v>
      </c>
    </row>
    <row r="14" spans="2:3" x14ac:dyDescent="0.25">
      <c r="B14" s="24" t="s">
        <v>49</v>
      </c>
      <c r="C14" s="103">
        <v>1000</v>
      </c>
    </row>
    <row r="15" spans="2:3" x14ac:dyDescent="0.25">
      <c r="B15" s="24" t="s">
        <v>70</v>
      </c>
      <c r="C15" s="103">
        <v>900</v>
      </c>
    </row>
    <row r="16" spans="2:3" x14ac:dyDescent="0.25">
      <c r="B16" s="24" t="s">
        <v>135</v>
      </c>
      <c r="C16" s="103">
        <v>900</v>
      </c>
    </row>
    <row r="17" spans="2:3" x14ac:dyDescent="0.25">
      <c r="B17" s="24" t="s">
        <v>14</v>
      </c>
      <c r="C17" s="103">
        <v>874</v>
      </c>
    </row>
    <row r="18" spans="2:3" x14ac:dyDescent="0.25">
      <c r="B18" s="24" t="s">
        <v>136</v>
      </c>
      <c r="C18" s="103">
        <v>20172</v>
      </c>
    </row>
  </sheetData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showGridLines="0" workbookViewId="0">
      <selection activeCell="E21" sqref="E21"/>
    </sheetView>
  </sheetViews>
  <sheetFormatPr defaultRowHeight="15" x14ac:dyDescent="0.25"/>
  <cols>
    <col min="1" max="1" width="5.7109375" customWidth="1"/>
    <col min="2" max="2" width="28.28515625" customWidth="1"/>
    <col min="3" max="3" width="13.28515625" customWidth="1"/>
  </cols>
  <sheetData>
    <row r="2" spans="2:3" x14ac:dyDescent="0.25">
      <c r="B2" s="33" t="s">
        <v>220</v>
      </c>
    </row>
    <row r="4" spans="2:3" x14ac:dyDescent="0.25">
      <c r="B4" s="23" t="s">
        <v>83</v>
      </c>
      <c r="C4" t="s">
        <v>137</v>
      </c>
    </row>
    <row r="5" spans="2:3" x14ac:dyDescent="0.25">
      <c r="B5" s="23" t="s">
        <v>139</v>
      </c>
      <c r="C5" t="s">
        <v>137</v>
      </c>
    </row>
    <row r="7" spans="2:3" x14ac:dyDescent="0.25">
      <c r="B7" s="23" t="s">
        <v>147</v>
      </c>
      <c r="C7" t="s">
        <v>146</v>
      </c>
    </row>
    <row r="8" spans="2:3" x14ac:dyDescent="0.25">
      <c r="B8" s="24" t="s">
        <v>116</v>
      </c>
      <c r="C8" s="103">
        <v>6455</v>
      </c>
    </row>
    <row r="9" spans="2:3" x14ac:dyDescent="0.25">
      <c r="B9" s="24" t="s">
        <v>125</v>
      </c>
      <c r="C9" s="103">
        <v>3725</v>
      </c>
    </row>
    <row r="10" spans="2:3" x14ac:dyDescent="0.25">
      <c r="B10" s="24" t="s">
        <v>108</v>
      </c>
      <c r="C10" s="103">
        <v>3038</v>
      </c>
    </row>
    <row r="11" spans="2:3" x14ac:dyDescent="0.25">
      <c r="B11" s="24" t="s">
        <v>182</v>
      </c>
      <c r="C11" s="103">
        <v>2329</v>
      </c>
    </row>
    <row r="12" spans="2:3" x14ac:dyDescent="0.25">
      <c r="B12" s="24" t="s">
        <v>92</v>
      </c>
      <c r="C12" s="103">
        <v>1635</v>
      </c>
    </row>
    <row r="13" spans="2:3" x14ac:dyDescent="0.25">
      <c r="B13" s="24" t="s">
        <v>90</v>
      </c>
      <c r="C13" s="103">
        <v>1508</v>
      </c>
    </row>
    <row r="14" spans="2:3" x14ac:dyDescent="0.25">
      <c r="B14" s="24" t="s">
        <v>89</v>
      </c>
      <c r="C14" s="103">
        <v>1045</v>
      </c>
    </row>
    <row r="15" spans="2:3" x14ac:dyDescent="0.25">
      <c r="B15" s="24" t="s">
        <v>91</v>
      </c>
      <c r="C15" s="103">
        <v>1017</v>
      </c>
    </row>
    <row r="16" spans="2:3" x14ac:dyDescent="0.25">
      <c r="B16" s="24" t="s">
        <v>96</v>
      </c>
      <c r="C16" s="103">
        <v>1000</v>
      </c>
    </row>
    <row r="17" spans="2:3" x14ac:dyDescent="0.25">
      <c r="B17" s="24" t="s">
        <v>93</v>
      </c>
      <c r="C17" s="103">
        <v>456</v>
      </c>
    </row>
    <row r="18" spans="2:3" x14ac:dyDescent="0.25">
      <c r="B18" s="24" t="s">
        <v>113</v>
      </c>
      <c r="C18" s="103">
        <v>220</v>
      </c>
    </row>
    <row r="19" spans="2:3" x14ac:dyDescent="0.25">
      <c r="B19" s="24" t="s">
        <v>100</v>
      </c>
      <c r="C19" s="103">
        <v>160</v>
      </c>
    </row>
    <row r="20" spans="2:3" x14ac:dyDescent="0.25">
      <c r="B20" s="24" t="s">
        <v>119</v>
      </c>
      <c r="C20" s="103">
        <v>160</v>
      </c>
    </row>
    <row r="21" spans="2:3" x14ac:dyDescent="0.25">
      <c r="B21" s="24" t="s">
        <v>117</v>
      </c>
      <c r="C21" s="103">
        <v>160</v>
      </c>
    </row>
    <row r="22" spans="2:3" x14ac:dyDescent="0.25">
      <c r="B22" s="24" t="s">
        <v>110</v>
      </c>
      <c r="C22" s="103">
        <v>160</v>
      </c>
    </row>
    <row r="23" spans="2:3" x14ac:dyDescent="0.25">
      <c r="B23" s="24" t="s">
        <v>118</v>
      </c>
      <c r="C23" s="103">
        <v>150</v>
      </c>
    </row>
    <row r="24" spans="2:3" x14ac:dyDescent="0.25">
      <c r="B24" s="24" t="s">
        <v>187</v>
      </c>
      <c r="C24" s="103">
        <v>130</v>
      </c>
    </row>
    <row r="25" spans="2:3" x14ac:dyDescent="0.25">
      <c r="B25" s="24" t="s">
        <v>136</v>
      </c>
      <c r="C25" s="103">
        <v>23348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F21" sqref="F21"/>
    </sheetView>
  </sheetViews>
  <sheetFormatPr defaultRowHeight="15" x14ac:dyDescent="0.25"/>
  <cols>
    <col min="1" max="1" width="5.7109375" customWidth="1"/>
    <col min="2" max="2" width="14.140625" customWidth="1"/>
    <col min="3" max="3" width="13.28515625" customWidth="1"/>
  </cols>
  <sheetData>
    <row r="2" spans="2:3" x14ac:dyDescent="0.25">
      <c r="B2" s="33" t="s">
        <v>221</v>
      </c>
    </row>
    <row r="4" spans="2:3" x14ac:dyDescent="0.25">
      <c r="B4" s="23" t="s">
        <v>83</v>
      </c>
      <c r="C4" t="s">
        <v>137</v>
      </c>
    </row>
    <row r="6" spans="2:3" x14ac:dyDescent="0.25">
      <c r="B6" s="23" t="s">
        <v>147</v>
      </c>
      <c r="C6" t="s">
        <v>146</v>
      </c>
    </row>
    <row r="7" spans="2:3" x14ac:dyDescent="0.25">
      <c r="B7" s="24" t="s">
        <v>158</v>
      </c>
      <c r="C7" s="103">
        <v>10183</v>
      </c>
    </row>
    <row r="8" spans="2:3" x14ac:dyDescent="0.25">
      <c r="B8" s="24" t="s">
        <v>143</v>
      </c>
      <c r="C8" s="103">
        <v>4108</v>
      </c>
    </row>
    <row r="9" spans="2:3" x14ac:dyDescent="0.25">
      <c r="B9" s="24" t="s">
        <v>125</v>
      </c>
      <c r="C9" s="103">
        <v>3725</v>
      </c>
    </row>
    <row r="10" spans="2:3" x14ac:dyDescent="0.25">
      <c r="B10" s="24" t="s">
        <v>142</v>
      </c>
      <c r="C10" s="103">
        <v>3504</v>
      </c>
    </row>
    <row r="11" spans="2:3" x14ac:dyDescent="0.25">
      <c r="B11" s="24" t="s">
        <v>155</v>
      </c>
      <c r="C11" s="103">
        <v>1828</v>
      </c>
    </row>
    <row r="12" spans="2:3" x14ac:dyDescent="0.25">
      <c r="B12" s="24" t="s">
        <v>136</v>
      </c>
      <c r="C12" s="103">
        <v>23348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H23"/>
  <sheetViews>
    <sheetView showGridLines="0" workbookViewId="0">
      <pane ySplit="1" topLeftCell="A2" activePane="bottomLeft" state="frozen"/>
      <selection pane="bottomLeft" activeCell="G1" sqref="E1:G1048576"/>
    </sheetView>
  </sheetViews>
  <sheetFormatPr defaultRowHeight="15" x14ac:dyDescent="0.25"/>
  <cols>
    <col min="1" max="1" width="5.7109375" customWidth="1"/>
    <col min="2" max="2" width="15.140625" style="97" bestFit="1" customWidth="1"/>
    <col min="3" max="3" width="19.42578125" customWidth="1"/>
    <col min="4" max="4" width="17.7109375" style="49" customWidth="1"/>
    <col min="5" max="5" width="16" style="25" hidden="1" customWidth="1"/>
    <col min="6" max="6" width="20.28515625" style="46" hidden="1" customWidth="1"/>
    <col min="7" max="7" width="14.85546875" hidden="1" customWidth="1"/>
    <col min="8" max="8" width="13.28515625" bestFit="1" customWidth="1"/>
    <col min="9" max="9" width="15.5703125" customWidth="1"/>
  </cols>
  <sheetData>
    <row r="1" spans="2:8" x14ac:dyDescent="0.25">
      <c r="B1" s="42" t="s">
        <v>83</v>
      </c>
      <c r="C1" s="1" t="s">
        <v>0</v>
      </c>
      <c r="D1" s="47" t="s">
        <v>120</v>
      </c>
      <c r="E1" s="40" t="s">
        <v>140</v>
      </c>
      <c r="F1" s="40" t="s">
        <v>138</v>
      </c>
      <c r="G1" s="1" t="s">
        <v>145</v>
      </c>
      <c r="H1" s="1" t="s">
        <v>179</v>
      </c>
    </row>
    <row r="2" spans="2:8" x14ac:dyDescent="0.25">
      <c r="B2" s="42">
        <v>44935</v>
      </c>
      <c r="C2" s="43" t="s">
        <v>22</v>
      </c>
      <c r="D2" s="47">
        <v>10</v>
      </c>
      <c r="E2" s="52">
        <f>VLOOKUP(Таблица6[[#This Row],[Наименование]],Прайс!$B$2:$F$81,5,0)</f>
        <v>18</v>
      </c>
      <c r="F2" s="31">
        <f>Таблица6[[#This Row],[Количество, шт.]]*Таблица6[[#This Row],[Цена за шт.]]</f>
        <v>180</v>
      </c>
      <c r="G2" s="44" t="str">
        <f>VLOOKUP(Таблица6[Наименование],Прайс!$B$2:$F$81,2,0)</f>
        <v>Булочки</v>
      </c>
      <c r="H2" s="44" t="s">
        <v>183</v>
      </c>
    </row>
    <row r="3" spans="2:8" x14ac:dyDescent="0.25">
      <c r="B3" s="42">
        <v>44935</v>
      </c>
      <c r="C3" s="43" t="s">
        <v>22</v>
      </c>
      <c r="D3" s="47">
        <v>8</v>
      </c>
      <c r="E3" s="52">
        <f>VLOOKUP(Таблица6[[#This Row],[Наименование]],Прайс!$B$2:$F$81,5,0)</f>
        <v>18</v>
      </c>
      <c r="F3" s="31">
        <f>Таблица6[[#This Row],[Количество, шт.]]*Таблица6[[#This Row],[Цена за шт.]]</f>
        <v>144</v>
      </c>
      <c r="G3" s="44" t="str">
        <f>VLOOKUP(Таблица6[Наименование],Прайс!$B$2:$F$81,2,0)</f>
        <v>Булочки</v>
      </c>
      <c r="H3" s="44" t="s">
        <v>184</v>
      </c>
    </row>
    <row r="4" spans="2:8" x14ac:dyDescent="0.25">
      <c r="B4" s="42">
        <v>44935</v>
      </c>
      <c r="C4" s="43" t="s">
        <v>22</v>
      </c>
      <c r="D4" s="47">
        <v>9</v>
      </c>
      <c r="E4" s="52">
        <f>VLOOKUP(Таблица6[[#This Row],[Наименование]],Прайс!$B$2:$F$81,5,0)</f>
        <v>18</v>
      </c>
      <c r="F4" s="31">
        <f>Таблица6[[#This Row],[Количество, шт.]]*Таблица6[[#This Row],[Цена за шт.]]</f>
        <v>162</v>
      </c>
      <c r="G4" s="44" t="str">
        <f>VLOOKUP(Таблица6[Наименование],Прайс!$B$2:$F$81,2,0)</f>
        <v>Булочки</v>
      </c>
      <c r="H4" s="44" t="s">
        <v>184</v>
      </c>
    </row>
    <row r="5" spans="2:8" x14ac:dyDescent="0.25">
      <c r="B5" s="42">
        <v>44935</v>
      </c>
      <c r="C5" s="43" t="s">
        <v>22</v>
      </c>
      <c r="D5" s="47">
        <v>8</v>
      </c>
      <c r="E5" s="52">
        <f>VLOOKUP(Таблица6[[#This Row],[Наименование]],Прайс!$B$2:$F$81,5,0)</f>
        <v>18</v>
      </c>
      <c r="F5" s="31">
        <f>Таблица6[[#This Row],[Количество, шт.]]*Таблица6[[#This Row],[Цена за шт.]]</f>
        <v>144</v>
      </c>
      <c r="G5" s="44" t="str">
        <f>VLOOKUP(Таблица6[Наименование],Прайс!$B$2:$F$81,2,0)</f>
        <v>Булочки</v>
      </c>
      <c r="H5" s="44" t="s">
        <v>184</v>
      </c>
    </row>
    <row r="6" spans="2:8" x14ac:dyDescent="0.25">
      <c r="B6" s="42">
        <v>44935</v>
      </c>
      <c r="C6" s="43" t="s">
        <v>22</v>
      </c>
      <c r="D6" s="47">
        <v>5</v>
      </c>
      <c r="E6" s="52">
        <f>VLOOKUP(Таблица6[[#This Row],[Наименование]],Прайс!$B$2:$F$81,5,0)</f>
        <v>18</v>
      </c>
      <c r="F6" s="31">
        <f>Таблица6[[#This Row],[Количество, шт.]]*Таблица6[[#This Row],[Цена за шт.]]</f>
        <v>90</v>
      </c>
      <c r="G6" s="44" t="str">
        <f>VLOOKUP(Таблица6[Наименование],Прайс!$B$2:$F$81,2,0)</f>
        <v>Булочки</v>
      </c>
      <c r="H6" s="44" t="s">
        <v>184</v>
      </c>
    </row>
    <row r="7" spans="2:8" x14ac:dyDescent="0.25">
      <c r="B7" s="42">
        <v>44935</v>
      </c>
      <c r="C7" s="43" t="s">
        <v>22</v>
      </c>
      <c r="D7" s="47">
        <v>6</v>
      </c>
      <c r="E7" s="52">
        <f>VLOOKUP(Таблица6[[#This Row],[Наименование]],Прайс!$B$2:$F$81,5,0)</f>
        <v>18</v>
      </c>
      <c r="F7" s="31">
        <f>Таблица6[[#This Row],[Количество, шт.]]*Таблица6[[#This Row],[Цена за шт.]]</f>
        <v>108</v>
      </c>
      <c r="G7" s="44" t="str">
        <f>VLOOKUP(Таблица6[Наименование],Прайс!$B$2:$F$81,2,0)</f>
        <v>Булочки</v>
      </c>
      <c r="H7" s="44" t="s">
        <v>184</v>
      </c>
    </row>
    <row r="8" spans="2:8" x14ac:dyDescent="0.25">
      <c r="B8" s="42">
        <v>44935</v>
      </c>
      <c r="C8" s="43" t="s">
        <v>22</v>
      </c>
      <c r="D8" s="47">
        <v>42</v>
      </c>
      <c r="E8" s="52">
        <f>VLOOKUP(Таблица6[[#This Row],[Наименование]],Прайс!$B$2:$F$81,5,0)</f>
        <v>18</v>
      </c>
      <c r="F8" s="31">
        <f>Таблица6[[#This Row],[Количество, шт.]]*Таблица6[[#This Row],[Цена за шт.]]</f>
        <v>756</v>
      </c>
      <c r="G8" s="44" t="str">
        <f>VLOOKUP(Таблица6[Наименование],Прайс!$B$2:$F$81,2,0)</f>
        <v>Булочки</v>
      </c>
      <c r="H8" s="44" t="s">
        <v>184</v>
      </c>
    </row>
    <row r="9" spans="2:8" x14ac:dyDescent="0.25">
      <c r="B9" s="42">
        <v>44935</v>
      </c>
      <c r="C9" s="43" t="s">
        <v>22</v>
      </c>
      <c r="D9" s="47">
        <v>2</v>
      </c>
      <c r="E9" s="52">
        <f>VLOOKUP(Таблица6[[#This Row],[Наименование]],Прайс!$B$2:$F$81,5,0)</f>
        <v>18</v>
      </c>
      <c r="F9" s="31">
        <f>Таблица6[[#This Row],[Количество, шт.]]*Таблица6[[#This Row],[Цена за шт.]]</f>
        <v>36</v>
      </c>
      <c r="G9" s="44" t="str">
        <f>VLOOKUP(Таблица6[Наименование],Прайс!$B$2:$F$81,2,0)</f>
        <v>Булочки</v>
      </c>
      <c r="H9" s="44" t="s">
        <v>184</v>
      </c>
    </row>
    <row r="10" spans="2:8" x14ac:dyDescent="0.25">
      <c r="B10" s="42">
        <v>44935</v>
      </c>
      <c r="C10" s="43" t="s">
        <v>22</v>
      </c>
      <c r="D10" s="47">
        <v>5</v>
      </c>
      <c r="E10" s="52">
        <f>VLOOKUP(Таблица6[[#This Row],[Наименование]],Прайс!$B$2:$F$81,5,0)</f>
        <v>18</v>
      </c>
      <c r="F10" s="31">
        <f>Таблица6[[#This Row],[Количество, шт.]]*Таблица6[[#This Row],[Цена за шт.]]</f>
        <v>90</v>
      </c>
      <c r="G10" s="44" t="str">
        <f>VLOOKUP(Таблица6[Наименование],Прайс!$B$2:$F$81,2,0)</f>
        <v>Булочки</v>
      </c>
      <c r="H10" s="44" t="s">
        <v>184</v>
      </c>
    </row>
    <row r="11" spans="2:8" x14ac:dyDescent="0.25">
      <c r="B11" s="42">
        <v>44935</v>
      </c>
      <c r="C11" s="43" t="s">
        <v>22</v>
      </c>
      <c r="D11" s="47">
        <v>10</v>
      </c>
      <c r="E11" s="52">
        <f>VLOOKUP(Таблица6[[#This Row],[Наименование]],Прайс!$B$2:$F$81,5,0)</f>
        <v>18</v>
      </c>
      <c r="F11" s="31">
        <f>Таблица6[[#This Row],[Количество, шт.]]*Таблица6[[#This Row],[Цена за шт.]]</f>
        <v>180</v>
      </c>
      <c r="G11" s="44" t="str">
        <f>VLOOKUP(Таблица6[Наименование],Прайс!$B$2:$F$81,2,0)</f>
        <v>Булочки</v>
      </c>
      <c r="H11" s="44" t="s">
        <v>184</v>
      </c>
    </row>
    <row r="12" spans="2:8" x14ac:dyDescent="0.25">
      <c r="B12" s="42">
        <v>44999</v>
      </c>
      <c r="C12" s="43" t="s">
        <v>22</v>
      </c>
      <c r="D12" s="47">
        <v>15</v>
      </c>
      <c r="E12" s="52">
        <f>VLOOKUP(Таблица6[[#This Row],[Наименование]],Прайс!$B$2:$F$81,5,0)</f>
        <v>18</v>
      </c>
      <c r="F12" s="31">
        <f>Таблица6[[#This Row],[Количество, шт.]]*Таблица6[[#This Row],[Цена за шт.]]</f>
        <v>270</v>
      </c>
      <c r="G12" s="44" t="str">
        <f>VLOOKUP(Таблица6[Наименование],Прайс!$B$2:$F$81,2,0)</f>
        <v>Булочки</v>
      </c>
      <c r="H12" s="44" t="s">
        <v>183</v>
      </c>
    </row>
    <row r="13" spans="2:8" x14ac:dyDescent="0.25">
      <c r="B13" s="42">
        <v>44999</v>
      </c>
      <c r="C13" s="43" t="s">
        <v>75</v>
      </c>
      <c r="D13" s="47">
        <v>12</v>
      </c>
      <c r="E13" s="52">
        <f>VLOOKUP(Таблица6[[#This Row],[Наименование]],Прайс!$B$2:$F$81,5,0)</f>
        <v>40</v>
      </c>
      <c r="F13" s="31">
        <f>Таблица6[[#This Row],[Количество, шт.]]*Таблица6[[#This Row],[Цена за шт.]]</f>
        <v>480</v>
      </c>
      <c r="G13" s="44" t="str">
        <f>VLOOKUP(Таблица6[Наименование],Прайс!$B$2:$F$81,2,0)</f>
        <v>Другое</v>
      </c>
      <c r="H13" s="44" t="s">
        <v>183</v>
      </c>
    </row>
    <row r="14" spans="2:8" x14ac:dyDescent="0.25">
      <c r="B14" s="42">
        <v>44999</v>
      </c>
      <c r="C14" s="43" t="s">
        <v>135</v>
      </c>
      <c r="D14" s="47">
        <v>12</v>
      </c>
      <c r="E14" s="52">
        <f>VLOOKUP(Таблица6[[#This Row],[Наименование]],Прайс!$B$2:$F$81,5,0)</f>
        <v>30</v>
      </c>
      <c r="F14" s="31">
        <f>Таблица6[[#This Row],[Количество, шт.]]*Таблица6[[#This Row],[Цена за шт.]]</f>
        <v>360</v>
      </c>
      <c r="G14" s="44" t="str">
        <f>VLOOKUP(Таблица6[Наименование],Прайс!$B$2:$F$81,2,0)</f>
        <v>Другое</v>
      </c>
      <c r="H14" s="44" t="s">
        <v>183</v>
      </c>
    </row>
    <row r="15" spans="2:8" x14ac:dyDescent="0.25">
      <c r="B15" s="42">
        <v>44999</v>
      </c>
      <c r="C15" s="43" t="s">
        <v>3</v>
      </c>
      <c r="D15" s="47">
        <v>12</v>
      </c>
      <c r="E15" s="52">
        <f>VLOOKUP(Таблица6[[#This Row],[Наименование]],Прайс!$B$2:$F$81,5,0)</f>
        <v>26</v>
      </c>
      <c r="F15" s="31">
        <f>Таблица6[[#This Row],[Количество, шт.]]*Таблица6[[#This Row],[Цена за шт.]]</f>
        <v>312</v>
      </c>
      <c r="G15" s="44" t="str">
        <f>VLOOKUP(Таблица6[Наименование],Прайс!$B$2:$F$81,2,0)</f>
        <v>Хлеб</v>
      </c>
      <c r="H15" s="44" t="s">
        <v>183</v>
      </c>
    </row>
    <row r="16" spans="2:8" x14ac:dyDescent="0.25">
      <c r="B16" s="42">
        <v>44999</v>
      </c>
      <c r="C16" s="44" t="s">
        <v>4</v>
      </c>
      <c r="D16" s="47">
        <v>18</v>
      </c>
      <c r="E16" s="52">
        <f>VLOOKUP(Таблица6[[#This Row],[Наименование]],Прайс!$B$2:$F$81,5,0)</f>
        <v>27</v>
      </c>
      <c r="F16" s="31">
        <f>Таблица6[[#This Row],[Количество, шт.]]*Таблица6[[#This Row],[Цена за шт.]]</f>
        <v>486</v>
      </c>
      <c r="G16" s="44" t="str">
        <f>VLOOKUP(Таблица6[Наименование],Прайс!$B$2:$F$81,2,0)</f>
        <v>Хлеб</v>
      </c>
      <c r="H16" s="44" t="s">
        <v>183</v>
      </c>
    </row>
    <row r="17" spans="2:8" ht="30" x14ac:dyDescent="0.25">
      <c r="B17" s="42">
        <v>44999</v>
      </c>
      <c r="C17" s="45" t="s">
        <v>5</v>
      </c>
      <c r="D17" s="48">
        <v>1</v>
      </c>
      <c r="E17" s="53">
        <f>VLOOKUP(Таблица6[[#This Row],[Наименование]],Прайс!$B$2:$F$81,5,0)</f>
        <v>28</v>
      </c>
      <c r="F17" s="29">
        <f>Таблица6[[#This Row],[Количество, шт.]]*Таблица6[[#This Row],[Цена за шт.]]</f>
        <v>28</v>
      </c>
      <c r="G17" s="112" t="str">
        <f>VLOOKUP(Таблица6[Наименование],Прайс!$B$2:$F$81,2,0)</f>
        <v>Хлеб</v>
      </c>
      <c r="H17" s="44" t="s">
        <v>183</v>
      </c>
    </row>
    <row r="18" spans="2:8" x14ac:dyDescent="0.25">
      <c r="B18" s="42">
        <v>44999</v>
      </c>
      <c r="C18" s="43" t="s">
        <v>5</v>
      </c>
      <c r="D18" s="47">
        <v>2</v>
      </c>
      <c r="E18" s="52">
        <f>VLOOKUP(Таблица6[[#This Row],[Наименование]],Прайс!$B$2:$F$81,5,0)</f>
        <v>28</v>
      </c>
      <c r="F18" s="31">
        <f>Таблица6[[#This Row],[Количество, шт.]]*Таблица6[[#This Row],[Цена за шт.]]</f>
        <v>56</v>
      </c>
      <c r="G18" s="44" t="str">
        <f>VLOOKUP(Таблица6[Наименование],Прайс!$B$2:$F$81,2,0)</f>
        <v>Хлеб</v>
      </c>
      <c r="H18" s="44" t="s">
        <v>183</v>
      </c>
    </row>
    <row r="19" spans="2:8" x14ac:dyDescent="0.25">
      <c r="B19" s="42">
        <v>44999</v>
      </c>
      <c r="C19" s="43" t="s">
        <v>6</v>
      </c>
      <c r="D19" s="47">
        <v>9</v>
      </c>
      <c r="E19" s="52">
        <f>VLOOKUP(Таблица6[[#This Row],[Наименование]],Прайс!$B$2:$F$81,5,0)</f>
        <v>23</v>
      </c>
      <c r="F19" s="31">
        <f>Таблица6[[#This Row],[Количество, шт.]]*Таблица6[[#This Row],[Цена за шт.]]</f>
        <v>207</v>
      </c>
      <c r="G19" s="44" t="str">
        <f>VLOOKUP(Таблица6[Наименование],Прайс!$B$2:$F$81,2,0)</f>
        <v>Хлеб</v>
      </c>
      <c r="H19" s="44" t="s">
        <v>183</v>
      </c>
    </row>
    <row r="20" spans="2:8" x14ac:dyDescent="0.25">
      <c r="B20" s="42">
        <v>45061</v>
      </c>
      <c r="C20" s="43" t="s">
        <v>9</v>
      </c>
      <c r="D20" s="47">
        <v>8</v>
      </c>
      <c r="E20" s="52">
        <f>VLOOKUP(Таблица6[[#This Row],[Наименование]],Прайс!$B$2:$F$81,5,0)</f>
        <v>26</v>
      </c>
      <c r="F20" s="31">
        <f>Таблица6[[#This Row],[Количество, шт.]]*Таблица6[[#This Row],[Цена за шт.]]</f>
        <v>208</v>
      </c>
      <c r="G20" s="119" t="str">
        <f>VLOOKUP(Таблица6[Наименование],Прайс!$B$2:$F$81,2,0)</f>
        <v>Хлеб</v>
      </c>
      <c r="H20" s="44" t="s">
        <v>183</v>
      </c>
    </row>
    <row r="21" spans="2:8" x14ac:dyDescent="0.25">
      <c r="B21" s="42">
        <v>45061</v>
      </c>
      <c r="C21" s="43" t="s">
        <v>42</v>
      </c>
      <c r="D21" s="47">
        <v>50</v>
      </c>
      <c r="E21" s="52">
        <f>VLOOKUP(Таблица6[[#This Row],[Наименование]],Прайс!$B$2:$F$81,5,0)</f>
        <v>18</v>
      </c>
      <c r="F21" s="31">
        <f>Таблица6[[#This Row],[Количество, шт.]]*Таблица6[[#This Row],[Цена за шт.]]</f>
        <v>900</v>
      </c>
      <c r="G21" s="119" t="str">
        <f>VLOOKUP(Таблица6[Наименование],Прайс!$B$2:$F$81,2,0)</f>
        <v>Булочки</v>
      </c>
      <c r="H21" s="44" t="s">
        <v>183</v>
      </c>
    </row>
    <row r="22" spans="2:8" x14ac:dyDescent="0.25">
      <c r="B22" s="42">
        <v>45062</v>
      </c>
      <c r="C22" s="43" t="s">
        <v>50</v>
      </c>
      <c r="D22" s="47">
        <v>20</v>
      </c>
      <c r="E22" s="52">
        <f>VLOOKUP(Таблица6[[#This Row],[Наименование]],Прайс!$B$2:$F$81,5,0)</f>
        <v>180</v>
      </c>
      <c r="F22" s="31">
        <f>Таблица6[[#This Row],[Количество, шт.]]*Таблица6[[#This Row],[Цена за шт.]]</f>
        <v>3600</v>
      </c>
      <c r="G22" s="119" t="str">
        <f>VLOOKUP(Таблица6[Наименование],Прайс!$B$2:$F$81,2,0)</f>
        <v>Сухарь</v>
      </c>
      <c r="H22" s="44" t="s">
        <v>183</v>
      </c>
    </row>
    <row r="23" spans="2:8" x14ac:dyDescent="0.25">
      <c r="C23" s="32"/>
      <c r="E23" s="50"/>
      <c r="F23" s="3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Прайс!$B:$B</xm:f>
          </x14:formula1>
          <xm:sqref>C1:C1048576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showGridLines="0" zoomScaleNormal="100" workbookViewId="0">
      <selection activeCell="G24" sqref="G24"/>
    </sheetView>
  </sheetViews>
  <sheetFormatPr defaultRowHeight="15" x14ac:dyDescent="0.25"/>
  <cols>
    <col min="1" max="1" width="5.7109375" customWidth="1"/>
    <col min="2" max="2" width="20.7109375" customWidth="1"/>
    <col min="3" max="3" width="20.7109375" bestFit="1" customWidth="1"/>
    <col min="4" max="4" width="13.28515625" customWidth="1"/>
    <col min="5" max="6" width="22.28515625" customWidth="1"/>
    <col min="7" max="7" width="20.7109375" bestFit="1" customWidth="1"/>
    <col min="8" max="8" width="4.42578125" bestFit="1" customWidth="1"/>
    <col min="9" max="9" width="12" bestFit="1" customWidth="1"/>
    <col min="10" max="10" width="11.85546875" customWidth="1"/>
    <col min="11" max="11" width="19.5703125" bestFit="1" customWidth="1"/>
  </cols>
  <sheetData>
    <row r="2" spans="2:11" x14ac:dyDescent="0.25">
      <c r="B2" s="33" t="s">
        <v>154</v>
      </c>
    </row>
    <row r="4" spans="2:11" x14ac:dyDescent="0.25">
      <c r="B4" s="23" t="s">
        <v>141</v>
      </c>
      <c r="C4" t="s">
        <v>137</v>
      </c>
    </row>
    <row r="6" spans="2:11" x14ac:dyDescent="0.25">
      <c r="B6" s="23" t="s">
        <v>210</v>
      </c>
      <c r="C6" s="23" t="s">
        <v>83</v>
      </c>
      <c r="D6" s="23" t="s">
        <v>139</v>
      </c>
      <c r="E6" t="s">
        <v>146</v>
      </c>
      <c r="G6" t="s">
        <v>139</v>
      </c>
      <c r="H6" t="s">
        <v>150</v>
      </c>
      <c r="I6" t="s">
        <v>151</v>
      </c>
      <c r="J6" t="s">
        <v>152</v>
      </c>
      <c r="K6" t="s">
        <v>153</v>
      </c>
    </row>
    <row r="7" spans="2:11" x14ac:dyDescent="0.25">
      <c r="B7" t="s">
        <v>198</v>
      </c>
      <c r="C7" s="7" t="s">
        <v>207</v>
      </c>
      <c r="D7" t="s">
        <v>142</v>
      </c>
      <c r="E7" s="103">
        <v>4433</v>
      </c>
      <c r="F7" s="103"/>
      <c r="G7" s="26" t="s">
        <v>142</v>
      </c>
      <c r="H7">
        <v>45</v>
      </c>
      <c r="I7">
        <v>55</v>
      </c>
      <c r="J7">
        <f>SUMIFS(E:E,D:D,Таблица5[[#This Row],[Населенный пункт]])</f>
        <v>16722</v>
      </c>
      <c r="K7" t="str">
        <f>Таблица5[[#This Row],[Населенный пункт]]</f>
        <v>Яя</v>
      </c>
    </row>
    <row r="8" spans="2:11" x14ac:dyDescent="0.25">
      <c r="B8" t="s">
        <v>198</v>
      </c>
      <c r="C8" s="7" t="s">
        <v>207</v>
      </c>
      <c r="D8" t="s">
        <v>143</v>
      </c>
      <c r="E8" s="103">
        <v>548</v>
      </c>
      <c r="F8" s="103"/>
      <c r="G8" s="26" t="s">
        <v>143</v>
      </c>
      <c r="H8">
        <v>55</v>
      </c>
      <c r="I8">
        <v>54</v>
      </c>
      <c r="J8">
        <f>SUMIFS(E:E,D:D,Таблица5[[#This Row],[Населенный пункт]])</f>
        <v>3091</v>
      </c>
      <c r="K8" t="str">
        <f>Таблица5[[#This Row],[Населенный пункт]]</f>
        <v>Ижморка</v>
      </c>
    </row>
    <row r="9" spans="2:11" x14ac:dyDescent="0.25">
      <c r="B9" t="s">
        <v>198</v>
      </c>
      <c r="C9" s="7" t="s">
        <v>207</v>
      </c>
      <c r="D9" t="s">
        <v>91</v>
      </c>
      <c r="E9" s="103">
        <v>477</v>
      </c>
      <c r="F9" s="103"/>
      <c r="G9" s="26" t="s">
        <v>91</v>
      </c>
      <c r="H9">
        <v>60</v>
      </c>
      <c r="I9">
        <v>68</v>
      </c>
      <c r="J9">
        <f>SUMIFS(E:E,D:D,Таблица5[[#This Row],[Населенный пункт]])</f>
        <v>1017</v>
      </c>
      <c r="K9" t="str">
        <f>Таблица5[[#This Row],[Населенный пункт]]</f>
        <v>Почитанка</v>
      </c>
    </row>
    <row r="10" spans="2:11" x14ac:dyDescent="0.25">
      <c r="B10" t="s">
        <v>198</v>
      </c>
      <c r="C10" s="7" t="s">
        <v>207</v>
      </c>
      <c r="D10" t="s">
        <v>155</v>
      </c>
      <c r="E10" s="103">
        <v>228</v>
      </c>
      <c r="F10" s="103"/>
      <c r="G10" s="107" t="s">
        <v>155</v>
      </c>
      <c r="H10">
        <v>50</v>
      </c>
      <c r="I10">
        <v>77</v>
      </c>
      <c r="J10" s="105">
        <f>SUMIFS(E:E,D:D,Таблица5[[#This Row],[Населенный пункт]])</f>
        <v>1818</v>
      </c>
      <c r="K10" t="str">
        <f>Таблица5[[#This Row],[Населенный пункт]]</f>
        <v>Колыон</v>
      </c>
    </row>
    <row r="11" spans="2:11" x14ac:dyDescent="0.25">
      <c r="B11" t="s">
        <v>198</v>
      </c>
      <c r="C11" s="7" t="s">
        <v>207</v>
      </c>
      <c r="D11" t="s">
        <v>159</v>
      </c>
      <c r="E11" s="103">
        <v>60</v>
      </c>
      <c r="F11" s="103"/>
      <c r="G11" s="107" t="s">
        <v>159</v>
      </c>
      <c r="H11">
        <v>58</v>
      </c>
      <c r="I11">
        <v>65</v>
      </c>
      <c r="J11" s="105">
        <f>SUMIFS(E:E,D:D,Таблица5[[#This Row],[Населенный пункт]])</f>
        <v>220</v>
      </c>
      <c r="K11" t="str">
        <f>Таблица5[[#This Row],[Населенный пункт]]</f>
        <v>Теплая речка</v>
      </c>
    </row>
    <row r="12" spans="2:11" x14ac:dyDescent="0.25">
      <c r="B12" t="s">
        <v>198</v>
      </c>
      <c r="C12" s="7" t="s">
        <v>208</v>
      </c>
      <c r="D12" t="s">
        <v>142</v>
      </c>
      <c r="E12" s="103">
        <v>2235</v>
      </c>
      <c r="F12" s="103"/>
      <c r="G12" s="107" t="s">
        <v>211</v>
      </c>
      <c r="H12">
        <v>60</v>
      </c>
      <c r="I12">
        <v>75</v>
      </c>
      <c r="J12" s="105">
        <f>SUMIFS(E:E,D:D,Таблица5[[#This Row],[Населенный пункт]])</f>
        <v>160</v>
      </c>
      <c r="K12" t="str">
        <f>Таблица5[[#This Row],[Населенный пункт]]</f>
        <v>Святославка</v>
      </c>
    </row>
    <row r="13" spans="2:11" x14ac:dyDescent="0.25">
      <c r="B13" t="s">
        <v>198</v>
      </c>
      <c r="C13" s="7" t="s">
        <v>208</v>
      </c>
      <c r="D13" t="s">
        <v>143</v>
      </c>
      <c r="E13" s="103">
        <v>1543</v>
      </c>
      <c r="F13" s="103"/>
      <c r="G13" s="107" t="s">
        <v>212</v>
      </c>
      <c r="H13">
        <v>58</v>
      </c>
      <c r="I13">
        <v>80</v>
      </c>
      <c r="J13" s="105">
        <f>SUMIFS(E:E,D:D,Таблица5[[#This Row],[Населенный пункт]])</f>
        <v>160</v>
      </c>
      <c r="K13" t="str">
        <f>Таблица5[[#This Row],[Населенный пункт]]</f>
        <v>Новославянка</v>
      </c>
    </row>
    <row r="14" spans="2:11" x14ac:dyDescent="0.25">
      <c r="B14" t="s">
        <v>198</v>
      </c>
      <c r="C14" s="7" t="s">
        <v>208</v>
      </c>
      <c r="D14" t="s">
        <v>155</v>
      </c>
      <c r="E14" s="103">
        <v>150</v>
      </c>
      <c r="F14" s="103"/>
      <c r="G14" s="107" t="s">
        <v>213</v>
      </c>
      <c r="H14">
        <v>42</v>
      </c>
      <c r="I14">
        <v>42</v>
      </c>
      <c r="J14" s="105">
        <f>SUMIFS(E:E,D:D,Таблица5[[#This Row],[Населенный пункт]])</f>
        <v>160</v>
      </c>
      <c r="K14" t="str">
        <f>Таблица5[[#This Row],[Населенный пункт]]</f>
        <v>Новониколаевка</v>
      </c>
    </row>
    <row r="15" spans="2:11" x14ac:dyDescent="0.25">
      <c r="B15" t="s">
        <v>198</v>
      </c>
      <c r="C15" s="7" t="s">
        <v>209</v>
      </c>
      <c r="D15" t="s">
        <v>142</v>
      </c>
      <c r="E15" s="103">
        <v>5475</v>
      </c>
      <c r="F15" s="103"/>
      <c r="G15" s="107" t="s">
        <v>214</v>
      </c>
      <c r="H15">
        <v>68</v>
      </c>
      <c r="I15">
        <v>70</v>
      </c>
      <c r="J15" s="105">
        <f>SUMIFS(E:E,D:D,Таблица5[[#This Row],[Населенный пункт]])</f>
        <v>0</v>
      </c>
      <c r="K15" t="str">
        <f>Таблица5[[#This Row],[Населенный пункт]]</f>
        <v>Островка</v>
      </c>
    </row>
    <row r="16" spans="2:11" x14ac:dyDescent="0.25">
      <c r="B16" t="s">
        <v>198</v>
      </c>
      <c r="C16" s="7" t="s">
        <v>209</v>
      </c>
      <c r="D16" t="s">
        <v>91</v>
      </c>
      <c r="E16" s="103">
        <v>80</v>
      </c>
      <c r="F16" s="103"/>
    </row>
    <row r="17" spans="2:6" x14ac:dyDescent="0.25">
      <c r="B17" t="s">
        <v>198</v>
      </c>
      <c r="C17" s="7" t="s">
        <v>209</v>
      </c>
      <c r="D17" t="s">
        <v>155</v>
      </c>
      <c r="E17" s="103">
        <v>940</v>
      </c>
      <c r="F17" s="103"/>
    </row>
    <row r="18" spans="2:6" x14ac:dyDescent="0.25">
      <c r="B18" t="s">
        <v>198</v>
      </c>
      <c r="C18" s="7" t="s">
        <v>209</v>
      </c>
      <c r="D18" t="s">
        <v>159</v>
      </c>
      <c r="E18" s="103">
        <v>160</v>
      </c>
      <c r="F18" s="103"/>
    </row>
    <row r="19" spans="2:6" x14ac:dyDescent="0.25">
      <c r="B19" t="s">
        <v>198</v>
      </c>
      <c r="C19" s="7" t="s">
        <v>209</v>
      </c>
      <c r="D19" t="s">
        <v>211</v>
      </c>
      <c r="E19" s="103">
        <v>160</v>
      </c>
      <c r="F19" s="103"/>
    </row>
    <row r="20" spans="2:6" x14ac:dyDescent="0.25">
      <c r="B20" t="s">
        <v>198</v>
      </c>
      <c r="C20" s="7" t="s">
        <v>209</v>
      </c>
      <c r="D20" t="s">
        <v>212</v>
      </c>
      <c r="E20" s="103">
        <v>160</v>
      </c>
      <c r="F20" s="103"/>
    </row>
    <row r="21" spans="2:6" x14ac:dyDescent="0.25">
      <c r="B21" t="s">
        <v>198</v>
      </c>
      <c r="C21" s="7" t="s">
        <v>209</v>
      </c>
      <c r="D21" t="s">
        <v>213</v>
      </c>
      <c r="E21" s="103">
        <v>160</v>
      </c>
      <c r="F21" s="103"/>
    </row>
    <row r="22" spans="2:6" x14ac:dyDescent="0.25">
      <c r="B22" t="s">
        <v>198</v>
      </c>
      <c r="C22" s="7" t="s">
        <v>222</v>
      </c>
      <c r="D22" t="s">
        <v>91</v>
      </c>
      <c r="E22" s="103">
        <v>460</v>
      </c>
      <c r="F22" s="103"/>
    </row>
    <row r="23" spans="2:6" x14ac:dyDescent="0.25">
      <c r="B23" t="s">
        <v>198</v>
      </c>
      <c r="C23" s="7" t="s">
        <v>222</v>
      </c>
      <c r="D23" t="s">
        <v>155</v>
      </c>
      <c r="E23" s="103">
        <v>500</v>
      </c>
    </row>
    <row r="24" spans="2:6" x14ac:dyDescent="0.25">
      <c r="B24" t="s">
        <v>198</v>
      </c>
      <c r="C24" s="7" t="s">
        <v>223</v>
      </c>
      <c r="D24" t="s">
        <v>142</v>
      </c>
      <c r="E24" s="103">
        <v>4579</v>
      </c>
    </row>
    <row r="25" spans="2:6" x14ac:dyDescent="0.25">
      <c r="B25" t="s">
        <v>198</v>
      </c>
      <c r="C25" s="7" t="s">
        <v>223</v>
      </c>
      <c r="D25" t="s">
        <v>143</v>
      </c>
      <c r="E25" s="103">
        <v>1000</v>
      </c>
    </row>
    <row r="26" spans="2:6" x14ac:dyDescent="0.25">
      <c r="B26" t="s">
        <v>136</v>
      </c>
      <c r="E26" s="103">
        <v>23348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81"/>
  <sheetViews>
    <sheetView showGridLines="0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9.140625" style="1"/>
    <col min="2" max="2" width="35.140625" bestFit="1" customWidth="1"/>
    <col min="3" max="3" width="15.140625" bestFit="1" customWidth="1"/>
    <col min="4" max="4" width="10.42578125" customWidth="1"/>
    <col min="5" max="5" width="17.140625" customWidth="1"/>
    <col min="6" max="6" width="13" style="114" customWidth="1"/>
    <col min="7" max="16384" width="9.140625" style="2"/>
  </cols>
  <sheetData>
    <row r="1" spans="1:7" x14ac:dyDescent="0.25">
      <c r="A1" s="1" t="s">
        <v>2</v>
      </c>
      <c r="B1" t="s">
        <v>0</v>
      </c>
      <c r="C1" t="s">
        <v>145</v>
      </c>
      <c r="D1" t="s">
        <v>79</v>
      </c>
      <c r="E1" t="s">
        <v>1</v>
      </c>
      <c r="F1" s="114" t="s">
        <v>82</v>
      </c>
      <c r="G1" s="3"/>
    </row>
    <row r="2" spans="1:7" x14ac:dyDescent="0.25">
      <c r="A2" s="1">
        <v>1</v>
      </c>
      <c r="B2" t="s">
        <v>3</v>
      </c>
      <c r="C2" t="s">
        <v>127</v>
      </c>
      <c r="F2" s="114">
        <v>26</v>
      </c>
      <c r="G2" s="3"/>
    </row>
    <row r="3" spans="1:7" x14ac:dyDescent="0.25">
      <c r="A3" s="1">
        <v>2</v>
      </c>
      <c r="B3" t="s">
        <v>4</v>
      </c>
      <c r="C3" t="s">
        <v>127</v>
      </c>
      <c r="F3" s="114">
        <v>27</v>
      </c>
    </row>
    <row r="4" spans="1:7" x14ac:dyDescent="0.25">
      <c r="A4" s="1">
        <v>3</v>
      </c>
      <c r="B4" t="s">
        <v>5</v>
      </c>
      <c r="C4" t="s">
        <v>127</v>
      </c>
      <c r="F4" s="114">
        <v>28</v>
      </c>
    </row>
    <row r="5" spans="1:7" x14ac:dyDescent="0.25">
      <c r="A5" s="1">
        <v>4</v>
      </c>
      <c r="B5" t="s">
        <v>6</v>
      </c>
      <c r="C5" t="s">
        <v>127</v>
      </c>
      <c r="F5" s="114">
        <v>23</v>
      </c>
    </row>
    <row r="6" spans="1:7" x14ac:dyDescent="0.25">
      <c r="A6" s="1">
        <v>5</v>
      </c>
      <c r="B6" t="s">
        <v>7</v>
      </c>
      <c r="C6" t="s">
        <v>127</v>
      </c>
      <c r="F6" s="114">
        <v>29</v>
      </c>
    </row>
    <row r="7" spans="1:7" x14ac:dyDescent="0.25">
      <c r="A7" s="1">
        <v>6</v>
      </c>
      <c r="B7" t="s">
        <v>8</v>
      </c>
      <c r="C7" t="s">
        <v>127</v>
      </c>
      <c r="F7" s="114">
        <v>23</v>
      </c>
    </row>
    <row r="8" spans="1:7" x14ac:dyDescent="0.25">
      <c r="A8" s="1">
        <v>7</v>
      </c>
      <c r="B8" t="s">
        <v>9</v>
      </c>
      <c r="C8" t="s">
        <v>127</v>
      </c>
      <c r="F8" s="114">
        <v>26</v>
      </c>
    </row>
    <row r="9" spans="1:7" x14ac:dyDescent="0.25">
      <c r="A9" s="1">
        <v>8</v>
      </c>
      <c r="B9" t="s">
        <v>10</v>
      </c>
      <c r="C9" t="s">
        <v>127</v>
      </c>
      <c r="F9" s="114">
        <v>27</v>
      </c>
    </row>
    <row r="10" spans="1:7" x14ac:dyDescent="0.25">
      <c r="A10" s="1">
        <v>9</v>
      </c>
      <c r="B10" t="s">
        <v>11</v>
      </c>
      <c r="C10" t="s">
        <v>127</v>
      </c>
      <c r="F10" s="114">
        <v>28</v>
      </c>
    </row>
    <row r="11" spans="1:7" x14ac:dyDescent="0.25">
      <c r="A11" s="1">
        <v>10</v>
      </c>
      <c r="B11" t="s">
        <v>12</v>
      </c>
      <c r="C11" t="s">
        <v>127</v>
      </c>
      <c r="F11" s="114">
        <v>27</v>
      </c>
    </row>
    <row r="12" spans="1:7" x14ac:dyDescent="0.25">
      <c r="A12" s="1">
        <v>11</v>
      </c>
      <c r="B12" t="s">
        <v>13</v>
      </c>
      <c r="C12" t="s">
        <v>127</v>
      </c>
      <c r="F12" s="114">
        <v>26</v>
      </c>
    </row>
    <row r="13" spans="1:7" x14ac:dyDescent="0.25">
      <c r="A13" s="1">
        <v>12</v>
      </c>
      <c r="B13" t="s">
        <v>14</v>
      </c>
      <c r="C13" t="s">
        <v>127</v>
      </c>
      <c r="F13" s="114">
        <v>19</v>
      </c>
    </row>
    <row r="14" spans="1:7" x14ac:dyDescent="0.25">
      <c r="A14" s="1">
        <v>13</v>
      </c>
      <c r="B14" t="s">
        <v>15</v>
      </c>
      <c r="C14" t="s">
        <v>127</v>
      </c>
      <c r="F14" s="114">
        <v>28</v>
      </c>
    </row>
    <row r="15" spans="1:7" x14ac:dyDescent="0.25">
      <c r="A15" s="1">
        <v>14</v>
      </c>
      <c r="B15" t="s">
        <v>16</v>
      </c>
      <c r="C15" t="s">
        <v>127</v>
      </c>
      <c r="F15" s="114">
        <v>26</v>
      </c>
    </row>
    <row r="16" spans="1:7" x14ac:dyDescent="0.25">
      <c r="A16" s="1">
        <v>15</v>
      </c>
      <c r="B16" t="s">
        <v>17</v>
      </c>
      <c r="C16" t="s">
        <v>127</v>
      </c>
      <c r="F16" s="114">
        <v>27</v>
      </c>
    </row>
    <row r="17" spans="1:6" x14ac:dyDescent="0.25">
      <c r="A17" s="1">
        <v>16</v>
      </c>
      <c r="B17" t="s">
        <v>18</v>
      </c>
      <c r="C17" t="s">
        <v>127</v>
      </c>
      <c r="F17" s="114">
        <v>20</v>
      </c>
    </row>
    <row r="18" spans="1:6" x14ac:dyDescent="0.25">
      <c r="A18" s="1">
        <v>17</v>
      </c>
      <c r="B18" t="s">
        <v>19</v>
      </c>
      <c r="C18" t="s">
        <v>127</v>
      </c>
      <c r="F18" s="114">
        <v>28</v>
      </c>
    </row>
    <row r="19" spans="1:6" x14ac:dyDescent="0.25">
      <c r="A19" s="1">
        <v>18</v>
      </c>
      <c r="B19" t="s">
        <v>20</v>
      </c>
      <c r="C19" t="s">
        <v>127</v>
      </c>
      <c r="F19" s="114">
        <v>28</v>
      </c>
    </row>
    <row r="20" spans="1:6" x14ac:dyDescent="0.25">
      <c r="A20" s="1">
        <v>19</v>
      </c>
      <c r="B20" t="s">
        <v>21</v>
      </c>
      <c r="C20" t="s">
        <v>128</v>
      </c>
      <c r="F20" s="114">
        <v>20</v>
      </c>
    </row>
    <row r="21" spans="1:6" x14ac:dyDescent="0.25">
      <c r="A21" s="1">
        <v>20</v>
      </c>
      <c r="B21" t="s">
        <v>22</v>
      </c>
      <c r="C21" t="s">
        <v>128</v>
      </c>
      <c r="F21" s="114">
        <v>18</v>
      </c>
    </row>
    <row r="22" spans="1:6" x14ac:dyDescent="0.25">
      <c r="A22" s="1">
        <v>21</v>
      </c>
      <c r="B22" t="s">
        <v>23</v>
      </c>
      <c r="C22" t="s">
        <v>128</v>
      </c>
      <c r="F22" s="114">
        <v>20</v>
      </c>
    </row>
    <row r="23" spans="1:6" x14ac:dyDescent="0.25">
      <c r="A23" s="1">
        <v>22</v>
      </c>
      <c r="B23" t="s">
        <v>24</v>
      </c>
      <c r="C23" t="s">
        <v>128</v>
      </c>
      <c r="F23" s="114">
        <v>18</v>
      </c>
    </row>
    <row r="24" spans="1:6" x14ac:dyDescent="0.25">
      <c r="A24" s="1">
        <v>23</v>
      </c>
      <c r="B24" t="s">
        <v>25</v>
      </c>
      <c r="C24" t="s">
        <v>128</v>
      </c>
      <c r="F24" s="114">
        <v>20</v>
      </c>
    </row>
    <row r="25" spans="1:6" x14ac:dyDescent="0.25">
      <c r="A25" s="1">
        <v>24</v>
      </c>
      <c r="B25" t="s">
        <v>26</v>
      </c>
      <c r="C25" t="s">
        <v>128</v>
      </c>
      <c r="F25" s="114">
        <v>18</v>
      </c>
    </row>
    <row r="26" spans="1:6" x14ac:dyDescent="0.25">
      <c r="A26" s="1">
        <v>25</v>
      </c>
      <c r="B26" t="s">
        <v>27</v>
      </c>
      <c r="C26" t="s">
        <v>128</v>
      </c>
      <c r="F26" s="114">
        <v>20</v>
      </c>
    </row>
    <row r="27" spans="1:6" x14ac:dyDescent="0.25">
      <c r="A27" s="1">
        <v>26</v>
      </c>
      <c r="B27" t="s">
        <v>28</v>
      </c>
      <c r="C27" t="s">
        <v>128</v>
      </c>
      <c r="F27" s="114">
        <v>18</v>
      </c>
    </row>
    <row r="28" spans="1:6" x14ac:dyDescent="0.25">
      <c r="A28" s="1">
        <v>27</v>
      </c>
      <c r="B28" t="s">
        <v>29</v>
      </c>
      <c r="C28" t="s">
        <v>128</v>
      </c>
      <c r="F28" s="114">
        <v>20</v>
      </c>
    </row>
    <row r="29" spans="1:6" x14ac:dyDescent="0.25">
      <c r="A29" s="1">
        <v>28</v>
      </c>
      <c r="B29" t="s">
        <v>160</v>
      </c>
      <c r="C29" t="s">
        <v>128</v>
      </c>
      <c r="F29" s="114">
        <v>18</v>
      </c>
    </row>
    <row r="30" spans="1:6" x14ac:dyDescent="0.25">
      <c r="A30" s="1">
        <v>29</v>
      </c>
      <c r="B30" t="s">
        <v>30</v>
      </c>
      <c r="C30" t="s">
        <v>128</v>
      </c>
      <c r="F30" s="114">
        <v>20</v>
      </c>
    </row>
    <row r="31" spans="1:6" x14ac:dyDescent="0.25">
      <c r="A31" s="1">
        <v>30</v>
      </c>
      <c r="B31" t="s">
        <v>31</v>
      </c>
      <c r="C31" t="s">
        <v>128</v>
      </c>
      <c r="F31" s="114">
        <v>18</v>
      </c>
    </row>
    <row r="32" spans="1:6" x14ac:dyDescent="0.25">
      <c r="A32" s="1">
        <v>31</v>
      </c>
      <c r="B32" t="s">
        <v>32</v>
      </c>
      <c r="C32" t="s">
        <v>128</v>
      </c>
      <c r="F32" s="114">
        <v>20</v>
      </c>
    </row>
    <row r="33" spans="1:6" x14ac:dyDescent="0.25">
      <c r="A33" s="1">
        <v>32</v>
      </c>
      <c r="B33" t="s">
        <v>33</v>
      </c>
      <c r="C33" t="s">
        <v>128</v>
      </c>
      <c r="F33" s="114">
        <v>18</v>
      </c>
    </row>
    <row r="34" spans="1:6" x14ac:dyDescent="0.25">
      <c r="A34" s="1">
        <v>33</v>
      </c>
      <c r="B34" t="s">
        <v>34</v>
      </c>
      <c r="C34" t="s">
        <v>128</v>
      </c>
      <c r="F34" s="114">
        <v>20</v>
      </c>
    </row>
    <row r="35" spans="1:6" x14ac:dyDescent="0.25">
      <c r="A35" s="1">
        <v>34</v>
      </c>
      <c r="B35" t="s">
        <v>35</v>
      </c>
      <c r="C35" t="s">
        <v>128</v>
      </c>
      <c r="F35" s="114">
        <v>18</v>
      </c>
    </row>
    <row r="36" spans="1:6" x14ac:dyDescent="0.25">
      <c r="A36" s="1">
        <v>35</v>
      </c>
      <c r="B36" t="s">
        <v>36</v>
      </c>
      <c r="C36" t="s">
        <v>128</v>
      </c>
      <c r="F36" s="114">
        <v>20</v>
      </c>
    </row>
    <row r="37" spans="1:6" x14ac:dyDescent="0.25">
      <c r="A37" s="1">
        <v>36</v>
      </c>
      <c r="B37" t="s">
        <v>37</v>
      </c>
      <c r="C37" t="s">
        <v>128</v>
      </c>
      <c r="F37" s="114">
        <v>18</v>
      </c>
    </row>
    <row r="38" spans="1:6" x14ac:dyDescent="0.25">
      <c r="A38" s="1">
        <v>37</v>
      </c>
      <c r="B38" t="s">
        <v>38</v>
      </c>
      <c r="C38" t="s">
        <v>128</v>
      </c>
      <c r="F38" s="114">
        <v>18</v>
      </c>
    </row>
    <row r="39" spans="1:6" x14ac:dyDescent="0.25">
      <c r="A39" s="1">
        <v>38</v>
      </c>
      <c r="B39" t="s">
        <v>39</v>
      </c>
      <c r="C39" t="s">
        <v>128</v>
      </c>
      <c r="F39" s="114">
        <v>20</v>
      </c>
    </row>
    <row r="40" spans="1:6" x14ac:dyDescent="0.25">
      <c r="A40" s="1">
        <v>39</v>
      </c>
      <c r="B40" t="s">
        <v>40</v>
      </c>
      <c r="C40" t="s">
        <v>128</v>
      </c>
      <c r="F40" s="114">
        <v>18</v>
      </c>
    </row>
    <row r="41" spans="1:6" x14ac:dyDescent="0.25">
      <c r="A41" s="1">
        <v>40</v>
      </c>
      <c r="B41" t="s">
        <v>41</v>
      </c>
      <c r="C41" t="s">
        <v>128</v>
      </c>
      <c r="F41" s="114">
        <v>20</v>
      </c>
    </row>
    <row r="42" spans="1:6" x14ac:dyDescent="0.25">
      <c r="A42" s="1">
        <v>41</v>
      </c>
      <c r="B42" t="s">
        <v>42</v>
      </c>
      <c r="C42" t="s">
        <v>128</v>
      </c>
      <c r="F42" s="114">
        <v>18</v>
      </c>
    </row>
    <row r="43" spans="1:6" x14ac:dyDescent="0.25">
      <c r="A43" s="1">
        <v>42</v>
      </c>
      <c r="B43" t="s">
        <v>43</v>
      </c>
      <c r="C43" t="s">
        <v>128</v>
      </c>
      <c r="F43" s="114">
        <v>24</v>
      </c>
    </row>
    <row r="44" spans="1:6" x14ac:dyDescent="0.25">
      <c r="A44" s="1">
        <v>43</v>
      </c>
      <c r="B44" t="s">
        <v>44</v>
      </c>
      <c r="C44" t="s">
        <v>128</v>
      </c>
      <c r="F44" s="114">
        <v>18</v>
      </c>
    </row>
    <row r="45" spans="1:6" x14ac:dyDescent="0.25">
      <c r="A45" s="1">
        <v>44</v>
      </c>
      <c r="B45" t="s">
        <v>45</v>
      </c>
      <c r="C45" t="s">
        <v>128</v>
      </c>
      <c r="F45" s="114">
        <v>20</v>
      </c>
    </row>
    <row r="46" spans="1:6" x14ac:dyDescent="0.25">
      <c r="A46" s="1">
        <v>45</v>
      </c>
      <c r="B46" t="s">
        <v>46</v>
      </c>
      <c r="C46" t="s">
        <v>128</v>
      </c>
      <c r="F46" s="114">
        <v>18</v>
      </c>
    </row>
    <row r="47" spans="1:6" x14ac:dyDescent="0.25">
      <c r="A47" s="1">
        <v>46</v>
      </c>
      <c r="B47" t="s">
        <v>47</v>
      </c>
      <c r="C47" t="s">
        <v>128</v>
      </c>
      <c r="F47" s="114">
        <v>20</v>
      </c>
    </row>
    <row r="48" spans="1:6" x14ac:dyDescent="0.25">
      <c r="A48" s="1">
        <v>47</v>
      </c>
      <c r="B48" t="s">
        <v>48</v>
      </c>
      <c r="C48" t="s">
        <v>128</v>
      </c>
      <c r="F48" s="114">
        <v>18</v>
      </c>
    </row>
    <row r="49" spans="1:6" x14ac:dyDescent="0.25">
      <c r="A49" s="1">
        <v>48</v>
      </c>
      <c r="B49" t="s">
        <v>49</v>
      </c>
      <c r="C49" t="s">
        <v>128</v>
      </c>
      <c r="F49" s="114">
        <v>20</v>
      </c>
    </row>
    <row r="50" spans="1:6" x14ac:dyDescent="0.25">
      <c r="A50" s="1">
        <v>49</v>
      </c>
      <c r="B50" t="s">
        <v>50</v>
      </c>
      <c r="C50" t="s">
        <v>225</v>
      </c>
      <c r="F50" s="114">
        <v>180</v>
      </c>
    </row>
    <row r="51" spans="1:6" x14ac:dyDescent="0.25">
      <c r="A51" s="1">
        <v>50</v>
      </c>
      <c r="B51" t="s">
        <v>51</v>
      </c>
      <c r="C51" t="s">
        <v>225</v>
      </c>
      <c r="F51" s="114">
        <v>190</v>
      </c>
    </row>
    <row r="52" spans="1:6" x14ac:dyDescent="0.25">
      <c r="A52" s="1">
        <v>51</v>
      </c>
      <c r="B52" t="s">
        <v>52</v>
      </c>
      <c r="C52" t="s">
        <v>128</v>
      </c>
      <c r="F52" s="114">
        <v>20</v>
      </c>
    </row>
    <row r="53" spans="1:6" x14ac:dyDescent="0.25">
      <c r="A53" s="1">
        <v>52</v>
      </c>
      <c r="B53" t="s">
        <v>53</v>
      </c>
      <c r="C53" t="s">
        <v>128</v>
      </c>
      <c r="F53" s="114">
        <v>18</v>
      </c>
    </row>
    <row r="54" spans="1:6" x14ac:dyDescent="0.25">
      <c r="A54" s="1">
        <v>53</v>
      </c>
      <c r="B54" t="s">
        <v>54</v>
      </c>
      <c r="C54" t="s">
        <v>128</v>
      </c>
      <c r="F54" s="114">
        <v>20</v>
      </c>
    </row>
    <row r="55" spans="1:6" x14ac:dyDescent="0.25">
      <c r="A55" s="1">
        <v>54</v>
      </c>
      <c r="B55" t="s">
        <v>55</v>
      </c>
      <c r="C55" t="s">
        <v>128</v>
      </c>
      <c r="F55" s="114">
        <v>18</v>
      </c>
    </row>
    <row r="56" spans="1:6" x14ac:dyDescent="0.25">
      <c r="A56" s="1">
        <v>55</v>
      </c>
      <c r="B56" t="s">
        <v>56</v>
      </c>
      <c r="C56" t="s">
        <v>128</v>
      </c>
      <c r="F56" s="114">
        <v>20</v>
      </c>
    </row>
    <row r="57" spans="1:6" x14ac:dyDescent="0.25">
      <c r="A57" s="1">
        <v>56</v>
      </c>
      <c r="B57" t="s">
        <v>57</v>
      </c>
      <c r="C57" t="s">
        <v>128</v>
      </c>
      <c r="F57" s="114">
        <v>18</v>
      </c>
    </row>
    <row r="58" spans="1:6" x14ac:dyDescent="0.25">
      <c r="A58" s="1">
        <v>57</v>
      </c>
      <c r="B58" t="s">
        <v>58</v>
      </c>
      <c r="C58" t="s">
        <v>129</v>
      </c>
      <c r="F58" s="114">
        <v>60</v>
      </c>
    </row>
    <row r="59" spans="1:6" x14ac:dyDescent="0.25">
      <c r="A59" s="1">
        <v>58</v>
      </c>
      <c r="B59" t="s">
        <v>59</v>
      </c>
      <c r="C59" t="s">
        <v>128</v>
      </c>
      <c r="F59" s="114">
        <v>20</v>
      </c>
    </row>
    <row r="60" spans="1:6" x14ac:dyDescent="0.25">
      <c r="A60" s="1">
        <v>59</v>
      </c>
      <c r="B60" t="s">
        <v>60</v>
      </c>
      <c r="C60" t="s">
        <v>128</v>
      </c>
      <c r="F60" s="114">
        <v>18</v>
      </c>
    </row>
    <row r="61" spans="1:6" x14ac:dyDescent="0.25">
      <c r="A61" s="1">
        <v>60</v>
      </c>
      <c r="B61" t="s">
        <v>61</v>
      </c>
      <c r="C61" t="s">
        <v>128</v>
      </c>
      <c r="F61" s="114">
        <v>20</v>
      </c>
    </row>
    <row r="62" spans="1:6" x14ac:dyDescent="0.25">
      <c r="A62" s="1">
        <v>61</v>
      </c>
      <c r="B62" t="s">
        <v>62</v>
      </c>
      <c r="C62" t="s">
        <v>128</v>
      </c>
      <c r="F62" s="114">
        <v>18</v>
      </c>
    </row>
    <row r="63" spans="1:6" x14ac:dyDescent="0.25">
      <c r="A63" s="1">
        <v>62</v>
      </c>
      <c r="B63" t="s">
        <v>63</v>
      </c>
      <c r="C63" t="s">
        <v>128</v>
      </c>
      <c r="F63" s="114">
        <v>20</v>
      </c>
    </row>
    <row r="64" spans="1:6" x14ac:dyDescent="0.25">
      <c r="A64" s="1">
        <v>63</v>
      </c>
      <c r="B64" t="s">
        <v>64</v>
      </c>
      <c r="C64" t="s">
        <v>128</v>
      </c>
      <c r="F64" s="114">
        <v>18</v>
      </c>
    </row>
    <row r="65" spans="1:6" x14ac:dyDescent="0.25">
      <c r="A65" s="1">
        <v>64</v>
      </c>
      <c r="B65" t="s">
        <v>65</v>
      </c>
      <c r="C65" t="s">
        <v>127</v>
      </c>
      <c r="F65" s="114">
        <v>30</v>
      </c>
    </row>
    <row r="66" spans="1:6" x14ac:dyDescent="0.25">
      <c r="A66" s="1">
        <v>65</v>
      </c>
      <c r="B66" t="s">
        <v>66</v>
      </c>
      <c r="C66" t="s">
        <v>128</v>
      </c>
      <c r="F66" s="114">
        <v>40</v>
      </c>
    </row>
    <row r="67" spans="1:6" x14ac:dyDescent="0.25">
      <c r="A67" s="1">
        <v>66</v>
      </c>
      <c r="B67" t="s">
        <v>67</v>
      </c>
      <c r="C67" t="s">
        <v>127</v>
      </c>
      <c r="F67" s="114">
        <v>27</v>
      </c>
    </row>
    <row r="68" spans="1:6" x14ac:dyDescent="0.25">
      <c r="A68" s="1">
        <v>67</v>
      </c>
      <c r="B68" t="s">
        <v>68</v>
      </c>
      <c r="C68" t="s">
        <v>128</v>
      </c>
      <c r="F68" s="114">
        <v>20</v>
      </c>
    </row>
    <row r="69" spans="1:6" x14ac:dyDescent="0.25">
      <c r="A69" s="1">
        <v>68</v>
      </c>
      <c r="B69" t="s">
        <v>69</v>
      </c>
      <c r="C69" t="s">
        <v>128</v>
      </c>
      <c r="F69" s="114">
        <v>18</v>
      </c>
    </row>
    <row r="70" spans="1:6" x14ac:dyDescent="0.25">
      <c r="A70" s="1">
        <v>69</v>
      </c>
      <c r="B70" t="s">
        <v>70</v>
      </c>
      <c r="C70" t="s">
        <v>129</v>
      </c>
      <c r="F70" s="114">
        <v>45</v>
      </c>
    </row>
    <row r="71" spans="1:6" x14ac:dyDescent="0.25">
      <c r="A71" s="1">
        <v>70</v>
      </c>
      <c r="B71" t="s">
        <v>71</v>
      </c>
      <c r="C71" t="s">
        <v>127</v>
      </c>
      <c r="F71" s="114">
        <v>25</v>
      </c>
    </row>
    <row r="72" spans="1:6" x14ac:dyDescent="0.25">
      <c r="A72" s="1">
        <v>71</v>
      </c>
      <c r="B72" t="s">
        <v>72</v>
      </c>
      <c r="C72" t="s">
        <v>129</v>
      </c>
      <c r="F72" s="114">
        <v>50</v>
      </c>
    </row>
    <row r="73" spans="1:6" x14ac:dyDescent="0.25">
      <c r="A73" s="1">
        <v>72</v>
      </c>
      <c r="B73" t="s">
        <v>80</v>
      </c>
      <c r="C73" t="s">
        <v>129</v>
      </c>
      <c r="D73">
        <v>500</v>
      </c>
      <c r="F73" s="114">
        <v>105</v>
      </c>
    </row>
    <row r="74" spans="1:6" x14ac:dyDescent="0.25">
      <c r="A74" s="1">
        <v>73</v>
      </c>
      <c r="B74" t="s">
        <v>81</v>
      </c>
      <c r="C74" t="s">
        <v>129</v>
      </c>
      <c r="D74">
        <v>350</v>
      </c>
      <c r="F74" s="114">
        <v>75</v>
      </c>
    </row>
    <row r="75" spans="1:6" x14ac:dyDescent="0.25">
      <c r="A75" s="1">
        <v>74</v>
      </c>
      <c r="B75" t="s">
        <v>73</v>
      </c>
      <c r="C75" t="s">
        <v>128</v>
      </c>
      <c r="F75" s="114">
        <v>19</v>
      </c>
    </row>
    <row r="76" spans="1:6" x14ac:dyDescent="0.25">
      <c r="A76" s="1">
        <v>75</v>
      </c>
      <c r="B76" t="s">
        <v>74</v>
      </c>
      <c r="C76" t="s">
        <v>128</v>
      </c>
      <c r="F76" s="114">
        <v>21</v>
      </c>
    </row>
    <row r="77" spans="1:6" x14ac:dyDescent="0.25">
      <c r="A77" s="1">
        <v>76</v>
      </c>
      <c r="B77" t="s">
        <v>75</v>
      </c>
      <c r="C77" t="s">
        <v>129</v>
      </c>
      <c r="F77" s="114">
        <v>40</v>
      </c>
    </row>
    <row r="78" spans="1:6" x14ac:dyDescent="0.25">
      <c r="A78" s="1">
        <v>77</v>
      </c>
      <c r="B78" t="s">
        <v>76</v>
      </c>
      <c r="C78" t="s">
        <v>127</v>
      </c>
      <c r="F78" s="114">
        <v>30</v>
      </c>
    </row>
    <row r="79" spans="1:6" x14ac:dyDescent="0.25">
      <c r="A79" s="1">
        <v>78</v>
      </c>
      <c r="B79" t="s">
        <v>77</v>
      </c>
      <c r="C79" t="s">
        <v>127</v>
      </c>
      <c r="F79" s="114">
        <v>30</v>
      </c>
    </row>
    <row r="80" spans="1:6" x14ac:dyDescent="0.25">
      <c r="A80" s="1">
        <v>79</v>
      </c>
      <c r="B80" t="s">
        <v>78</v>
      </c>
      <c r="C80" t="s">
        <v>129</v>
      </c>
      <c r="F80" s="114">
        <v>16</v>
      </c>
    </row>
    <row r="81" spans="1:6" x14ac:dyDescent="0.25">
      <c r="A81" s="1">
        <v>80</v>
      </c>
      <c r="B81" t="s">
        <v>135</v>
      </c>
      <c r="C81" t="s">
        <v>129</v>
      </c>
      <c r="F81" s="114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7"/>
  <sheetViews>
    <sheetView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2" max="2" width="29.5703125" customWidth="1"/>
    <col min="3" max="3" width="18.85546875" bestFit="1" customWidth="1"/>
    <col min="4" max="4" width="13.85546875" bestFit="1" customWidth="1"/>
    <col min="5" max="5" width="13.85546875" customWidth="1"/>
    <col min="6" max="6" width="11.85546875" customWidth="1"/>
    <col min="7" max="7" width="13.140625" customWidth="1"/>
    <col min="8" max="8" width="12.28515625" customWidth="1"/>
    <col min="10" max="10" width="13.140625" customWidth="1"/>
    <col min="12" max="12" width="21.42578125" customWidth="1"/>
    <col min="13" max="13" width="10.5703125" customWidth="1"/>
  </cols>
  <sheetData>
    <row r="1" spans="1:13" ht="25.5" x14ac:dyDescent="0.25">
      <c r="A1" s="13" t="s">
        <v>2</v>
      </c>
      <c r="B1" s="14" t="s">
        <v>157</v>
      </c>
      <c r="C1" s="14" t="s">
        <v>139</v>
      </c>
      <c r="D1" s="14" t="s">
        <v>156</v>
      </c>
      <c r="E1" s="14" t="s">
        <v>189</v>
      </c>
      <c r="F1" s="14" t="s">
        <v>85</v>
      </c>
      <c r="G1" s="14" t="s">
        <v>86</v>
      </c>
      <c r="H1" s="14" t="s">
        <v>87</v>
      </c>
      <c r="J1" s="14" t="s">
        <v>134</v>
      </c>
      <c r="L1" s="14" t="s">
        <v>171</v>
      </c>
      <c r="M1" s="14" t="s">
        <v>162</v>
      </c>
    </row>
    <row r="2" spans="1:13" x14ac:dyDescent="0.25">
      <c r="A2" s="15">
        <v>1</v>
      </c>
      <c r="B2" s="16" t="s">
        <v>84</v>
      </c>
      <c r="C2" s="16" t="s">
        <v>143</v>
      </c>
      <c r="D2" s="16" t="s">
        <v>155</v>
      </c>
      <c r="E2" s="16" t="s">
        <v>192</v>
      </c>
      <c r="F2" s="17"/>
      <c r="G2" s="18"/>
      <c r="H2" s="19"/>
      <c r="J2" s="16" t="s">
        <v>132</v>
      </c>
      <c r="L2" s="39" t="s">
        <v>130</v>
      </c>
      <c r="M2" s="39" t="s">
        <v>163</v>
      </c>
    </row>
    <row r="3" spans="1:13" x14ac:dyDescent="0.25">
      <c r="A3" s="6">
        <v>2</v>
      </c>
      <c r="B3" s="5" t="s">
        <v>88</v>
      </c>
      <c r="C3" s="5" t="s">
        <v>143</v>
      </c>
      <c r="D3" s="5" t="s">
        <v>143</v>
      </c>
      <c r="E3" s="5" t="s">
        <v>192</v>
      </c>
      <c r="F3" s="8"/>
      <c r="G3" s="4"/>
      <c r="H3" s="9"/>
      <c r="J3" s="5" t="s">
        <v>133</v>
      </c>
      <c r="L3" s="26" t="s">
        <v>131</v>
      </c>
      <c r="M3" s="26" t="s">
        <v>163</v>
      </c>
    </row>
    <row r="4" spans="1:13" x14ac:dyDescent="0.25">
      <c r="A4" s="15">
        <v>3</v>
      </c>
      <c r="B4" s="16" t="s">
        <v>89</v>
      </c>
      <c r="C4" s="16" t="s">
        <v>142</v>
      </c>
      <c r="D4" s="16" t="s">
        <v>142</v>
      </c>
      <c r="E4" s="16" t="s">
        <v>192</v>
      </c>
      <c r="F4" s="17"/>
      <c r="G4" s="18"/>
      <c r="H4" s="19"/>
      <c r="L4" s="39" t="s">
        <v>165</v>
      </c>
      <c r="M4" s="39" t="s">
        <v>166</v>
      </c>
    </row>
    <row r="5" spans="1:13" x14ac:dyDescent="0.25">
      <c r="A5" s="6">
        <v>4</v>
      </c>
      <c r="B5" s="5" t="s">
        <v>90</v>
      </c>
      <c r="C5" s="5" t="s">
        <v>155</v>
      </c>
      <c r="D5" s="5" t="s">
        <v>155</v>
      </c>
      <c r="E5" s="5" t="s">
        <v>192</v>
      </c>
      <c r="F5" s="8"/>
      <c r="G5" s="4"/>
      <c r="H5" s="9"/>
      <c r="L5" s="26" t="s">
        <v>173</v>
      </c>
      <c r="M5" s="26" t="s">
        <v>163</v>
      </c>
    </row>
    <row r="6" spans="1:13" x14ac:dyDescent="0.25">
      <c r="A6" s="15">
        <v>5</v>
      </c>
      <c r="B6" s="16" t="s">
        <v>91</v>
      </c>
      <c r="C6" s="16" t="s">
        <v>91</v>
      </c>
      <c r="D6" s="16" t="s">
        <v>143</v>
      </c>
      <c r="E6" s="16" t="s">
        <v>192</v>
      </c>
      <c r="F6" s="17"/>
      <c r="G6" s="18"/>
      <c r="H6" s="19"/>
      <c r="L6" s="39" t="s">
        <v>172</v>
      </c>
      <c r="M6" s="39" t="s">
        <v>163</v>
      </c>
    </row>
    <row r="7" spans="1:13" x14ac:dyDescent="0.25">
      <c r="A7" s="6">
        <v>6</v>
      </c>
      <c r="B7" s="5" t="s">
        <v>92</v>
      </c>
      <c r="C7" s="5" t="s">
        <v>143</v>
      </c>
      <c r="D7" s="5" t="s">
        <v>143</v>
      </c>
      <c r="E7" s="5" t="s">
        <v>192</v>
      </c>
      <c r="F7" s="8"/>
      <c r="G7" s="4"/>
      <c r="H7" s="9"/>
      <c r="L7" s="26" t="s">
        <v>170</v>
      </c>
      <c r="M7" s="26" t="s">
        <v>166</v>
      </c>
    </row>
    <row r="8" spans="1:13" x14ac:dyDescent="0.25">
      <c r="A8" s="15">
        <v>7</v>
      </c>
      <c r="B8" s="16" t="s">
        <v>93</v>
      </c>
      <c r="C8" s="16" t="s">
        <v>143</v>
      </c>
      <c r="D8" s="16" t="s">
        <v>143</v>
      </c>
      <c r="E8" s="16" t="s">
        <v>192</v>
      </c>
      <c r="F8" s="17"/>
      <c r="G8" s="18"/>
      <c r="H8" s="19"/>
      <c r="L8" s="39" t="s">
        <v>130</v>
      </c>
      <c r="M8" s="39" t="s">
        <v>163</v>
      </c>
    </row>
    <row r="9" spans="1:13" x14ac:dyDescent="0.25">
      <c r="A9" s="6">
        <v>8</v>
      </c>
      <c r="B9" s="5" t="s">
        <v>94</v>
      </c>
      <c r="C9" s="5" t="s">
        <v>143</v>
      </c>
      <c r="D9" s="5" t="s">
        <v>143</v>
      </c>
      <c r="E9" s="5" t="s">
        <v>192</v>
      </c>
      <c r="F9" s="8"/>
      <c r="G9" s="4"/>
      <c r="H9" s="9"/>
      <c r="L9" s="41" t="s">
        <v>130</v>
      </c>
      <c r="M9" s="41" t="s">
        <v>163</v>
      </c>
    </row>
    <row r="10" spans="1:13" x14ac:dyDescent="0.25">
      <c r="A10" s="20">
        <v>9</v>
      </c>
      <c r="B10" s="21" t="s">
        <v>95</v>
      </c>
      <c r="C10" s="21" t="s">
        <v>143</v>
      </c>
      <c r="D10" s="21" t="s">
        <v>143</v>
      </c>
      <c r="E10" s="21" t="s">
        <v>192</v>
      </c>
      <c r="F10" s="17"/>
      <c r="G10" s="22"/>
      <c r="H10" s="17"/>
    </row>
    <row r="11" spans="1:13" x14ac:dyDescent="0.25">
      <c r="A11" s="10">
        <v>10</v>
      </c>
      <c r="B11" s="11" t="s">
        <v>96</v>
      </c>
      <c r="C11" s="11" t="s">
        <v>143</v>
      </c>
      <c r="D11" s="11" t="s">
        <v>143</v>
      </c>
      <c r="E11" s="11" t="s">
        <v>192</v>
      </c>
      <c r="F11" s="8"/>
      <c r="G11" s="12"/>
      <c r="H11" s="8"/>
    </row>
    <row r="12" spans="1:13" x14ac:dyDescent="0.25">
      <c r="A12" s="20">
        <v>11</v>
      </c>
      <c r="B12" s="21" t="s">
        <v>97</v>
      </c>
      <c r="C12" s="21" t="s">
        <v>143</v>
      </c>
      <c r="D12" s="21" t="s">
        <v>143</v>
      </c>
      <c r="E12" s="21" t="s">
        <v>192</v>
      </c>
      <c r="F12" s="17"/>
      <c r="G12" s="22"/>
      <c r="H12" s="17"/>
    </row>
    <row r="13" spans="1:13" x14ac:dyDescent="0.25">
      <c r="A13" s="10">
        <v>12</v>
      </c>
      <c r="B13" s="11" t="s">
        <v>98</v>
      </c>
      <c r="C13" s="11" t="s">
        <v>143</v>
      </c>
      <c r="D13" s="11" t="s">
        <v>143</v>
      </c>
      <c r="E13" s="11" t="s">
        <v>192</v>
      </c>
      <c r="F13" s="8"/>
      <c r="G13" s="12"/>
      <c r="H13" s="8"/>
    </row>
    <row r="14" spans="1:13" x14ac:dyDescent="0.25">
      <c r="A14" s="20">
        <v>13</v>
      </c>
      <c r="B14" s="21" t="s">
        <v>99</v>
      </c>
      <c r="C14" s="21" t="s">
        <v>155</v>
      </c>
      <c r="D14" s="21" t="s">
        <v>155</v>
      </c>
      <c r="E14" s="21" t="s">
        <v>192</v>
      </c>
      <c r="F14" s="17"/>
      <c r="G14" s="22"/>
      <c r="H14" s="17"/>
    </row>
    <row r="15" spans="1:13" x14ac:dyDescent="0.25">
      <c r="A15" s="10">
        <v>14</v>
      </c>
      <c r="B15" s="11" t="s">
        <v>119</v>
      </c>
      <c r="C15" s="11" t="s">
        <v>213</v>
      </c>
      <c r="D15" s="11" t="s">
        <v>155</v>
      </c>
      <c r="E15" s="11" t="s">
        <v>192</v>
      </c>
      <c r="F15" s="8"/>
      <c r="G15" s="12"/>
      <c r="H15" s="8"/>
    </row>
    <row r="16" spans="1:13" x14ac:dyDescent="0.25">
      <c r="A16" s="20">
        <v>15</v>
      </c>
      <c r="B16" s="21" t="s">
        <v>100</v>
      </c>
      <c r="C16" s="21" t="s">
        <v>212</v>
      </c>
      <c r="D16" s="21" t="s">
        <v>155</v>
      </c>
      <c r="E16" s="21" t="s">
        <v>192</v>
      </c>
      <c r="F16" s="17"/>
      <c r="G16" s="22"/>
      <c r="H16" s="17"/>
    </row>
    <row r="17" spans="1:8" x14ac:dyDescent="0.25">
      <c r="A17" s="10">
        <v>16</v>
      </c>
      <c r="B17" s="11" t="s">
        <v>101</v>
      </c>
      <c r="C17" s="11" t="s">
        <v>155</v>
      </c>
      <c r="D17" s="11" t="s">
        <v>155</v>
      </c>
      <c r="E17" s="11" t="s">
        <v>192</v>
      </c>
      <c r="F17" s="8"/>
      <c r="G17" s="12"/>
      <c r="H17" s="8"/>
    </row>
    <row r="18" spans="1:8" x14ac:dyDescent="0.25">
      <c r="A18" s="20">
        <v>17</v>
      </c>
      <c r="B18" s="21" t="s">
        <v>102</v>
      </c>
      <c r="C18" s="21" t="s">
        <v>142</v>
      </c>
      <c r="D18" s="21" t="s">
        <v>142</v>
      </c>
      <c r="E18" s="21" t="s">
        <v>192</v>
      </c>
      <c r="F18" s="17"/>
      <c r="G18" s="22"/>
      <c r="H18" s="17"/>
    </row>
    <row r="19" spans="1:8" x14ac:dyDescent="0.25">
      <c r="A19" s="10">
        <v>18</v>
      </c>
      <c r="B19" s="11" t="s">
        <v>103</v>
      </c>
      <c r="C19" s="11" t="s">
        <v>142</v>
      </c>
      <c r="D19" s="11" t="s">
        <v>142</v>
      </c>
      <c r="E19" s="11" t="s">
        <v>192</v>
      </c>
      <c r="F19" s="8"/>
      <c r="G19" s="12"/>
      <c r="H19" s="8"/>
    </row>
    <row r="20" spans="1:8" x14ac:dyDescent="0.25">
      <c r="A20" s="20">
        <v>19</v>
      </c>
      <c r="B20" s="21" t="s">
        <v>104</v>
      </c>
      <c r="C20" s="21" t="s">
        <v>142</v>
      </c>
      <c r="D20" s="21" t="s">
        <v>142</v>
      </c>
      <c r="E20" s="21" t="s">
        <v>192</v>
      </c>
      <c r="F20" s="17"/>
      <c r="G20" s="22"/>
      <c r="H20" s="17"/>
    </row>
    <row r="21" spans="1:8" x14ac:dyDescent="0.25">
      <c r="A21" s="10">
        <v>20</v>
      </c>
      <c r="B21" s="11" t="s">
        <v>105</v>
      </c>
      <c r="C21" s="11" t="s">
        <v>142</v>
      </c>
      <c r="D21" s="11" t="s">
        <v>142</v>
      </c>
      <c r="E21" s="11" t="s">
        <v>192</v>
      </c>
      <c r="F21" s="8"/>
      <c r="G21" s="12"/>
      <c r="H21" s="8"/>
    </row>
    <row r="22" spans="1:8" x14ac:dyDescent="0.25">
      <c r="A22" s="20">
        <v>21</v>
      </c>
      <c r="B22" s="21" t="s">
        <v>106</v>
      </c>
      <c r="C22" s="21" t="s">
        <v>142</v>
      </c>
      <c r="D22" s="21" t="s">
        <v>142</v>
      </c>
      <c r="E22" s="21" t="s">
        <v>192</v>
      </c>
      <c r="F22" s="17"/>
      <c r="G22" s="22"/>
      <c r="H22" s="17"/>
    </row>
    <row r="23" spans="1:8" x14ac:dyDescent="0.25">
      <c r="A23" s="10">
        <v>22</v>
      </c>
      <c r="B23" s="11" t="s">
        <v>107</v>
      </c>
      <c r="C23" s="11" t="s">
        <v>142</v>
      </c>
      <c r="D23" s="11" t="s">
        <v>142</v>
      </c>
      <c r="E23" s="11" t="s">
        <v>192</v>
      </c>
      <c r="F23" s="8"/>
      <c r="G23" s="12"/>
      <c r="H23" s="8"/>
    </row>
    <row r="24" spans="1:8" x14ac:dyDescent="0.25">
      <c r="A24" s="20">
        <v>23</v>
      </c>
      <c r="B24" s="21" t="s">
        <v>108</v>
      </c>
      <c r="C24" s="21" t="s">
        <v>142</v>
      </c>
      <c r="D24" s="21" t="s">
        <v>158</v>
      </c>
      <c r="E24" s="21" t="s">
        <v>190</v>
      </c>
      <c r="F24" s="17"/>
      <c r="G24" s="22"/>
      <c r="H24" s="17"/>
    </row>
    <row r="25" spans="1:8" x14ac:dyDescent="0.25">
      <c r="A25" s="10">
        <v>24</v>
      </c>
      <c r="B25" s="11" t="s">
        <v>109</v>
      </c>
      <c r="C25" s="11" t="s">
        <v>142</v>
      </c>
      <c r="D25" s="11" t="s">
        <v>158</v>
      </c>
      <c r="E25" s="11" t="s">
        <v>190</v>
      </c>
      <c r="F25" s="8"/>
      <c r="G25" s="12"/>
      <c r="H25" s="8"/>
    </row>
    <row r="26" spans="1:8" x14ac:dyDescent="0.25">
      <c r="A26" s="20">
        <v>25</v>
      </c>
      <c r="B26" s="21" t="s">
        <v>110</v>
      </c>
      <c r="C26" s="21" t="s">
        <v>211</v>
      </c>
      <c r="D26" s="21" t="s">
        <v>158</v>
      </c>
      <c r="E26" s="21" t="s">
        <v>190</v>
      </c>
      <c r="F26" s="17"/>
      <c r="G26" s="22"/>
      <c r="H26" s="17"/>
    </row>
    <row r="27" spans="1:8" x14ac:dyDescent="0.25">
      <c r="A27" s="10">
        <v>26</v>
      </c>
      <c r="B27" s="11" t="s">
        <v>111</v>
      </c>
      <c r="C27" s="11" t="s">
        <v>142</v>
      </c>
      <c r="D27" s="11" t="s">
        <v>158</v>
      </c>
      <c r="E27" s="11" t="s">
        <v>190</v>
      </c>
      <c r="F27" s="8"/>
      <c r="G27" s="12"/>
      <c r="H27" s="8"/>
    </row>
    <row r="28" spans="1:8" x14ac:dyDescent="0.25">
      <c r="A28" s="20">
        <v>27</v>
      </c>
      <c r="B28" s="21" t="s">
        <v>112</v>
      </c>
      <c r="C28" s="21" t="s">
        <v>143</v>
      </c>
      <c r="D28" s="21" t="s">
        <v>158</v>
      </c>
      <c r="E28" s="21" t="s">
        <v>190</v>
      </c>
      <c r="F28" s="17"/>
      <c r="G28" s="22"/>
      <c r="H28" s="17"/>
    </row>
    <row r="29" spans="1:8" x14ac:dyDescent="0.25">
      <c r="A29" s="10">
        <v>28</v>
      </c>
      <c r="B29" s="11" t="s">
        <v>113</v>
      </c>
      <c r="C29" s="11" t="s">
        <v>159</v>
      </c>
      <c r="D29" s="11" t="s">
        <v>158</v>
      </c>
      <c r="E29" s="11" t="s">
        <v>190</v>
      </c>
      <c r="F29" s="8"/>
      <c r="G29" s="12"/>
      <c r="H29" s="8"/>
    </row>
    <row r="30" spans="1:8" x14ac:dyDescent="0.25">
      <c r="A30" s="20">
        <v>29</v>
      </c>
      <c r="B30" s="21" t="s">
        <v>114</v>
      </c>
      <c r="C30" s="21" t="s">
        <v>142</v>
      </c>
      <c r="D30" s="21" t="s">
        <v>158</v>
      </c>
      <c r="E30" s="21" t="s">
        <v>190</v>
      </c>
      <c r="F30" s="17"/>
      <c r="G30" s="22"/>
      <c r="H30" s="17"/>
    </row>
    <row r="31" spans="1:8" x14ac:dyDescent="0.25">
      <c r="A31" s="10">
        <v>30</v>
      </c>
      <c r="B31" s="11" t="s">
        <v>115</v>
      </c>
      <c r="C31" s="11" t="s">
        <v>142</v>
      </c>
      <c r="D31" s="11" t="s">
        <v>158</v>
      </c>
      <c r="E31" s="11" t="s">
        <v>190</v>
      </c>
      <c r="F31" s="8"/>
      <c r="G31" s="12"/>
      <c r="H31" s="8"/>
    </row>
    <row r="32" spans="1:8" x14ac:dyDescent="0.25">
      <c r="A32" s="20">
        <v>31</v>
      </c>
      <c r="B32" s="21" t="s">
        <v>116</v>
      </c>
      <c r="C32" s="21" t="s">
        <v>142</v>
      </c>
      <c r="D32" s="21" t="s">
        <v>158</v>
      </c>
      <c r="E32" s="21" t="s">
        <v>190</v>
      </c>
      <c r="F32" s="17"/>
      <c r="G32" s="22"/>
      <c r="H32" s="17"/>
    </row>
    <row r="33" spans="1:8" x14ac:dyDescent="0.25">
      <c r="A33" s="10">
        <v>32</v>
      </c>
      <c r="B33" s="11" t="s">
        <v>117</v>
      </c>
      <c r="C33" s="11" t="s">
        <v>155</v>
      </c>
      <c r="D33" s="11" t="s">
        <v>158</v>
      </c>
      <c r="E33" s="11" t="s">
        <v>190</v>
      </c>
      <c r="F33" s="8"/>
      <c r="G33" s="12"/>
      <c r="H33" s="8"/>
    </row>
    <row r="34" spans="1:8" x14ac:dyDescent="0.25">
      <c r="A34" s="20">
        <v>33</v>
      </c>
      <c r="B34" s="21" t="s">
        <v>118</v>
      </c>
      <c r="C34" s="21" t="s">
        <v>155</v>
      </c>
      <c r="D34" s="21" t="s">
        <v>158</v>
      </c>
      <c r="E34" s="21" t="s">
        <v>190</v>
      </c>
      <c r="F34" s="17"/>
      <c r="G34" s="22"/>
      <c r="H34" s="17"/>
    </row>
    <row r="35" spans="1:8" x14ac:dyDescent="0.25">
      <c r="A35" s="35">
        <v>34</v>
      </c>
      <c r="B35" s="36" t="s">
        <v>125</v>
      </c>
      <c r="C35" s="36" t="s">
        <v>142</v>
      </c>
      <c r="D35" s="36" t="s">
        <v>125</v>
      </c>
      <c r="E35" s="11" t="s">
        <v>192</v>
      </c>
    </row>
    <row r="36" spans="1:8" x14ac:dyDescent="0.25">
      <c r="A36" s="20">
        <v>35</v>
      </c>
      <c r="B36" s="21" t="s">
        <v>182</v>
      </c>
      <c r="C36" s="21" t="s">
        <v>142</v>
      </c>
      <c r="D36" s="21" t="s">
        <v>142</v>
      </c>
      <c r="E36" s="21" t="s">
        <v>192</v>
      </c>
      <c r="F36" s="17"/>
      <c r="G36" s="22"/>
      <c r="H36" s="17"/>
    </row>
    <row r="37" spans="1:8" x14ac:dyDescent="0.25">
      <c r="A37" s="35">
        <v>36</v>
      </c>
      <c r="B37" s="36" t="s">
        <v>187</v>
      </c>
      <c r="C37" s="36" t="s">
        <v>142</v>
      </c>
      <c r="D37" s="36" t="s">
        <v>142</v>
      </c>
      <c r="E37" s="11" t="s">
        <v>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O127"/>
  <sheetViews>
    <sheetView showGridLines="0" workbookViewId="0">
      <pane ySplit="1" topLeftCell="A101" activePane="bottomLeft" state="frozen"/>
      <selection activeCell="B1" sqref="B1"/>
      <selection pane="bottomLeft" activeCell="O116" sqref="O116"/>
    </sheetView>
  </sheetViews>
  <sheetFormatPr defaultRowHeight="15" x14ac:dyDescent="0.25"/>
  <cols>
    <col min="1" max="1" width="5.7109375" customWidth="1"/>
    <col min="2" max="2" width="16.42578125" style="97" bestFit="1" customWidth="1"/>
    <col min="3" max="3" width="11.5703125" style="38" hidden="1" customWidth="1"/>
    <col min="4" max="4" width="8.85546875" style="38" hidden="1" customWidth="1"/>
    <col min="5" max="5" width="14.7109375" style="7" hidden="1" customWidth="1"/>
    <col min="6" max="6" width="28.28515625" bestFit="1" customWidth="1"/>
    <col min="7" max="7" width="28" style="7" hidden="1" customWidth="1"/>
    <col min="8" max="8" width="14.7109375" style="7" hidden="1" customWidth="1"/>
    <col min="9" max="9" width="18" hidden="1" customWidth="1"/>
    <col min="10" max="10" width="18" bestFit="1" customWidth="1"/>
    <col min="11" max="11" width="14.85546875" hidden="1" customWidth="1"/>
    <col min="12" max="12" width="14.85546875" bestFit="1" customWidth="1"/>
    <col min="13" max="13" width="17.7109375" customWidth="1"/>
    <col min="14" max="14" width="16" bestFit="1" customWidth="1"/>
    <col min="15" max="15" width="17.7109375" style="25" customWidth="1"/>
  </cols>
  <sheetData>
    <row r="1" spans="2:15" ht="39" customHeight="1" x14ac:dyDescent="0.25">
      <c r="B1" s="27" t="s">
        <v>83</v>
      </c>
      <c r="C1" s="48" t="s">
        <v>185</v>
      </c>
      <c r="D1" s="48" t="s">
        <v>186</v>
      </c>
      <c r="E1" s="27" t="s">
        <v>134</v>
      </c>
      <c r="F1" s="27" t="s">
        <v>141</v>
      </c>
      <c r="G1" s="27" t="s">
        <v>189</v>
      </c>
      <c r="H1" s="28" t="s">
        <v>139</v>
      </c>
      <c r="I1" s="28" t="s">
        <v>156</v>
      </c>
      <c r="J1" s="28" t="s">
        <v>0</v>
      </c>
      <c r="K1" s="28" t="s">
        <v>145</v>
      </c>
      <c r="L1" s="28" t="s">
        <v>120</v>
      </c>
      <c r="M1" s="29" t="s">
        <v>140</v>
      </c>
      <c r="N1" s="29" t="s">
        <v>138</v>
      </c>
      <c r="O1"/>
    </row>
    <row r="2" spans="2:15" x14ac:dyDescent="0.25">
      <c r="B2" s="42">
        <v>44942</v>
      </c>
      <c r="C2" s="51">
        <f>MONTH(Заявки[[#This Row],[Дата]])</f>
        <v>1</v>
      </c>
      <c r="D2" s="51">
        <f>YEAR(Заявки[[#This Row],[Дата]])</f>
        <v>2023</v>
      </c>
      <c r="E2" s="32" t="str">
        <f>IF(Заявки[[#This Row],[Год]]="","Пустая","Доходы")</f>
        <v>Доходы</v>
      </c>
      <c r="F2" s="30" t="s">
        <v>91</v>
      </c>
      <c r="G2" s="32" t="str">
        <f>VLOOKUP(Заявки[[#This Row],[Заказчик]],Контрагенты!B:E,4,FALSE)</f>
        <v>Наличными</v>
      </c>
      <c r="H2" s="30" t="str">
        <f>VLOOKUP(Заявки[[#This Row],[Заказчик]],Контрагенты!B:D,2,FALSE)</f>
        <v>Почитанка</v>
      </c>
      <c r="I2" s="30" t="str">
        <f>VLOOKUP(Заявки[[#This Row],[Заказчик]],Контрагенты!B:D,3,FALSE)</f>
        <v>Ижморка</v>
      </c>
      <c r="J2" s="30" t="s">
        <v>9</v>
      </c>
      <c r="K2" s="30" t="str">
        <f>VLOOKUP(J2,Прайс!$B$2:$F$81,2,FALSE)</f>
        <v>Хлеб</v>
      </c>
      <c r="L2" s="1">
        <v>2</v>
      </c>
      <c r="M2" s="31">
        <f>VLOOKUP(J2,Прайс!$B$2:$F$81,5,0)</f>
        <v>26</v>
      </c>
      <c r="N2" s="31">
        <f t="shared" ref="N2:N9" si="0">L2*M2</f>
        <v>52</v>
      </c>
      <c r="O2"/>
    </row>
    <row r="3" spans="2:15" x14ac:dyDescent="0.25">
      <c r="B3" s="42">
        <v>44942</v>
      </c>
      <c r="C3" s="51">
        <f>MONTH(Заявки[[#This Row],[Дата]])</f>
        <v>1</v>
      </c>
      <c r="D3" s="51">
        <f>YEAR(Заявки[[#This Row],[Дата]])</f>
        <v>2023</v>
      </c>
      <c r="E3" s="32" t="str">
        <f>IF(Заявки[[#This Row],[Год]]="","Пустая","Доходы")</f>
        <v>Доходы</v>
      </c>
      <c r="F3" s="30" t="s">
        <v>90</v>
      </c>
      <c r="G3" s="32" t="str">
        <f>VLOOKUP(Заявки[[#This Row],[Заказчик]],Контрагенты!B:E,4,FALSE)</f>
        <v>Наличными</v>
      </c>
      <c r="H3" s="30" t="str">
        <f>VLOOKUP(Заявки[[#This Row],[Заказчик]],Контрагенты!B:D,2,FALSE)</f>
        <v>Колыон</v>
      </c>
      <c r="I3" s="30" t="str">
        <f>VLOOKUP(Заявки[[#This Row],[Заказчик]],Контрагенты!B:D,3,FALSE)</f>
        <v>Колыон</v>
      </c>
      <c r="J3" s="30" t="s">
        <v>8</v>
      </c>
      <c r="K3" s="30" t="str">
        <f>VLOOKUP(J3,Прайс!$B$2:$F$81,2,FALSE)</f>
        <v>Хлеб</v>
      </c>
      <c r="L3" s="1">
        <v>3</v>
      </c>
      <c r="M3" s="31">
        <f>VLOOKUP(J3,Прайс!$B$2:$F$81,5,0)</f>
        <v>23</v>
      </c>
      <c r="N3" s="31">
        <f t="shared" si="0"/>
        <v>69</v>
      </c>
      <c r="O3"/>
    </row>
    <row r="4" spans="2:15" x14ac:dyDescent="0.25">
      <c r="B4" s="42">
        <v>44942</v>
      </c>
      <c r="C4" s="51">
        <f>MONTH(Заявки[[#This Row],[Дата]])</f>
        <v>1</v>
      </c>
      <c r="D4" s="51">
        <f>YEAR(Заявки[[#This Row],[Дата]])</f>
        <v>2023</v>
      </c>
      <c r="E4" s="32" t="str">
        <f>IF(Заявки[[#This Row],[Год]]="","Пустая","Доходы")</f>
        <v>Доходы</v>
      </c>
      <c r="F4" s="30" t="s">
        <v>93</v>
      </c>
      <c r="G4" s="32" t="str">
        <f>VLOOKUP(Заявки[[#This Row],[Заказчик]],Контрагенты!B:E,4,FALSE)</f>
        <v>Наличными</v>
      </c>
      <c r="H4" s="30" t="str">
        <f>VLOOKUP(Заявки[[#This Row],[Заказчик]],Контрагенты!B:D,2,FALSE)</f>
        <v>Ижморка</v>
      </c>
      <c r="I4" s="30" t="str">
        <f>VLOOKUP(Заявки[[#This Row],[Заказчик]],Контрагенты!B:D,3,FALSE)</f>
        <v>Ижморка</v>
      </c>
      <c r="J4" s="30" t="s">
        <v>14</v>
      </c>
      <c r="K4" s="30" t="str">
        <f>VLOOKUP(J4,Прайс!$B$2:$F$81,2,FALSE)</f>
        <v>Хлеб</v>
      </c>
      <c r="L4" s="1">
        <v>5</v>
      </c>
      <c r="M4" s="31">
        <f>VLOOKUP(J4,Прайс!$B$2:$F$81,5,0)</f>
        <v>19</v>
      </c>
      <c r="N4" s="31">
        <f t="shared" si="0"/>
        <v>95</v>
      </c>
      <c r="O4"/>
    </row>
    <row r="5" spans="2:15" x14ac:dyDescent="0.25">
      <c r="B5" s="42">
        <v>44942</v>
      </c>
      <c r="C5" s="51">
        <f>MONTH(Заявки[[#This Row],[Дата]])</f>
        <v>1</v>
      </c>
      <c r="D5" s="51">
        <f>YEAR(Заявки[[#This Row],[Дата]])</f>
        <v>2023</v>
      </c>
      <c r="E5" s="32" t="str">
        <f>IF(Заявки[[#This Row],[Год]]="","Пустая","Доходы")</f>
        <v>Доходы</v>
      </c>
      <c r="F5" s="30" t="s">
        <v>91</v>
      </c>
      <c r="G5" s="32" t="str">
        <f>VLOOKUP(Заявки[[#This Row],[Заказчик]],Контрагенты!B:E,4,FALSE)</f>
        <v>Наличными</v>
      </c>
      <c r="H5" s="30" t="str">
        <f>VLOOKUP(Заявки[[#This Row],[Заказчик]],Контрагенты!B:D,2,FALSE)</f>
        <v>Почитанка</v>
      </c>
      <c r="I5" s="30" t="str">
        <f>VLOOKUP(Заявки[[#This Row],[Заказчик]],Контрагенты!B:D,3,FALSE)</f>
        <v>Ижморка</v>
      </c>
      <c r="J5" s="30" t="s">
        <v>9</v>
      </c>
      <c r="K5" s="30" t="str">
        <f>VLOOKUP(J5,Прайс!$B$2:$F$81,2,FALSE)</f>
        <v>Хлеб</v>
      </c>
      <c r="L5" s="1">
        <v>3</v>
      </c>
      <c r="M5" s="31">
        <f>VLOOKUP(J5,Прайс!$B$2:$F$81,5,0)</f>
        <v>26</v>
      </c>
      <c r="N5" s="31">
        <f t="shared" si="0"/>
        <v>78</v>
      </c>
      <c r="O5"/>
    </row>
    <row r="6" spans="2:15" x14ac:dyDescent="0.25">
      <c r="B6" s="42">
        <v>44942</v>
      </c>
      <c r="C6" s="51">
        <f>MONTH(Заявки[[#This Row],[Дата]])</f>
        <v>1</v>
      </c>
      <c r="D6" s="51">
        <f>YEAR(Заявки[[#This Row],[Дата]])</f>
        <v>2023</v>
      </c>
      <c r="E6" s="32" t="str">
        <f>IF(Заявки[[#This Row],[Год]]="","Пустая","Доходы")</f>
        <v>Доходы</v>
      </c>
      <c r="F6" s="30" t="s">
        <v>89</v>
      </c>
      <c r="G6" s="32" t="str">
        <f>VLOOKUP(Заявки[[#This Row],[Заказчик]],Контрагенты!B:E,4,FALSE)</f>
        <v>Наличными</v>
      </c>
      <c r="H6" s="30" t="str">
        <f>VLOOKUP(Заявки[[#This Row],[Заказчик]],Контрагенты!B:D,2,FALSE)</f>
        <v>Яя</v>
      </c>
      <c r="I6" s="30" t="str">
        <f>VLOOKUP(Заявки[[#This Row],[Заказчик]],Контрагенты!B:D,3,FALSE)</f>
        <v>Яя</v>
      </c>
      <c r="J6" s="30" t="s">
        <v>8</v>
      </c>
      <c r="K6" s="30" t="str">
        <f>VLOOKUP(J6,Прайс!$B$2:$F$81,2,FALSE)</f>
        <v>Хлеб</v>
      </c>
      <c r="L6" s="1">
        <v>5</v>
      </c>
      <c r="M6" s="31">
        <f>VLOOKUP(J6,Прайс!$B$2:$F$81,5,0)</f>
        <v>23</v>
      </c>
      <c r="N6" s="31">
        <f t="shared" si="0"/>
        <v>115</v>
      </c>
      <c r="O6"/>
    </row>
    <row r="7" spans="2:15" x14ac:dyDescent="0.25">
      <c r="B7" s="42">
        <v>44942</v>
      </c>
      <c r="C7" s="51">
        <f>MONTH(Заявки[[#This Row],[Дата]])</f>
        <v>1</v>
      </c>
      <c r="D7" s="51">
        <f>YEAR(Заявки[[#This Row],[Дата]])</f>
        <v>2023</v>
      </c>
      <c r="E7" s="32" t="str">
        <f>IF(Заявки[[#This Row],[Год]]="","Пустая","Доходы")</f>
        <v>Доходы</v>
      </c>
      <c r="F7" s="30" t="s">
        <v>93</v>
      </c>
      <c r="G7" s="32" t="str">
        <f>VLOOKUP(Заявки[[#This Row],[Заказчик]],Контрагенты!B:E,4,FALSE)</f>
        <v>Наличными</v>
      </c>
      <c r="H7" s="30" t="str">
        <f>VLOOKUP(Заявки[[#This Row],[Заказчик]],Контрагенты!B:D,2,FALSE)</f>
        <v>Ижморка</v>
      </c>
      <c r="I7" s="30" t="str">
        <f>VLOOKUP(Заявки[[#This Row],[Заказчик]],Контрагенты!B:D,3,FALSE)</f>
        <v>Ижморка</v>
      </c>
      <c r="J7" s="30" t="s">
        <v>14</v>
      </c>
      <c r="K7" s="30" t="str">
        <f>VLOOKUP(J7,Прайс!$B$2:$F$81,2,FALSE)</f>
        <v>Хлеб</v>
      </c>
      <c r="L7" s="1">
        <v>3</v>
      </c>
      <c r="M7" s="31">
        <f>VLOOKUP(J7,Прайс!$B$2:$F$81,5,0)</f>
        <v>19</v>
      </c>
      <c r="N7" s="31">
        <f t="shared" si="0"/>
        <v>57</v>
      </c>
      <c r="O7"/>
    </row>
    <row r="8" spans="2:15" x14ac:dyDescent="0.25">
      <c r="B8" s="42">
        <v>44942</v>
      </c>
      <c r="C8" s="51">
        <f>MONTH(Заявки[[#This Row],[Дата]])</f>
        <v>1</v>
      </c>
      <c r="D8" s="51">
        <f>YEAR(Заявки[[#This Row],[Дата]])</f>
        <v>2023</v>
      </c>
      <c r="E8" s="32" t="str">
        <f>IF(Заявки[[#This Row],[Год]]="","Пустая","Доходы")</f>
        <v>Доходы</v>
      </c>
      <c r="F8" s="30" t="s">
        <v>89</v>
      </c>
      <c r="G8" s="32" t="str">
        <f>VLOOKUP(Заявки[[#This Row],[Заказчик]],Контрагенты!B:E,4,FALSE)</f>
        <v>Наличными</v>
      </c>
      <c r="H8" s="30" t="str">
        <f>VLOOKUP(Заявки[[#This Row],[Заказчик]],Контрагенты!B:D,2,FALSE)</f>
        <v>Яя</v>
      </c>
      <c r="I8" s="30" t="str">
        <f>VLOOKUP(Заявки[[#This Row],[Заказчик]],Контрагенты!B:D,3,FALSE)</f>
        <v>Яя</v>
      </c>
      <c r="J8" s="30" t="s">
        <v>7</v>
      </c>
      <c r="K8" s="30" t="str">
        <f>VLOOKUP(J8,Прайс!$B$2:$F$81,2,FALSE)</f>
        <v>Хлеб</v>
      </c>
      <c r="L8" s="1">
        <v>2</v>
      </c>
      <c r="M8" s="31">
        <f>VLOOKUP(J8,Прайс!$B$2:$F$81,5,0)</f>
        <v>29</v>
      </c>
      <c r="N8" s="31">
        <f t="shared" si="0"/>
        <v>58</v>
      </c>
      <c r="O8"/>
    </row>
    <row r="9" spans="2:15" x14ac:dyDescent="0.25">
      <c r="B9" s="42">
        <v>44942</v>
      </c>
      <c r="C9" s="51">
        <f>MONTH(Заявки[[#This Row],[Дата]])</f>
        <v>1</v>
      </c>
      <c r="D9" s="51">
        <f>YEAR(Заявки[[#This Row],[Дата]])</f>
        <v>2023</v>
      </c>
      <c r="E9" s="32" t="str">
        <f>IF(Заявки[[#This Row],[Год]]="","Пустая","Доходы")</f>
        <v>Доходы</v>
      </c>
      <c r="F9" s="30" t="s">
        <v>91</v>
      </c>
      <c r="G9" s="32" t="str">
        <f>VLOOKUP(Заявки[[#This Row],[Заказчик]],Контрагенты!B:E,4,FALSE)</f>
        <v>Наличными</v>
      </c>
      <c r="H9" s="30" t="str">
        <f>VLOOKUP(Заявки[[#This Row],[Заказчик]],Контрагенты!B:D,2,FALSE)</f>
        <v>Почитанка</v>
      </c>
      <c r="I9" s="30" t="str">
        <f>VLOOKUP(Заявки[[#This Row],[Заказчик]],Контрагенты!B:D,3,FALSE)</f>
        <v>Ижморка</v>
      </c>
      <c r="J9" s="30" t="s">
        <v>4</v>
      </c>
      <c r="K9" s="30" t="str">
        <f>VLOOKUP(J9,Прайс!$B$2:$F$81,2,FALSE)</f>
        <v>Хлеб</v>
      </c>
      <c r="L9" s="1">
        <v>1</v>
      </c>
      <c r="M9" s="31">
        <f>VLOOKUP(J9,Прайс!$B$2:$F$81,5,0)</f>
        <v>27</v>
      </c>
      <c r="N9" s="31">
        <f t="shared" si="0"/>
        <v>27</v>
      </c>
      <c r="O9"/>
    </row>
    <row r="10" spans="2:15" x14ac:dyDescent="0.25">
      <c r="B10" s="42">
        <v>44942</v>
      </c>
      <c r="C10" s="51">
        <f>MONTH(Заявки[[#This Row],[Дата]])</f>
        <v>1</v>
      </c>
      <c r="D10" s="51">
        <f>YEAR(Заявки[[#This Row],[Дата]])</f>
        <v>2023</v>
      </c>
      <c r="E10" s="32" t="str">
        <f>IF(Заявки[[#This Row],[Год]]="","Пустая","Доходы")</f>
        <v>Доходы</v>
      </c>
      <c r="F10" s="30" t="s">
        <v>91</v>
      </c>
      <c r="G10" s="32" t="str">
        <f>VLOOKUP(Заявки[[#This Row],[Заказчик]],Контрагенты!B:E,4,FALSE)</f>
        <v>Наличными</v>
      </c>
      <c r="H10" s="30" t="str">
        <f>VLOOKUP(Заявки[[#This Row],[Заказчик]],Контрагенты!B:D,2,FALSE)</f>
        <v>Почитанка</v>
      </c>
      <c r="I10" s="30" t="str">
        <f>VLOOKUP(Заявки[[#This Row],[Заказчик]],Контрагенты!B:D,3,FALSE)</f>
        <v>Ижморка</v>
      </c>
      <c r="J10" s="30" t="s">
        <v>9</v>
      </c>
      <c r="K10" s="30" t="str">
        <f>VLOOKUP(J10,Прайс!$B$2:$F$81,2,FALSE)</f>
        <v>Хлеб</v>
      </c>
      <c r="L10" s="1">
        <v>2</v>
      </c>
      <c r="M10" s="31">
        <f>VLOOKUP(J10,Прайс!$B$2:$F$81,5,0)</f>
        <v>26</v>
      </c>
      <c r="N10" s="31">
        <f t="shared" ref="N10:N17" si="1">L10*M10</f>
        <v>52</v>
      </c>
      <c r="O10"/>
    </row>
    <row r="11" spans="2:15" x14ac:dyDescent="0.25">
      <c r="B11" s="42">
        <v>44943</v>
      </c>
      <c r="C11" s="51">
        <f>MONTH(Заявки[[#This Row],[Дата]])</f>
        <v>1</v>
      </c>
      <c r="D11" s="51">
        <f>YEAR(Заявки[[#This Row],[Дата]])</f>
        <v>2023</v>
      </c>
      <c r="E11" s="32" t="str">
        <f>IF(Заявки[[#This Row],[Год]]="","Пустая","Доходы")</f>
        <v>Доходы</v>
      </c>
      <c r="F11" s="30" t="s">
        <v>90</v>
      </c>
      <c r="G11" s="32" t="str">
        <f>VLOOKUP(Заявки[[#This Row],[Заказчик]],Контрагенты!B:E,4,FALSE)</f>
        <v>Наличными</v>
      </c>
      <c r="H11" s="30" t="str">
        <f>VLOOKUP(Заявки[[#This Row],[Заказчик]],Контрагенты!B:D,2,FALSE)</f>
        <v>Колыон</v>
      </c>
      <c r="I11" s="30" t="str">
        <f>VLOOKUP(Заявки[[#This Row],[Заказчик]],Контрагенты!B:D,3,FALSE)</f>
        <v>Колыон</v>
      </c>
      <c r="J11" s="30" t="s">
        <v>8</v>
      </c>
      <c r="K11" s="30" t="str">
        <f>VLOOKUP(J11,Прайс!$B$2:$F$81,2,FALSE)</f>
        <v>Хлеб</v>
      </c>
      <c r="L11" s="1">
        <v>3</v>
      </c>
      <c r="M11" s="31">
        <f>VLOOKUP(J11,Прайс!$B$2:$F$81,5,0)</f>
        <v>23</v>
      </c>
      <c r="N11" s="31">
        <f t="shared" si="1"/>
        <v>69</v>
      </c>
      <c r="O11"/>
    </row>
    <row r="12" spans="2:15" x14ac:dyDescent="0.25">
      <c r="B12" s="42">
        <v>44943</v>
      </c>
      <c r="C12" s="51">
        <f>MONTH(Заявки[[#This Row],[Дата]])</f>
        <v>1</v>
      </c>
      <c r="D12" s="51">
        <f>YEAR(Заявки[[#This Row],[Дата]])</f>
        <v>2023</v>
      </c>
      <c r="E12" s="32" t="str">
        <f>IF(Заявки[[#This Row],[Год]]="","Пустая","Доходы")</f>
        <v>Доходы</v>
      </c>
      <c r="F12" s="30" t="s">
        <v>93</v>
      </c>
      <c r="G12" s="32" t="str">
        <f>VLOOKUP(Заявки[[#This Row],[Заказчик]],Контрагенты!B:E,4,FALSE)</f>
        <v>Наличными</v>
      </c>
      <c r="H12" s="30" t="str">
        <f>VLOOKUP(Заявки[[#This Row],[Заказчик]],Контрагенты!B:D,2,FALSE)</f>
        <v>Ижморка</v>
      </c>
      <c r="I12" s="30" t="str">
        <f>VLOOKUP(Заявки[[#This Row],[Заказчик]],Контрагенты!B:D,3,FALSE)</f>
        <v>Ижморка</v>
      </c>
      <c r="J12" s="30" t="s">
        <v>14</v>
      </c>
      <c r="K12" s="30" t="str">
        <f>VLOOKUP(J12,Прайс!$B$2:$F$81,2,FALSE)</f>
        <v>Хлеб</v>
      </c>
      <c r="L12" s="1">
        <v>5</v>
      </c>
      <c r="M12" s="31">
        <f>VLOOKUP(J12,Прайс!$B$2:$F$81,5,0)</f>
        <v>19</v>
      </c>
      <c r="N12" s="31">
        <f t="shared" si="1"/>
        <v>95</v>
      </c>
      <c r="O12"/>
    </row>
    <row r="13" spans="2:15" x14ac:dyDescent="0.25">
      <c r="B13" s="42">
        <v>44943</v>
      </c>
      <c r="C13" s="51">
        <f>MONTH(Заявки[[#This Row],[Дата]])</f>
        <v>1</v>
      </c>
      <c r="D13" s="51">
        <f>YEAR(Заявки[[#This Row],[Дата]])</f>
        <v>2023</v>
      </c>
      <c r="E13" s="32" t="str">
        <f>IF(Заявки[[#This Row],[Год]]="","Пустая","Доходы")</f>
        <v>Доходы</v>
      </c>
      <c r="F13" s="30" t="s">
        <v>91</v>
      </c>
      <c r="G13" s="32" t="str">
        <f>VLOOKUP(Заявки[[#This Row],[Заказчик]],Контрагенты!B:E,4,FALSE)</f>
        <v>Наличными</v>
      </c>
      <c r="H13" s="30" t="str">
        <f>VLOOKUP(Заявки[[#This Row],[Заказчик]],Контрагенты!B:D,2,FALSE)</f>
        <v>Почитанка</v>
      </c>
      <c r="I13" s="30" t="str">
        <f>VLOOKUP(Заявки[[#This Row],[Заказчик]],Контрагенты!B:D,3,FALSE)</f>
        <v>Ижморка</v>
      </c>
      <c r="J13" s="30" t="s">
        <v>9</v>
      </c>
      <c r="K13" s="30" t="str">
        <f>VLOOKUP(J13,Прайс!$B$2:$F$81,2,FALSE)</f>
        <v>Хлеб</v>
      </c>
      <c r="L13" s="1">
        <v>3</v>
      </c>
      <c r="M13" s="31">
        <f>VLOOKUP(J13,Прайс!$B$2:$F$81,5,0)</f>
        <v>26</v>
      </c>
      <c r="N13" s="31">
        <f t="shared" si="1"/>
        <v>78</v>
      </c>
      <c r="O13"/>
    </row>
    <row r="14" spans="2:15" x14ac:dyDescent="0.25">
      <c r="B14" s="42">
        <v>44943</v>
      </c>
      <c r="C14" s="51">
        <f>MONTH(Заявки[[#This Row],[Дата]])</f>
        <v>1</v>
      </c>
      <c r="D14" s="51">
        <f>YEAR(Заявки[[#This Row],[Дата]])</f>
        <v>2023</v>
      </c>
      <c r="E14" s="32" t="str">
        <f>IF(Заявки[[#This Row],[Год]]="","Пустая","Доходы")</f>
        <v>Доходы</v>
      </c>
      <c r="F14" s="30" t="s">
        <v>89</v>
      </c>
      <c r="G14" s="32" t="str">
        <f>VLOOKUP(Заявки[[#This Row],[Заказчик]],Контрагенты!B:E,4,FALSE)</f>
        <v>Наличными</v>
      </c>
      <c r="H14" s="30" t="str">
        <f>VLOOKUP(Заявки[[#This Row],[Заказчик]],Контрагенты!B:D,2,FALSE)</f>
        <v>Яя</v>
      </c>
      <c r="I14" s="30" t="str">
        <f>VLOOKUP(Заявки[[#This Row],[Заказчик]],Контрагенты!B:D,3,FALSE)</f>
        <v>Яя</v>
      </c>
      <c r="J14" s="30" t="s">
        <v>8</v>
      </c>
      <c r="K14" s="30" t="str">
        <f>VLOOKUP(J14,Прайс!$B$2:$F$81,2,FALSE)</f>
        <v>Хлеб</v>
      </c>
      <c r="L14" s="1">
        <v>5</v>
      </c>
      <c r="M14" s="31">
        <f>VLOOKUP(J14,Прайс!$B$2:$F$81,5,0)</f>
        <v>23</v>
      </c>
      <c r="N14" s="31">
        <f t="shared" si="1"/>
        <v>115</v>
      </c>
      <c r="O14"/>
    </row>
    <row r="15" spans="2:15" x14ac:dyDescent="0.25">
      <c r="B15" s="42">
        <v>44943</v>
      </c>
      <c r="C15" s="51">
        <f>MONTH(Заявки[[#This Row],[Дата]])</f>
        <v>1</v>
      </c>
      <c r="D15" s="51">
        <f>YEAR(Заявки[[#This Row],[Дата]])</f>
        <v>2023</v>
      </c>
      <c r="E15" s="32" t="str">
        <f>IF(Заявки[[#This Row],[Год]]="","Пустая","Доходы")</f>
        <v>Доходы</v>
      </c>
      <c r="F15" s="30" t="s">
        <v>93</v>
      </c>
      <c r="G15" s="32" t="str">
        <f>VLOOKUP(Заявки[[#This Row],[Заказчик]],Контрагенты!B:E,4,FALSE)</f>
        <v>Наличными</v>
      </c>
      <c r="H15" s="30" t="str">
        <f>VLOOKUP(Заявки[[#This Row],[Заказчик]],Контрагенты!B:D,2,FALSE)</f>
        <v>Ижморка</v>
      </c>
      <c r="I15" s="30" t="str">
        <f>VLOOKUP(Заявки[[#This Row],[Заказчик]],Контрагенты!B:D,3,FALSE)</f>
        <v>Ижморка</v>
      </c>
      <c r="J15" s="30" t="s">
        <v>14</v>
      </c>
      <c r="K15" s="30" t="str">
        <f>VLOOKUP(J15,Прайс!$B$2:$F$81,2,FALSE)</f>
        <v>Хлеб</v>
      </c>
      <c r="L15" s="1">
        <v>3</v>
      </c>
      <c r="M15" s="31">
        <f>VLOOKUP(J15,Прайс!$B$2:$F$81,5,0)</f>
        <v>19</v>
      </c>
      <c r="N15" s="31">
        <f t="shared" si="1"/>
        <v>57</v>
      </c>
      <c r="O15"/>
    </row>
    <row r="16" spans="2:15" x14ac:dyDescent="0.25">
      <c r="B16" s="42">
        <v>44943</v>
      </c>
      <c r="C16" s="51">
        <f>MONTH(Заявки[[#This Row],[Дата]])</f>
        <v>1</v>
      </c>
      <c r="D16" s="51">
        <f>YEAR(Заявки[[#This Row],[Дата]])</f>
        <v>2023</v>
      </c>
      <c r="E16" s="32" t="str">
        <f>IF(Заявки[[#This Row],[Год]]="","Пустая","Доходы")</f>
        <v>Доходы</v>
      </c>
      <c r="F16" s="30" t="s">
        <v>89</v>
      </c>
      <c r="G16" s="32" t="str">
        <f>VLOOKUP(Заявки[[#This Row],[Заказчик]],Контрагенты!B:E,4,FALSE)</f>
        <v>Наличными</v>
      </c>
      <c r="H16" s="30" t="str">
        <f>VLOOKUP(Заявки[[#This Row],[Заказчик]],Контрагенты!B:D,2,FALSE)</f>
        <v>Яя</v>
      </c>
      <c r="I16" s="30" t="str">
        <f>VLOOKUP(Заявки[[#This Row],[Заказчик]],Контрагенты!B:D,3,FALSE)</f>
        <v>Яя</v>
      </c>
      <c r="J16" s="30" t="s">
        <v>7</v>
      </c>
      <c r="K16" s="30" t="str">
        <f>VLOOKUP(J16,Прайс!$B$2:$F$81,2,FALSE)</f>
        <v>Хлеб</v>
      </c>
      <c r="L16" s="1">
        <v>2</v>
      </c>
      <c r="M16" s="31">
        <f>VLOOKUP(J16,Прайс!$B$2:$F$81,5,0)</f>
        <v>29</v>
      </c>
      <c r="N16" s="31">
        <f t="shared" si="1"/>
        <v>58</v>
      </c>
      <c r="O16"/>
    </row>
    <row r="17" spans="2:15" x14ac:dyDescent="0.25">
      <c r="B17" s="42">
        <v>44943</v>
      </c>
      <c r="C17" s="51">
        <f>MONTH(Заявки[[#This Row],[Дата]])</f>
        <v>1</v>
      </c>
      <c r="D17" s="51">
        <f>YEAR(Заявки[[#This Row],[Дата]])</f>
        <v>2023</v>
      </c>
      <c r="E17" s="32" t="str">
        <f>IF(Заявки[[#This Row],[Год]]="","Пустая","Доходы")</f>
        <v>Доходы</v>
      </c>
      <c r="F17" s="30" t="s">
        <v>91</v>
      </c>
      <c r="G17" s="32" t="str">
        <f>VLOOKUP(Заявки[[#This Row],[Заказчик]],Контрагенты!B:E,4,FALSE)</f>
        <v>Наличными</v>
      </c>
      <c r="H17" s="30" t="str">
        <f>VLOOKUP(Заявки[[#This Row],[Заказчик]],Контрагенты!B:D,2,FALSE)</f>
        <v>Почитанка</v>
      </c>
      <c r="I17" s="30" t="str">
        <f>VLOOKUP(Заявки[[#This Row],[Заказчик]],Контрагенты!B:D,3,FALSE)</f>
        <v>Ижморка</v>
      </c>
      <c r="J17" s="30" t="s">
        <v>4</v>
      </c>
      <c r="K17" s="30" t="str">
        <f>VLOOKUP(J17,Прайс!$B$2:$F$81,2,FALSE)</f>
        <v>Хлеб</v>
      </c>
      <c r="L17" s="1">
        <v>1</v>
      </c>
      <c r="M17" s="31">
        <f>VLOOKUP(J17,Прайс!$B$2:$F$81,5,0)</f>
        <v>27</v>
      </c>
      <c r="N17" s="31">
        <f t="shared" si="1"/>
        <v>27</v>
      </c>
      <c r="O17"/>
    </row>
    <row r="18" spans="2:15" x14ac:dyDescent="0.25">
      <c r="B18" s="42">
        <v>44943</v>
      </c>
      <c r="C18" s="51">
        <f>MONTH(Заявки[[#This Row],[Дата]])</f>
        <v>1</v>
      </c>
      <c r="D18" s="51">
        <f>YEAR(Заявки[[#This Row],[Дата]])</f>
        <v>2023</v>
      </c>
      <c r="E18" s="32" t="str">
        <f>IF(Заявки[[#This Row],[Год]]="","Пустая","Доходы")</f>
        <v>Доходы</v>
      </c>
      <c r="F18" s="32" t="s">
        <v>89</v>
      </c>
      <c r="G18" s="32" t="str">
        <f>VLOOKUP(Заявки[[#This Row],[Заказчик]],Контрагенты!B:E,4,FALSE)</f>
        <v>Наличными</v>
      </c>
      <c r="H18" s="30" t="str">
        <f>VLOOKUP(Заявки[[#This Row],[Заказчик]],Контрагенты!B:D,2,FALSE)</f>
        <v>Яя</v>
      </c>
      <c r="I18" s="30" t="str">
        <f>VLOOKUP(Заявки[[#This Row],[Заказчик]],Контрагенты!B:D,3,FALSE)</f>
        <v>Яя</v>
      </c>
      <c r="J18" s="30" t="s">
        <v>7</v>
      </c>
      <c r="K18" s="30" t="str">
        <f>VLOOKUP(J18,Прайс!$B$2:$F$81,2,FALSE)</f>
        <v>Хлеб</v>
      </c>
      <c r="L18" s="1">
        <v>2</v>
      </c>
      <c r="M18" s="31">
        <f>VLOOKUP(J18,Прайс!$B$2:$F$81,5,0)</f>
        <v>29</v>
      </c>
      <c r="N18" s="31">
        <f>L18*M18</f>
        <v>58</v>
      </c>
      <c r="O18"/>
    </row>
    <row r="19" spans="2:15" x14ac:dyDescent="0.25">
      <c r="B19" s="42">
        <v>44943</v>
      </c>
      <c r="C19" s="51">
        <f>MONTH(Заявки[[#This Row],[Дата]])</f>
        <v>1</v>
      </c>
      <c r="D19" s="51">
        <f>YEAR(Заявки[[#This Row],[Дата]])</f>
        <v>2023</v>
      </c>
      <c r="E19" s="32" t="str">
        <f>IF(Заявки[[#This Row],[Год]]="","Пустая","Доходы")</f>
        <v>Доходы</v>
      </c>
      <c r="F19" s="32" t="s">
        <v>108</v>
      </c>
      <c r="G19" s="32" t="str">
        <f>VLOOKUP(Заявки[[#This Row],[Заказчик]],Контрагенты!B:E,4,FALSE)</f>
        <v>Безналичная</v>
      </c>
      <c r="H19" s="30" t="str">
        <f>VLOOKUP(Заявки[[#This Row],[Заказчик]],Контрагенты!B:D,2,FALSE)</f>
        <v>Яя</v>
      </c>
      <c r="I19" s="30" t="str">
        <f>VLOOKUP(Заявки[[#This Row],[Заказчик]],Контрагенты!B:D,3,FALSE)</f>
        <v>Школы и сады</v>
      </c>
      <c r="J19" s="30" t="s">
        <v>14</v>
      </c>
      <c r="K19" s="30" t="str">
        <f>VLOOKUP(J19,Прайс!$B$2:$F$81,2,FALSE)</f>
        <v>Хлеб</v>
      </c>
      <c r="L19" s="1">
        <v>5</v>
      </c>
      <c r="M19" s="31">
        <f>VLOOKUP(J19,Прайс!$B$2:$F$81,5,0)</f>
        <v>19</v>
      </c>
      <c r="N19" s="31">
        <f>L19*M19</f>
        <v>95</v>
      </c>
      <c r="O19"/>
    </row>
    <row r="20" spans="2:15" x14ac:dyDescent="0.25">
      <c r="B20" s="42">
        <v>44943</v>
      </c>
      <c r="C20" s="51">
        <f>MONTH(Заявки[[#This Row],[Дата]])</f>
        <v>1</v>
      </c>
      <c r="D20" s="51">
        <f>YEAR(Заявки[[#This Row],[Дата]])</f>
        <v>2023</v>
      </c>
      <c r="E20" s="32" t="str">
        <f>IF(Заявки[[#This Row],[Год]]="","Пустая","Доходы")</f>
        <v>Доходы</v>
      </c>
      <c r="F20" s="32" t="s">
        <v>108</v>
      </c>
      <c r="G20" s="32" t="str">
        <f>VLOOKUP(Заявки[[#This Row],[Заказчик]],Контрагенты!B:E,4,FALSE)</f>
        <v>Безналичная</v>
      </c>
      <c r="H20" s="30" t="str">
        <f>VLOOKUP(Заявки[[#This Row],[Заказчик]],Контрагенты!B:D,2,FALSE)</f>
        <v>Яя</v>
      </c>
      <c r="I20" s="30" t="str">
        <f>VLOOKUP(Заявки[[#This Row],[Заказчик]],Контрагенты!B:D,3,FALSE)</f>
        <v>Школы и сады</v>
      </c>
      <c r="J20" s="30" t="s">
        <v>7</v>
      </c>
      <c r="K20" s="30" t="str">
        <f>VLOOKUP(J20,Прайс!$B$2:$F$81,2,FALSE)</f>
        <v>Хлеб</v>
      </c>
      <c r="L20" s="1">
        <v>10</v>
      </c>
      <c r="M20" s="31">
        <f>VLOOKUP(J20,Прайс!$B$2:$F$81,5,0)</f>
        <v>29</v>
      </c>
      <c r="N20" s="31">
        <f t="shared" ref="N20:N22" si="2">L20*M20</f>
        <v>290</v>
      </c>
      <c r="O20"/>
    </row>
    <row r="21" spans="2:15" x14ac:dyDescent="0.25">
      <c r="B21" s="42">
        <v>44943</v>
      </c>
      <c r="C21" s="51">
        <f>MONTH(Заявки[[#This Row],[Дата]])</f>
        <v>1</v>
      </c>
      <c r="D21" s="51">
        <f>YEAR(Заявки[[#This Row],[Дата]])</f>
        <v>2023</v>
      </c>
      <c r="E21" s="32" t="str">
        <f>IF(Заявки[[#This Row],[Год]]="","Пустая","Доходы")</f>
        <v>Доходы</v>
      </c>
      <c r="F21" s="32" t="s">
        <v>108</v>
      </c>
      <c r="G21" s="32" t="str">
        <f>VLOOKUP(Заявки[[#This Row],[Заказчик]],Контрагенты!B:E,4,FALSE)</f>
        <v>Безналичная</v>
      </c>
      <c r="H21" s="30" t="str">
        <f>VLOOKUP(Заявки[[#This Row],[Заказчик]],Контрагенты!B:D,2,FALSE)</f>
        <v>Яя</v>
      </c>
      <c r="I21" s="30" t="str">
        <f>VLOOKUP(Заявки[[#This Row],[Заказчик]],Контрагенты!B:D,3,FALSE)</f>
        <v>Школы и сады</v>
      </c>
      <c r="J21" s="30" t="s">
        <v>4</v>
      </c>
      <c r="K21" s="30" t="str">
        <f>VLOOKUP(J21,Прайс!$B$2:$F$81,2,FALSE)</f>
        <v>Хлеб</v>
      </c>
      <c r="L21" s="1">
        <v>11</v>
      </c>
      <c r="M21" s="31">
        <f>VLOOKUP(J21,Прайс!$B$2:$F$81,5,0)</f>
        <v>27</v>
      </c>
      <c r="N21" s="31">
        <f t="shared" si="2"/>
        <v>297</v>
      </c>
      <c r="O21"/>
    </row>
    <row r="22" spans="2:15" x14ac:dyDescent="0.25">
      <c r="B22" s="42">
        <v>44943</v>
      </c>
      <c r="C22" s="51">
        <f>MONTH(Заявки[[#This Row],[Дата]])</f>
        <v>1</v>
      </c>
      <c r="D22" s="51">
        <f>YEAR(Заявки[[#This Row],[Дата]])</f>
        <v>2023</v>
      </c>
      <c r="E22" s="32" t="str">
        <f>IF(Заявки[[#This Row],[Год]]="","Пустая","Доходы")</f>
        <v>Доходы</v>
      </c>
      <c r="F22" s="32" t="s">
        <v>108</v>
      </c>
      <c r="G22" s="32" t="str">
        <f>VLOOKUP(Заявки[[#This Row],[Заказчик]],Контрагенты!B:E,4,FALSE)</f>
        <v>Безналичная</v>
      </c>
      <c r="H22" s="30" t="str">
        <f>VLOOKUP(Заявки[[#This Row],[Заказчик]],Контрагенты!B:D,2,FALSE)</f>
        <v>Яя</v>
      </c>
      <c r="I22" s="30" t="str">
        <f>VLOOKUP(Заявки[[#This Row],[Заказчик]],Контрагенты!B:D,3,FALSE)</f>
        <v>Школы и сады</v>
      </c>
      <c r="J22" s="30" t="s">
        <v>7</v>
      </c>
      <c r="K22" s="30" t="str">
        <f>VLOOKUP(J22,Прайс!$B$2:$F$81,2,FALSE)</f>
        <v>Хлеб</v>
      </c>
      <c r="L22" s="1">
        <v>12</v>
      </c>
      <c r="M22" s="31">
        <f>VLOOKUP(J22,Прайс!$B$2:$F$81,5,0)</f>
        <v>29</v>
      </c>
      <c r="N22" s="31">
        <f t="shared" si="2"/>
        <v>348</v>
      </c>
      <c r="O22"/>
    </row>
    <row r="23" spans="2:15" x14ac:dyDescent="0.25">
      <c r="B23" s="42">
        <v>44944</v>
      </c>
      <c r="C23" s="51">
        <f>MONTH(Заявки[[#This Row],[Дата]])</f>
        <v>1</v>
      </c>
      <c r="D23" s="51">
        <f>YEAR(Заявки[[#This Row],[Дата]])</f>
        <v>2023</v>
      </c>
      <c r="E23" s="32" t="str">
        <f>IF(Заявки[[#This Row],[Год]]="","Пустая","Доходы")</f>
        <v>Доходы</v>
      </c>
      <c r="F23" s="30" t="s">
        <v>93</v>
      </c>
      <c r="G23" s="32" t="str">
        <f>VLOOKUP(Заявки[[#This Row],[Заказчик]],Контрагенты!B:E,4,FALSE)</f>
        <v>Наличными</v>
      </c>
      <c r="H23" s="30" t="str">
        <f>VLOOKUP(Заявки[[#This Row],[Заказчик]],Контрагенты!B:D,2,FALSE)</f>
        <v>Ижморка</v>
      </c>
      <c r="I23" s="30" t="str">
        <f>VLOOKUP(Заявки[[#This Row],[Заказчик]],Контрагенты!B:D,3,FALSE)</f>
        <v>Ижморка</v>
      </c>
      <c r="J23" s="30" t="s">
        <v>14</v>
      </c>
      <c r="K23" s="30" t="str">
        <f>VLOOKUP(J23,Прайс!$B$2:$F$81,2,FALSE)</f>
        <v>Хлеб</v>
      </c>
      <c r="L23" s="1">
        <v>5</v>
      </c>
      <c r="M23" s="31">
        <f>VLOOKUP(J23,Прайс!$B$2:$F$81,5,0)</f>
        <v>19</v>
      </c>
      <c r="N23" s="31">
        <f t="shared" ref="N23:N33" si="3">L23*M23</f>
        <v>95</v>
      </c>
      <c r="O23"/>
    </row>
    <row r="24" spans="2:15" x14ac:dyDescent="0.25">
      <c r="B24" s="42">
        <v>44944</v>
      </c>
      <c r="C24" s="51">
        <f>MONTH(Заявки[[#This Row],[Дата]])</f>
        <v>1</v>
      </c>
      <c r="D24" s="51">
        <f>YEAR(Заявки[[#This Row],[Дата]])</f>
        <v>2023</v>
      </c>
      <c r="E24" s="32" t="str">
        <f>IF(Заявки[[#This Row],[Год]]="","Пустая","Доходы")</f>
        <v>Доходы</v>
      </c>
      <c r="F24" s="30" t="s">
        <v>91</v>
      </c>
      <c r="G24" s="32" t="str">
        <f>VLOOKUP(Заявки[[#This Row],[Заказчик]],Контрагенты!B:E,4,FALSE)</f>
        <v>Наличными</v>
      </c>
      <c r="H24" s="30" t="str">
        <f>VLOOKUP(Заявки[[#This Row],[Заказчик]],Контрагенты!B:D,2,FALSE)</f>
        <v>Почитанка</v>
      </c>
      <c r="I24" s="30" t="str">
        <f>VLOOKUP(Заявки[[#This Row],[Заказчик]],Контрагенты!B:D,3,FALSE)</f>
        <v>Ижморка</v>
      </c>
      <c r="J24" s="30" t="s">
        <v>9</v>
      </c>
      <c r="K24" s="30" t="str">
        <f>VLOOKUP(J24,Прайс!$B$2:$F$81,2,FALSE)</f>
        <v>Хлеб</v>
      </c>
      <c r="L24" s="1">
        <v>3</v>
      </c>
      <c r="M24" s="31">
        <f>VLOOKUP(J24,Прайс!$B$2:$F$81,5,0)</f>
        <v>26</v>
      </c>
      <c r="N24" s="31">
        <f t="shared" si="3"/>
        <v>78</v>
      </c>
      <c r="O24"/>
    </row>
    <row r="25" spans="2:15" x14ac:dyDescent="0.25">
      <c r="B25" s="42">
        <v>44944</v>
      </c>
      <c r="C25" s="51">
        <f>MONTH(Заявки[[#This Row],[Дата]])</f>
        <v>1</v>
      </c>
      <c r="D25" s="51">
        <f>YEAR(Заявки[[#This Row],[Дата]])</f>
        <v>2023</v>
      </c>
      <c r="E25" s="32" t="str">
        <f>IF(Заявки[[#This Row],[Год]]="","Пустая","Доходы")</f>
        <v>Доходы</v>
      </c>
      <c r="F25" s="30" t="s">
        <v>89</v>
      </c>
      <c r="G25" s="32" t="str">
        <f>VLOOKUP(Заявки[[#This Row],[Заказчик]],Контрагенты!B:E,4,FALSE)</f>
        <v>Наличными</v>
      </c>
      <c r="H25" s="30" t="str">
        <f>VLOOKUP(Заявки[[#This Row],[Заказчик]],Контрагенты!B:D,2,FALSE)</f>
        <v>Яя</v>
      </c>
      <c r="I25" s="30" t="str">
        <f>VLOOKUP(Заявки[[#This Row],[Заказчик]],Контрагенты!B:D,3,FALSE)</f>
        <v>Яя</v>
      </c>
      <c r="J25" s="30" t="s">
        <v>8</v>
      </c>
      <c r="K25" s="30" t="str">
        <f>VLOOKUP(J25,Прайс!$B$2:$F$81,2,FALSE)</f>
        <v>Хлеб</v>
      </c>
      <c r="L25" s="1">
        <v>5</v>
      </c>
      <c r="M25" s="31">
        <f>VLOOKUP(J25,Прайс!$B$2:$F$81,5,0)</f>
        <v>23</v>
      </c>
      <c r="N25" s="31">
        <f t="shared" si="3"/>
        <v>115</v>
      </c>
      <c r="O25"/>
    </row>
    <row r="26" spans="2:15" x14ac:dyDescent="0.25">
      <c r="B26" s="42">
        <v>44944</v>
      </c>
      <c r="C26" s="51">
        <f>MONTH(Заявки[[#This Row],[Дата]])</f>
        <v>1</v>
      </c>
      <c r="D26" s="51">
        <f>YEAR(Заявки[[#This Row],[Дата]])</f>
        <v>2023</v>
      </c>
      <c r="E26" s="32" t="str">
        <f>IF(Заявки[[#This Row],[Год]]="","Пустая","Доходы")</f>
        <v>Доходы</v>
      </c>
      <c r="F26" s="30" t="s">
        <v>93</v>
      </c>
      <c r="G26" s="32" t="str">
        <f>VLOOKUP(Заявки[[#This Row],[Заказчик]],Контрагенты!B:E,4,FALSE)</f>
        <v>Наличными</v>
      </c>
      <c r="H26" s="30" t="str">
        <f>VLOOKUP(Заявки[[#This Row],[Заказчик]],Контрагенты!B:D,2,FALSE)</f>
        <v>Ижморка</v>
      </c>
      <c r="I26" s="30" t="str">
        <f>VLOOKUP(Заявки[[#This Row],[Заказчик]],Контрагенты!B:D,3,FALSE)</f>
        <v>Ижморка</v>
      </c>
      <c r="J26" s="30" t="s">
        <v>14</v>
      </c>
      <c r="K26" s="30" t="str">
        <f>VLOOKUP(J26,Прайс!$B$2:$F$81,2,FALSE)</f>
        <v>Хлеб</v>
      </c>
      <c r="L26" s="1">
        <v>3</v>
      </c>
      <c r="M26" s="31">
        <f>VLOOKUP(J26,Прайс!$B$2:$F$81,5,0)</f>
        <v>19</v>
      </c>
      <c r="N26" s="31">
        <f t="shared" si="3"/>
        <v>57</v>
      </c>
      <c r="O26"/>
    </row>
    <row r="27" spans="2:15" x14ac:dyDescent="0.25">
      <c r="B27" s="42">
        <v>44944</v>
      </c>
      <c r="C27" s="51">
        <f>MONTH(Заявки[[#This Row],[Дата]])</f>
        <v>1</v>
      </c>
      <c r="D27" s="51">
        <f>YEAR(Заявки[[#This Row],[Дата]])</f>
        <v>2023</v>
      </c>
      <c r="E27" s="32" t="str">
        <f>IF(Заявки[[#This Row],[Год]]="","Пустая","Доходы")</f>
        <v>Доходы</v>
      </c>
      <c r="F27" s="30" t="s">
        <v>89</v>
      </c>
      <c r="G27" s="32" t="str">
        <f>VLOOKUP(Заявки[[#This Row],[Заказчик]],Контрагенты!B:E,4,FALSE)</f>
        <v>Наличными</v>
      </c>
      <c r="H27" s="30" t="str">
        <f>VLOOKUP(Заявки[[#This Row],[Заказчик]],Контрагенты!B:D,2,FALSE)</f>
        <v>Яя</v>
      </c>
      <c r="I27" s="30" t="str">
        <f>VLOOKUP(Заявки[[#This Row],[Заказчик]],Контрагенты!B:D,3,FALSE)</f>
        <v>Яя</v>
      </c>
      <c r="J27" s="30" t="s">
        <v>7</v>
      </c>
      <c r="K27" s="30" t="str">
        <f>VLOOKUP(J27,Прайс!$B$2:$F$81,2,FALSE)</f>
        <v>Хлеб</v>
      </c>
      <c r="L27" s="1">
        <v>2</v>
      </c>
      <c r="M27" s="31">
        <f>VLOOKUP(J27,Прайс!$B$2:$F$81,5,0)</f>
        <v>29</v>
      </c>
      <c r="N27" s="31">
        <f t="shared" si="3"/>
        <v>58</v>
      </c>
      <c r="O27"/>
    </row>
    <row r="28" spans="2:15" x14ac:dyDescent="0.25">
      <c r="B28" s="42">
        <v>44944</v>
      </c>
      <c r="C28" s="51">
        <f>MONTH(Заявки[[#This Row],[Дата]])</f>
        <v>1</v>
      </c>
      <c r="D28" s="51">
        <f>YEAR(Заявки[[#This Row],[Дата]])</f>
        <v>2023</v>
      </c>
      <c r="E28" s="32" t="str">
        <f>IF(Заявки[[#This Row],[Год]]="","Пустая","Доходы")</f>
        <v>Доходы</v>
      </c>
      <c r="F28" s="30" t="s">
        <v>91</v>
      </c>
      <c r="G28" s="32" t="str">
        <f>VLOOKUP(Заявки[[#This Row],[Заказчик]],Контрагенты!B:E,4,FALSE)</f>
        <v>Наличными</v>
      </c>
      <c r="H28" s="30" t="str">
        <f>VLOOKUP(Заявки[[#This Row],[Заказчик]],Контрагенты!B:D,2,FALSE)</f>
        <v>Почитанка</v>
      </c>
      <c r="I28" s="30" t="str">
        <f>VLOOKUP(Заявки[[#This Row],[Заказчик]],Контрагенты!B:D,3,FALSE)</f>
        <v>Ижморка</v>
      </c>
      <c r="J28" s="30" t="s">
        <v>4</v>
      </c>
      <c r="K28" s="30" t="str">
        <f>VLOOKUP(J28,Прайс!$B$2:$F$81,2,FALSE)</f>
        <v>Хлеб</v>
      </c>
      <c r="L28" s="1">
        <v>1</v>
      </c>
      <c r="M28" s="31">
        <f>VLOOKUP(J28,Прайс!$B$2:$F$81,5,0)</f>
        <v>27</v>
      </c>
      <c r="N28" s="31">
        <f t="shared" si="3"/>
        <v>27</v>
      </c>
      <c r="O28"/>
    </row>
    <row r="29" spans="2:15" x14ac:dyDescent="0.25">
      <c r="B29" s="42">
        <v>44944</v>
      </c>
      <c r="C29" s="51">
        <f>MONTH(Заявки[[#This Row],[Дата]])</f>
        <v>1</v>
      </c>
      <c r="D29" s="51">
        <f>YEAR(Заявки[[#This Row],[Дата]])</f>
        <v>2023</v>
      </c>
      <c r="E29" s="32" t="str">
        <f>IF(Заявки[[#This Row],[Год]]="","Пустая","Доходы")</f>
        <v>Доходы</v>
      </c>
      <c r="F29" s="32" t="s">
        <v>89</v>
      </c>
      <c r="G29" s="32" t="str">
        <f>VLOOKUP(Заявки[[#This Row],[Заказчик]],Контрагенты!B:E,4,FALSE)</f>
        <v>Наличными</v>
      </c>
      <c r="H29" s="30" t="str">
        <f>VLOOKUP(Заявки[[#This Row],[Заказчик]],Контрагенты!B:D,2,FALSE)</f>
        <v>Яя</v>
      </c>
      <c r="I29" s="30" t="str">
        <f>VLOOKUP(Заявки[[#This Row],[Заказчик]],Контрагенты!B:D,3,FALSE)</f>
        <v>Яя</v>
      </c>
      <c r="J29" s="30" t="s">
        <v>7</v>
      </c>
      <c r="K29" s="30" t="str">
        <f>VLOOKUP(J29,Прайс!$B$2:$F$81,2,FALSE)</f>
        <v>Хлеб</v>
      </c>
      <c r="L29" s="1">
        <v>2</v>
      </c>
      <c r="M29" s="31">
        <f>VLOOKUP(J29,Прайс!$B$2:$F$81,5,0)</f>
        <v>29</v>
      </c>
      <c r="N29" s="31">
        <f t="shared" si="3"/>
        <v>58</v>
      </c>
      <c r="O29"/>
    </row>
    <row r="30" spans="2:15" x14ac:dyDescent="0.25">
      <c r="B30" s="42">
        <v>44944</v>
      </c>
      <c r="C30" s="51">
        <f>MONTH(Заявки[[#This Row],[Дата]])</f>
        <v>1</v>
      </c>
      <c r="D30" s="51">
        <f>YEAR(Заявки[[#This Row],[Дата]])</f>
        <v>2023</v>
      </c>
      <c r="E30" s="32" t="str">
        <f>IF(Заявки[[#This Row],[Год]]="","Пустая","Доходы")</f>
        <v>Доходы</v>
      </c>
      <c r="F30" s="32" t="s">
        <v>108</v>
      </c>
      <c r="G30" s="32" t="str">
        <f>VLOOKUP(Заявки[[#This Row],[Заказчик]],Контрагенты!B:E,4,FALSE)</f>
        <v>Безналичная</v>
      </c>
      <c r="H30" s="30" t="str">
        <f>VLOOKUP(Заявки[[#This Row],[Заказчик]],Контрагенты!B:D,2,FALSE)</f>
        <v>Яя</v>
      </c>
      <c r="I30" s="30" t="str">
        <f>VLOOKUP(Заявки[[#This Row],[Заказчик]],Контрагенты!B:D,3,FALSE)</f>
        <v>Школы и сады</v>
      </c>
      <c r="J30" s="30" t="s">
        <v>14</v>
      </c>
      <c r="K30" s="30" t="str">
        <f>VLOOKUP(J30,Прайс!$B$2:$F$81,2,FALSE)</f>
        <v>Хлеб</v>
      </c>
      <c r="L30" s="1">
        <v>5</v>
      </c>
      <c r="M30" s="31">
        <f>VLOOKUP(J30,Прайс!$B$2:$F$81,5,0)</f>
        <v>19</v>
      </c>
      <c r="N30" s="31">
        <f t="shared" si="3"/>
        <v>95</v>
      </c>
      <c r="O30"/>
    </row>
    <row r="31" spans="2:15" x14ac:dyDescent="0.25">
      <c r="B31" s="42">
        <v>44944</v>
      </c>
      <c r="C31" s="51">
        <f>MONTH(Заявки[[#This Row],[Дата]])</f>
        <v>1</v>
      </c>
      <c r="D31" s="51">
        <f>YEAR(Заявки[[#This Row],[Дата]])</f>
        <v>2023</v>
      </c>
      <c r="E31" s="32" t="str">
        <f>IF(Заявки[[#This Row],[Год]]="","Пустая","Доходы")</f>
        <v>Доходы</v>
      </c>
      <c r="F31" s="32" t="s">
        <v>108</v>
      </c>
      <c r="G31" s="32" t="str">
        <f>VLOOKUP(Заявки[[#This Row],[Заказчик]],Контрагенты!B:E,4,FALSE)</f>
        <v>Безналичная</v>
      </c>
      <c r="H31" s="30" t="str">
        <f>VLOOKUP(Заявки[[#This Row],[Заказчик]],Контрагенты!B:D,2,FALSE)</f>
        <v>Яя</v>
      </c>
      <c r="I31" s="30" t="str">
        <f>VLOOKUP(Заявки[[#This Row],[Заказчик]],Контрагенты!B:D,3,FALSE)</f>
        <v>Школы и сады</v>
      </c>
      <c r="J31" s="30" t="s">
        <v>7</v>
      </c>
      <c r="K31" s="30" t="str">
        <f>VLOOKUP(J31,Прайс!$B$2:$F$81,2,FALSE)</f>
        <v>Хлеб</v>
      </c>
      <c r="L31" s="1">
        <v>10</v>
      </c>
      <c r="M31" s="31">
        <f>VLOOKUP(J31,Прайс!$B$2:$F$81,5,0)</f>
        <v>29</v>
      </c>
      <c r="N31" s="31">
        <f t="shared" si="3"/>
        <v>290</v>
      </c>
      <c r="O31"/>
    </row>
    <row r="32" spans="2:15" x14ac:dyDescent="0.25">
      <c r="B32" s="42">
        <v>44944</v>
      </c>
      <c r="C32" s="51">
        <f>MONTH(Заявки[[#This Row],[Дата]])</f>
        <v>1</v>
      </c>
      <c r="D32" s="51">
        <f>YEAR(Заявки[[#This Row],[Дата]])</f>
        <v>2023</v>
      </c>
      <c r="E32" s="32" t="str">
        <f>IF(Заявки[[#This Row],[Год]]="","Пустая","Доходы")</f>
        <v>Доходы</v>
      </c>
      <c r="F32" s="32" t="s">
        <v>108</v>
      </c>
      <c r="G32" s="32" t="str">
        <f>VLOOKUP(Заявки[[#This Row],[Заказчик]],Контрагенты!B:E,4,FALSE)</f>
        <v>Безналичная</v>
      </c>
      <c r="H32" s="30" t="str">
        <f>VLOOKUP(Заявки[[#This Row],[Заказчик]],Контрагенты!B:D,2,FALSE)</f>
        <v>Яя</v>
      </c>
      <c r="I32" s="30" t="str">
        <f>VLOOKUP(Заявки[[#This Row],[Заказчик]],Контрагенты!B:D,3,FALSE)</f>
        <v>Школы и сады</v>
      </c>
      <c r="J32" s="30" t="s">
        <v>4</v>
      </c>
      <c r="K32" s="30" t="str">
        <f>VLOOKUP(J32,Прайс!$B$2:$F$81,2,FALSE)</f>
        <v>Хлеб</v>
      </c>
      <c r="L32" s="1">
        <v>11</v>
      </c>
      <c r="M32" s="31">
        <f>VLOOKUP(J32,Прайс!$B$2:$F$81,5,0)</f>
        <v>27</v>
      </c>
      <c r="N32" s="31">
        <f t="shared" si="3"/>
        <v>297</v>
      </c>
      <c r="O32"/>
    </row>
    <row r="33" spans="2:15" x14ac:dyDescent="0.25">
      <c r="B33" s="42">
        <v>44944</v>
      </c>
      <c r="C33" s="51">
        <f>MONTH(Заявки[[#This Row],[Дата]])</f>
        <v>1</v>
      </c>
      <c r="D33" s="51">
        <f>YEAR(Заявки[[#This Row],[Дата]])</f>
        <v>2023</v>
      </c>
      <c r="E33" s="32" t="str">
        <f>IF(Заявки[[#This Row],[Год]]="","Пустая","Доходы")</f>
        <v>Доходы</v>
      </c>
      <c r="F33" s="32" t="s">
        <v>108</v>
      </c>
      <c r="G33" s="32" t="str">
        <f>VLOOKUP(Заявки[[#This Row],[Заказчик]],Контрагенты!B:E,4,FALSE)</f>
        <v>Безналичная</v>
      </c>
      <c r="H33" s="30" t="str">
        <f>VLOOKUP(Заявки[[#This Row],[Заказчик]],Контрагенты!B:D,2,FALSE)</f>
        <v>Яя</v>
      </c>
      <c r="I33" s="30" t="str">
        <f>VLOOKUP(Заявки[[#This Row],[Заказчик]],Контрагенты!B:D,3,FALSE)</f>
        <v>Школы и сады</v>
      </c>
      <c r="J33" s="30" t="s">
        <v>7</v>
      </c>
      <c r="K33" s="30" t="str">
        <f>VLOOKUP(J33,Прайс!$B$2:$F$81,2,FALSE)</f>
        <v>Хлеб</v>
      </c>
      <c r="L33" s="1">
        <v>12</v>
      </c>
      <c r="M33" s="31">
        <f>VLOOKUP(J33,Прайс!$B$2:$F$81,5,0)</f>
        <v>29</v>
      </c>
      <c r="N33" s="31">
        <f t="shared" si="3"/>
        <v>348</v>
      </c>
      <c r="O33"/>
    </row>
    <row r="34" spans="2:15" x14ac:dyDescent="0.25">
      <c r="B34" s="42">
        <v>44944</v>
      </c>
      <c r="C34" s="51">
        <f>MONTH(Заявки[[#This Row],[Дата]])</f>
        <v>1</v>
      </c>
      <c r="D34" s="51">
        <f>YEAR(Заявки[[#This Row],[Дата]])</f>
        <v>2023</v>
      </c>
      <c r="E34" s="32" t="str">
        <f>IF(Заявки[[#This Row],[Год]]="","Пустая","Доходы")</f>
        <v>Доходы</v>
      </c>
      <c r="F34" s="32" t="s">
        <v>108</v>
      </c>
      <c r="G34" s="32" t="str">
        <f>VLOOKUP(Заявки[[#This Row],[Заказчик]],Контрагенты!B:E,4,FALSE)</f>
        <v>Безналичная</v>
      </c>
      <c r="H34" s="30" t="str">
        <f>VLOOKUP(Заявки[[#This Row],[Заказчик]],Контрагенты!B:D,2,FALSE)</f>
        <v>Яя</v>
      </c>
      <c r="I34" s="30" t="str">
        <f>VLOOKUP(Заявки[[#This Row],[Заказчик]],Контрагенты!B:D,3,FALSE)</f>
        <v>Школы и сады</v>
      </c>
      <c r="J34" s="30" t="s">
        <v>14</v>
      </c>
      <c r="K34" s="30" t="str">
        <f>VLOOKUP(J34,Прайс!$B$2:$F$81,2,FALSE)</f>
        <v>Хлеб</v>
      </c>
      <c r="L34" s="1">
        <v>5</v>
      </c>
      <c r="M34" s="31">
        <f>VLOOKUP(J34,Прайс!$B$2:$F$81,5,0)</f>
        <v>19</v>
      </c>
      <c r="N34" s="31">
        <f t="shared" ref="N34:N44" si="4">L34*M34</f>
        <v>95</v>
      </c>
      <c r="O34"/>
    </row>
    <row r="35" spans="2:15" x14ac:dyDescent="0.25">
      <c r="B35" s="42">
        <v>44944</v>
      </c>
      <c r="C35" s="51">
        <f>MONTH(Заявки[[#This Row],[Дата]])</f>
        <v>1</v>
      </c>
      <c r="D35" s="51">
        <f>YEAR(Заявки[[#This Row],[Дата]])</f>
        <v>2023</v>
      </c>
      <c r="E35" s="32" t="str">
        <f>IF(Заявки[[#This Row],[Год]]="","Пустая","Доходы")</f>
        <v>Доходы</v>
      </c>
      <c r="F35" s="32" t="s">
        <v>108</v>
      </c>
      <c r="G35" s="32" t="str">
        <f>VLOOKUP(Заявки[[#This Row],[Заказчик]],Контрагенты!B:E,4,FALSE)</f>
        <v>Безналичная</v>
      </c>
      <c r="H35" s="30" t="str">
        <f>VLOOKUP(Заявки[[#This Row],[Заказчик]],Контрагенты!B:D,2,FALSE)</f>
        <v>Яя</v>
      </c>
      <c r="I35" s="30" t="str">
        <f>VLOOKUP(Заявки[[#This Row],[Заказчик]],Контрагенты!B:D,3,FALSE)</f>
        <v>Школы и сады</v>
      </c>
      <c r="J35" s="30" t="s">
        <v>9</v>
      </c>
      <c r="K35" s="30" t="str">
        <f>VLOOKUP(J35,Прайс!$B$2:$F$81,2,FALSE)</f>
        <v>Хлеб</v>
      </c>
      <c r="L35" s="1">
        <v>3</v>
      </c>
      <c r="M35" s="31">
        <f>VLOOKUP(J35,Прайс!$B$2:$F$81,5,0)</f>
        <v>26</v>
      </c>
      <c r="N35" s="31">
        <f t="shared" si="4"/>
        <v>78</v>
      </c>
      <c r="O35"/>
    </row>
    <row r="36" spans="2:15" x14ac:dyDescent="0.25">
      <c r="B36" s="42">
        <v>44944</v>
      </c>
      <c r="C36" s="51">
        <f>MONTH(Заявки[[#This Row],[Дата]])</f>
        <v>1</v>
      </c>
      <c r="D36" s="51">
        <f>YEAR(Заявки[[#This Row],[Дата]])</f>
        <v>2023</v>
      </c>
      <c r="E36" s="32" t="str">
        <f>IF(Заявки[[#This Row],[Год]]="","Пустая","Доходы")</f>
        <v>Доходы</v>
      </c>
      <c r="F36" s="32" t="s">
        <v>108</v>
      </c>
      <c r="G36" s="32" t="str">
        <f>VLOOKUP(Заявки[[#This Row],[Заказчик]],Контрагенты!B:E,4,FALSE)</f>
        <v>Безналичная</v>
      </c>
      <c r="H36" s="30" t="str">
        <f>VLOOKUP(Заявки[[#This Row],[Заказчик]],Контрагенты!B:D,2,FALSE)</f>
        <v>Яя</v>
      </c>
      <c r="I36" s="30" t="str">
        <f>VLOOKUP(Заявки[[#This Row],[Заказчик]],Контрагенты!B:D,3,FALSE)</f>
        <v>Школы и сады</v>
      </c>
      <c r="J36" s="30" t="s">
        <v>8</v>
      </c>
      <c r="K36" s="30" t="str">
        <f>VLOOKUP(J36,Прайс!$B$2:$F$81,2,FALSE)</f>
        <v>Хлеб</v>
      </c>
      <c r="L36" s="1">
        <v>5</v>
      </c>
      <c r="M36" s="31">
        <f>VLOOKUP(J36,Прайс!$B$2:$F$81,5,0)</f>
        <v>23</v>
      </c>
      <c r="N36" s="31">
        <f t="shared" si="4"/>
        <v>115</v>
      </c>
      <c r="O36"/>
    </row>
    <row r="37" spans="2:15" x14ac:dyDescent="0.25">
      <c r="B37" s="42">
        <v>44944</v>
      </c>
      <c r="C37" s="51">
        <f>MONTH(Заявки[[#This Row],[Дата]])</f>
        <v>1</v>
      </c>
      <c r="D37" s="51">
        <f>YEAR(Заявки[[#This Row],[Дата]])</f>
        <v>2023</v>
      </c>
      <c r="E37" s="32" t="str">
        <f>IF(Заявки[[#This Row],[Год]]="","Пустая","Доходы")</f>
        <v>Доходы</v>
      </c>
      <c r="F37" s="32" t="s">
        <v>108</v>
      </c>
      <c r="G37" s="32" t="str">
        <f>VLOOKUP(Заявки[[#This Row],[Заказчик]],Контрагенты!B:E,4,FALSE)</f>
        <v>Безналичная</v>
      </c>
      <c r="H37" s="30" t="str">
        <f>VLOOKUP(Заявки[[#This Row],[Заказчик]],Контрагенты!B:D,2,FALSE)</f>
        <v>Яя</v>
      </c>
      <c r="I37" s="30" t="str">
        <f>VLOOKUP(Заявки[[#This Row],[Заказчик]],Контрагенты!B:D,3,FALSE)</f>
        <v>Школы и сады</v>
      </c>
      <c r="J37" s="30" t="s">
        <v>14</v>
      </c>
      <c r="K37" s="30" t="str">
        <f>VLOOKUP(J37,Прайс!$B$2:$F$81,2,FALSE)</f>
        <v>Хлеб</v>
      </c>
      <c r="L37" s="1">
        <v>3</v>
      </c>
      <c r="M37" s="31">
        <f>VLOOKUP(J37,Прайс!$B$2:$F$81,5,0)</f>
        <v>19</v>
      </c>
      <c r="N37" s="31">
        <f t="shared" si="4"/>
        <v>57</v>
      </c>
      <c r="O37"/>
    </row>
    <row r="38" spans="2:15" x14ac:dyDescent="0.25">
      <c r="B38" s="42">
        <v>44944</v>
      </c>
      <c r="C38" s="51">
        <f>MONTH(Заявки[[#This Row],[Дата]])</f>
        <v>1</v>
      </c>
      <c r="D38" s="51">
        <f>YEAR(Заявки[[#This Row],[Дата]])</f>
        <v>2023</v>
      </c>
      <c r="E38" s="32" t="str">
        <f>IF(Заявки[[#This Row],[Год]]="","Пустая","Доходы")</f>
        <v>Доходы</v>
      </c>
      <c r="F38" s="32" t="s">
        <v>108</v>
      </c>
      <c r="G38" s="32" t="str">
        <f>VLOOKUP(Заявки[[#This Row],[Заказчик]],Контрагенты!B:E,4,FALSE)</f>
        <v>Безналичная</v>
      </c>
      <c r="H38" s="30" t="str">
        <f>VLOOKUP(Заявки[[#This Row],[Заказчик]],Контрагенты!B:D,2,FALSE)</f>
        <v>Яя</v>
      </c>
      <c r="I38" s="30" t="str">
        <f>VLOOKUP(Заявки[[#This Row],[Заказчик]],Контрагенты!B:D,3,FALSE)</f>
        <v>Школы и сады</v>
      </c>
      <c r="J38" s="30" t="s">
        <v>7</v>
      </c>
      <c r="K38" s="30" t="str">
        <f>VLOOKUP(J38,Прайс!$B$2:$F$81,2,FALSE)</f>
        <v>Хлеб</v>
      </c>
      <c r="L38" s="1">
        <v>2</v>
      </c>
      <c r="M38" s="31">
        <f>VLOOKUP(J38,Прайс!$B$2:$F$81,5,0)</f>
        <v>29</v>
      </c>
      <c r="N38" s="31">
        <f t="shared" si="4"/>
        <v>58</v>
      </c>
      <c r="O38"/>
    </row>
    <row r="39" spans="2:15" x14ac:dyDescent="0.25">
      <c r="B39" s="42">
        <v>44944</v>
      </c>
      <c r="C39" s="51">
        <f>MONTH(Заявки[[#This Row],[Дата]])</f>
        <v>1</v>
      </c>
      <c r="D39" s="51">
        <f>YEAR(Заявки[[#This Row],[Дата]])</f>
        <v>2023</v>
      </c>
      <c r="E39" s="32" t="str">
        <f>IF(Заявки[[#This Row],[Год]]="","Пустая","Доходы")</f>
        <v>Доходы</v>
      </c>
      <c r="F39" s="32" t="s">
        <v>108</v>
      </c>
      <c r="G39" s="32" t="str">
        <f>VLOOKUP(Заявки[[#This Row],[Заказчик]],Контрагенты!B:E,4,FALSE)</f>
        <v>Безналичная</v>
      </c>
      <c r="H39" s="30" t="str">
        <f>VLOOKUP(Заявки[[#This Row],[Заказчик]],Контрагенты!B:D,2,FALSE)</f>
        <v>Яя</v>
      </c>
      <c r="I39" s="30" t="str">
        <f>VLOOKUP(Заявки[[#This Row],[Заказчик]],Контрагенты!B:D,3,FALSE)</f>
        <v>Школы и сады</v>
      </c>
      <c r="J39" s="30" t="s">
        <v>4</v>
      </c>
      <c r="K39" s="30" t="str">
        <f>VLOOKUP(J39,Прайс!$B$2:$F$81,2,FALSE)</f>
        <v>Хлеб</v>
      </c>
      <c r="L39" s="1">
        <v>1</v>
      </c>
      <c r="M39" s="31">
        <f>VLOOKUP(J39,Прайс!$B$2:$F$81,5,0)</f>
        <v>27</v>
      </c>
      <c r="N39" s="31">
        <f t="shared" si="4"/>
        <v>27</v>
      </c>
      <c r="O39"/>
    </row>
    <row r="40" spans="2:15" x14ac:dyDescent="0.25">
      <c r="B40" s="42">
        <v>44944</v>
      </c>
      <c r="C40" s="51">
        <f>MONTH(Заявки[[#This Row],[Дата]])</f>
        <v>1</v>
      </c>
      <c r="D40" s="51">
        <f>YEAR(Заявки[[#This Row],[Дата]])</f>
        <v>2023</v>
      </c>
      <c r="E40" s="32" t="str">
        <f>IF(Заявки[[#This Row],[Год]]="","Пустая","Доходы")</f>
        <v>Доходы</v>
      </c>
      <c r="F40" s="32" t="s">
        <v>108</v>
      </c>
      <c r="G40" s="32" t="str">
        <f>VLOOKUP(Заявки[[#This Row],[Заказчик]],Контрагенты!B:E,4,FALSE)</f>
        <v>Безналичная</v>
      </c>
      <c r="H40" s="30" t="str">
        <f>VLOOKUP(Заявки[[#This Row],[Заказчик]],Контрагенты!B:D,2,FALSE)</f>
        <v>Яя</v>
      </c>
      <c r="I40" s="30" t="str">
        <f>VLOOKUP(Заявки[[#This Row],[Заказчик]],Контрагенты!B:D,3,FALSE)</f>
        <v>Школы и сады</v>
      </c>
      <c r="J40" s="30" t="s">
        <v>7</v>
      </c>
      <c r="K40" s="30" t="str">
        <f>VLOOKUP(J40,Прайс!$B$2:$F$81,2,FALSE)</f>
        <v>Хлеб</v>
      </c>
      <c r="L40" s="1">
        <v>1</v>
      </c>
      <c r="M40" s="31">
        <f>VLOOKUP(J40,Прайс!$B$2:$F$81,5,0)</f>
        <v>29</v>
      </c>
      <c r="N40" s="31">
        <f t="shared" si="4"/>
        <v>29</v>
      </c>
      <c r="O40"/>
    </row>
    <row r="41" spans="2:15" x14ac:dyDescent="0.25">
      <c r="B41" s="42">
        <v>44944</v>
      </c>
      <c r="C41" s="51">
        <f>MONTH(Заявки[[#This Row],[Дата]])</f>
        <v>1</v>
      </c>
      <c r="D41" s="51">
        <f>YEAR(Заявки[[#This Row],[Дата]])</f>
        <v>2023</v>
      </c>
      <c r="E41" s="32" t="str">
        <f>IF(Заявки[[#This Row],[Год]]="","Пустая","Доходы")</f>
        <v>Доходы</v>
      </c>
      <c r="F41" s="32" t="s">
        <v>108</v>
      </c>
      <c r="G41" s="32" t="str">
        <f>VLOOKUP(Заявки[[#This Row],[Заказчик]],Контрагенты!B:E,4,FALSE)</f>
        <v>Безналичная</v>
      </c>
      <c r="H41" s="30" t="str">
        <f>VLOOKUP(Заявки[[#This Row],[Заказчик]],Контрагенты!B:D,2,FALSE)</f>
        <v>Яя</v>
      </c>
      <c r="I41" s="30" t="str">
        <f>VLOOKUP(Заявки[[#This Row],[Заказчик]],Контрагенты!B:D,3,FALSE)</f>
        <v>Школы и сады</v>
      </c>
      <c r="J41" s="30" t="s">
        <v>14</v>
      </c>
      <c r="K41" s="30" t="str">
        <f>VLOOKUP(J41,Прайс!$B$2:$F$81,2,FALSE)</f>
        <v>Хлеб</v>
      </c>
      <c r="L41" s="1">
        <v>1</v>
      </c>
      <c r="M41" s="31">
        <f>VLOOKUP(J41,Прайс!$B$2:$F$81,5,0)</f>
        <v>19</v>
      </c>
      <c r="N41" s="31">
        <f t="shared" si="4"/>
        <v>19</v>
      </c>
      <c r="O41"/>
    </row>
    <row r="42" spans="2:15" x14ac:dyDescent="0.25">
      <c r="B42" s="42">
        <v>44944</v>
      </c>
      <c r="C42" s="51">
        <f>MONTH(Заявки[[#This Row],[Дата]])</f>
        <v>1</v>
      </c>
      <c r="D42" s="51">
        <f>YEAR(Заявки[[#This Row],[Дата]])</f>
        <v>2023</v>
      </c>
      <c r="E42" s="32" t="str">
        <f>IF(Заявки[[#This Row],[Год]]="","Пустая","Доходы")</f>
        <v>Доходы</v>
      </c>
      <c r="F42" s="32" t="s">
        <v>108</v>
      </c>
      <c r="G42" s="32" t="str">
        <f>VLOOKUP(Заявки[[#This Row],[Заказчик]],Контрагенты!B:E,4,FALSE)</f>
        <v>Безналичная</v>
      </c>
      <c r="H42" s="30" t="str">
        <f>VLOOKUP(Заявки[[#This Row],[Заказчик]],Контрагенты!B:D,2,FALSE)</f>
        <v>Яя</v>
      </c>
      <c r="I42" s="30" t="str">
        <f>VLOOKUP(Заявки[[#This Row],[Заказчик]],Контрагенты!B:D,3,FALSE)</f>
        <v>Школы и сады</v>
      </c>
      <c r="J42" s="30" t="s">
        <v>7</v>
      </c>
      <c r="K42" s="30" t="str">
        <f>VLOOKUP(J42,Прайс!$B$2:$F$81,2,FALSE)</f>
        <v>Хлеб</v>
      </c>
      <c r="L42" s="1">
        <v>1</v>
      </c>
      <c r="M42" s="31">
        <f>VLOOKUP(J42,Прайс!$B$2:$F$81,5,0)</f>
        <v>29</v>
      </c>
      <c r="N42" s="31">
        <f t="shared" si="4"/>
        <v>29</v>
      </c>
      <c r="O42"/>
    </row>
    <row r="43" spans="2:15" x14ac:dyDescent="0.25">
      <c r="B43" s="42">
        <v>44944</v>
      </c>
      <c r="C43" s="51">
        <f>MONTH(Заявки[[#This Row],[Дата]])</f>
        <v>1</v>
      </c>
      <c r="D43" s="51">
        <f>YEAR(Заявки[[#This Row],[Дата]])</f>
        <v>2023</v>
      </c>
      <c r="E43" s="32" t="str">
        <f>IF(Заявки[[#This Row],[Год]]="","Пустая","Доходы")</f>
        <v>Доходы</v>
      </c>
      <c r="F43" s="32" t="s">
        <v>108</v>
      </c>
      <c r="G43" s="32" t="str">
        <f>VLOOKUP(Заявки[[#This Row],[Заказчик]],Контрагенты!B:E,4,FALSE)</f>
        <v>Безналичная</v>
      </c>
      <c r="H43" s="30" t="str">
        <f>VLOOKUP(Заявки[[#This Row],[Заказчик]],Контрагенты!B:D,2,FALSE)</f>
        <v>Яя</v>
      </c>
      <c r="I43" s="30" t="str">
        <f>VLOOKUP(Заявки[[#This Row],[Заказчик]],Контрагенты!B:D,3,FALSE)</f>
        <v>Школы и сады</v>
      </c>
      <c r="J43" s="30" t="s">
        <v>4</v>
      </c>
      <c r="K43" s="30" t="str">
        <f>VLOOKUP(J43,Прайс!$B$2:$F$81,2,FALSE)</f>
        <v>Хлеб</v>
      </c>
      <c r="L43" s="1">
        <v>1</v>
      </c>
      <c r="M43" s="31">
        <f>VLOOKUP(J43,Прайс!$B$2:$F$81,5,0)</f>
        <v>27</v>
      </c>
      <c r="N43" s="31">
        <f t="shared" si="4"/>
        <v>27</v>
      </c>
      <c r="O43"/>
    </row>
    <row r="44" spans="2:15" x14ac:dyDescent="0.25">
      <c r="B44" s="42">
        <v>44944</v>
      </c>
      <c r="C44" s="51">
        <f>MONTH(Заявки[[#This Row],[Дата]])</f>
        <v>1</v>
      </c>
      <c r="D44" s="51">
        <f>YEAR(Заявки[[#This Row],[Дата]])</f>
        <v>2023</v>
      </c>
      <c r="E44" s="32" t="str">
        <f>IF(Заявки[[#This Row],[Год]]="","Пустая","Доходы")</f>
        <v>Доходы</v>
      </c>
      <c r="F44" s="32" t="s">
        <v>108</v>
      </c>
      <c r="G44" s="32" t="str">
        <f>VLOOKUP(Заявки[[#This Row],[Заказчик]],Контрагенты!B:E,4,FALSE)</f>
        <v>Безналичная</v>
      </c>
      <c r="H44" s="30" t="str">
        <f>VLOOKUP(Заявки[[#This Row],[Заказчик]],Контрагенты!B:D,2,FALSE)</f>
        <v>Яя</v>
      </c>
      <c r="I44" s="30" t="str">
        <f>VLOOKUP(Заявки[[#This Row],[Заказчик]],Контрагенты!B:D,3,FALSE)</f>
        <v>Школы и сады</v>
      </c>
      <c r="J44" s="30" t="s">
        <v>7</v>
      </c>
      <c r="K44" s="30" t="str">
        <f>VLOOKUP(J44,Прайс!$B$2:$F$81,2,FALSE)</f>
        <v>Хлеб</v>
      </c>
      <c r="L44" s="1">
        <v>1</v>
      </c>
      <c r="M44" s="31">
        <f>VLOOKUP(J44,Прайс!$B$2:$F$81,5,0)</f>
        <v>29</v>
      </c>
      <c r="N44" s="31">
        <f t="shared" si="4"/>
        <v>29</v>
      </c>
      <c r="O44"/>
    </row>
    <row r="45" spans="2:15" x14ac:dyDescent="0.25">
      <c r="B45" s="42">
        <v>44944</v>
      </c>
      <c r="C45" s="51">
        <f>MONTH(Заявки[[#This Row],[Дата]])</f>
        <v>1</v>
      </c>
      <c r="D45" s="51">
        <f>YEAR(Заявки[[#This Row],[Дата]])</f>
        <v>2023</v>
      </c>
      <c r="E45" s="32" t="str">
        <f>IF(Заявки[[#This Row],[Год]]="","Пустая","Доходы")</f>
        <v>Доходы</v>
      </c>
      <c r="F45" s="32" t="s">
        <v>108</v>
      </c>
      <c r="G45" s="32" t="str">
        <f>VLOOKUP(Заявки[[#This Row],[Заказчик]],Контрагенты!B:E,4,FALSE)</f>
        <v>Безналичная</v>
      </c>
      <c r="H45" s="30" t="str">
        <f>VLOOKUP(Заявки[[#This Row],[Заказчик]],Контрагенты!B:D,2,FALSE)</f>
        <v>Яя</v>
      </c>
      <c r="I45" s="30" t="str">
        <f>VLOOKUP(Заявки[[#This Row],[Заказчик]],Контрагенты!B:D,3,FALSE)</f>
        <v>Школы и сады</v>
      </c>
      <c r="J45" s="30" t="s">
        <v>14</v>
      </c>
      <c r="K45" s="30" t="str">
        <f>VLOOKUP(J45,Прайс!$B$2:$F$81,2,FALSE)</f>
        <v>Хлеб</v>
      </c>
      <c r="L45" s="1">
        <v>1</v>
      </c>
      <c r="M45" s="31">
        <f>VLOOKUP(J45,Прайс!$B$2:$F$81,5,0)</f>
        <v>19</v>
      </c>
      <c r="N45" s="31">
        <f t="shared" ref="N45:N55" si="5">L45*M45</f>
        <v>19</v>
      </c>
      <c r="O45"/>
    </row>
    <row r="46" spans="2:15" x14ac:dyDescent="0.25">
      <c r="B46" s="42">
        <v>44944</v>
      </c>
      <c r="C46" s="51">
        <f>MONTH(Заявки[[#This Row],[Дата]])</f>
        <v>1</v>
      </c>
      <c r="D46" s="51">
        <f>YEAR(Заявки[[#This Row],[Дата]])</f>
        <v>2023</v>
      </c>
      <c r="E46" s="32" t="str">
        <f>IF(Заявки[[#This Row],[Год]]="","Пустая","Доходы")</f>
        <v>Доходы</v>
      </c>
      <c r="F46" s="32" t="s">
        <v>108</v>
      </c>
      <c r="G46" s="32" t="str">
        <f>VLOOKUP(Заявки[[#This Row],[Заказчик]],Контрагенты!B:E,4,FALSE)</f>
        <v>Безналичная</v>
      </c>
      <c r="H46" s="30" t="str">
        <f>VLOOKUP(Заявки[[#This Row],[Заказчик]],Контрагенты!B:D,2,FALSE)</f>
        <v>Яя</v>
      </c>
      <c r="I46" s="30" t="str">
        <f>VLOOKUP(Заявки[[#This Row],[Заказчик]],Контрагенты!B:D,3,FALSE)</f>
        <v>Школы и сады</v>
      </c>
      <c r="J46" s="30" t="s">
        <v>9</v>
      </c>
      <c r="K46" s="30" t="str">
        <f>VLOOKUP(J46,Прайс!$B$2:$F$81,2,FALSE)</f>
        <v>Хлеб</v>
      </c>
      <c r="L46" s="1">
        <v>1</v>
      </c>
      <c r="M46" s="31">
        <f>VLOOKUP(J46,Прайс!$B$2:$F$81,5,0)</f>
        <v>26</v>
      </c>
      <c r="N46" s="31">
        <f t="shared" si="5"/>
        <v>26</v>
      </c>
      <c r="O46"/>
    </row>
    <row r="47" spans="2:15" x14ac:dyDescent="0.25">
      <c r="B47" s="42">
        <v>44944</v>
      </c>
      <c r="C47" s="51">
        <f>MONTH(Заявки[[#This Row],[Дата]])</f>
        <v>1</v>
      </c>
      <c r="D47" s="51">
        <f>YEAR(Заявки[[#This Row],[Дата]])</f>
        <v>2023</v>
      </c>
      <c r="E47" s="32" t="str">
        <f>IF(Заявки[[#This Row],[Год]]="","Пустая","Доходы")</f>
        <v>Доходы</v>
      </c>
      <c r="F47" s="32" t="s">
        <v>108</v>
      </c>
      <c r="G47" s="32" t="str">
        <f>VLOOKUP(Заявки[[#This Row],[Заказчик]],Контрагенты!B:E,4,FALSE)</f>
        <v>Безналичная</v>
      </c>
      <c r="H47" s="30" t="str">
        <f>VLOOKUP(Заявки[[#This Row],[Заказчик]],Контрагенты!B:D,2,FALSE)</f>
        <v>Яя</v>
      </c>
      <c r="I47" s="30" t="str">
        <f>VLOOKUP(Заявки[[#This Row],[Заказчик]],Контрагенты!B:D,3,FALSE)</f>
        <v>Школы и сады</v>
      </c>
      <c r="J47" s="30" t="s">
        <v>8</v>
      </c>
      <c r="K47" s="30" t="str">
        <f>VLOOKUP(J47,Прайс!$B$2:$F$81,2,FALSE)</f>
        <v>Хлеб</v>
      </c>
      <c r="L47" s="1">
        <v>1</v>
      </c>
      <c r="M47" s="31">
        <f>VLOOKUP(J47,Прайс!$B$2:$F$81,5,0)</f>
        <v>23</v>
      </c>
      <c r="N47" s="31">
        <f t="shared" si="5"/>
        <v>23</v>
      </c>
      <c r="O47"/>
    </row>
    <row r="48" spans="2:15" x14ac:dyDescent="0.25">
      <c r="B48" s="42">
        <v>44944</v>
      </c>
      <c r="C48" s="51">
        <f>MONTH(Заявки[[#This Row],[Дата]])</f>
        <v>1</v>
      </c>
      <c r="D48" s="51">
        <f>YEAR(Заявки[[#This Row],[Дата]])</f>
        <v>2023</v>
      </c>
      <c r="E48" s="32" t="str">
        <f>IF(Заявки[[#This Row],[Год]]="","Пустая","Доходы")</f>
        <v>Доходы</v>
      </c>
      <c r="F48" s="32" t="s">
        <v>108</v>
      </c>
      <c r="G48" s="32" t="str">
        <f>VLOOKUP(Заявки[[#This Row],[Заказчик]],Контрагенты!B:E,4,FALSE)</f>
        <v>Безналичная</v>
      </c>
      <c r="H48" s="30" t="str">
        <f>VLOOKUP(Заявки[[#This Row],[Заказчик]],Контрагенты!B:D,2,FALSE)</f>
        <v>Яя</v>
      </c>
      <c r="I48" s="30" t="str">
        <f>VLOOKUP(Заявки[[#This Row],[Заказчик]],Контрагенты!B:D,3,FALSE)</f>
        <v>Школы и сады</v>
      </c>
      <c r="J48" s="30" t="s">
        <v>14</v>
      </c>
      <c r="K48" s="30" t="str">
        <f>VLOOKUP(J48,Прайс!$B$2:$F$81,2,FALSE)</f>
        <v>Хлеб</v>
      </c>
      <c r="L48" s="1">
        <v>1</v>
      </c>
      <c r="M48" s="31">
        <f>VLOOKUP(J48,Прайс!$B$2:$F$81,5,0)</f>
        <v>19</v>
      </c>
      <c r="N48" s="31">
        <f t="shared" si="5"/>
        <v>19</v>
      </c>
      <c r="O48"/>
    </row>
    <row r="49" spans="2:15" x14ac:dyDescent="0.25">
      <c r="B49" s="42">
        <v>44944</v>
      </c>
      <c r="C49" s="51">
        <f>MONTH(Заявки[[#This Row],[Дата]])</f>
        <v>1</v>
      </c>
      <c r="D49" s="51">
        <f>YEAR(Заявки[[#This Row],[Дата]])</f>
        <v>2023</v>
      </c>
      <c r="E49" s="32" t="str">
        <f>IF(Заявки[[#This Row],[Год]]="","Пустая","Доходы")</f>
        <v>Доходы</v>
      </c>
      <c r="F49" s="32" t="s">
        <v>108</v>
      </c>
      <c r="G49" s="32" t="str">
        <f>VLOOKUP(Заявки[[#This Row],[Заказчик]],Контрагенты!B:E,4,FALSE)</f>
        <v>Безналичная</v>
      </c>
      <c r="H49" s="30" t="str">
        <f>VLOOKUP(Заявки[[#This Row],[Заказчик]],Контрагенты!B:D,2,FALSE)</f>
        <v>Яя</v>
      </c>
      <c r="I49" s="30" t="str">
        <f>VLOOKUP(Заявки[[#This Row],[Заказчик]],Контрагенты!B:D,3,FALSE)</f>
        <v>Школы и сады</v>
      </c>
      <c r="J49" s="30" t="s">
        <v>7</v>
      </c>
      <c r="K49" s="30" t="str">
        <f>VLOOKUP(J49,Прайс!$B$2:$F$81,2,FALSE)</f>
        <v>Хлеб</v>
      </c>
      <c r="L49" s="1">
        <v>1</v>
      </c>
      <c r="M49" s="31">
        <f>VLOOKUP(J49,Прайс!$B$2:$F$81,5,0)</f>
        <v>29</v>
      </c>
      <c r="N49" s="31">
        <f t="shared" si="5"/>
        <v>29</v>
      </c>
      <c r="O49"/>
    </row>
    <row r="50" spans="2:15" x14ac:dyDescent="0.25">
      <c r="B50" s="42">
        <v>44944</v>
      </c>
      <c r="C50" s="51">
        <f>MONTH(Заявки[[#This Row],[Дата]])</f>
        <v>1</v>
      </c>
      <c r="D50" s="51">
        <f>YEAR(Заявки[[#This Row],[Дата]])</f>
        <v>2023</v>
      </c>
      <c r="E50" s="32" t="str">
        <f>IF(Заявки[[#This Row],[Год]]="","Пустая","Доходы")</f>
        <v>Доходы</v>
      </c>
      <c r="F50" s="32" t="s">
        <v>108</v>
      </c>
      <c r="G50" s="32" t="str">
        <f>VLOOKUP(Заявки[[#This Row],[Заказчик]],Контрагенты!B:E,4,FALSE)</f>
        <v>Безналичная</v>
      </c>
      <c r="H50" s="30" t="str">
        <f>VLOOKUP(Заявки[[#This Row],[Заказчик]],Контрагенты!B:D,2,FALSE)</f>
        <v>Яя</v>
      </c>
      <c r="I50" s="30" t="str">
        <f>VLOOKUP(Заявки[[#This Row],[Заказчик]],Контрагенты!B:D,3,FALSE)</f>
        <v>Школы и сады</v>
      </c>
      <c r="J50" s="30" t="s">
        <v>4</v>
      </c>
      <c r="K50" s="30" t="str">
        <f>VLOOKUP(J50,Прайс!$B$2:$F$81,2,FALSE)</f>
        <v>Хлеб</v>
      </c>
      <c r="L50" s="1">
        <v>1</v>
      </c>
      <c r="M50" s="31">
        <f>VLOOKUP(J50,Прайс!$B$2:$F$81,5,0)</f>
        <v>27</v>
      </c>
      <c r="N50" s="31">
        <f t="shared" si="5"/>
        <v>27</v>
      </c>
      <c r="O50"/>
    </row>
    <row r="51" spans="2:15" x14ac:dyDescent="0.25">
      <c r="B51" s="42">
        <v>44944</v>
      </c>
      <c r="C51" s="51">
        <f>MONTH(Заявки[[#This Row],[Дата]])</f>
        <v>1</v>
      </c>
      <c r="D51" s="51">
        <f>YEAR(Заявки[[#This Row],[Дата]])</f>
        <v>2023</v>
      </c>
      <c r="E51" s="32" t="str">
        <f>IF(Заявки[[#This Row],[Год]]="","Пустая","Доходы")</f>
        <v>Доходы</v>
      </c>
      <c r="F51" s="32" t="s">
        <v>108</v>
      </c>
      <c r="G51" s="32" t="str">
        <f>VLOOKUP(Заявки[[#This Row],[Заказчик]],Контрагенты!B:E,4,FALSE)</f>
        <v>Безналичная</v>
      </c>
      <c r="H51" s="30" t="str">
        <f>VLOOKUP(Заявки[[#This Row],[Заказчик]],Контрагенты!B:D,2,FALSE)</f>
        <v>Яя</v>
      </c>
      <c r="I51" s="30" t="str">
        <f>VLOOKUP(Заявки[[#This Row],[Заказчик]],Контрагенты!B:D,3,FALSE)</f>
        <v>Школы и сады</v>
      </c>
      <c r="J51" s="30" t="s">
        <v>7</v>
      </c>
      <c r="K51" s="30" t="str">
        <f>VLOOKUP(J51,Прайс!$B$2:$F$81,2,FALSE)</f>
        <v>Хлеб</v>
      </c>
      <c r="L51" s="1">
        <v>1</v>
      </c>
      <c r="M51" s="31">
        <f>VLOOKUP(J51,Прайс!$B$2:$F$81,5,0)</f>
        <v>29</v>
      </c>
      <c r="N51" s="31">
        <f t="shared" si="5"/>
        <v>29</v>
      </c>
      <c r="O51"/>
    </row>
    <row r="52" spans="2:15" x14ac:dyDescent="0.25">
      <c r="B52" s="42">
        <v>44944</v>
      </c>
      <c r="C52" s="51">
        <f>MONTH(Заявки[[#This Row],[Дата]])</f>
        <v>1</v>
      </c>
      <c r="D52" s="51">
        <f>YEAR(Заявки[[#This Row],[Дата]])</f>
        <v>2023</v>
      </c>
      <c r="E52" s="32" t="str">
        <f>IF(Заявки[[#This Row],[Год]]="","Пустая","Доходы")</f>
        <v>Доходы</v>
      </c>
      <c r="F52" s="32" t="s">
        <v>108</v>
      </c>
      <c r="G52" s="32" t="str">
        <f>VLOOKUP(Заявки[[#This Row],[Заказчик]],Контрагенты!B:E,4,FALSE)</f>
        <v>Безналичная</v>
      </c>
      <c r="H52" s="30" t="str">
        <f>VLOOKUP(Заявки[[#This Row],[Заказчик]],Контрагенты!B:D,2,FALSE)</f>
        <v>Яя</v>
      </c>
      <c r="I52" s="30" t="str">
        <f>VLOOKUP(Заявки[[#This Row],[Заказчик]],Контрагенты!B:D,3,FALSE)</f>
        <v>Школы и сады</v>
      </c>
      <c r="J52" s="30" t="s">
        <v>21</v>
      </c>
      <c r="K52" s="30" t="str">
        <f>VLOOKUP(J52,Прайс!$B$2:$F$81,2,FALSE)</f>
        <v>Булочки</v>
      </c>
      <c r="L52" s="1">
        <v>1</v>
      </c>
      <c r="M52" s="31">
        <f>VLOOKUP(J52,Прайс!$B$2:$F$81,5,0)</f>
        <v>20</v>
      </c>
      <c r="N52" s="31">
        <f t="shared" si="5"/>
        <v>20</v>
      </c>
      <c r="O52"/>
    </row>
    <row r="53" spans="2:15" x14ac:dyDescent="0.25">
      <c r="B53" s="42">
        <v>44944</v>
      </c>
      <c r="C53" s="51">
        <f>MONTH(Заявки[[#This Row],[Дата]])</f>
        <v>1</v>
      </c>
      <c r="D53" s="51">
        <f>YEAR(Заявки[[#This Row],[Дата]])</f>
        <v>2023</v>
      </c>
      <c r="E53" s="32" t="str">
        <f>IF(Заявки[[#This Row],[Год]]="","Пустая","Доходы")</f>
        <v>Доходы</v>
      </c>
      <c r="F53" s="32" t="s">
        <v>108</v>
      </c>
      <c r="G53" s="32" t="str">
        <f>VLOOKUP(Заявки[[#This Row],[Заказчик]],Контрагенты!B:E,4,FALSE)</f>
        <v>Безналичная</v>
      </c>
      <c r="H53" s="30" t="str">
        <f>VLOOKUP(Заявки[[#This Row],[Заказчик]],Контрагенты!B:D,2,FALSE)</f>
        <v>Яя</v>
      </c>
      <c r="I53" s="30" t="str">
        <f>VLOOKUP(Заявки[[#This Row],[Заказчик]],Контрагенты!B:D,3,FALSE)</f>
        <v>Школы и сады</v>
      </c>
      <c r="J53" s="30" t="s">
        <v>7</v>
      </c>
      <c r="K53" s="30" t="str">
        <f>VLOOKUP(J53,Прайс!$B$2:$F$81,2,FALSE)</f>
        <v>Хлеб</v>
      </c>
      <c r="L53" s="1">
        <v>1</v>
      </c>
      <c r="M53" s="31">
        <f>VLOOKUP(J53,Прайс!$B$2:$F$81,5,0)</f>
        <v>29</v>
      </c>
      <c r="N53" s="31">
        <f t="shared" si="5"/>
        <v>29</v>
      </c>
      <c r="O53"/>
    </row>
    <row r="54" spans="2:15" x14ac:dyDescent="0.25">
      <c r="B54" s="42">
        <v>44944</v>
      </c>
      <c r="C54" s="51">
        <f>MONTH(Заявки[[#This Row],[Дата]])</f>
        <v>1</v>
      </c>
      <c r="D54" s="51">
        <f>YEAR(Заявки[[#This Row],[Дата]])</f>
        <v>2023</v>
      </c>
      <c r="E54" s="32" t="str">
        <f>IF(Заявки[[#This Row],[Год]]="","Пустая","Доходы")</f>
        <v>Доходы</v>
      </c>
      <c r="F54" s="32" t="s">
        <v>108</v>
      </c>
      <c r="G54" s="32" t="str">
        <f>VLOOKUP(Заявки[[#This Row],[Заказчик]],Контрагенты!B:E,4,FALSE)</f>
        <v>Безналичная</v>
      </c>
      <c r="H54" s="30" t="str">
        <f>VLOOKUP(Заявки[[#This Row],[Заказчик]],Контрагенты!B:D,2,FALSE)</f>
        <v>Яя</v>
      </c>
      <c r="I54" s="30" t="str">
        <f>VLOOKUP(Заявки[[#This Row],[Заказчик]],Контрагенты!B:D,3,FALSE)</f>
        <v>Школы и сады</v>
      </c>
      <c r="J54" s="30" t="s">
        <v>4</v>
      </c>
      <c r="K54" s="30" t="str">
        <f>VLOOKUP(J54,Прайс!$B$2:$F$81,2,FALSE)</f>
        <v>Хлеб</v>
      </c>
      <c r="L54" s="1">
        <v>1</v>
      </c>
      <c r="M54" s="31">
        <f>VLOOKUP(J54,Прайс!$B$2:$F$81,5,0)</f>
        <v>27</v>
      </c>
      <c r="N54" s="31">
        <f t="shared" si="5"/>
        <v>27</v>
      </c>
      <c r="O54"/>
    </row>
    <row r="55" spans="2:15" x14ac:dyDescent="0.25">
      <c r="B55" s="42">
        <v>44945</v>
      </c>
      <c r="C55" s="51">
        <f>MONTH(Заявки[[#This Row],[Дата]])</f>
        <v>1</v>
      </c>
      <c r="D55" s="51">
        <f>YEAR(Заявки[[#This Row],[Дата]])</f>
        <v>2023</v>
      </c>
      <c r="E55" s="32" t="str">
        <f>IF(Заявки[[#This Row],[Год]]="","Пустая","Доходы")</f>
        <v>Доходы</v>
      </c>
      <c r="F55" s="32" t="s">
        <v>108</v>
      </c>
      <c r="G55" s="32" t="str">
        <f>VLOOKUP(Заявки[[#This Row],[Заказчик]],Контрагенты!B:E,4,FALSE)</f>
        <v>Безналичная</v>
      </c>
      <c r="H55" s="30" t="str">
        <f>VLOOKUP(Заявки[[#This Row],[Заказчик]],Контрагенты!B:D,2,FALSE)</f>
        <v>Яя</v>
      </c>
      <c r="I55" s="30" t="str">
        <f>VLOOKUP(Заявки[[#This Row],[Заказчик]],Контрагенты!B:D,3,FALSE)</f>
        <v>Школы и сады</v>
      </c>
      <c r="J55" s="30" t="s">
        <v>7</v>
      </c>
      <c r="K55" s="30" t="str">
        <f>VLOOKUP(J55,Прайс!$B$2:$F$81,2,FALSE)</f>
        <v>Хлеб</v>
      </c>
      <c r="L55" s="1">
        <v>1</v>
      </c>
      <c r="M55" s="31">
        <f>VLOOKUP(J55,Прайс!$B$2:$F$81,5,0)</f>
        <v>29</v>
      </c>
      <c r="N55" s="31">
        <f t="shared" si="5"/>
        <v>29</v>
      </c>
      <c r="O55"/>
    </row>
    <row r="56" spans="2:15" x14ac:dyDescent="0.25">
      <c r="B56" s="42">
        <v>44945</v>
      </c>
      <c r="C56" s="51">
        <f>MONTH(Заявки[[#This Row],[Дата]])</f>
        <v>1</v>
      </c>
      <c r="D56" s="51">
        <f>YEAR(Заявки[[#This Row],[Дата]])</f>
        <v>2023</v>
      </c>
      <c r="E56" s="32" t="str">
        <f>IF(Заявки[[#This Row],[Год]]="","Пустая","Доходы")</f>
        <v>Доходы</v>
      </c>
      <c r="F56" s="32" t="s">
        <v>108</v>
      </c>
      <c r="G56" s="32" t="str">
        <f>VLOOKUP(Заявки[[#This Row],[Заказчик]],Контрагенты!B:E,4,FALSE)</f>
        <v>Безналичная</v>
      </c>
      <c r="H56" s="30" t="str">
        <f>VLOOKUP(Заявки[[#This Row],[Заказчик]],Контрагенты!B:D,2,FALSE)</f>
        <v>Яя</v>
      </c>
      <c r="I56" s="30" t="str">
        <f>VLOOKUP(Заявки[[#This Row],[Заказчик]],Контрагенты!B:D,3,FALSE)</f>
        <v>Школы и сады</v>
      </c>
      <c r="J56" s="30" t="s">
        <v>14</v>
      </c>
      <c r="K56" s="30" t="str">
        <f>VLOOKUP(J56,Прайс!$B$2:$F$81,2,FALSE)</f>
        <v>Хлеб</v>
      </c>
      <c r="L56" s="1">
        <v>1</v>
      </c>
      <c r="M56" s="31">
        <f>VLOOKUP(J56,Прайс!$B$2:$F$81,5,0)</f>
        <v>19</v>
      </c>
      <c r="N56" s="31">
        <f t="shared" ref="N56:N57" si="6">L56*M56</f>
        <v>19</v>
      </c>
      <c r="O56"/>
    </row>
    <row r="57" spans="2:15" x14ac:dyDescent="0.25">
      <c r="B57" s="42">
        <v>44945</v>
      </c>
      <c r="C57" s="51">
        <f>MONTH(Заявки[[#This Row],[Дата]])</f>
        <v>1</v>
      </c>
      <c r="D57" s="51">
        <f>YEAR(Заявки[[#This Row],[Дата]])</f>
        <v>2023</v>
      </c>
      <c r="E57" s="32" t="str">
        <f>IF(Заявки[[#This Row],[Год]]="","Пустая","Доходы")</f>
        <v>Доходы</v>
      </c>
      <c r="F57" s="32" t="s">
        <v>108</v>
      </c>
      <c r="G57" s="32" t="str">
        <f>VLOOKUP(Заявки[[#This Row],[Заказчик]],Контрагенты!B:E,4,FALSE)</f>
        <v>Безналичная</v>
      </c>
      <c r="H57" s="30" t="str">
        <f>VLOOKUP(Заявки[[#This Row],[Заказчик]],Контрагенты!B:D,2,FALSE)</f>
        <v>Яя</v>
      </c>
      <c r="I57" s="30" t="str">
        <f>VLOOKUP(Заявки[[#This Row],[Заказчик]],Контрагенты!B:D,3,FALSE)</f>
        <v>Школы и сады</v>
      </c>
      <c r="J57" s="30" t="s">
        <v>7</v>
      </c>
      <c r="K57" s="30" t="str">
        <f>VLOOKUP(J57,Прайс!$B$2:$F$81,2,FALSE)</f>
        <v>Хлеб</v>
      </c>
      <c r="L57" s="1">
        <v>1</v>
      </c>
      <c r="M57" s="31">
        <f>VLOOKUP(J57,Прайс!$B$2:$F$81,5,0)</f>
        <v>29</v>
      </c>
      <c r="N57" s="31">
        <f t="shared" si="6"/>
        <v>29</v>
      </c>
      <c r="O57"/>
    </row>
    <row r="58" spans="2:15" x14ac:dyDescent="0.25">
      <c r="B58" s="42">
        <v>44945</v>
      </c>
      <c r="C58" s="51">
        <f>MONTH(Заявки[[#This Row],[Дата]])</f>
        <v>1</v>
      </c>
      <c r="D58" s="51">
        <f>YEAR(Заявки[[#This Row],[Дата]])</f>
        <v>2023</v>
      </c>
      <c r="E58" s="32" t="str">
        <f>IF(Заявки[[#This Row],[Год]]="","Пустая","Доходы")</f>
        <v>Доходы</v>
      </c>
      <c r="F58" s="32" t="s">
        <v>91</v>
      </c>
      <c r="G58" s="32" t="str">
        <f>VLOOKUP(Заявки[[#This Row],[Заказчик]],Контрагенты!B:E,4,FALSE)</f>
        <v>Наличными</v>
      </c>
      <c r="H58" s="30" t="str">
        <f>VLOOKUP(Заявки[[#This Row],[Заказчик]],Контрагенты!B:D,2,FALSE)</f>
        <v>Почитанка</v>
      </c>
      <c r="I58" s="30" t="str">
        <f>VLOOKUP(Заявки[[#This Row],[Заказчик]],Контрагенты!B:D,3,FALSE)</f>
        <v>Ижморка</v>
      </c>
      <c r="J58" s="30" t="s">
        <v>7</v>
      </c>
      <c r="K58" s="30" t="str">
        <f>VLOOKUP(J58,Прайс!$B$2:$F$81,2,FALSE)</f>
        <v>Хлеб</v>
      </c>
      <c r="L58" s="1">
        <v>2</v>
      </c>
      <c r="M58" s="31">
        <f>VLOOKUP(J58,Прайс!$B$2:$F$81,5,0)</f>
        <v>29</v>
      </c>
      <c r="N58" s="31">
        <f t="shared" ref="N58:N63" si="7">L58*M58</f>
        <v>58</v>
      </c>
      <c r="O58"/>
    </row>
    <row r="59" spans="2:15" x14ac:dyDescent="0.25">
      <c r="B59" s="42">
        <v>44945</v>
      </c>
      <c r="C59" s="51">
        <f>MONTH(Заявки[[#This Row],[Дата]])</f>
        <v>1</v>
      </c>
      <c r="D59" s="51">
        <f>YEAR(Заявки[[#This Row],[Дата]])</f>
        <v>2023</v>
      </c>
      <c r="E59" s="32" t="str">
        <f>IF(Заявки[[#This Row],[Год]]="","Пустая","Доходы")</f>
        <v>Доходы</v>
      </c>
      <c r="F59" s="32" t="s">
        <v>113</v>
      </c>
      <c r="G59" s="32" t="str">
        <f>VLOOKUP(Заявки[[#This Row],[Заказчик]],Контрагенты!B:E,4,FALSE)</f>
        <v>Безналичная</v>
      </c>
      <c r="H59" s="30" t="str">
        <f>VLOOKUP(Заявки[[#This Row],[Заказчик]],Контрагенты!B:D,2,FALSE)</f>
        <v>Теплая речка</v>
      </c>
      <c r="I59" s="37" t="str">
        <f>VLOOKUP(Заявки[[#This Row],[Заказчик]],Контрагенты!B:D,3,FALSE)</f>
        <v>Школы и сады</v>
      </c>
      <c r="J59" s="30" t="s">
        <v>135</v>
      </c>
      <c r="K59" s="30" t="str">
        <f>VLOOKUP(J59,Прайс!$B$2:$F$81,2,FALSE)</f>
        <v>Другое</v>
      </c>
      <c r="L59" s="1">
        <v>2</v>
      </c>
      <c r="M59" s="31">
        <f>VLOOKUP(J59,Прайс!$B$2:$F$81,5,0)</f>
        <v>30</v>
      </c>
      <c r="N59" s="31">
        <f t="shared" si="7"/>
        <v>60</v>
      </c>
      <c r="O59"/>
    </row>
    <row r="60" spans="2:15" x14ac:dyDescent="0.25">
      <c r="B60" s="42">
        <v>44945</v>
      </c>
      <c r="C60" s="51">
        <f>MONTH(Заявки[[#This Row],[Дата]])</f>
        <v>1</v>
      </c>
      <c r="D60" s="51">
        <f>YEAR(Заявки[[#This Row],[Дата]])</f>
        <v>2023</v>
      </c>
      <c r="E60" s="32" t="str">
        <f>IF(Заявки[[#This Row],[Год]]="","Пустая","Доходы")</f>
        <v>Доходы</v>
      </c>
      <c r="F60" s="32" t="s">
        <v>108</v>
      </c>
      <c r="G60" s="32" t="str">
        <f>VLOOKUP(Заявки[[#This Row],[Заказчик]],Контрагенты!B:E,4,FALSE)</f>
        <v>Безналичная</v>
      </c>
      <c r="H60" s="30" t="str">
        <f>VLOOKUP(Заявки[[#This Row],[Заказчик]],Контрагенты!B:D,2,FALSE)</f>
        <v>Яя</v>
      </c>
      <c r="I60" s="37" t="str">
        <f>VLOOKUP(Заявки[[#This Row],[Заказчик]],Контрагенты!B:D,3,FALSE)</f>
        <v>Школы и сады</v>
      </c>
      <c r="J60" s="30" t="s">
        <v>135</v>
      </c>
      <c r="K60" s="30" t="str">
        <f>VLOOKUP(J60,Прайс!$B$2:$F$81,2,FALSE)</f>
        <v>Другое</v>
      </c>
      <c r="L60" s="1">
        <v>3</v>
      </c>
      <c r="M60" s="31">
        <f>VLOOKUP(J60,Прайс!$B$2:$F$81,5,0)</f>
        <v>30</v>
      </c>
      <c r="N60" s="31">
        <f t="shared" si="7"/>
        <v>90</v>
      </c>
      <c r="O60"/>
    </row>
    <row r="61" spans="2:15" x14ac:dyDescent="0.25">
      <c r="B61" s="42">
        <v>44945</v>
      </c>
      <c r="C61" s="51">
        <f>MONTH(Заявки[[#This Row],[Дата]])</f>
        <v>1</v>
      </c>
      <c r="D61" s="51">
        <f>YEAR(Заявки[[#This Row],[Дата]])</f>
        <v>2023</v>
      </c>
      <c r="E61" s="32" t="str">
        <f>IF(Заявки[[#This Row],[Год]]="","Пустая","Доходы")</f>
        <v>Доходы</v>
      </c>
      <c r="F61" s="32" t="s">
        <v>125</v>
      </c>
      <c r="G61" s="32" t="str">
        <f>VLOOKUP(Заявки[[#This Row],[Заказчик]],Контрагенты!B:E,4,FALSE)</f>
        <v>Наличными</v>
      </c>
      <c r="H61" s="30" t="str">
        <f>VLOOKUP(Заявки[[#This Row],[Заказчик]],Контрагенты!B:D,2,FALSE)</f>
        <v>Яя</v>
      </c>
      <c r="I61" s="37" t="str">
        <f>VLOOKUP(Заявки[[#This Row],[Заказчик]],Контрагенты!B:D,3,FALSE)</f>
        <v>Водитель</v>
      </c>
      <c r="J61" s="30" t="s">
        <v>7</v>
      </c>
      <c r="K61" s="30" t="str">
        <f>VLOOKUP(J61,Прайс!$B$2:$F$81,2,FALSE)</f>
        <v>Хлеб</v>
      </c>
      <c r="L61" s="1">
        <v>5</v>
      </c>
      <c r="M61" s="31">
        <f>VLOOKUP(J61,Прайс!$B$2:$F$81,5,0)</f>
        <v>29</v>
      </c>
      <c r="N61" s="31">
        <f t="shared" si="7"/>
        <v>145</v>
      </c>
      <c r="O61"/>
    </row>
    <row r="62" spans="2:15" x14ac:dyDescent="0.25">
      <c r="B62" s="42">
        <v>44945</v>
      </c>
      <c r="C62" s="51">
        <f>MONTH(Заявки[[#This Row],[Дата]])</f>
        <v>1</v>
      </c>
      <c r="D62" s="51">
        <f>YEAR(Заявки[[#This Row],[Дата]])</f>
        <v>2023</v>
      </c>
      <c r="E62" s="32" t="str">
        <f>IF(Заявки[[#This Row],[Год]]="","Пустая","Доходы")</f>
        <v>Доходы</v>
      </c>
      <c r="F62" s="32" t="s">
        <v>125</v>
      </c>
      <c r="G62" s="32" t="str">
        <f>VLOOKUP(Заявки[[#This Row],[Заказчик]],Контрагенты!B:E,4,FALSE)</f>
        <v>Наличными</v>
      </c>
      <c r="H62" s="30" t="str">
        <f>VLOOKUP(Заявки[[#This Row],[Заказчик]],Контрагенты!B:D,2,FALSE)</f>
        <v>Яя</v>
      </c>
      <c r="I62" s="37" t="str">
        <f>VLOOKUP(Заявки[[#This Row],[Заказчик]],Контрагенты!B:D,3,FALSE)</f>
        <v>Водитель</v>
      </c>
      <c r="J62" s="30" t="s">
        <v>7</v>
      </c>
      <c r="K62" s="30" t="str">
        <f>VLOOKUP(J62,Прайс!$B$2:$F$81,2,FALSE)</f>
        <v>Хлеб</v>
      </c>
      <c r="L62" s="1">
        <v>10</v>
      </c>
      <c r="M62" s="31">
        <f>VLOOKUP(J62,Прайс!$B$2:$F$81,5,0)</f>
        <v>29</v>
      </c>
      <c r="N62" s="31">
        <f t="shared" si="7"/>
        <v>290</v>
      </c>
      <c r="O62"/>
    </row>
    <row r="63" spans="2:15" x14ac:dyDescent="0.25">
      <c r="B63" s="42">
        <v>44945</v>
      </c>
      <c r="C63" s="51">
        <f>MONTH(Заявки[[#This Row],[Дата]])</f>
        <v>1</v>
      </c>
      <c r="D63" s="51">
        <f>YEAR(Заявки[[#This Row],[Дата]])</f>
        <v>2023</v>
      </c>
      <c r="E63" s="32" t="str">
        <f>IF(Заявки[[#This Row],[Год]]="","Пустая","Доходы")</f>
        <v>Доходы</v>
      </c>
      <c r="F63" s="32" t="s">
        <v>125</v>
      </c>
      <c r="G63" s="32" t="str">
        <f>VLOOKUP(Заявки[[#This Row],[Заказчик]],Контрагенты!B:E,4,FALSE)</f>
        <v>Наличными</v>
      </c>
      <c r="H63" s="37" t="str">
        <f>VLOOKUP(Заявки[[#This Row],[Заказчик]],Контрагенты!B:D,2,FALSE)</f>
        <v>Яя</v>
      </c>
      <c r="I63" s="37" t="str">
        <f>VLOOKUP(Заявки[[#This Row],[Заказчик]],Контрагенты!B:D,3,FALSE)</f>
        <v>Водитель</v>
      </c>
      <c r="J63" s="30" t="s">
        <v>135</v>
      </c>
      <c r="K63" s="30" t="str">
        <f>VLOOKUP(J63,Прайс!$B$2:$F$81,2,FALSE)</f>
        <v>Другое</v>
      </c>
      <c r="L63" s="1">
        <v>3</v>
      </c>
      <c r="M63" s="31">
        <f>VLOOKUP(J63,Прайс!$B$2:$F$81,5,0)</f>
        <v>30</v>
      </c>
      <c r="N63" s="31">
        <f t="shared" si="7"/>
        <v>90</v>
      </c>
      <c r="O63"/>
    </row>
    <row r="64" spans="2:15" x14ac:dyDescent="0.25">
      <c r="B64" s="42">
        <v>44945</v>
      </c>
      <c r="C64" s="51">
        <f>MONTH(Заявки[[#This Row],[Дата]])</f>
        <v>1</v>
      </c>
      <c r="D64" s="51">
        <f>YEAR(Заявки[[#This Row],[Дата]])</f>
        <v>2023</v>
      </c>
      <c r="E64" s="32" t="str">
        <f>IF(Заявки[[#This Row],[Год]]="","Пустая","Доходы")</f>
        <v>Доходы</v>
      </c>
      <c r="F64" s="32" t="s">
        <v>125</v>
      </c>
      <c r="G64" s="32" t="str">
        <f>VLOOKUP(Заявки[[#This Row],[Заказчик]],Контрагенты!B:E,4,FALSE)</f>
        <v>Наличными</v>
      </c>
      <c r="H64" s="37" t="str">
        <f>VLOOKUP(Заявки[[#This Row],[Заказчик]],Контрагенты!B:D,2,FALSE)</f>
        <v>Яя</v>
      </c>
      <c r="I64" s="37" t="str">
        <f>VLOOKUP(Заявки[[#This Row],[Заказчик]],Контрагенты!B:D,3,FALSE)</f>
        <v>Водитель</v>
      </c>
      <c r="J64" s="30" t="s">
        <v>135</v>
      </c>
      <c r="K64" s="30" t="str">
        <f>VLOOKUP(J64,Прайс!$B$2:$F$81,2,FALSE)</f>
        <v>Другое</v>
      </c>
      <c r="L64" s="1">
        <v>4</v>
      </c>
      <c r="M64" s="31">
        <f>VLOOKUP(J64,Прайс!$B$2:$F$81,5,0)</f>
        <v>30</v>
      </c>
      <c r="N64" s="31">
        <f t="shared" ref="N64:N69" si="8">L64*M64</f>
        <v>120</v>
      </c>
      <c r="O64"/>
    </row>
    <row r="65" spans="2:15" x14ac:dyDescent="0.25">
      <c r="B65" s="42">
        <v>44945</v>
      </c>
      <c r="C65" s="51">
        <f>MONTH(Заявки[[#This Row],[Дата]])</f>
        <v>1</v>
      </c>
      <c r="D65" s="51">
        <f>YEAR(Заявки[[#This Row],[Дата]])</f>
        <v>2023</v>
      </c>
      <c r="E65" s="32" t="str">
        <f>IF(Заявки[[#This Row],[Год]]="","Пустая","Доходы")</f>
        <v>Доходы</v>
      </c>
      <c r="F65" s="32" t="s">
        <v>89</v>
      </c>
      <c r="G65" s="32" t="str">
        <f>VLOOKUP(Заявки[[#This Row],[Заказчик]],Контрагенты!B:E,4,FALSE)</f>
        <v>Наличными</v>
      </c>
      <c r="H65" s="37" t="str">
        <f>VLOOKUP(Заявки[[#This Row],[Заказчик]],Контрагенты!B:D,2,FALSE)</f>
        <v>Яя</v>
      </c>
      <c r="I65" s="37" t="str">
        <f>VLOOKUP(Заявки[[#This Row],[Заказчик]],Контрагенты!B:D,3,FALSE)</f>
        <v>Яя</v>
      </c>
      <c r="J65" s="30" t="s">
        <v>8</v>
      </c>
      <c r="K65" s="30" t="str">
        <f>VLOOKUP(J65,Прайс!$B$2:$F$81,2,FALSE)</f>
        <v>Хлеб</v>
      </c>
      <c r="L65" s="1">
        <v>5</v>
      </c>
      <c r="M65" s="31">
        <f>VLOOKUP(J65,Прайс!$B$2:$F$81,5,0)</f>
        <v>23</v>
      </c>
      <c r="N65" s="31">
        <f t="shared" si="8"/>
        <v>115</v>
      </c>
      <c r="O65"/>
    </row>
    <row r="66" spans="2:15" x14ac:dyDescent="0.25">
      <c r="B66" s="42">
        <v>44945</v>
      </c>
      <c r="C66" s="51">
        <f>MONTH(Заявки[[#This Row],[Дата]])</f>
        <v>1</v>
      </c>
      <c r="D66" s="51">
        <f>YEAR(Заявки[[#This Row],[Дата]])</f>
        <v>2023</v>
      </c>
      <c r="E66" s="32" t="str">
        <f>IF(Заявки[[#This Row],[Год]]="","Пустая","Доходы")</f>
        <v>Доходы</v>
      </c>
      <c r="F66" s="32" t="s">
        <v>90</v>
      </c>
      <c r="G66" s="32" t="str">
        <f>VLOOKUP(Заявки[[#This Row],[Заказчик]],Контрагенты!B:E,4,FALSE)</f>
        <v>Наличными</v>
      </c>
      <c r="H66" s="37" t="str">
        <f>VLOOKUP(Заявки[[#This Row],[Заказчик]],Контрагенты!B:D,2,FALSE)</f>
        <v>Колыон</v>
      </c>
      <c r="I66" s="37" t="str">
        <f>VLOOKUP(Заявки[[#This Row],[Заказчик]],Контрагенты!B:D,3,FALSE)</f>
        <v>Колыон</v>
      </c>
      <c r="J66" s="30" t="s">
        <v>135</v>
      </c>
      <c r="K66" s="30" t="str">
        <f>VLOOKUP(J66,Прайс!$B$2:$F$81,2,FALSE)</f>
        <v>Другое</v>
      </c>
      <c r="L66" s="1">
        <v>3</v>
      </c>
      <c r="M66" s="31">
        <f>VLOOKUP(J66,Прайс!$B$2:$F$81,5,0)</f>
        <v>30</v>
      </c>
      <c r="N66" s="31">
        <f t="shared" si="8"/>
        <v>90</v>
      </c>
      <c r="O66"/>
    </row>
    <row r="67" spans="2:15" x14ac:dyDescent="0.25">
      <c r="B67" s="42">
        <v>44945</v>
      </c>
      <c r="C67" s="51">
        <f>MONTH(Заявки[[#This Row],[Дата]])</f>
        <v>1</v>
      </c>
      <c r="D67" s="51">
        <f>YEAR(Заявки[[#This Row],[Дата]])</f>
        <v>2023</v>
      </c>
      <c r="E67" s="32" t="str">
        <f>IF(Заявки[[#This Row],[Год]]="","Пустая","Доходы")</f>
        <v>Доходы</v>
      </c>
      <c r="F67" s="32" t="s">
        <v>92</v>
      </c>
      <c r="G67" s="32" t="str">
        <f>VLOOKUP(Заявки[[#This Row],[Заказчик]],Контрагенты!B:E,4,FALSE)</f>
        <v>Наличными</v>
      </c>
      <c r="H67" s="37" t="str">
        <f>VLOOKUP(Заявки[[#This Row],[Заказчик]],Контрагенты!B:D,2,FALSE)</f>
        <v>Ижморка</v>
      </c>
      <c r="I67" s="37" t="str">
        <f>VLOOKUP(Заявки[[#This Row],[Заказчик]],Контрагенты!B:D,3,FALSE)</f>
        <v>Ижморка</v>
      </c>
      <c r="J67" s="30" t="s">
        <v>6</v>
      </c>
      <c r="K67" s="30" t="str">
        <f>VLOOKUP(J67,Прайс!$B$2:$F$81,2,FALSE)</f>
        <v>Хлеб</v>
      </c>
      <c r="L67" s="1">
        <v>4</v>
      </c>
      <c r="M67" s="31">
        <f>VLOOKUP(J67,Прайс!$B$2:$F$81,5,0)</f>
        <v>23</v>
      </c>
      <c r="N67" s="31">
        <f t="shared" si="8"/>
        <v>92</v>
      </c>
      <c r="O67"/>
    </row>
    <row r="68" spans="2:15" x14ac:dyDescent="0.25">
      <c r="B68" s="42">
        <v>44958</v>
      </c>
      <c r="C68" s="51">
        <f>MONTH(Заявки[[#This Row],[Дата]])</f>
        <v>2</v>
      </c>
      <c r="D68" s="51">
        <f>YEAR(Заявки[[#This Row],[Дата]])</f>
        <v>2023</v>
      </c>
      <c r="E68" s="32" t="str">
        <f>IF(Заявки[[#This Row],[Год]]="","Пустая","Доходы")</f>
        <v>Доходы</v>
      </c>
      <c r="F68" s="32" t="s">
        <v>116</v>
      </c>
      <c r="G68" s="32" t="str">
        <f>VLOOKUP(Заявки[[#This Row],[Заказчик]],Контрагенты!B:E,4,FALSE)</f>
        <v>Безналичная</v>
      </c>
      <c r="H68" s="37" t="str">
        <f>VLOOKUP(Заявки[[#This Row],[Заказчик]],Контрагенты!B:D,2,FALSE)</f>
        <v>Яя</v>
      </c>
      <c r="I68" s="37" t="str">
        <f>VLOOKUP(Заявки[[#This Row],[Заказчик]],Контрагенты!B:D,3,FALSE)</f>
        <v>Школы и сады</v>
      </c>
      <c r="J68" s="30" t="s">
        <v>4</v>
      </c>
      <c r="K68" s="30" t="str">
        <f>VLOOKUP(J68,Прайс!$B$2:$F$81,2,FALSE)</f>
        <v>Хлеб</v>
      </c>
      <c r="L68" s="1">
        <v>5</v>
      </c>
      <c r="M68" s="31">
        <f>VLOOKUP(J68,Прайс!$B$2:$F$81,5,0)</f>
        <v>27</v>
      </c>
      <c r="N68" s="31">
        <f t="shared" si="8"/>
        <v>135</v>
      </c>
      <c r="O68"/>
    </row>
    <row r="69" spans="2:15" x14ac:dyDescent="0.25">
      <c r="B69" s="42">
        <v>44958</v>
      </c>
      <c r="C69" s="51">
        <f>MONTH(Заявки[[#This Row],[Дата]])</f>
        <v>2</v>
      </c>
      <c r="D69" s="51">
        <f>YEAR(Заявки[[#This Row],[Дата]])</f>
        <v>2023</v>
      </c>
      <c r="E69" s="32" t="str">
        <f>IF(Заявки[[#This Row],[Год]]="","Пустая","Доходы")</f>
        <v>Доходы</v>
      </c>
      <c r="F69" s="32" t="s">
        <v>92</v>
      </c>
      <c r="G69" s="32" t="str">
        <f>VLOOKUP(Заявки[[#This Row],[Заказчик]],Контрагенты!B:E,4,FALSE)</f>
        <v>Наличными</v>
      </c>
      <c r="H69" s="37" t="str">
        <f>VLOOKUP(Заявки[[#This Row],[Заказчик]],Контрагенты!B:D,2,FALSE)</f>
        <v>Ижморка</v>
      </c>
      <c r="I69" s="37" t="str">
        <f>VLOOKUP(Заявки[[#This Row],[Заказчик]],Контрагенты!B:D,3,FALSE)</f>
        <v>Ижморка</v>
      </c>
      <c r="J69" s="30" t="s">
        <v>81</v>
      </c>
      <c r="K69" s="30" t="str">
        <f>VLOOKUP(J69,Прайс!$B$2:$F$81,2,FALSE)</f>
        <v>Другое</v>
      </c>
      <c r="L69" s="1">
        <v>2</v>
      </c>
      <c r="M69" s="31">
        <f>VLOOKUP(J69,Прайс!$B$2:$F$81,5,0)</f>
        <v>75</v>
      </c>
      <c r="N69" s="31">
        <f t="shared" si="8"/>
        <v>150</v>
      </c>
      <c r="O69"/>
    </row>
    <row r="70" spans="2:15" x14ac:dyDescent="0.25">
      <c r="B70" s="42">
        <v>44958</v>
      </c>
      <c r="C70" s="51">
        <f>MONTH(Заявки[[#This Row],[Дата]])</f>
        <v>2</v>
      </c>
      <c r="D70" s="51">
        <f>YEAR(Заявки[[#This Row],[Дата]])</f>
        <v>2023</v>
      </c>
      <c r="E70" s="32" t="str">
        <f>IF(Заявки[[#This Row],[Год]]="","Пустая","Доходы")</f>
        <v>Доходы</v>
      </c>
      <c r="F70" s="32" t="s">
        <v>92</v>
      </c>
      <c r="G70" s="32" t="str">
        <f>VLOOKUP(Заявки[[#This Row],[Заказчик]],Контрагенты!B:E,4,FALSE)</f>
        <v>Наличными</v>
      </c>
      <c r="H70" s="37" t="str">
        <f>VLOOKUP(Заявки[[#This Row],[Заказчик]],Контрагенты!B:D,2,FALSE)</f>
        <v>Ижморка</v>
      </c>
      <c r="I70" s="37" t="str">
        <f>VLOOKUP(Заявки[[#This Row],[Заказчик]],Контрагенты!B:D,3,FALSE)</f>
        <v>Ижморка</v>
      </c>
      <c r="J70" s="30" t="s">
        <v>69</v>
      </c>
      <c r="K70" s="30" t="str">
        <f>VLOOKUP(J70,Прайс!$B$2:$F$81,2,FALSE)</f>
        <v>Булочки</v>
      </c>
      <c r="L70" s="1">
        <v>3</v>
      </c>
      <c r="M70" s="31">
        <f>VLOOKUP(J70,Прайс!$B$2:$F$81,5,0)</f>
        <v>18</v>
      </c>
      <c r="N70" s="31">
        <f t="shared" ref="N70:N86" si="9">L70*M70</f>
        <v>54</v>
      </c>
      <c r="O70"/>
    </row>
    <row r="71" spans="2:15" x14ac:dyDescent="0.25">
      <c r="B71" s="42">
        <v>44958</v>
      </c>
      <c r="C71" s="51">
        <f>MONTH(Заявки[[#This Row],[Дата]])</f>
        <v>2</v>
      </c>
      <c r="D71" s="51">
        <f>YEAR(Заявки[[#This Row],[Дата]])</f>
        <v>2023</v>
      </c>
      <c r="E71" s="32" t="str">
        <f>IF(Заявки[[#This Row],[Год]]="","Пустая","Доходы")</f>
        <v>Доходы</v>
      </c>
      <c r="F71" s="32" t="s">
        <v>92</v>
      </c>
      <c r="G71" s="32" t="str">
        <f>VLOOKUP(Заявки[[#This Row],[Заказчик]],Контрагенты!B:E,4,FALSE)</f>
        <v>Наличными</v>
      </c>
      <c r="H71" s="37" t="str">
        <f>VLOOKUP(Заявки[[#This Row],[Заказчик]],Контрагенты!B:D,2,FALSE)</f>
        <v>Ижморка</v>
      </c>
      <c r="I71" s="37" t="str">
        <f>VLOOKUP(Заявки[[#This Row],[Заказчик]],Контрагенты!B:D,3,FALSE)</f>
        <v>Ижморка</v>
      </c>
      <c r="J71" s="30" t="s">
        <v>3</v>
      </c>
      <c r="K71" s="30" t="str">
        <f>VLOOKUP(J71,Прайс!$B$2:$F$81,2,FALSE)</f>
        <v>Хлеб</v>
      </c>
      <c r="L71" s="1">
        <v>4</v>
      </c>
      <c r="M71" s="31">
        <f>VLOOKUP(J71,Прайс!$B$2:$F$81,5,0)</f>
        <v>26</v>
      </c>
      <c r="N71" s="31">
        <f t="shared" si="9"/>
        <v>104</v>
      </c>
      <c r="O71"/>
    </row>
    <row r="72" spans="2:15" x14ac:dyDescent="0.25">
      <c r="B72" s="42">
        <v>44958</v>
      </c>
      <c r="C72" s="51">
        <f>MONTH(Заявки[[#This Row],[Дата]])</f>
        <v>2</v>
      </c>
      <c r="D72" s="51">
        <f>YEAR(Заявки[[#This Row],[Дата]])</f>
        <v>2023</v>
      </c>
      <c r="E72" s="32" t="str">
        <f>IF(Заявки[[#This Row],[Год]]="","Пустая","Доходы")</f>
        <v>Доходы</v>
      </c>
      <c r="F72" s="32" t="s">
        <v>92</v>
      </c>
      <c r="G72" s="32" t="str">
        <f>VLOOKUP(Заявки[[#This Row],[Заказчик]],Контрагенты!B:E,4,FALSE)</f>
        <v>Наличными</v>
      </c>
      <c r="H72" s="37" t="str">
        <f>VLOOKUP(Заявки[[#This Row],[Заказчик]],Контрагенты!B:D,2,FALSE)</f>
        <v>Ижморка</v>
      </c>
      <c r="I72" s="37" t="str">
        <f>VLOOKUP(Заявки[[#This Row],[Заказчик]],Контрагенты!B:D,3,FALSE)</f>
        <v>Ижморка</v>
      </c>
      <c r="J72" s="30" t="s">
        <v>73</v>
      </c>
      <c r="K72" s="30" t="str">
        <f>VLOOKUP(J72,Прайс!$B$2:$F$81,2,FALSE)</f>
        <v>Булочки</v>
      </c>
      <c r="L72" s="1">
        <v>5</v>
      </c>
      <c r="M72" s="31">
        <f>VLOOKUP(J72,Прайс!$B$2:$F$81,5,0)</f>
        <v>19</v>
      </c>
      <c r="N72" s="31">
        <f t="shared" si="9"/>
        <v>95</v>
      </c>
      <c r="O72"/>
    </row>
    <row r="73" spans="2:15" x14ac:dyDescent="0.25">
      <c r="B73" s="42">
        <v>44958</v>
      </c>
      <c r="C73" s="51">
        <f>MONTH(Заявки[[#This Row],[Дата]])</f>
        <v>2</v>
      </c>
      <c r="D73" s="51">
        <f>YEAR(Заявки[[#This Row],[Дата]])</f>
        <v>2023</v>
      </c>
      <c r="E73" s="32" t="str">
        <f>IF(Заявки[[#This Row],[Год]]="","Пустая","Доходы")</f>
        <v>Доходы</v>
      </c>
      <c r="F73" s="32" t="s">
        <v>92</v>
      </c>
      <c r="G73" s="32" t="str">
        <f>VLOOKUP(Заявки[[#This Row],[Заказчик]],Контрагенты!B:E,4,FALSE)</f>
        <v>Наличными</v>
      </c>
      <c r="H73" s="37" t="str">
        <f>VLOOKUP(Заявки[[#This Row],[Заказчик]],Контрагенты!B:D,2,FALSE)</f>
        <v>Ижморка</v>
      </c>
      <c r="I73" s="37" t="str">
        <f>VLOOKUP(Заявки[[#This Row],[Заказчик]],Контрагенты!B:D,3,FALSE)</f>
        <v>Ижморка</v>
      </c>
      <c r="J73" s="30" t="s">
        <v>73</v>
      </c>
      <c r="K73" s="30" t="str">
        <f>VLOOKUP(J73,Прайс!$B$2:$F$81,2,FALSE)</f>
        <v>Булочки</v>
      </c>
      <c r="L73" s="1">
        <v>10</v>
      </c>
      <c r="M73" s="31">
        <f>VLOOKUP(J73,Прайс!$B$2:$F$81,5,0)</f>
        <v>19</v>
      </c>
      <c r="N73" s="31">
        <f t="shared" si="9"/>
        <v>190</v>
      </c>
      <c r="O73"/>
    </row>
    <row r="74" spans="2:15" x14ac:dyDescent="0.25">
      <c r="B74" s="42">
        <v>44958</v>
      </c>
      <c r="C74" s="51">
        <f>MONTH(Заявки[[#This Row],[Дата]])</f>
        <v>2</v>
      </c>
      <c r="D74" s="51">
        <f>YEAR(Заявки[[#This Row],[Дата]])</f>
        <v>2023</v>
      </c>
      <c r="E74" s="32" t="str">
        <f>IF(Заявки[[#This Row],[Год]]="","Пустая","Доходы")</f>
        <v>Доходы</v>
      </c>
      <c r="F74" s="32" t="s">
        <v>92</v>
      </c>
      <c r="G74" s="32" t="str">
        <f>VLOOKUP(Заявки[[#This Row],[Заказчик]],Контрагенты!B:E,4,FALSE)</f>
        <v>Наличными</v>
      </c>
      <c r="H74" s="37" t="str">
        <f>VLOOKUP(Заявки[[#This Row],[Заказчик]],Контрагенты!B:D,2,FALSE)</f>
        <v>Ижморка</v>
      </c>
      <c r="I74" s="37" t="str">
        <f>VLOOKUP(Заявки[[#This Row],[Заказчик]],Контрагенты!B:D,3,FALSE)</f>
        <v>Ижморка</v>
      </c>
      <c r="J74" s="30" t="s">
        <v>73</v>
      </c>
      <c r="K74" s="30" t="str">
        <f>VLOOKUP(J74,Прайс!$B$2:$F$81,2,FALSE)</f>
        <v>Булочки</v>
      </c>
      <c r="L74" s="1">
        <v>10</v>
      </c>
      <c r="M74" s="31">
        <f>VLOOKUP(J74,Прайс!$B$2:$F$81,5,0)</f>
        <v>19</v>
      </c>
      <c r="N74" s="31">
        <f t="shared" si="9"/>
        <v>190</v>
      </c>
      <c r="O74"/>
    </row>
    <row r="75" spans="2:15" x14ac:dyDescent="0.25">
      <c r="B75" s="42">
        <v>44958</v>
      </c>
      <c r="C75" s="51">
        <f>MONTH(Заявки[[#This Row],[Дата]])</f>
        <v>2</v>
      </c>
      <c r="D75" s="51">
        <f>YEAR(Заявки[[#This Row],[Дата]])</f>
        <v>2023</v>
      </c>
      <c r="E75" s="32" t="str">
        <f>IF(Заявки[[#This Row],[Год]]="","Пустая","Доходы")</f>
        <v>Доходы</v>
      </c>
      <c r="F75" s="32" t="s">
        <v>92</v>
      </c>
      <c r="G75" s="32" t="str">
        <f>VLOOKUP(Заявки[[#This Row],[Заказчик]],Контрагенты!B:E,4,FALSE)</f>
        <v>Наличными</v>
      </c>
      <c r="H75" s="37" t="str">
        <f>VLOOKUP(Заявки[[#This Row],[Заказчик]],Контрагенты!B:D,2,FALSE)</f>
        <v>Ижморка</v>
      </c>
      <c r="I75" s="37" t="str">
        <f>VLOOKUP(Заявки[[#This Row],[Заказчик]],Контрагенты!B:D,3,FALSE)</f>
        <v>Ижморка</v>
      </c>
      <c r="J75" s="30" t="s">
        <v>73</v>
      </c>
      <c r="K75" s="30" t="str">
        <f>VLOOKUP(J75,Прайс!$B$2:$F$81,2,FALSE)</f>
        <v>Булочки</v>
      </c>
      <c r="L75" s="1">
        <v>10</v>
      </c>
      <c r="M75" s="31">
        <f>VLOOKUP(J75,Прайс!$B$2:$F$81,5,0)</f>
        <v>19</v>
      </c>
      <c r="N75" s="31">
        <f t="shared" si="9"/>
        <v>190</v>
      </c>
      <c r="O75"/>
    </row>
    <row r="76" spans="2:15" x14ac:dyDescent="0.25">
      <c r="B76" s="42">
        <v>44958</v>
      </c>
      <c r="C76" s="51">
        <f>MONTH(Заявки[[#This Row],[Дата]])</f>
        <v>2</v>
      </c>
      <c r="D76" s="51">
        <f>YEAR(Заявки[[#This Row],[Дата]])</f>
        <v>2023</v>
      </c>
      <c r="E76" s="32" t="str">
        <f>IF(Заявки[[#This Row],[Год]]="","Пустая","Доходы")</f>
        <v>Доходы</v>
      </c>
      <c r="F76" s="32" t="s">
        <v>92</v>
      </c>
      <c r="G76" s="32" t="str">
        <f>VLOOKUP(Заявки[[#This Row],[Заказчик]],Контрагенты!B:E,4,FALSE)</f>
        <v>Наличными</v>
      </c>
      <c r="H76" s="37" t="str">
        <f>VLOOKUP(Заявки[[#This Row],[Заказчик]],Контрагенты!B:D,2,FALSE)</f>
        <v>Ижморка</v>
      </c>
      <c r="I76" s="37" t="str">
        <f>VLOOKUP(Заявки[[#This Row],[Заказчик]],Контрагенты!B:D,3,FALSE)</f>
        <v>Ижморка</v>
      </c>
      <c r="J76" s="30" t="s">
        <v>73</v>
      </c>
      <c r="K76" s="30" t="str">
        <f>VLOOKUP(J76,Прайс!$B$2:$F$81,2,FALSE)</f>
        <v>Булочки</v>
      </c>
      <c r="L76" s="1">
        <v>10</v>
      </c>
      <c r="M76" s="31">
        <f>VLOOKUP(J76,Прайс!$B$2:$F$81,5,0)</f>
        <v>19</v>
      </c>
      <c r="N76" s="31">
        <f t="shared" si="9"/>
        <v>190</v>
      </c>
      <c r="O76"/>
    </row>
    <row r="77" spans="2:15" x14ac:dyDescent="0.25">
      <c r="B77" s="42">
        <v>44958</v>
      </c>
      <c r="C77" s="51">
        <f>MONTH(Заявки[[#This Row],[Дата]])</f>
        <v>2</v>
      </c>
      <c r="D77" s="51">
        <f>YEAR(Заявки[[#This Row],[Дата]])</f>
        <v>2023</v>
      </c>
      <c r="E77" s="32" t="str">
        <f>IF(Заявки[[#This Row],[Год]]="","Пустая","Доходы")</f>
        <v>Доходы</v>
      </c>
      <c r="F77" s="32" t="s">
        <v>92</v>
      </c>
      <c r="G77" s="32" t="str">
        <f>VLOOKUP(Заявки[[#This Row],[Заказчик]],Контрагенты!B:E,4,FALSE)</f>
        <v>Наличными</v>
      </c>
      <c r="H77" s="37" t="str">
        <f>VLOOKUP(Заявки[[#This Row],[Заказчик]],Контрагенты!B:D,2,FALSE)</f>
        <v>Ижморка</v>
      </c>
      <c r="I77" s="37" t="str">
        <f>VLOOKUP(Заявки[[#This Row],[Заказчик]],Контрагенты!B:D,3,FALSE)</f>
        <v>Ижморка</v>
      </c>
      <c r="J77" s="30" t="s">
        <v>73</v>
      </c>
      <c r="K77" s="30" t="str">
        <f>VLOOKUP(J77,Прайс!$B$2:$F$81,2,FALSE)</f>
        <v>Булочки</v>
      </c>
      <c r="L77" s="1">
        <v>10</v>
      </c>
      <c r="M77" s="31">
        <f>VLOOKUP(J77,Прайс!$B$2:$F$81,5,0)</f>
        <v>19</v>
      </c>
      <c r="N77" s="31">
        <f t="shared" si="9"/>
        <v>190</v>
      </c>
      <c r="O77"/>
    </row>
    <row r="78" spans="2:15" x14ac:dyDescent="0.25">
      <c r="B78" s="42">
        <v>44958</v>
      </c>
      <c r="C78" s="51">
        <f>MONTH(Заявки[[#This Row],[Дата]])</f>
        <v>2</v>
      </c>
      <c r="D78" s="51">
        <f>YEAR(Заявки[[#This Row],[Дата]])</f>
        <v>2023</v>
      </c>
      <c r="E78" s="32" t="str">
        <f>IF(Заявки[[#This Row],[Год]]="","Пустая","Доходы")</f>
        <v>Доходы</v>
      </c>
      <c r="F78" s="32" t="s">
        <v>125</v>
      </c>
      <c r="G78" s="32" t="str">
        <f>VLOOKUP(Заявки[[#This Row],[Заказчик]],Контрагенты!B:E,4,FALSE)</f>
        <v>Наличными</v>
      </c>
      <c r="H78" s="37" t="str">
        <f>VLOOKUP(Заявки[[#This Row],[Заказчик]],Контрагенты!B:D,2,FALSE)</f>
        <v>Яя</v>
      </c>
      <c r="I78" s="37" t="str">
        <f>VLOOKUP(Заявки[[#This Row],[Заказчик]],Контрагенты!B:D,3,FALSE)</f>
        <v>Водитель</v>
      </c>
      <c r="J78" s="30" t="s">
        <v>73</v>
      </c>
      <c r="K78" s="30" t="str">
        <f>VLOOKUP(J78,Прайс!$B$2:$F$81,2,FALSE)</f>
        <v>Булочки</v>
      </c>
      <c r="L78" s="1">
        <v>10</v>
      </c>
      <c r="M78" s="31">
        <f>VLOOKUP(J78,Прайс!$B$2:$F$81,5,0)</f>
        <v>19</v>
      </c>
      <c r="N78" s="31">
        <f t="shared" si="9"/>
        <v>190</v>
      </c>
      <c r="O78"/>
    </row>
    <row r="79" spans="2:15" x14ac:dyDescent="0.25">
      <c r="B79" s="42">
        <v>44958</v>
      </c>
      <c r="C79" s="51">
        <f>MONTH(Заявки[[#This Row],[Дата]])</f>
        <v>2</v>
      </c>
      <c r="D79" s="51">
        <f>YEAR(Заявки[[#This Row],[Дата]])</f>
        <v>2023</v>
      </c>
      <c r="E79" s="32" t="str">
        <f>IF(Заявки[[#This Row],[Год]]="","Пустая","Доходы")</f>
        <v>Доходы</v>
      </c>
      <c r="F79" s="32" t="s">
        <v>125</v>
      </c>
      <c r="G79" s="32" t="str">
        <f>VLOOKUP(Заявки[[#This Row],[Заказчик]],Контрагенты!B:E,4,FALSE)</f>
        <v>Наличными</v>
      </c>
      <c r="H79" s="37" t="str">
        <f>VLOOKUP(Заявки[[#This Row],[Заказчик]],Контрагенты!B:D,2,FALSE)</f>
        <v>Яя</v>
      </c>
      <c r="I79" s="37" t="str">
        <f>VLOOKUP(Заявки[[#This Row],[Заказчик]],Контрагенты!B:D,3,FALSE)</f>
        <v>Водитель</v>
      </c>
      <c r="J79" s="30" t="s">
        <v>73</v>
      </c>
      <c r="K79" s="30" t="str">
        <f>VLOOKUP(J79,Прайс!$B$2:$F$81,2,FALSE)</f>
        <v>Булочки</v>
      </c>
      <c r="L79" s="1">
        <v>10</v>
      </c>
      <c r="M79" s="31">
        <f>VLOOKUP(J79,Прайс!$B$2:$F$81,5,0)</f>
        <v>19</v>
      </c>
      <c r="N79" s="31">
        <f t="shared" si="9"/>
        <v>190</v>
      </c>
      <c r="O79"/>
    </row>
    <row r="80" spans="2:15" x14ac:dyDescent="0.25">
      <c r="B80" s="42">
        <v>44958</v>
      </c>
      <c r="C80" s="51">
        <f>MONTH(Заявки[[#This Row],[Дата]])</f>
        <v>2</v>
      </c>
      <c r="D80" s="51">
        <f>YEAR(Заявки[[#This Row],[Дата]])</f>
        <v>2023</v>
      </c>
      <c r="E80" s="32" t="str">
        <f>IF(Заявки[[#This Row],[Год]]="","Пустая","Доходы")</f>
        <v>Доходы</v>
      </c>
      <c r="F80" s="32" t="s">
        <v>92</v>
      </c>
      <c r="G80" s="32" t="str">
        <f>VLOOKUP(Заявки[[#This Row],[Заказчик]],Контрагенты!B:E,4,FALSE)</f>
        <v>Наличными</v>
      </c>
      <c r="H80" s="37" t="str">
        <f>VLOOKUP(Заявки[[#This Row],[Заказчик]],Контрагенты!B:D,2,FALSE)</f>
        <v>Ижморка</v>
      </c>
      <c r="I80" s="37" t="str">
        <f>VLOOKUP(Заявки[[#This Row],[Заказчик]],Контрагенты!B:D,3,FALSE)</f>
        <v>Ижморка</v>
      </c>
      <c r="J80" s="30" t="s">
        <v>73</v>
      </c>
      <c r="K80" s="30" t="str">
        <f>VLOOKUP(J80,Прайс!$B$2:$F$81,2,FALSE)</f>
        <v>Булочки</v>
      </c>
      <c r="L80" s="1">
        <v>10</v>
      </c>
      <c r="M80" s="31">
        <f>VLOOKUP(J80,Прайс!$B$2:$F$81,5,0)</f>
        <v>19</v>
      </c>
      <c r="N80" s="31">
        <f t="shared" si="9"/>
        <v>190</v>
      </c>
      <c r="O80"/>
    </row>
    <row r="81" spans="2:15" x14ac:dyDescent="0.25">
      <c r="B81" s="42">
        <v>44958</v>
      </c>
      <c r="C81" s="51">
        <f>MONTH(Заявки[[#This Row],[Дата]])</f>
        <v>2</v>
      </c>
      <c r="D81" s="51">
        <f>YEAR(Заявки[[#This Row],[Дата]])</f>
        <v>2023</v>
      </c>
      <c r="E81" s="32" t="str">
        <f>IF(Заявки[[#This Row],[Год]]="","Пустая","Доходы")</f>
        <v>Доходы</v>
      </c>
      <c r="F81" s="32" t="s">
        <v>116</v>
      </c>
      <c r="G81" s="32" t="str">
        <f>VLOOKUP(Заявки[[#This Row],[Заказчик]],Контрагенты!B:E,4,FALSE)</f>
        <v>Безналичная</v>
      </c>
      <c r="H81" s="37" t="str">
        <f>VLOOKUP(Заявки[[#This Row],[Заказчик]],Контрагенты!B:D,2,FALSE)</f>
        <v>Яя</v>
      </c>
      <c r="I81" s="37" t="str">
        <f>VLOOKUP(Заявки[[#This Row],[Заказчик]],Контрагенты!B:D,3,FALSE)</f>
        <v>Школы и сады</v>
      </c>
      <c r="J81" s="30" t="s">
        <v>73</v>
      </c>
      <c r="K81" s="30" t="str">
        <f>VLOOKUP(J81,Прайс!$B$2:$F$81,2,FALSE)</f>
        <v>Булочки</v>
      </c>
      <c r="L81" s="1">
        <v>10</v>
      </c>
      <c r="M81" s="31">
        <f>VLOOKUP(J81,Прайс!$B$2:$F$81,5,0)</f>
        <v>19</v>
      </c>
      <c r="N81" s="31">
        <f t="shared" si="9"/>
        <v>190</v>
      </c>
      <c r="O81"/>
    </row>
    <row r="82" spans="2:15" x14ac:dyDescent="0.25">
      <c r="B82" s="42">
        <v>44958</v>
      </c>
      <c r="C82" s="51">
        <f>MONTH(Заявки[[#This Row],[Дата]])</f>
        <v>2</v>
      </c>
      <c r="D82" s="51">
        <f>YEAR(Заявки[[#This Row],[Дата]])</f>
        <v>2023</v>
      </c>
      <c r="E82" s="32" t="str">
        <f>IF(Заявки[[#This Row],[Год]]="","Пустая","Доходы")</f>
        <v>Доходы</v>
      </c>
      <c r="F82" s="32" t="s">
        <v>116</v>
      </c>
      <c r="G82" s="32" t="str">
        <f>VLOOKUP(Заявки[[#This Row],[Заказчик]],Контрагенты!B:E,4,FALSE)</f>
        <v>Безналичная</v>
      </c>
      <c r="H82" s="37" t="str">
        <f>VLOOKUP(Заявки[[#This Row],[Заказчик]],Контрагенты!B:D,2,FALSE)</f>
        <v>Яя</v>
      </c>
      <c r="I82" s="37" t="str">
        <f>VLOOKUP(Заявки[[#This Row],[Заказчик]],Контрагенты!B:D,3,FALSE)</f>
        <v>Школы и сады</v>
      </c>
      <c r="J82" s="30" t="s">
        <v>73</v>
      </c>
      <c r="K82" s="30" t="str">
        <f>VLOOKUP(J82,Прайс!$B$2:$F$81,2,FALSE)</f>
        <v>Булочки</v>
      </c>
      <c r="L82" s="1">
        <v>10</v>
      </c>
      <c r="M82" s="31">
        <f>VLOOKUP(J82,Прайс!$B$2:$F$81,5,0)</f>
        <v>19</v>
      </c>
      <c r="N82" s="31">
        <f t="shared" si="9"/>
        <v>190</v>
      </c>
      <c r="O82"/>
    </row>
    <row r="83" spans="2:15" x14ac:dyDescent="0.25">
      <c r="B83" s="42">
        <v>44959</v>
      </c>
      <c r="C83" s="51">
        <f>MONTH(Заявки[[#This Row],[Дата]])</f>
        <v>2</v>
      </c>
      <c r="D83" s="51">
        <f>YEAR(Заявки[[#This Row],[Дата]])</f>
        <v>2023</v>
      </c>
      <c r="E83" s="32" t="str">
        <f>IF(Заявки[[#This Row],[Год]]="","Пустая","Доходы")</f>
        <v>Доходы</v>
      </c>
      <c r="F83" s="32" t="s">
        <v>116</v>
      </c>
      <c r="G83" s="32" t="str">
        <f>VLOOKUP(Заявки[[#This Row],[Заказчик]],Контрагенты!B:E,4,FALSE)</f>
        <v>Безналичная</v>
      </c>
      <c r="H83" s="37" t="str">
        <f>VLOOKUP(Заявки[[#This Row],[Заказчик]],Контрагенты!B:D,2,FALSE)</f>
        <v>Яя</v>
      </c>
      <c r="I83" s="37" t="str">
        <f>VLOOKUP(Заявки[[#This Row],[Заказчик]],Контрагенты!B:D,3,FALSE)</f>
        <v>Школы и сады</v>
      </c>
      <c r="J83" s="30" t="s">
        <v>73</v>
      </c>
      <c r="K83" s="30" t="str">
        <f>VLOOKUP(J83,Прайс!$B$2:$F$81,2,FALSE)</f>
        <v>Булочки</v>
      </c>
      <c r="L83" s="1">
        <v>10</v>
      </c>
      <c r="M83" s="31">
        <f>VLOOKUP(J83,Прайс!$B$2:$F$81,5,0)</f>
        <v>19</v>
      </c>
      <c r="N83" s="31">
        <f t="shared" si="9"/>
        <v>190</v>
      </c>
      <c r="O83"/>
    </row>
    <row r="84" spans="2:15" x14ac:dyDescent="0.25">
      <c r="B84" s="42">
        <v>44959</v>
      </c>
      <c r="C84" s="51">
        <f>MONTH(Заявки[[#This Row],[Дата]])</f>
        <v>2</v>
      </c>
      <c r="D84" s="51">
        <f>YEAR(Заявки[[#This Row],[Дата]])</f>
        <v>2023</v>
      </c>
      <c r="E84" s="32" t="str">
        <f>IF(Заявки[[#This Row],[Год]]="","Пустая","Доходы")</f>
        <v>Доходы</v>
      </c>
      <c r="F84" s="32" t="s">
        <v>116</v>
      </c>
      <c r="G84" s="32" t="str">
        <f>VLOOKUP(Заявки[[#This Row],[Заказчик]],Контрагенты!B:E,4,FALSE)</f>
        <v>Безналичная</v>
      </c>
      <c r="H84" s="37" t="str">
        <f>VLOOKUP(Заявки[[#This Row],[Заказчик]],Контрагенты!B:D,2,FALSE)</f>
        <v>Яя</v>
      </c>
      <c r="I84" s="37" t="str">
        <f>VLOOKUP(Заявки[[#This Row],[Заказчик]],Контрагенты!B:D,3,FALSE)</f>
        <v>Школы и сады</v>
      </c>
      <c r="J84" s="30" t="s">
        <v>73</v>
      </c>
      <c r="K84" s="30" t="str">
        <f>VLOOKUP(J84,Прайс!$B$2:$F$81,2,FALSE)</f>
        <v>Булочки</v>
      </c>
      <c r="L84" s="1">
        <v>10</v>
      </c>
      <c r="M84" s="31">
        <f>VLOOKUP(J84,Прайс!$B$2:$F$81,5,0)</f>
        <v>19</v>
      </c>
      <c r="N84" s="31">
        <f t="shared" si="9"/>
        <v>190</v>
      </c>
      <c r="O84"/>
    </row>
    <row r="85" spans="2:15" x14ac:dyDescent="0.25">
      <c r="B85" s="42">
        <v>44959</v>
      </c>
      <c r="C85" s="51">
        <f>MONTH(Заявки[[#This Row],[Дата]])</f>
        <v>2</v>
      </c>
      <c r="D85" s="51">
        <f>YEAR(Заявки[[#This Row],[Дата]])</f>
        <v>2023</v>
      </c>
      <c r="E85" s="32" t="str">
        <f>IF(Заявки[[#This Row],[Год]]="","Пустая","Доходы")</f>
        <v>Доходы</v>
      </c>
      <c r="F85" s="32" t="s">
        <v>116</v>
      </c>
      <c r="G85" s="32" t="str">
        <f>VLOOKUP(Заявки[[#This Row],[Заказчик]],Контрагенты!B:E,4,FALSE)</f>
        <v>Безналичная</v>
      </c>
      <c r="H85" s="37" t="str">
        <f>VLOOKUP(Заявки[[#This Row],[Заказчик]],Контрагенты!B:D,2,FALSE)</f>
        <v>Яя</v>
      </c>
      <c r="I85" s="37" t="str">
        <f>VLOOKUP(Заявки[[#This Row],[Заказчик]],Контрагенты!B:D,3,FALSE)</f>
        <v>Школы и сады</v>
      </c>
      <c r="J85" s="30" t="s">
        <v>73</v>
      </c>
      <c r="K85" s="30" t="str">
        <f>VLOOKUP(J85,Прайс!$B$2:$F$81,2,FALSE)</f>
        <v>Булочки</v>
      </c>
      <c r="L85" s="1">
        <v>10</v>
      </c>
      <c r="M85" s="31">
        <f>VLOOKUP(J85,Прайс!$B$2:$F$81,5,0)</f>
        <v>19</v>
      </c>
      <c r="N85" s="31">
        <f t="shared" si="9"/>
        <v>190</v>
      </c>
      <c r="O85"/>
    </row>
    <row r="86" spans="2:15" x14ac:dyDescent="0.25">
      <c r="B86" s="42">
        <v>44959</v>
      </c>
      <c r="C86" s="51">
        <f>MONTH(Заявки[[#This Row],[Дата]])</f>
        <v>2</v>
      </c>
      <c r="D86" s="51">
        <f>YEAR(Заявки[[#This Row],[Дата]])</f>
        <v>2023</v>
      </c>
      <c r="E86" s="32" t="str">
        <f>IF(Заявки[[#This Row],[Год]]="","Пустая","Доходы")</f>
        <v>Доходы</v>
      </c>
      <c r="F86" s="32" t="s">
        <v>116</v>
      </c>
      <c r="G86" s="32" t="str">
        <f>VLOOKUP(Заявки[[#This Row],[Заказчик]],Контрагенты!B:E,4,FALSE)</f>
        <v>Безналичная</v>
      </c>
      <c r="H86" s="37" t="str">
        <f>VLOOKUP(Заявки[[#This Row],[Заказчик]],Контрагенты!B:D,2,FALSE)</f>
        <v>Яя</v>
      </c>
      <c r="I86" s="37" t="str">
        <f>VLOOKUP(Заявки[[#This Row],[Заказчик]],Контрагенты!B:D,3,FALSE)</f>
        <v>Школы и сады</v>
      </c>
      <c r="J86" s="30" t="s">
        <v>73</v>
      </c>
      <c r="K86" s="30" t="str">
        <f>VLOOKUP(J86,Прайс!$B$2:$F$81,2,FALSE)</f>
        <v>Булочки</v>
      </c>
      <c r="L86" s="1">
        <v>10</v>
      </c>
      <c r="M86" s="31">
        <f>VLOOKUP(J86,Прайс!$B$2:$F$81,5,0)</f>
        <v>19</v>
      </c>
      <c r="N86" s="31">
        <f t="shared" si="9"/>
        <v>190</v>
      </c>
      <c r="O86"/>
    </row>
    <row r="87" spans="2:15" x14ac:dyDescent="0.25">
      <c r="B87" s="42">
        <v>44959</v>
      </c>
      <c r="C87" s="51">
        <f>MONTH(Заявки[[#This Row],[Дата]])</f>
        <v>2</v>
      </c>
      <c r="D87" s="51">
        <f>YEAR(Заявки[[#This Row],[Дата]])</f>
        <v>2023</v>
      </c>
      <c r="E87" s="32" t="str">
        <f>IF(Заявки[[#This Row],[Год]]="","Пустая","Доходы")</f>
        <v>Доходы</v>
      </c>
      <c r="F87" s="32" t="s">
        <v>182</v>
      </c>
      <c r="G87" s="32" t="str">
        <f>VLOOKUP(Заявки[[#This Row],[Заказчик]],Контрагенты!B:E,4,FALSE)</f>
        <v>Наличными</v>
      </c>
      <c r="H87" s="37" t="str">
        <f>VLOOKUP(Заявки[[#This Row],[Заказчик]],Контрагенты!B:D,2,FALSE)</f>
        <v>Яя</v>
      </c>
      <c r="I87" s="37" t="str">
        <f>VLOOKUP(Заявки[[#This Row],[Заказчик]],Контрагенты!B:D,3,FALSE)</f>
        <v>Яя</v>
      </c>
      <c r="J87" s="30" t="s">
        <v>69</v>
      </c>
      <c r="K87" s="30" t="str">
        <f>VLOOKUP(J87,Прайс!$B$2:$F$81,2,FALSE)</f>
        <v>Булочки</v>
      </c>
      <c r="L87" s="1">
        <v>5</v>
      </c>
      <c r="M87" s="31">
        <f>VLOOKUP(J87,Прайс!$B$2:$F$81,5,0)</f>
        <v>18</v>
      </c>
      <c r="N87" s="31">
        <f t="shared" ref="N87:N92" si="10">L87*M87</f>
        <v>90</v>
      </c>
      <c r="O87"/>
    </row>
    <row r="88" spans="2:15" x14ac:dyDescent="0.25">
      <c r="B88" s="42">
        <v>44959</v>
      </c>
      <c r="C88" s="51">
        <f>MONTH(Заявки[[#This Row],[Дата]])</f>
        <v>2</v>
      </c>
      <c r="D88" s="51">
        <f>YEAR(Заявки[[#This Row],[Дата]])</f>
        <v>2023</v>
      </c>
      <c r="E88" s="32" t="str">
        <f>IF(Заявки[[#This Row],[Год]]="","Пустая","Доходы")</f>
        <v>Доходы</v>
      </c>
      <c r="F88" s="32" t="s">
        <v>182</v>
      </c>
      <c r="G88" s="32" t="str">
        <f>VLOOKUP(Заявки[[#This Row],[Заказчик]],Контрагенты!B:E,4,FALSE)</f>
        <v>Наличными</v>
      </c>
      <c r="H88" s="37" t="str">
        <f>VLOOKUP(Заявки[[#This Row],[Заказчик]],Контрагенты!B:D,2,FALSE)</f>
        <v>Яя</v>
      </c>
      <c r="I88" s="37" t="str">
        <f>VLOOKUP(Заявки[[#This Row],[Заказчик]],Контрагенты!B:D,3,FALSE)</f>
        <v>Яя</v>
      </c>
      <c r="J88" s="30" t="s">
        <v>70</v>
      </c>
      <c r="K88" s="30" t="str">
        <f>VLOOKUP(J88,Прайс!$B$2:$F$81,2,FALSE)</f>
        <v>Другое</v>
      </c>
      <c r="L88" s="1">
        <v>5</v>
      </c>
      <c r="M88" s="31">
        <f>VLOOKUP(J88,Прайс!$B$2:$F$81,5,0)</f>
        <v>45</v>
      </c>
      <c r="N88" s="31">
        <f t="shared" si="10"/>
        <v>225</v>
      </c>
      <c r="O88"/>
    </row>
    <row r="89" spans="2:15" x14ac:dyDescent="0.25">
      <c r="B89" s="42">
        <v>44959</v>
      </c>
      <c r="C89" s="51">
        <f>MONTH(Заявки[[#This Row],[Дата]])</f>
        <v>2</v>
      </c>
      <c r="D89" s="51">
        <f>YEAR(Заявки[[#This Row],[Дата]])</f>
        <v>2023</v>
      </c>
      <c r="E89" s="32" t="str">
        <f>IF(Заявки[[#This Row],[Год]]="","Пустая","Доходы")</f>
        <v>Доходы</v>
      </c>
      <c r="F89" s="32" t="s">
        <v>182</v>
      </c>
      <c r="G89" s="32" t="str">
        <f>VLOOKUP(Заявки[[#This Row],[Заказчик]],Контрагенты!B:E,4,FALSE)</f>
        <v>Наличными</v>
      </c>
      <c r="H89" s="37" t="str">
        <f>VLOOKUP(Заявки[[#This Row],[Заказчик]],Контрагенты!B:D,2,FALSE)</f>
        <v>Яя</v>
      </c>
      <c r="I89" s="37" t="str">
        <f>VLOOKUP(Заявки[[#This Row],[Заказчик]],Контрагенты!B:D,3,FALSE)</f>
        <v>Яя</v>
      </c>
      <c r="J89" s="30" t="s">
        <v>4</v>
      </c>
      <c r="K89" s="30" t="str">
        <f>VLOOKUP(J89,Прайс!$B$2:$F$81,2,FALSE)</f>
        <v>Хлеб</v>
      </c>
      <c r="L89" s="1">
        <v>5</v>
      </c>
      <c r="M89" s="31">
        <f>VLOOKUP(J89,Прайс!$B$2:$F$81,5,0)</f>
        <v>27</v>
      </c>
      <c r="N89" s="31">
        <f t="shared" si="10"/>
        <v>135</v>
      </c>
      <c r="O89"/>
    </row>
    <row r="90" spans="2:15" x14ac:dyDescent="0.25">
      <c r="B90" s="42">
        <v>44959</v>
      </c>
      <c r="C90" s="51">
        <f>MONTH(Заявки[[#This Row],[Дата]])</f>
        <v>2</v>
      </c>
      <c r="D90" s="51">
        <f>YEAR(Заявки[[#This Row],[Дата]])</f>
        <v>2023</v>
      </c>
      <c r="E90" s="32" t="str">
        <f>IF(Заявки[[#This Row],[Год]]="","Пустая","Доходы")</f>
        <v>Доходы</v>
      </c>
      <c r="F90" s="32" t="s">
        <v>187</v>
      </c>
      <c r="G90" s="32" t="str">
        <f>VLOOKUP(Заявки[[#This Row],[Заказчик]],Контрагенты!B:E,4,FALSE)</f>
        <v>Наличными</v>
      </c>
      <c r="H90" s="37" t="str">
        <f>VLOOKUP(Заявки[[#This Row],[Заказчик]],Контрагенты!B:D,2,FALSE)</f>
        <v>Яя</v>
      </c>
      <c r="I90" s="37" t="str">
        <f>VLOOKUP(Заявки[[#This Row],[Заказчик]],Контрагенты!B:D,3,FALSE)</f>
        <v>Яя</v>
      </c>
      <c r="J90" s="30" t="s">
        <v>3</v>
      </c>
      <c r="K90" s="30" t="str">
        <f>VLOOKUP(J90,Прайс!$B$2:$F$81,2,FALSE)</f>
        <v>Хлеб</v>
      </c>
      <c r="L90" s="1">
        <v>5</v>
      </c>
      <c r="M90" s="31">
        <f>VLOOKUP(J90,Прайс!$B$2:$F$81,5,0)</f>
        <v>26</v>
      </c>
      <c r="N90" s="31">
        <f t="shared" si="10"/>
        <v>130</v>
      </c>
      <c r="O90"/>
    </row>
    <row r="91" spans="2:15" x14ac:dyDescent="0.25">
      <c r="B91" s="42">
        <v>44959</v>
      </c>
      <c r="C91" s="51">
        <f>MONTH(Заявки[[#This Row],[Дата]])</f>
        <v>2</v>
      </c>
      <c r="D91" s="51">
        <f>YEAR(Заявки[[#This Row],[Дата]])</f>
        <v>2023</v>
      </c>
      <c r="E91" s="32" t="str">
        <f>IF(Заявки[[#This Row],[Год]]="","Пустая","Доходы")</f>
        <v>Доходы</v>
      </c>
      <c r="F91" s="32" t="s">
        <v>118</v>
      </c>
      <c r="G91" s="32" t="str">
        <f>VLOOKUP(Заявки[[#This Row],[Заказчик]],Контрагенты!B:E,4,FALSE)</f>
        <v>Безналичная</v>
      </c>
      <c r="H91" s="37" t="str">
        <f>VLOOKUP(Заявки[[#This Row],[Заказчик]],Контрагенты!B:D,2,FALSE)</f>
        <v>Колыон</v>
      </c>
      <c r="I91" s="37" t="str">
        <f>VLOOKUP(Заявки[[#This Row],[Заказчик]],Контрагенты!B:D,3,FALSE)</f>
        <v>Школы и сады</v>
      </c>
      <c r="J91" s="30" t="s">
        <v>135</v>
      </c>
      <c r="K91" s="30" t="str">
        <f>VLOOKUP(J91,Прайс!$B$2:$F$81,2,FALSE)</f>
        <v>Другое</v>
      </c>
      <c r="L91" s="1">
        <v>5</v>
      </c>
      <c r="M91" s="31">
        <f>VLOOKUP(J91,Прайс!$B$2:$F$81,5,0)</f>
        <v>30</v>
      </c>
      <c r="N91" s="31">
        <f t="shared" si="10"/>
        <v>150</v>
      </c>
      <c r="O91"/>
    </row>
    <row r="92" spans="2:15" x14ac:dyDescent="0.25">
      <c r="B92" s="42">
        <v>44989</v>
      </c>
      <c r="C92" s="51">
        <f>MONTH(Заявки[[#This Row],[Дата]])</f>
        <v>3</v>
      </c>
      <c r="D92" s="51">
        <f>YEAR(Заявки[[#This Row],[Дата]])</f>
        <v>2023</v>
      </c>
      <c r="E92" s="32" t="str">
        <f>IF(Заявки[[#This Row],[Год]]="","Пустая","Доходы")</f>
        <v>Доходы</v>
      </c>
      <c r="F92" s="32" t="s">
        <v>116</v>
      </c>
      <c r="G92" s="32" t="str">
        <f>VLOOKUP(Заявки[[#This Row],[Заказчик]],Контрагенты!B:E,4,FALSE)</f>
        <v>Безналичная</v>
      </c>
      <c r="H92" s="37" t="str">
        <f>VLOOKUP(Заявки[[#This Row],[Заказчик]],Контрагенты!B:D,2,FALSE)</f>
        <v>Яя</v>
      </c>
      <c r="I92" s="37" t="str">
        <f>VLOOKUP(Заявки[[#This Row],[Заказчик]],Контрагенты!B:D,3,FALSE)</f>
        <v>Школы и сады</v>
      </c>
      <c r="J92" s="30" t="s">
        <v>69</v>
      </c>
      <c r="K92" s="30" t="str">
        <f>VLOOKUP(J92,Прайс!$B$2:$F$81,2,FALSE)</f>
        <v>Булочки</v>
      </c>
      <c r="L92" s="1">
        <v>10</v>
      </c>
      <c r="M92" s="31">
        <f>VLOOKUP(J92,Прайс!$B$2:$F$81,5,0)</f>
        <v>18</v>
      </c>
      <c r="N92" s="31">
        <f t="shared" si="10"/>
        <v>180</v>
      </c>
    </row>
    <row r="93" spans="2:15" x14ac:dyDescent="0.25">
      <c r="B93" s="42">
        <v>44989</v>
      </c>
      <c r="C93" s="51">
        <f>MONTH(Заявки[[#This Row],[Дата]])</f>
        <v>3</v>
      </c>
      <c r="D93" s="51">
        <f>YEAR(Заявки[[#This Row],[Дата]])</f>
        <v>2023</v>
      </c>
      <c r="E93" s="32" t="str">
        <f>IF(Заявки[[#This Row],[Год]]="","Пустая","Доходы")</f>
        <v>Доходы</v>
      </c>
      <c r="F93" s="32" t="s">
        <v>116</v>
      </c>
      <c r="G93" s="32" t="str">
        <f>VLOOKUP(Заявки[[#This Row],[Заказчик]],Контрагенты!B:E,4,FALSE)</f>
        <v>Безналичная</v>
      </c>
      <c r="H93" s="37" t="str">
        <f>VLOOKUP(Заявки[[#This Row],[Заказчик]],Контрагенты!B:D,2,FALSE)</f>
        <v>Яя</v>
      </c>
      <c r="I93" s="37" t="str">
        <f>VLOOKUP(Заявки[[#This Row],[Заказчик]],Контрагенты!B:D,3,FALSE)</f>
        <v>Школы и сады</v>
      </c>
      <c r="J93" s="30" t="s">
        <v>69</v>
      </c>
      <c r="K93" s="30" t="str">
        <f>VLOOKUP(J93,Прайс!$B$2:$F$81,2,FALSE)</f>
        <v>Булочки</v>
      </c>
      <c r="L93" s="1">
        <v>10</v>
      </c>
      <c r="M93" s="31">
        <f>VLOOKUP(J93,Прайс!$B$2:$F$81,5,0)</f>
        <v>18</v>
      </c>
      <c r="N93" s="31">
        <f t="shared" ref="N93:N108" si="11">L93*M93</f>
        <v>180</v>
      </c>
    </row>
    <row r="94" spans="2:15" x14ac:dyDescent="0.25">
      <c r="B94" s="42">
        <v>44989</v>
      </c>
      <c r="C94" s="51">
        <f>MONTH(Заявки[[#This Row],[Дата]])</f>
        <v>3</v>
      </c>
      <c r="D94" s="51">
        <f>YEAR(Заявки[[#This Row],[Дата]])</f>
        <v>2023</v>
      </c>
      <c r="E94" s="32" t="str">
        <f>IF(Заявки[[#This Row],[Год]]="","Пустая","Доходы")</f>
        <v>Доходы</v>
      </c>
      <c r="F94" s="32" t="s">
        <v>116</v>
      </c>
      <c r="G94" s="32" t="str">
        <f>VLOOKUP(Заявки[[#This Row],[Заказчик]],Контрагенты!B:E,4,FALSE)</f>
        <v>Безналичная</v>
      </c>
      <c r="H94" s="37" t="str">
        <f>VLOOKUP(Заявки[[#This Row],[Заказчик]],Контрагенты!B:D,2,FALSE)</f>
        <v>Яя</v>
      </c>
      <c r="I94" s="37" t="str">
        <f>VLOOKUP(Заявки[[#This Row],[Заказчик]],Контрагенты!B:D,3,FALSE)</f>
        <v>Школы и сады</v>
      </c>
      <c r="J94" s="30" t="s">
        <v>5</v>
      </c>
      <c r="K94" s="30" t="str">
        <f>VLOOKUP(J94,Прайс!$B$2:$F$81,2,FALSE)</f>
        <v>Хлеб</v>
      </c>
      <c r="L94" s="1">
        <v>10</v>
      </c>
      <c r="M94" s="31">
        <f>VLOOKUP(J94,Прайс!$B$2:$F$81,5,0)</f>
        <v>28</v>
      </c>
      <c r="N94" s="31">
        <f t="shared" si="11"/>
        <v>280</v>
      </c>
    </row>
    <row r="95" spans="2:15" x14ac:dyDescent="0.25">
      <c r="B95" s="42">
        <v>44989</v>
      </c>
      <c r="C95" s="51">
        <f>MONTH(Заявки[[#This Row],[Дата]])</f>
        <v>3</v>
      </c>
      <c r="D95" s="51">
        <f>YEAR(Заявки[[#This Row],[Дата]])</f>
        <v>2023</v>
      </c>
      <c r="E95" s="32" t="str">
        <f>IF(Заявки[[#This Row],[Год]]="","Пустая","Доходы")</f>
        <v>Доходы</v>
      </c>
      <c r="F95" s="32" t="s">
        <v>116</v>
      </c>
      <c r="G95" s="32" t="str">
        <f>VLOOKUP(Заявки[[#This Row],[Заказчик]],Контрагенты!B:E,4,FALSE)</f>
        <v>Безналичная</v>
      </c>
      <c r="H95" s="37" t="str">
        <f>VLOOKUP(Заявки[[#This Row],[Заказчик]],Контрагенты!B:D,2,FALSE)</f>
        <v>Яя</v>
      </c>
      <c r="I95" s="37" t="str">
        <f>VLOOKUP(Заявки[[#This Row],[Заказчик]],Контрагенты!B:D,3,FALSE)</f>
        <v>Школы и сады</v>
      </c>
      <c r="J95" s="30" t="s">
        <v>4</v>
      </c>
      <c r="K95" s="30" t="str">
        <f>VLOOKUP(J95,Прайс!$B$2:$F$81,2,FALSE)</f>
        <v>Хлеб</v>
      </c>
      <c r="L95" s="1">
        <v>10</v>
      </c>
      <c r="M95" s="31">
        <f>VLOOKUP(J95,Прайс!$B$2:$F$81,5,0)</f>
        <v>27</v>
      </c>
      <c r="N95" s="31">
        <f t="shared" si="11"/>
        <v>270</v>
      </c>
    </row>
    <row r="96" spans="2:15" x14ac:dyDescent="0.25">
      <c r="B96" s="42">
        <v>44989</v>
      </c>
      <c r="C96" s="51">
        <f>MONTH(Заявки[[#This Row],[Дата]])</f>
        <v>3</v>
      </c>
      <c r="D96" s="51">
        <f>YEAR(Заявки[[#This Row],[Дата]])</f>
        <v>2023</v>
      </c>
      <c r="E96" s="32" t="str">
        <f>IF(Заявки[[#This Row],[Год]]="","Пустая","Доходы")</f>
        <v>Доходы</v>
      </c>
      <c r="F96" s="32" t="s">
        <v>116</v>
      </c>
      <c r="G96" s="32" t="str">
        <f>VLOOKUP(Заявки[[#This Row],[Заказчик]],Контрагенты!B:E,4,FALSE)</f>
        <v>Безналичная</v>
      </c>
      <c r="H96" s="37" t="str">
        <f>VLOOKUP(Заявки[[#This Row],[Заказчик]],Контрагенты!B:D,2,FALSE)</f>
        <v>Яя</v>
      </c>
      <c r="I96" s="37" t="str">
        <f>VLOOKUP(Заявки[[#This Row],[Заказчик]],Контрагенты!B:D,3,FALSE)</f>
        <v>Школы и сады</v>
      </c>
      <c r="J96" s="30" t="s">
        <v>5</v>
      </c>
      <c r="K96" s="30" t="str">
        <f>VLOOKUP(J96,Прайс!$B$2:$F$81,2,FALSE)</f>
        <v>Хлеб</v>
      </c>
      <c r="L96" s="1">
        <v>10</v>
      </c>
      <c r="M96" s="31">
        <f>VLOOKUP(J96,Прайс!$B$2:$F$81,5,0)</f>
        <v>28</v>
      </c>
      <c r="N96" s="31">
        <f t="shared" si="11"/>
        <v>280</v>
      </c>
    </row>
    <row r="97" spans="2:14" x14ac:dyDescent="0.25">
      <c r="B97" s="42">
        <v>44989</v>
      </c>
      <c r="C97" s="51">
        <f>MONTH(Заявки[[#This Row],[Дата]])</f>
        <v>3</v>
      </c>
      <c r="D97" s="51">
        <f>YEAR(Заявки[[#This Row],[Дата]])</f>
        <v>2023</v>
      </c>
      <c r="E97" s="32" t="str">
        <f>IF(Заявки[[#This Row],[Год]]="","Пустая","Доходы")</f>
        <v>Доходы</v>
      </c>
      <c r="F97" s="32" t="s">
        <v>116</v>
      </c>
      <c r="G97" s="32" t="str">
        <f>VLOOKUP(Заявки[[#This Row],[Заказчик]],Контрагенты!B:E,4,FALSE)</f>
        <v>Безналичная</v>
      </c>
      <c r="H97" s="37" t="str">
        <f>VLOOKUP(Заявки[[#This Row],[Заказчик]],Контрагенты!B:D,2,FALSE)</f>
        <v>Яя</v>
      </c>
      <c r="I97" s="37" t="str">
        <f>VLOOKUP(Заявки[[#This Row],[Заказчик]],Контрагенты!B:D,3,FALSE)</f>
        <v>Школы и сады</v>
      </c>
      <c r="J97" s="30" t="s">
        <v>73</v>
      </c>
      <c r="K97" s="30" t="str">
        <f>VLOOKUP(J97,Прайс!$B$2:$F$81,2,FALSE)</f>
        <v>Булочки</v>
      </c>
      <c r="L97" s="1">
        <v>10</v>
      </c>
      <c r="M97" s="31">
        <f>VLOOKUP(J97,Прайс!$B$2:$F$81,5,0)</f>
        <v>19</v>
      </c>
      <c r="N97" s="31">
        <f t="shared" si="11"/>
        <v>190</v>
      </c>
    </row>
    <row r="98" spans="2:14" x14ac:dyDescent="0.25">
      <c r="B98" s="42">
        <v>44989</v>
      </c>
      <c r="C98" s="51">
        <f>MONTH(Заявки[[#This Row],[Дата]])</f>
        <v>3</v>
      </c>
      <c r="D98" s="51">
        <f>YEAR(Заявки[[#This Row],[Дата]])</f>
        <v>2023</v>
      </c>
      <c r="E98" s="32" t="str">
        <f>IF(Заявки[[#This Row],[Год]]="","Пустая","Доходы")</f>
        <v>Доходы</v>
      </c>
      <c r="F98" s="32" t="s">
        <v>116</v>
      </c>
      <c r="G98" s="32" t="str">
        <f>VLOOKUP(Заявки[[#This Row],[Заказчик]],Контрагенты!B:E,4,FALSE)</f>
        <v>Безналичная</v>
      </c>
      <c r="H98" s="37" t="str">
        <f>VLOOKUP(Заявки[[#This Row],[Заказчик]],Контрагенты!B:D,2,FALSE)</f>
        <v>Яя</v>
      </c>
      <c r="I98" s="37" t="str">
        <f>VLOOKUP(Заявки[[#This Row],[Заказчик]],Контрагенты!B:D,3,FALSE)</f>
        <v>Школы и сады</v>
      </c>
      <c r="J98" s="30" t="s">
        <v>73</v>
      </c>
      <c r="K98" s="30" t="str">
        <f>VLOOKUP(J98,Прайс!$B$2:$F$81,2,FALSE)</f>
        <v>Булочки</v>
      </c>
      <c r="L98" s="1">
        <v>10</v>
      </c>
      <c r="M98" s="31">
        <f>VLOOKUP(J98,Прайс!$B$2:$F$81,5,0)</f>
        <v>19</v>
      </c>
      <c r="N98" s="31">
        <f t="shared" si="11"/>
        <v>190</v>
      </c>
    </row>
    <row r="99" spans="2:14" x14ac:dyDescent="0.25">
      <c r="B99" s="42">
        <v>44989</v>
      </c>
      <c r="C99" s="51">
        <f>MONTH(Заявки[[#This Row],[Дата]])</f>
        <v>3</v>
      </c>
      <c r="D99" s="51">
        <f>YEAR(Заявки[[#This Row],[Дата]])</f>
        <v>2023</v>
      </c>
      <c r="E99" s="32" t="str">
        <f>IF(Заявки[[#This Row],[Год]]="","Пустая","Доходы")</f>
        <v>Доходы</v>
      </c>
      <c r="F99" s="32" t="s">
        <v>116</v>
      </c>
      <c r="G99" s="32" t="str">
        <f>VLOOKUP(Заявки[[#This Row],[Заказчик]],Контрагенты!B:E,4,FALSE)</f>
        <v>Безналичная</v>
      </c>
      <c r="H99" s="37" t="str">
        <f>VLOOKUP(Заявки[[#This Row],[Заказчик]],Контрагенты!B:D,2,FALSE)</f>
        <v>Яя</v>
      </c>
      <c r="I99" s="37" t="str">
        <f>VLOOKUP(Заявки[[#This Row],[Заказчик]],Контрагенты!B:D,3,FALSE)</f>
        <v>Школы и сады</v>
      </c>
      <c r="J99" s="30" t="s">
        <v>73</v>
      </c>
      <c r="K99" s="30" t="str">
        <f>VLOOKUP(J99,Прайс!$B$2:$F$81,2,FALSE)</f>
        <v>Булочки</v>
      </c>
      <c r="L99" s="1">
        <v>10</v>
      </c>
      <c r="M99" s="31">
        <f>VLOOKUP(J99,Прайс!$B$2:$F$81,5,0)</f>
        <v>19</v>
      </c>
      <c r="N99" s="31">
        <f t="shared" si="11"/>
        <v>190</v>
      </c>
    </row>
    <row r="100" spans="2:14" x14ac:dyDescent="0.25">
      <c r="B100" s="42">
        <v>44989</v>
      </c>
      <c r="C100" s="51">
        <f>MONTH(Заявки[[#This Row],[Дата]])</f>
        <v>3</v>
      </c>
      <c r="D100" s="51">
        <f>YEAR(Заявки[[#This Row],[Дата]])</f>
        <v>2023</v>
      </c>
      <c r="E100" s="32" t="str">
        <f>IF(Заявки[[#This Row],[Год]]="","Пустая","Доходы")</f>
        <v>Доходы</v>
      </c>
      <c r="F100" s="32" t="s">
        <v>116</v>
      </c>
      <c r="G100" s="32" t="str">
        <f>VLOOKUP(Заявки[[#This Row],[Заказчик]],Контрагенты!B:E,4,FALSE)</f>
        <v>Безналичная</v>
      </c>
      <c r="H100" s="37" t="str">
        <f>VLOOKUP(Заявки[[#This Row],[Заказчик]],Контрагенты!B:D,2,FALSE)</f>
        <v>Яя</v>
      </c>
      <c r="I100" s="37" t="str">
        <f>VLOOKUP(Заявки[[#This Row],[Заказчик]],Контрагенты!B:D,3,FALSE)</f>
        <v>Школы и сады</v>
      </c>
      <c r="J100" s="30" t="s">
        <v>73</v>
      </c>
      <c r="K100" s="30" t="str">
        <f>VLOOKUP(J100,Прайс!$B$2:$F$81,2,FALSE)</f>
        <v>Булочки</v>
      </c>
      <c r="L100" s="1">
        <v>100</v>
      </c>
      <c r="M100" s="31">
        <f>VLOOKUP(J100,Прайс!$B$2:$F$81,5,0)</f>
        <v>19</v>
      </c>
      <c r="N100" s="31">
        <f t="shared" si="11"/>
        <v>1900</v>
      </c>
    </row>
    <row r="101" spans="2:14" x14ac:dyDescent="0.25">
      <c r="B101" s="42">
        <v>44989</v>
      </c>
      <c r="C101" s="51">
        <f>MONTH(Заявки[[#This Row],[Дата]])</f>
        <v>3</v>
      </c>
      <c r="D101" s="51">
        <f>YEAR(Заявки[[#This Row],[Дата]])</f>
        <v>2023</v>
      </c>
      <c r="E101" s="32" t="str">
        <f>IF(Заявки[[#This Row],[Год]]="","Пустая","Доходы")</f>
        <v>Доходы</v>
      </c>
      <c r="F101" s="32" t="s">
        <v>116</v>
      </c>
      <c r="G101" s="32" t="str">
        <f>VLOOKUP(Заявки[[#This Row],[Заказчик]],Контрагенты!B:E,4,FALSE)</f>
        <v>Безналичная</v>
      </c>
      <c r="H101" s="37" t="str">
        <f>VLOOKUP(Заявки[[#This Row],[Заказчик]],Контрагенты!B:D,2,FALSE)</f>
        <v>Яя</v>
      </c>
      <c r="I101" s="37" t="str">
        <f>VLOOKUP(Заявки[[#This Row],[Заказчик]],Контрагенты!B:D,3,FALSE)</f>
        <v>Школы и сады</v>
      </c>
      <c r="J101" s="30" t="s">
        <v>73</v>
      </c>
      <c r="K101" s="30" t="str">
        <f>VLOOKUP(J101,Прайс!$B$2:$F$81,2,FALSE)</f>
        <v>Булочки</v>
      </c>
      <c r="L101" s="1">
        <v>10</v>
      </c>
      <c r="M101" s="31">
        <f>VLOOKUP(J101,Прайс!$B$2:$F$81,5,0)</f>
        <v>19</v>
      </c>
      <c r="N101" s="31">
        <f t="shared" si="11"/>
        <v>190</v>
      </c>
    </row>
    <row r="102" spans="2:14" x14ac:dyDescent="0.25">
      <c r="B102" s="42">
        <v>44989</v>
      </c>
      <c r="C102" s="51">
        <f>MONTH(Заявки[[#This Row],[Дата]])</f>
        <v>3</v>
      </c>
      <c r="D102" s="51">
        <f>YEAR(Заявки[[#This Row],[Дата]])</f>
        <v>2023</v>
      </c>
      <c r="E102" s="32" t="str">
        <f>IF(Заявки[[#This Row],[Год]]="","Пустая","Доходы")</f>
        <v>Доходы</v>
      </c>
      <c r="F102" s="32" t="s">
        <v>116</v>
      </c>
      <c r="G102" s="32" t="str">
        <f>VLOOKUP(Заявки[[#This Row],[Заказчик]],Контрагенты!B:E,4,FALSE)</f>
        <v>Безналичная</v>
      </c>
      <c r="H102" s="37" t="str">
        <f>VLOOKUP(Заявки[[#This Row],[Заказчик]],Контрагенты!B:D,2,FALSE)</f>
        <v>Яя</v>
      </c>
      <c r="I102" s="37" t="str">
        <f>VLOOKUP(Заявки[[#This Row],[Заказчик]],Контрагенты!B:D,3,FALSE)</f>
        <v>Школы и сады</v>
      </c>
      <c r="J102" s="30" t="s">
        <v>73</v>
      </c>
      <c r="K102" s="30" t="str">
        <f>VLOOKUP(J102,Прайс!$B$2:$F$81,2,FALSE)</f>
        <v>Булочки</v>
      </c>
      <c r="L102" s="1">
        <v>10</v>
      </c>
      <c r="M102" s="31">
        <f>VLOOKUP(J102,Прайс!$B$2:$F$81,5,0)</f>
        <v>19</v>
      </c>
      <c r="N102" s="31">
        <f t="shared" si="11"/>
        <v>190</v>
      </c>
    </row>
    <row r="103" spans="2:14" x14ac:dyDescent="0.25">
      <c r="B103" s="42">
        <v>44989</v>
      </c>
      <c r="C103" s="51">
        <f>MONTH(Заявки[[#This Row],[Дата]])</f>
        <v>3</v>
      </c>
      <c r="D103" s="51">
        <f>YEAR(Заявки[[#This Row],[Дата]])</f>
        <v>2023</v>
      </c>
      <c r="E103" s="32" t="str">
        <f>IF(Заявки[[#This Row],[Год]]="","Пустая","Доходы")</f>
        <v>Доходы</v>
      </c>
      <c r="F103" s="32" t="s">
        <v>116</v>
      </c>
      <c r="G103" s="32" t="str">
        <f>VLOOKUP(Заявки[[#This Row],[Заказчик]],Контрагенты!B:E,4,FALSE)</f>
        <v>Безналичная</v>
      </c>
      <c r="H103" s="37" t="str">
        <f>VLOOKUP(Заявки[[#This Row],[Заказчик]],Контрагенты!B:D,2,FALSE)</f>
        <v>Яя</v>
      </c>
      <c r="I103" s="37" t="str">
        <f>VLOOKUP(Заявки[[#This Row],[Заказчик]],Контрагенты!B:D,3,FALSE)</f>
        <v>Школы и сады</v>
      </c>
      <c r="J103" s="30" t="s">
        <v>73</v>
      </c>
      <c r="K103" s="30" t="str">
        <f>VLOOKUP(J103,Прайс!$B$2:$F$81,2,FALSE)</f>
        <v>Булочки</v>
      </c>
      <c r="L103" s="1">
        <v>10</v>
      </c>
      <c r="M103" s="31">
        <f>VLOOKUP(J103,Прайс!$B$2:$F$81,5,0)</f>
        <v>19</v>
      </c>
      <c r="N103" s="31">
        <f t="shared" si="11"/>
        <v>190</v>
      </c>
    </row>
    <row r="104" spans="2:14" x14ac:dyDescent="0.25">
      <c r="B104" s="42">
        <v>44989</v>
      </c>
      <c r="C104" s="51">
        <f>MONTH(Заявки[[#This Row],[Дата]])</f>
        <v>3</v>
      </c>
      <c r="D104" s="51">
        <f>YEAR(Заявки[[#This Row],[Дата]])</f>
        <v>2023</v>
      </c>
      <c r="E104" s="32" t="str">
        <f>IF(Заявки[[#This Row],[Год]]="","Пустая","Доходы")</f>
        <v>Доходы</v>
      </c>
      <c r="F104" s="32" t="s">
        <v>116</v>
      </c>
      <c r="G104" s="32" t="str">
        <f>VLOOKUP(Заявки[[#This Row],[Заказчик]],Контрагенты!B:E,4,FALSE)</f>
        <v>Безналичная</v>
      </c>
      <c r="H104" s="37" t="str">
        <f>VLOOKUP(Заявки[[#This Row],[Заказчик]],Контрагенты!B:D,2,FALSE)</f>
        <v>Яя</v>
      </c>
      <c r="I104" s="37" t="str">
        <f>VLOOKUP(Заявки[[#This Row],[Заказчик]],Контрагенты!B:D,3,FALSE)</f>
        <v>Школы и сады</v>
      </c>
      <c r="J104" s="30" t="s">
        <v>73</v>
      </c>
      <c r="K104" s="30" t="str">
        <f>VLOOKUP(J104,Прайс!$B$2:$F$81,2,FALSE)</f>
        <v>Булочки</v>
      </c>
      <c r="L104" s="1">
        <v>10</v>
      </c>
      <c r="M104" s="31">
        <f>VLOOKUP(J104,Прайс!$B$2:$F$81,5,0)</f>
        <v>19</v>
      </c>
      <c r="N104" s="31">
        <f t="shared" si="11"/>
        <v>190</v>
      </c>
    </row>
    <row r="105" spans="2:14" x14ac:dyDescent="0.25">
      <c r="B105" s="42">
        <v>44989</v>
      </c>
      <c r="C105" s="51">
        <f>MONTH(Заявки[[#This Row],[Дата]])</f>
        <v>3</v>
      </c>
      <c r="D105" s="51">
        <f>YEAR(Заявки[[#This Row],[Дата]])</f>
        <v>2023</v>
      </c>
      <c r="E105" s="32" t="str">
        <f>IF(Заявки[[#This Row],[Год]]="","Пустая","Доходы")</f>
        <v>Доходы</v>
      </c>
      <c r="F105" s="32" t="s">
        <v>116</v>
      </c>
      <c r="G105" s="32" t="str">
        <f>VLOOKUP(Заявки[[#This Row],[Заказчик]],Контрагенты!B:E,4,FALSE)</f>
        <v>Безналичная</v>
      </c>
      <c r="H105" s="37" t="str">
        <f>VLOOKUP(Заявки[[#This Row],[Заказчик]],Контрагенты!B:D,2,FALSE)</f>
        <v>Яя</v>
      </c>
      <c r="I105" s="37" t="str">
        <f>VLOOKUP(Заявки[[#This Row],[Заказчик]],Контрагенты!B:D,3,FALSE)</f>
        <v>Школы и сады</v>
      </c>
      <c r="J105" s="30" t="s">
        <v>73</v>
      </c>
      <c r="K105" s="30" t="str">
        <f>VLOOKUP(J105,Прайс!$B$2:$F$81,2,FALSE)</f>
        <v>Булочки</v>
      </c>
      <c r="L105" s="1">
        <v>10</v>
      </c>
      <c r="M105" s="31">
        <f>VLOOKUP(J105,Прайс!$B$2:$F$81,5,0)</f>
        <v>19</v>
      </c>
      <c r="N105" s="31">
        <f t="shared" si="11"/>
        <v>190</v>
      </c>
    </row>
    <row r="106" spans="2:14" x14ac:dyDescent="0.25">
      <c r="B106" s="42">
        <v>44989</v>
      </c>
      <c r="C106" s="51">
        <f>MONTH(Заявки[[#This Row],[Дата]])</f>
        <v>3</v>
      </c>
      <c r="D106" s="51">
        <f>YEAR(Заявки[[#This Row],[Дата]])</f>
        <v>2023</v>
      </c>
      <c r="E106" s="32" t="str">
        <f>IF(Заявки[[#This Row],[Год]]="","Пустая","Доходы")</f>
        <v>Доходы</v>
      </c>
      <c r="F106" s="32" t="s">
        <v>116</v>
      </c>
      <c r="G106" s="32" t="str">
        <f>VLOOKUP(Заявки[[#This Row],[Заказчик]],Контрагенты!B:E,4,FALSE)</f>
        <v>Безналичная</v>
      </c>
      <c r="H106" s="37" t="str">
        <f>VLOOKUP(Заявки[[#This Row],[Заказчик]],Контрагенты!B:D,2,FALSE)</f>
        <v>Яя</v>
      </c>
      <c r="I106" s="37" t="str">
        <f>VLOOKUP(Заявки[[#This Row],[Заказчик]],Контрагенты!B:D,3,FALSE)</f>
        <v>Школы и сады</v>
      </c>
      <c r="J106" s="30" t="s">
        <v>73</v>
      </c>
      <c r="K106" s="30" t="str">
        <f>VLOOKUP(J106,Прайс!$B$2:$F$81,2,FALSE)</f>
        <v>Булочки</v>
      </c>
      <c r="L106" s="1">
        <v>10</v>
      </c>
      <c r="M106" s="31">
        <f>VLOOKUP(J106,Прайс!$B$2:$F$81,5,0)</f>
        <v>19</v>
      </c>
      <c r="N106" s="31">
        <f t="shared" si="11"/>
        <v>190</v>
      </c>
    </row>
    <row r="107" spans="2:14" x14ac:dyDescent="0.25">
      <c r="B107" s="42">
        <v>44989</v>
      </c>
      <c r="C107" s="51">
        <f>MONTH(Заявки[[#This Row],[Дата]])</f>
        <v>3</v>
      </c>
      <c r="D107" s="51">
        <f>YEAR(Заявки[[#This Row],[Дата]])</f>
        <v>2023</v>
      </c>
      <c r="E107" s="32" t="str">
        <f>IF(Заявки[[#This Row],[Год]]="","Пустая","Доходы")</f>
        <v>Доходы</v>
      </c>
      <c r="F107" s="32" t="s">
        <v>116</v>
      </c>
      <c r="G107" s="32" t="str">
        <f>VLOOKUP(Заявки[[#This Row],[Заказчик]],Контрагенты!B:E,4,FALSE)</f>
        <v>Безналичная</v>
      </c>
      <c r="H107" s="37" t="str">
        <f>VLOOKUP(Заявки[[#This Row],[Заказчик]],Контрагенты!B:D,2,FALSE)</f>
        <v>Яя</v>
      </c>
      <c r="I107" s="37" t="str">
        <f>VLOOKUP(Заявки[[#This Row],[Заказчик]],Контрагенты!B:D,3,FALSE)</f>
        <v>Школы и сады</v>
      </c>
      <c r="J107" s="30" t="s">
        <v>73</v>
      </c>
      <c r="K107" s="30" t="str">
        <f>VLOOKUP(J107,Прайс!$B$2:$F$81,2,FALSE)</f>
        <v>Булочки</v>
      </c>
      <c r="L107" s="1">
        <v>10</v>
      </c>
      <c r="M107" s="31">
        <f>VLOOKUP(J107,Прайс!$B$2:$F$81,5,0)</f>
        <v>19</v>
      </c>
      <c r="N107" s="31">
        <f t="shared" si="11"/>
        <v>190</v>
      </c>
    </row>
    <row r="108" spans="2:14" x14ac:dyDescent="0.25">
      <c r="B108" s="42">
        <v>44989</v>
      </c>
      <c r="C108" s="51">
        <f>MONTH(Заявки[[#This Row],[Дата]])</f>
        <v>3</v>
      </c>
      <c r="D108" s="51">
        <f>YEAR(Заявки[[#This Row],[Дата]])</f>
        <v>2023</v>
      </c>
      <c r="E108" s="32" t="str">
        <f>IF(Заявки[[#This Row],[Год]]="","Пустая","Доходы")</f>
        <v>Доходы</v>
      </c>
      <c r="F108" s="32" t="s">
        <v>116</v>
      </c>
      <c r="G108" s="32" t="str">
        <f>VLOOKUP(Заявки[[#This Row],[Заказчик]],Контрагенты!B:E,4,FALSE)</f>
        <v>Безналичная</v>
      </c>
      <c r="H108" s="37" t="str">
        <f>VLOOKUP(Заявки[[#This Row],[Заказчик]],Контрагенты!B:D,2,FALSE)</f>
        <v>Яя</v>
      </c>
      <c r="I108" s="37" t="str">
        <f>VLOOKUP(Заявки[[#This Row],[Заказчик]],Контрагенты!B:D,3,FALSE)</f>
        <v>Школы и сады</v>
      </c>
      <c r="J108" s="30" t="s">
        <v>73</v>
      </c>
      <c r="K108" s="30" t="str">
        <f>VLOOKUP(J108,Прайс!$B$2:$F$81,2,FALSE)</f>
        <v>Булочки</v>
      </c>
      <c r="L108" s="1">
        <v>10</v>
      </c>
      <c r="M108" s="31">
        <f>VLOOKUP(J108,Прайс!$B$2:$F$81,5,0)</f>
        <v>19</v>
      </c>
      <c r="N108" s="31">
        <f t="shared" si="11"/>
        <v>190</v>
      </c>
    </row>
    <row r="109" spans="2:14" x14ac:dyDescent="0.25">
      <c r="B109" s="42">
        <v>44990</v>
      </c>
      <c r="C109" s="51">
        <f>MONTH(Заявки[[#This Row],[Дата]])</f>
        <v>3</v>
      </c>
      <c r="D109" s="51">
        <f>YEAR(Заявки[[#This Row],[Дата]])</f>
        <v>2023</v>
      </c>
      <c r="E109" s="32" t="str">
        <f>IF(Заявки[[#This Row],[Год]]="","Пустая","Доходы")</f>
        <v>Доходы</v>
      </c>
      <c r="F109" s="30" t="s">
        <v>91</v>
      </c>
      <c r="G109" s="32" t="str">
        <f>VLOOKUP(Заявки[[#This Row],[Заказчик]],Контрагенты!B:E,4,FALSE)</f>
        <v>Наличными</v>
      </c>
      <c r="H109" s="37" t="str">
        <f>VLOOKUP(Заявки[[#This Row],[Заказчик]],Контрагенты!B:D,2,FALSE)</f>
        <v>Почитанка</v>
      </c>
      <c r="I109" s="37" t="str">
        <f>VLOOKUP(Заявки[[#This Row],[Заказчик]],Контрагенты!B:D,3,FALSE)</f>
        <v>Ижморка</v>
      </c>
      <c r="J109" s="30" t="s">
        <v>78</v>
      </c>
      <c r="K109" s="30" t="str">
        <f>VLOOKUP(J109,Прайс!$B$2:$F$81,2,FALSE)</f>
        <v>Другое</v>
      </c>
      <c r="L109" s="1">
        <v>5</v>
      </c>
      <c r="M109" s="31">
        <f>VLOOKUP(J109,Прайс!$B$2:$F$81,5,0)</f>
        <v>16</v>
      </c>
      <c r="N109" s="31">
        <f t="shared" ref="N109:N115" si="12">L109*M109</f>
        <v>80</v>
      </c>
    </row>
    <row r="110" spans="2:14" x14ac:dyDescent="0.25">
      <c r="B110" s="42">
        <v>44991</v>
      </c>
      <c r="C110" s="51">
        <f>MONTH(Заявки[[#This Row],[Дата]])</f>
        <v>3</v>
      </c>
      <c r="D110" s="51">
        <f>YEAR(Заявки[[#This Row],[Дата]])</f>
        <v>2023</v>
      </c>
      <c r="E110" s="32" t="str">
        <f>IF(Заявки[[#This Row],[Год]]="","Пустая","Доходы")</f>
        <v>Доходы</v>
      </c>
      <c r="F110" s="30" t="s">
        <v>89</v>
      </c>
      <c r="G110" s="32" t="str">
        <f>VLOOKUP(Заявки[[#This Row],[Заказчик]],Контрагенты!B:E,4,FALSE)</f>
        <v>Наличными</v>
      </c>
      <c r="H110" s="37" t="str">
        <f>VLOOKUP(Заявки[[#This Row],[Заказчик]],Контрагенты!B:D,2,FALSE)</f>
        <v>Яя</v>
      </c>
      <c r="I110" s="37" t="str">
        <f>VLOOKUP(Заявки[[#This Row],[Заказчик]],Контрагенты!B:D,3,FALSE)</f>
        <v>Яя</v>
      </c>
      <c r="J110" s="30" t="s">
        <v>78</v>
      </c>
      <c r="K110" s="30" t="str">
        <f>VLOOKUP(J110,Прайс!$B$2:$F$81,2,FALSE)</f>
        <v>Другое</v>
      </c>
      <c r="L110" s="1">
        <v>10</v>
      </c>
      <c r="M110" s="31">
        <f>VLOOKUP(J110,Прайс!$B$2:$F$81,5,0)</f>
        <v>16</v>
      </c>
      <c r="N110" s="31">
        <f t="shared" si="12"/>
        <v>160</v>
      </c>
    </row>
    <row r="111" spans="2:14" x14ac:dyDescent="0.25">
      <c r="B111" s="42">
        <v>44992</v>
      </c>
      <c r="C111" s="51">
        <f>MONTH(Заявки[[#This Row],[Дата]])</f>
        <v>3</v>
      </c>
      <c r="D111" s="51">
        <f>YEAR(Заявки[[#This Row],[Дата]])</f>
        <v>2023</v>
      </c>
      <c r="E111" s="32" t="str">
        <f>IF(Заявки[[#This Row],[Год]]="","Пустая","Доходы")</f>
        <v>Доходы</v>
      </c>
      <c r="F111" s="30" t="s">
        <v>110</v>
      </c>
      <c r="G111" s="32" t="str">
        <f>VLOOKUP(Заявки[[#This Row],[Заказчик]],Контрагенты!B:E,4,FALSE)</f>
        <v>Безналичная</v>
      </c>
      <c r="H111" s="37" t="str">
        <f>VLOOKUP(Заявки[[#This Row],[Заказчик]],Контрагенты!B:D,2,FALSE)</f>
        <v>Святославка</v>
      </c>
      <c r="I111" s="37" t="str">
        <f>VLOOKUP(Заявки[[#This Row],[Заказчик]],Контрагенты!B:D,3,FALSE)</f>
        <v>Школы и сады</v>
      </c>
      <c r="J111" s="30" t="s">
        <v>78</v>
      </c>
      <c r="K111" s="37" t="str">
        <f>VLOOKUP(J111,Прайс!$B$2:$F$81,2,FALSE)</f>
        <v>Другое</v>
      </c>
      <c r="L111" s="1">
        <v>10</v>
      </c>
      <c r="M111" s="31">
        <f>VLOOKUP(J111,Прайс!$B$2:$F$81,5,0)</f>
        <v>16</v>
      </c>
      <c r="N111" s="31">
        <f t="shared" si="12"/>
        <v>160</v>
      </c>
    </row>
    <row r="112" spans="2:14" x14ac:dyDescent="0.25">
      <c r="B112" s="42">
        <v>44992</v>
      </c>
      <c r="C112" s="51">
        <f>MONTH(Заявки[[#This Row],[Дата]])</f>
        <v>3</v>
      </c>
      <c r="D112" s="51">
        <f>YEAR(Заявки[[#This Row],[Дата]])</f>
        <v>2023</v>
      </c>
      <c r="E112" s="32" t="str">
        <f>IF(Заявки[[#This Row],[Год]]="","Пустая","Доходы")</f>
        <v>Доходы</v>
      </c>
      <c r="F112" s="30" t="s">
        <v>113</v>
      </c>
      <c r="G112" s="32" t="str">
        <f>VLOOKUP(Заявки[[#This Row],[Заказчик]],Контрагенты!B:E,4,FALSE)</f>
        <v>Безналичная</v>
      </c>
      <c r="H112" s="37" t="str">
        <f>VLOOKUP(Заявки[[#This Row],[Заказчик]],Контрагенты!B:D,2,FALSE)</f>
        <v>Теплая речка</v>
      </c>
      <c r="I112" s="37" t="str">
        <f>VLOOKUP(Заявки[[#This Row],[Заказчик]],Контрагенты!B:D,3,FALSE)</f>
        <v>Школы и сады</v>
      </c>
      <c r="J112" s="30" t="s">
        <v>78</v>
      </c>
      <c r="K112" s="37" t="str">
        <f>VLOOKUP(J112,Прайс!$B$2:$F$81,2,FALSE)</f>
        <v>Другое</v>
      </c>
      <c r="L112" s="1">
        <v>10</v>
      </c>
      <c r="M112" s="31">
        <f>VLOOKUP(J112,Прайс!$B$2:$F$81,5,0)</f>
        <v>16</v>
      </c>
      <c r="N112" s="31">
        <f t="shared" si="12"/>
        <v>160</v>
      </c>
    </row>
    <row r="113" spans="2:14" x14ac:dyDescent="0.25">
      <c r="B113" s="42">
        <v>44992</v>
      </c>
      <c r="C113" s="51">
        <f>MONTH(Заявки[[#This Row],[Дата]])</f>
        <v>3</v>
      </c>
      <c r="D113" s="51">
        <f>YEAR(Заявки[[#This Row],[Дата]])</f>
        <v>2023</v>
      </c>
      <c r="E113" s="32" t="str">
        <f>IF(Заявки[[#This Row],[Год]]="","Пустая","Доходы")</f>
        <v>Доходы</v>
      </c>
      <c r="F113" s="30" t="s">
        <v>100</v>
      </c>
      <c r="G113" s="32" t="str">
        <f>VLOOKUP(Заявки[[#This Row],[Заказчик]],Контрагенты!B:E,4,FALSE)</f>
        <v>Наличными</v>
      </c>
      <c r="H113" s="37" t="str">
        <f>VLOOKUP(Заявки[[#This Row],[Заказчик]],Контрагенты!B:D,2,FALSE)</f>
        <v>Новославянка</v>
      </c>
      <c r="I113" s="37" t="str">
        <f>VLOOKUP(Заявки[[#This Row],[Заказчик]],Контрагенты!B:D,3,FALSE)</f>
        <v>Колыон</v>
      </c>
      <c r="J113" s="30" t="s">
        <v>78</v>
      </c>
      <c r="K113" s="37" t="str">
        <f>VLOOKUP(J113,Прайс!$B$2:$F$81,2,FALSE)</f>
        <v>Другое</v>
      </c>
      <c r="L113" s="1">
        <v>10</v>
      </c>
      <c r="M113" s="31">
        <f>VLOOKUP(J113,Прайс!$B$2:$F$81,5,0)</f>
        <v>16</v>
      </c>
      <c r="N113" s="31">
        <f t="shared" si="12"/>
        <v>160</v>
      </c>
    </row>
    <row r="114" spans="2:14" x14ac:dyDescent="0.25">
      <c r="B114" s="42">
        <v>44992</v>
      </c>
      <c r="C114" s="51">
        <f>MONTH(Заявки[[#This Row],[Дата]])</f>
        <v>3</v>
      </c>
      <c r="D114" s="51">
        <f>YEAR(Заявки[[#This Row],[Дата]])</f>
        <v>2023</v>
      </c>
      <c r="E114" s="32" t="str">
        <f>IF(Заявки[[#This Row],[Год]]="","Пустая","Доходы")</f>
        <v>Доходы</v>
      </c>
      <c r="F114" s="30" t="s">
        <v>119</v>
      </c>
      <c r="G114" s="32" t="str">
        <f>VLOOKUP(Заявки[[#This Row],[Заказчик]],Контрагенты!B:E,4,FALSE)</f>
        <v>Наличными</v>
      </c>
      <c r="H114" s="37" t="str">
        <f>VLOOKUP(Заявки[[#This Row],[Заказчик]],Контрагенты!B:D,2,FALSE)</f>
        <v>Новониколаевка</v>
      </c>
      <c r="I114" s="37" t="str">
        <f>VLOOKUP(Заявки[[#This Row],[Заказчик]],Контрагенты!B:D,3,FALSE)</f>
        <v>Колыон</v>
      </c>
      <c r="J114" s="30" t="s">
        <v>78</v>
      </c>
      <c r="K114" s="37" t="str">
        <f>VLOOKUP(J114,Прайс!$B$2:$F$81,2,FALSE)</f>
        <v>Другое</v>
      </c>
      <c r="L114" s="1">
        <v>10</v>
      </c>
      <c r="M114" s="31">
        <f>VLOOKUP(J114,Прайс!$B$2:$F$81,5,0)</f>
        <v>16</v>
      </c>
      <c r="N114" s="31">
        <f t="shared" si="12"/>
        <v>160</v>
      </c>
    </row>
    <row r="115" spans="2:14" x14ac:dyDescent="0.25">
      <c r="B115" s="42">
        <v>44992</v>
      </c>
      <c r="C115" s="51">
        <f>MONTH(Заявки[[#This Row],[Дата]])</f>
        <v>3</v>
      </c>
      <c r="D115" s="51">
        <f>YEAR(Заявки[[#This Row],[Дата]])</f>
        <v>2023</v>
      </c>
      <c r="E115" s="32" t="str">
        <f>IF(Заявки[[#This Row],[Год]]="","Пустая","Доходы")</f>
        <v>Доходы</v>
      </c>
      <c r="F115" s="30" t="s">
        <v>117</v>
      </c>
      <c r="G115" s="32" t="str">
        <f>VLOOKUP(Заявки[[#This Row],[Заказчик]],Контрагенты!B:E,4,FALSE)</f>
        <v>Безналичная</v>
      </c>
      <c r="H115" s="37" t="str">
        <f>VLOOKUP(Заявки[[#This Row],[Заказчик]],Контрагенты!B:D,2,FALSE)</f>
        <v>Колыон</v>
      </c>
      <c r="I115" s="37" t="str">
        <f>VLOOKUP(Заявки[[#This Row],[Заказчик]],Контрагенты!B:D,3,FALSE)</f>
        <v>Школы и сады</v>
      </c>
      <c r="J115" s="30" t="s">
        <v>78</v>
      </c>
      <c r="K115" s="37" t="str">
        <f>VLOOKUP(J115,Прайс!$B$2:$F$81,2,FALSE)</f>
        <v>Другое</v>
      </c>
      <c r="L115" s="1">
        <v>10</v>
      </c>
      <c r="M115" s="31">
        <f>VLOOKUP(J115,Прайс!$B$2:$F$81,5,0)</f>
        <v>16</v>
      </c>
      <c r="N115" s="31">
        <f t="shared" si="12"/>
        <v>160</v>
      </c>
    </row>
    <row r="116" spans="2:14" x14ac:dyDescent="0.25">
      <c r="B116" s="42">
        <v>44993</v>
      </c>
      <c r="C116" s="51">
        <f>MONTH(Заявки[[#This Row],[Дата]])</f>
        <v>3</v>
      </c>
      <c r="D116" s="51">
        <f>YEAR(Заявки[[#This Row],[Дата]])</f>
        <v>2023</v>
      </c>
      <c r="E116" s="32" t="str">
        <f>IF(Заявки[[#This Row],[Год]]="","Пустая","Доходы")</f>
        <v>Доходы</v>
      </c>
      <c r="F116" s="30" t="s">
        <v>90</v>
      </c>
      <c r="G116" s="32" t="str">
        <f>VLOOKUP(Заявки[[#This Row],[Заказчик]],Контрагенты!B:E,4,FALSE)</f>
        <v>Наличными</v>
      </c>
      <c r="H116" s="37" t="str">
        <f>VLOOKUP(Заявки[[#This Row],[Заказчик]],Контрагенты!B:D,2,FALSE)</f>
        <v>Колыон</v>
      </c>
      <c r="I116" s="37" t="str">
        <f>VLOOKUP(Заявки[[#This Row],[Заказчик]],Контрагенты!B:D,3,FALSE)</f>
        <v>Колыон</v>
      </c>
      <c r="J116" s="30" t="s">
        <v>78</v>
      </c>
      <c r="K116" s="37" t="str">
        <f>VLOOKUP(J116,Прайс!$B$2:$F$81,2,FALSE)</f>
        <v>Другое</v>
      </c>
      <c r="L116" s="1">
        <v>15</v>
      </c>
      <c r="M116" s="31">
        <f>VLOOKUP(J116,Прайс!$B$2:$F$81,5,0)</f>
        <v>16</v>
      </c>
      <c r="N116" s="31">
        <f t="shared" ref="N116:N121" si="13">L116*M116</f>
        <v>240</v>
      </c>
    </row>
    <row r="117" spans="2:14" x14ac:dyDescent="0.25">
      <c r="B117" s="42">
        <v>44994</v>
      </c>
      <c r="C117" s="51">
        <f>MONTH(Заявки[[#This Row],[Дата]])</f>
        <v>3</v>
      </c>
      <c r="D117" s="51">
        <f>YEAR(Заявки[[#This Row],[Дата]])</f>
        <v>2023</v>
      </c>
      <c r="E117" s="32" t="str">
        <f>IF(Заявки[[#This Row],[Год]]="","Пустая","Доходы")</f>
        <v>Доходы</v>
      </c>
      <c r="F117" s="30" t="s">
        <v>90</v>
      </c>
      <c r="G117" s="32" t="str">
        <f>VLOOKUP(Заявки[[#This Row],[Заказчик]],Контрагенты!B:E,4,FALSE)</f>
        <v>Наличными</v>
      </c>
      <c r="H117" s="37" t="str">
        <f>VLOOKUP(Заявки[[#This Row],[Заказчик]],Контрагенты!B:D,2,FALSE)</f>
        <v>Колыон</v>
      </c>
      <c r="I117" s="37" t="str">
        <f>VLOOKUP(Заявки[[#This Row],[Заказчик]],Контрагенты!B:D,3,FALSE)</f>
        <v>Колыон</v>
      </c>
      <c r="J117" s="30" t="s">
        <v>4</v>
      </c>
      <c r="K117" s="37" t="str">
        <f>VLOOKUP(J117,Прайс!$B$2:$F$81,2,FALSE)</f>
        <v>Хлеб</v>
      </c>
      <c r="L117" s="1">
        <v>20</v>
      </c>
      <c r="M117" s="31">
        <f>VLOOKUP(J117,Прайс!$B$2:$F$81,5,0)</f>
        <v>27</v>
      </c>
      <c r="N117" s="31">
        <f t="shared" si="13"/>
        <v>540</v>
      </c>
    </row>
    <row r="118" spans="2:14" x14ac:dyDescent="0.25">
      <c r="B118" s="42">
        <v>44995</v>
      </c>
      <c r="C118" s="51">
        <f>MONTH(Заявки[[#This Row],[Дата]])</f>
        <v>3</v>
      </c>
      <c r="D118" s="51">
        <f>YEAR(Заявки[[#This Row],[Дата]])</f>
        <v>2023</v>
      </c>
      <c r="E118" s="32" t="str">
        <f>IF(Заявки[[#This Row],[Год]]="","Пустая","Доходы")</f>
        <v>Доходы</v>
      </c>
      <c r="F118" s="30" t="s">
        <v>89</v>
      </c>
      <c r="G118" s="32" t="str">
        <f>VLOOKUP(Заявки[[#This Row],[Заказчик]],Контрагенты!B:E,4,FALSE)</f>
        <v>Наличными</v>
      </c>
      <c r="H118" s="37" t="str">
        <f>VLOOKUP(Заявки[[#This Row],[Заказчик]],Контрагенты!B:D,2,FALSE)</f>
        <v>Яя</v>
      </c>
      <c r="I118" s="37" t="str">
        <f>VLOOKUP(Заявки[[#This Row],[Заказчик]],Контрагенты!B:D,3,FALSE)</f>
        <v>Яя</v>
      </c>
      <c r="J118" s="30" t="s">
        <v>4</v>
      </c>
      <c r="K118" s="37" t="str">
        <f>VLOOKUP(J118,Прайс!$B$2:$F$81,2,FALSE)</f>
        <v>Хлеб</v>
      </c>
      <c r="L118" s="1">
        <v>5</v>
      </c>
      <c r="M118" s="31">
        <f>VLOOKUP(J118,Прайс!$B$2:$F$81,5,0)</f>
        <v>27</v>
      </c>
      <c r="N118" s="31">
        <f t="shared" si="13"/>
        <v>135</v>
      </c>
    </row>
    <row r="119" spans="2:14" ht="17.25" x14ac:dyDescent="0.25">
      <c r="B119" s="42">
        <v>45028</v>
      </c>
      <c r="C119" s="51">
        <f>MONTH(Заявки[[#This Row],[Дата]])</f>
        <v>4</v>
      </c>
      <c r="D119" s="113">
        <f>YEAR(Заявки[[#This Row],[Дата]])</f>
        <v>2023</v>
      </c>
      <c r="E119" s="32" t="str">
        <f>IF(Заявки[[#This Row],[Год]]="","Пустая","Доходы")</f>
        <v>Доходы</v>
      </c>
      <c r="F119" s="30" t="s">
        <v>90</v>
      </c>
      <c r="G119" s="32" t="str">
        <f>VLOOKUP(Заявки[[#This Row],[Заказчик]],Контрагенты!B:E,4,FALSE)</f>
        <v>Наличными</v>
      </c>
      <c r="H119" s="37" t="str">
        <f>VLOOKUP(Заявки[[#This Row],[Заказчик]],Контрагенты!B:D,2,FALSE)</f>
        <v>Колыон</v>
      </c>
      <c r="I119" s="37" t="str">
        <f>VLOOKUP(Заявки[[#This Row],[Заказчик]],Контрагенты!B:D,3,FALSE)</f>
        <v>Колыон</v>
      </c>
      <c r="J119" s="30" t="s">
        <v>6</v>
      </c>
      <c r="K119" s="37" t="str">
        <f>VLOOKUP(J119,Прайс!$B$2:$F$81,2,FALSE)</f>
        <v>Хлеб</v>
      </c>
      <c r="L119" s="1">
        <v>10</v>
      </c>
      <c r="M119" s="31">
        <f>VLOOKUP(J119,Прайс!$B$2:$F$81,5,0)</f>
        <v>23</v>
      </c>
      <c r="N119" s="31">
        <f t="shared" si="13"/>
        <v>230</v>
      </c>
    </row>
    <row r="120" spans="2:14" x14ac:dyDescent="0.25">
      <c r="B120" s="42">
        <v>45030</v>
      </c>
      <c r="C120" s="51">
        <f>MONTH(Заявки[[#This Row],[Дата]])</f>
        <v>4</v>
      </c>
      <c r="D120" s="51">
        <f>YEAR(Заявки[[#This Row],[Дата]])</f>
        <v>2023</v>
      </c>
      <c r="E120" s="32" t="str">
        <f>IF(Заявки[[#This Row],[Год]]="","Пустая","Доходы")</f>
        <v>Доходы</v>
      </c>
      <c r="F120" s="30" t="s">
        <v>90</v>
      </c>
      <c r="G120" s="32" t="str">
        <f>VLOOKUP(Заявки[[#This Row],[Заказчик]],Контрагенты!B:E,4,FALSE)</f>
        <v>Наличными</v>
      </c>
      <c r="H120" s="37" t="str">
        <f>VLOOKUP(Заявки[[#This Row],[Заказчик]],Контрагенты!B:D,2,FALSE)</f>
        <v>Колыон</v>
      </c>
      <c r="I120" s="37" t="str">
        <f>VLOOKUP(Заявки[[#This Row],[Заказчик]],Контрагенты!B:D,3,FALSE)</f>
        <v>Колыон</v>
      </c>
      <c r="J120" s="30" t="s">
        <v>57</v>
      </c>
      <c r="K120" s="37" t="str">
        <f>VLOOKUP(J120,Прайс!$B$2:$F$81,2,FALSE)</f>
        <v>Булочки</v>
      </c>
      <c r="L120" s="1">
        <v>15</v>
      </c>
      <c r="M120" s="31">
        <f>VLOOKUP(J120,Прайс!$B$2:$F$81,5,0)</f>
        <v>18</v>
      </c>
      <c r="N120" s="31">
        <f t="shared" si="13"/>
        <v>270</v>
      </c>
    </row>
    <row r="121" spans="2:14" x14ac:dyDescent="0.25">
      <c r="B121" s="42">
        <v>45030</v>
      </c>
      <c r="C121" s="51">
        <f>MONTH(Заявки[[#This Row],[Дата]])</f>
        <v>4</v>
      </c>
      <c r="D121" s="51">
        <f>YEAR(Заявки[[#This Row],[Дата]])</f>
        <v>2023</v>
      </c>
      <c r="E121" s="32" t="str">
        <f>IF(Заявки[[#This Row],[Год]]="","Пустая","Доходы")</f>
        <v>Доходы</v>
      </c>
      <c r="F121" s="30" t="s">
        <v>91</v>
      </c>
      <c r="G121" s="32" t="str">
        <f>VLOOKUP(Заявки[[#This Row],[Заказчик]],Контрагенты!B:E,4,FALSE)</f>
        <v>Наличными</v>
      </c>
      <c r="H121" s="37" t="str">
        <f>VLOOKUP(Заявки[[#This Row],[Заказчик]],Контрагенты!B:D,2,FALSE)</f>
        <v>Почитанка</v>
      </c>
      <c r="I121" s="37" t="str">
        <f>VLOOKUP(Заявки[[#This Row],[Заказчик]],Контрагенты!B:D,3,FALSE)</f>
        <v>Ижморка</v>
      </c>
      <c r="J121" s="30" t="s">
        <v>6</v>
      </c>
      <c r="K121" s="37" t="str">
        <f>VLOOKUP(J121,Прайс!$B$2:$F$81,2,FALSE)</f>
        <v>Хлеб</v>
      </c>
      <c r="L121" s="1">
        <v>20</v>
      </c>
      <c r="M121" s="31">
        <f>VLOOKUP(J121,Прайс!$B$2:$F$81,5,0)</f>
        <v>23</v>
      </c>
      <c r="N121" s="31">
        <f t="shared" si="13"/>
        <v>460</v>
      </c>
    </row>
    <row r="122" spans="2:14" x14ac:dyDescent="0.25">
      <c r="B122" s="42">
        <v>45061</v>
      </c>
      <c r="C122" s="51">
        <f>MONTH(Заявки[[#This Row],[Дата]])</f>
        <v>5</v>
      </c>
      <c r="D122" s="51">
        <f>YEAR(Заявки[[#This Row],[Дата]])</f>
        <v>2023</v>
      </c>
      <c r="E122" s="32" t="str">
        <f>IF(Заявки[[#This Row],[Год]]="","Пустая","Доходы")</f>
        <v>Доходы</v>
      </c>
      <c r="F122" s="30" t="s">
        <v>96</v>
      </c>
      <c r="G122" s="32" t="str">
        <f>VLOOKUP(Заявки[[#This Row],[Заказчик]],Контрагенты!B:E,4,FALSE)</f>
        <v>Наличными</v>
      </c>
      <c r="H122" s="37" t="str">
        <f>VLOOKUP(Заявки[[#This Row],[Заказчик]],Контрагенты!B:D,2,FALSE)</f>
        <v>Ижморка</v>
      </c>
      <c r="I122" s="37" t="str">
        <f>VLOOKUP(Заявки[[#This Row],[Заказчик]],Контрагенты!B:D,3,FALSE)</f>
        <v>Ижморка</v>
      </c>
      <c r="J122" s="30" t="s">
        <v>49</v>
      </c>
      <c r="K122" s="37" t="str">
        <f>VLOOKUP(J122,Прайс!$B$2:$F$81,2,FALSE)</f>
        <v>Булочки</v>
      </c>
      <c r="L122" s="1">
        <v>50</v>
      </c>
      <c r="M122" s="31">
        <f>VLOOKUP(J122,Прайс!$B$2:$F$81,5,0)</f>
        <v>20</v>
      </c>
      <c r="N122" s="31">
        <f t="shared" ref="N122:N127" si="14">L122*M122</f>
        <v>1000</v>
      </c>
    </row>
    <row r="123" spans="2:14" x14ac:dyDescent="0.25">
      <c r="B123" s="42">
        <v>45061</v>
      </c>
      <c r="C123" s="51">
        <f>MONTH(Заявки[[#This Row],[Дата]])</f>
        <v>5</v>
      </c>
      <c r="D123" s="51">
        <f>YEAR(Заявки[[#This Row],[Дата]])</f>
        <v>2023</v>
      </c>
      <c r="E123" s="32" t="str">
        <f>IF(Заявки[[#This Row],[Год]]="","Пустая","Доходы")</f>
        <v>Доходы</v>
      </c>
      <c r="F123" s="30" t="s">
        <v>182</v>
      </c>
      <c r="G123" s="32" t="str">
        <f>VLOOKUP(Заявки[[#This Row],[Заказчик]],Контрагенты!B:E,4,FALSE)</f>
        <v>Наличными</v>
      </c>
      <c r="H123" s="37" t="str">
        <f>VLOOKUP(Заявки[[#This Row],[Заказчик]],Контрагенты!B:D,2,FALSE)</f>
        <v>Яя</v>
      </c>
      <c r="I123" s="37" t="str">
        <f>VLOOKUP(Заявки[[#This Row],[Заказчик]],Контрагенты!B:D,3,FALSE)</f>
        <v>Яя</v>
      </c>
      <c r="J123" s="30" t="s">
        <v>9</v>
      </c>
      <c r="K123" s="37" t="str">
        <f>VLOOKUP(J123,Прайс!$B$2:$F$81,2,FALSE)</f>
        <v>Хлеб</v>
      </c>
      <c r="L123" s="1">
        <v>10</v>
      </c>
      <c r="M123" s="31">
        <f>VLOOKUP(J123,Прайс!$B$2:$F$81,5,0)</f>
        <v>26</v>
      </c>
      <c r="N123" s="31">
        <f t="shared" si="14"/>
        <v>260</v>
      </c>
    </row>
    <row r="124" spans="2:14" x14ac:dyDescent="0.25">
      <c r="B124" s="42">
        <v>45061</v>
      </c>
      <c r="C124" s="51">
        <f>MONTH(Заявки[[#This Row],[Дата]])</f>
        <v>5</v>
      </c>
      <c r="D124" s="51">
        <f>YEAR(Заявки[[#This Row],[Дата]])</f>
        <v>2023</v>
      </c>
      <c r="E124" s="32" t="str">
        <f>IF(Заявки[[#This Row],[Год]]="","Пустая","Доходы")</f>
        <v>Доходы</v>
      </c>
      <c r="F124" s="30" t="s">
        <v>182</v>
      </c>
      <c r="G124" s="32" t="str">
        <f>VLOOKUP(Заявки[[#This Row],[Заказчик]],Контрагенты!B:E,4,FALSE)</f>
        <v>Наличными</v>
      </c>
      <c r="H124" s="37" t="str">
        <f>VLOOKUP(Заявки[[#This Row],[Заказчик]],Контрагенты!B:D,2,FALSE)</f>
        <v>Яя</v>
      </c>
      <c r="I124" s="37" t="str">
        <f>VLOOKUP(Заявки[[#This Row],[Заказчик]],Контрагенты!B:D,3,FALSE)</f>
        <v>Яя</v>
      </c>
      <c r="J124" s="30" t="s">
        <v>135</v>
      </c>
      <c r="K124" s="37" t="str">
        <f>VLOOKUP(J124,Прайс!$B$2:$F$81,2,FALSE)</f>
        <v>Другое</v>
      </c>
      <c r="L124" s="1">
        <v>10</v>
      </c>
      <c r="M124" s="31">
        <f>VLOOKUP(J124,Прайс!$B$2:$F$81,5,0)</f>
        <v>30</v>
      </c>
      <c r="N124" s="31">
        <f t="shared" si="14"/>
        <v>300</v>
      </c>
    </row>
    <row r="125" spans="2:14" x14ac:dyDescent="0.25">
      <c r="B125" s="42">
        <v>45061</v>
      </c>
      <c r="C125" s="51">
        <f>MONTH(Заявки[[#This Row],[Дата]])</f>
        <v>5</v>
      </c>
      <c r="D125" s="51">
        <f>YEAR(Заявки[[#This Row],[Дата]])</f>
        <v>2023</v>
      </c>
      <c r="E125" s="32" t="str">
        <f>IF(Заявки[[#This Row],[Год]]="","Пустая","Доходы")</f>
        <v>Доходы</v>
      </c>
      <c r="F125" s="30" t="s">
        <v>182</v>
      </c>
      <c r="G125" s="32" t="str">
        <f>VLOOKUP(Заявки[[#This Row],[Заказчик]],Контрагенты!B:E,4,FALSE)</f>
        <v>Наличными</v>
      </c>
      <c r="H125" s="37" t="str">
        <f>VLOOKUP(Заявки[[#This Row],[Заказчик]],Контрагенты!B:D,2,FALSE)</f>
        <v>Яя</v>
      </c>
      <c r="I125" s="37" t="str">
        <f>VLOOKUP(Заявки[[#This Row],[Заказчик]],Контрагенты!B:D,3,FALSE)</f>
        <v>Яя</v>
      </c>
      <c r="J125" s="30" t="s">
        <v>70</v>
      </c>
      <c r="K125" s="37" t="str">
        <f>VLOOKUP(J125,Прайс!$B$2:$F$81,2,FALSE)</f>
        <v>Другое</v>
      </c>
      <c r="L125" s="1">
        <v>15</v>
      </c>
      <c r="M125" s="31">
        <f>VLOOKUP(J125,Прайс!$B$2:$F$81,5,0)</f>
        <v>45</v>
      </c>
      <c r="N125" s="31">
        <f t="shared" si="14"/>
        <v>675</v>
      </c>
    </row>
    <row r="126" spans="2:14" x14ac:dyDescent="0.25">
      <c r="B126" s="42">
        <v>45061</v>
      </c>
      <c r="C126" s="51">
        <f>MONTH(Заявки[[#This Row],[Дата]])</f>
        <v>5</v>
      </c>
      <c r="D126" s="51">
        <f>YEAR(Заявки[[#This Row],[Дата]])</f>
        <v>2023</v>
      </c>
      <c r="E126" s="32" t="str">
        <f>IF(Заявки[[#This Row],[Год]]="","Пустая","Доходы")</f>
        <v>Доходы</v>
      </c>
      <c r="F126" s="30" t="s">
        <v>182</v>
      </c>
      <c r="G126" s="32" t="str">
        <f>VLOOKUP(Заявки[[#This Row],[Заказчик]],Контрагенты!B:E,4,FALSE)</f>
        <v>Наличными</v>
      </c>
      <c r="H126" s="37" t="str">
        <f>VLOOKUP(Заявки[[#This Row],[Заказчик]],Контрагенты!B:D,2,FALSE)</f>
        <v>Яя</v>
      </c>
      <c r="I126" s="37" t="str">
        <f>VLOOKUP(Заявки[[#This Row],[Заказчик]],Контрагенты!B:D,3,FALSE)</f>
        <v>Яя</v>
      </c>
      <c r="J126" s="30" t="s">
        <v>6</v>
      </c>
      <c r="K126" s="37" t="str">
        <f>VLOOKUP(J126,Прайс!$B$2:$F$81,2,FALSE)</f>
        <v>Хлеб</v>
      </c>
      <c r="L126" s="1">
        <v>28</v>
      </c>
      <c r="M126" s="31">
        <f>VLOOKUP(J126,Прайс!$B$2:$F$81,5,0)</f>
        <v>23</v>
      </c>
      <c r="N126" s="31">
        <f t="shared" si="14"/>
        <v>644</v>
      </c>
    </row>
    <row r="127" spans="2:14" x14ac:dyDescent="0.25">
      <c r="B127" s="42">
        <v>45062</v>
      </c>
      <c r="C127" s="51">
        <f>MONTH(Заявки[[#This Row],[Дата]])</f>
        <v>5</v>
      </c>
      <c r="D127" s="51">
        <f>YEAR(Заявки[[#This Row],[Дата]])</f>
        <v>2023</v>
      </c>
      <c r="E127" s="32" t="str">
        <f>IF(Заявки[[#This Row],[Год]]="","Пустая","Доходы")</f>
        <v>Доходы</v>
      </c>
      <c r="F127" s="30" t="s">
        <v>125</v>
      </c>
      <c r="G127" s="32" t="str">
        <f>VLOOKUP(Заявки[[#This Row],[Заказчик]],Контрагенты!B:E,4,FALSE)</f>
        <v>Наличными</v>
      </c>
      <c r="H127" s="37" t="str">
        <f>VLOOKUP(Заявки[[#This Row],[Заказчик]],Контрагенты!B:D,2,FALSE)</f>
        <v>Яя</v>
      </c>
      <c r="I127" s="37" t="str">
        <f>VLOOKUP(Заявки[[#This Row],[Заказчик]],Контрагенты!B:D,3,FALSE)</f>
        <v>Водитель</v>
      </c>
      <c r="J127" s="30" t="s">
        <v>50</v>
      </c>
      <c r="K127" s="37" t="str">
        <f>VLOOKUP(J127,Прайс!$B$2:$F$81,2,FALSE)</f>
        <v>Сухарь</v>
      </c>
      <c r="L127" s="1">
        <v>15</v>
      </c>
      <c r="M127" s="31">
        <f>VLOOKUP(J127,Прайс!$B$2:$F$81,5,0)</f>
        <v>180</v>
      </c>
      <c r="N127" s="31">
        <f t="shared" si="14"/>
        <v>2700</v>
      </c>
    </row>
  </sheetData>
  <pageMargins left="0.7" right="0.7" top="0.75" bottom="0.75" header="0.3" footer="0.3"/>
  <pageSetup paperSize="9" orientation="portrait" r:id="rId1"/>
  <ignoredErrors>
    <ignoredError sqref="F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Прайс!$B:$B</xm:f>
          </x14:formula1>
          <xm:sqref>J1:J1048576</xm:sqref>
        </x14:dataValidation>
        <x14:dataValidation type="list" allowBlank="1" showInputMessage="1" showErrorMessage="1">
          <x14:formula1>
            <xm:f>Контрагенты!$B:$B</xm:f>
          </x14:formula1>
          <xm:sqref>F1:F127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K13"/>
  <sheetViews>
    <sheetView showGridLines="0" workbookViewId="0">
      <pane ySplit="1" topLeftCell="A2" activePane="bottomLeft" state="frozen"/>
      <selection pane="bottomLeft" activeCell="H23" sqref="H23"/>
    </sheetView>
  </sheetViews>
  <sheetFormatPr defaultRowHeight="15.75" x14ac:dyDescent="0.25"/>
  <cols>
    <col min="1" max="1" width="5.7109375" style="77" customWidth="1"/>
    <col min="2" max="2" width="16.42578125" style="95" bestFit="1" customWidth="1"/>
    <col min="3" max="4" width="10.140625" style="84" hidden="1" customWidth="1"/>
    <col min="5" max="5" width="12.28515625" style="77" hidden="1" customWidth="1"/>
    <col min="6" max="7" width="17" style="77" customWidth="1"/>
    <col min="8" max="8" width="13.7109375" style="77" customWidth="1"/>
    <col min="9" max="9" width="10.5703125" style="77" customWidth="1"/>
    <col min="10" max="10" width="13.5703125" style="67" customWidth="1"/>
    <col min="11" max="11" width="13.42578125" style="67" bestFit="1" customWidth="1"/>
    <col min="12" max="16384" width="9.140625" style="77"/>
  </cols>
  <sheetData>
    <row r="1" spans="2:11" x14ac:dyDescent="0.25">
      <c r="B1" s="95" t="s">
        <v>83</v>
      </c>
      <c r="C1" s="84" t="s">
        <v>185</v>
      </c>
      <c r="D1" s="84" t="s">
        <v>186</v>
      </c>
      <c r="E1" s="77" t="s">
        <v>134</v>
      </c>
      <c r="F1" s="77" t="s">
        <v>0</v>
      </c>
      <c r="G1" s="77" t="s">
        <v>171</v>
      </c>
      <c r="H1" s="77" t="s">
        <v>164</v>
      </c>
      <c r="I1" s="77" t="s">
        <v>162</v>
      </c>
      <c r="J1" s="67" t="s">
        <v>169</v>
      </c>
      <c r="K1" s="67" t="s">
        <v>144</v>
      </c>
    </row>
    <row r="2" spans="2:11" x14ac:dyDescent="0.25">
      <c r="B2" s="95">
        <v>44937</v>
      </c>
      <c r="C2" s="84">
        <f>MONTH(Расходы[[#This Row],[Дата]])</f>
        <v>1</v>
      </c>
      <c r="D2" s="84">
        <f>YEAR(Расходы[[#This Row],[Дата]])</f>
        <v>2023</v>
      </c>
      <c r="E2" s="77" t="str">
        <f>IF(Расходы[[#This Row],[Дата]]="","Пустая","Расходы")</f>
        <v>Расходы</v>
      </c>
      <c r="F2" s="77" t="s">
        <v>161</v>
      </c>
      <c r="G2" s="77" t="s">
        <v>130</v>
      </c>
      <c r="H2" s="77">
        <v>30</v>
      </c>
      <c r="I2" s="77" t="s">
        <v>163</v>
      </c>
      <c r="J2" s="67">
        <v>500</v>
      </c>
      <c r="K2" s="67">
        <f>Расходы[[#This Row],[Количество]]*Расходы[[#This Row],[Цена за ед.]]</f>
        <v>15000</v>
      </c>
    </row>
    <row r="3" spans="2:11" x14ac:dyDescent="0.25">
      <c r="B3" s="95">
        <v>44937</v>
      </c>
      <c r="C3" s="84">
        <f>MONTH(Расходы[[#This Row],[Дата]])</f>
        <v>1</v>
      </c>
      <c r="D3" s="84">
        <f>YEAR(Расходы[[#This Row],[Дата]])</f>
        <v>2023</v>
      </c>
      <c r="E3" s="77" t="str">
        <f>IF(Расходы[[#This Row],[Дата]]="","Пустая","Расходы")</f>
        <v>Расходы</v>
      </c>
      <c r="F3" s="77" t="s">
        <v>131</v>
      </c>
      <c r="G3" s="77" t="s">
        <v>131</v>
      </c>
      <c r="H3" s="77">
        <v>3</v>
      </c>
      <c r="I3" s="77" t="s">
        <v>163</v>
      </c>
      <c r="J3" s="67">
        <v>100</v>
      </c>
      <c r="K3" s="67">
        <f>Расходы[[#This Row],[Количество]]*Расходы[[#This Row],[Цена за ед.]]</f>
        <v>300</v>
      </c>
    </row>
    <row r="4" spans="2:11" x14ac:dyDescent="0.25">
      <c r="B4" s="95">
        <v>44937</v>
      </c>
      <c r="C4" s="84">
        <f>MONTH(Расходы[[#This Row],[Дата]])</f>
        <v>1</v>
      </c>
      <c r="D4" s="84">
        <f>YEAR(Расходы[[#This Row],[Дата]])</f>
        <v>2023</v>
      </c>
      <c r="E4" s="77" t="str">
        <f>IF(Расходы[[#This Row],[Дата]]="","Пустая","Расходы")</f>
        <v>Расходы</v>
      </c>
      <c r="F4" s="77" t="s">
        <v>165</v>
      </c>
      <c r="G4" s="77" t="s">
        <v>165</v>
      </c>
      <c r="H4" s="77">
        <v>5</v>
      </c>
      <c r="I4" s="77" t="s">
        <v>166</v>
      </c>
      <c r="J4" s="67">
        <v>50</v>
      </c>
      <c r="K4" s="67">
        <f>Расходы[[#This Row],[Количество]]*Расходы[[#This Row],[Цена за ед.]]</f>
        <v>250</v>
      </c>
    </row>
    <row r="5" spans="2:11" x14ac:dyDescent="0.25">
      <c r="B5" s="95">
        <v>44937</v>
      </c>
      <c r="C5" s="84">
        <f>MONTH(Расходы[[#This Row],[Дата]])</f>
        <v>1</v>
      </c>
      <c r="D5" s="84">
        <f>YEAR(Расходы[[#This Row],[Дата]])</f>
        <v>2023</v>
      </c>
      <c r="E5" s="77" t="str">
        <f>IF(Расходы[[#This Row],[Дата]]="","Пустая","Расходы")</f>
        <v>Расходы</v>
      </c>
      <c r="F5" s="77" t="s">
        <v>167</v>
      </c>
      <c r="G5" s="77" t="s">
        <v>173</v>
      </c>
      <c r="H5" s="77">
        <v>2</v>
      </c>
      <c r="I5" s="77" t="s">
        <v>163</v>
      </c>
      <c r="J5" s="67">
        <v>200</v>
      </c>
      <c r="K5" s="67">
        <f>Расходы[[#This Row],[Количество]]*Расходы[[#This Row],[Цена за ед.]]</f>
        <v>400</v>
      </c>
    </row>
    <row r="6" spans="2:11" x14ac:dyDescent="0.25">
      <c r="B6" s="95">
        <v>44937</v>
      </c>
      <c r="C6" s="84">
        <f>MONTH(Расходы[[#This Row],[Дата]])</f>
        <v>1</v>
      </c>
      <c r="D6" s="84">
        <f>YEAR(Расходы[[#This Row],[Дата]])</f>
        <v>2023</v>
      </c>
      <c r="E6" s="77" t="str">
        <f>IF(Расходы[[#This Row],[Дата]]="","Пустая","Расходы")</f>
        <v>Расходы</v>
      </c>
      <c r="F6" s="77" t="s">
        <v>168</v>
      </c>
      <c r="G6" s="77" t="s">
        <v>172</v>
      </c>
      <c r="H6" s="77">
        <v>3</v>
      </c>
      <c r="I6" s="77" t="s">
        <v>163</v>
      </c>
      <c r="J6" s="67">
        <v>150</v>
      </c>
      <c r="K6" s="67">
        <f>Расходы[[#This Row],[Количество]]*Расходы[[#This Row],[Цена за ед.]]</f>
        <v>450</v>
      </c>
    </row>
    <row r="7" spans="2:11" x14ac:dyDescent="0.25">
      <c r="B7" s="95">
        <v>44937</v>
      </c>
      <c r="C7" s="84">
        <f>MONTH(Расходы[[#This Row],[Дата]])</f>
        <v>1</v>
      </c>
      <c r="D7" s="84">
        <f>YEAR(Расходы[[#This Row],[Дата]])</f>
        <v>2023</v>
      </c>
      <c r="E7" s="77" t="str">
        <f>IF(Расходы[[#This Row],[Дата]]="","Пустая","Расходы")</f>
        <v>Расходы</v>
      </c>
      <c r="F7" s="77" t="s">
        <v>170</v>
      </c>
      <c r="G7" s="77" t="s">
        <v>170</v>
      </c>
      <c r="H7" s="77">
        <v>15</v>
      </c>
      <c r="I7" s="77" t="s">
        <v>166</v>
      </c>
      <c r="J7" s="67">
        <v>55</v>
      </c>
      <c r="K7" s="67">
        <f>Расходы[[#This Row],[Количество]]*Расходы[[#This Row],[Цена за ед.]]</f>
        <v>825</v>
      </c>
    </row>
    <row r="8" spans="2:11" x14ac:dyDescent="0.25">
      <c r="B8" s="95">
        <v>44958</v>
      </c>
      <c r="C8" s="84">
        <f>MONTH(Расходы[[#This Row],[Дата]])</f>
        <v>2</v>
      </c>
      <c r="D8" s="84">
        <f>YEAR(Расходы[[#This Row],[Дата]])</f>
        <v>2023</v>
      </c>
      <c r="E8" s="77" t="str">
        <f>IF(Расходы[[#This Row],[Дата]]="","Пустая","Расходы")</f>
        <v>Расходы</v>
      </c>
      <c r="F8" s="77" t="s">
        <v>161</v>
      </c>
      <c r="G8" s="77" t="s">
        <v>130</v>
      </c>
      <c r="H8" s="77">
        <v>15</v>
      </c>
      <c r="I8" s="77" t="s">
        <v>163</v>
      </c>
      <c r="J8" s="67">
        <v>500</v>
      </c>
      <c r="K8" s="67">
        <f>Расходы[[#This Row],[Количество]]*Расходы[[#This Row],[Цена за ед.]]</f>
        <v>7500</v>
      </c>
    </row>
    <row r="9" spans="2:11" x14ac:dyDescent="0.25">
      <c r="B9" s="95">
        <v>44958</v>
      </c>
      <c r="C9" s="84">
        <f>MONTH(Расходы[[#This Row],[Дата]])</f>
        <v>2</v>
      </c>
      <c r="D9" s="84">
        <f>YEAR(Расходы[[#This Row],[Дата]])</f>
        <v>2023</v>
      </c>
      <c r="E9" s="77" t="str">
        <f>IF(Расходы[[#This Row],[Дата]]="","Пустая","Расходы")</f>
        <v>Расходы</v>
      </c>
      <c r="F9" s="77" t="s">
        <v>161</v>
      </c>
      <c r="G9" s="77" t="s">
        <v>130</v>
      </c>
      <c r="H9" s="77">
        <v>10</v>
      </c>
      <c r="I9" s="77" t="s">
        <v>163</v>
      </c>
      <c r="J9" s="67">
        <v>500</v>
      </c>
      <c r="K9" s="67">
        <f>Расходы[[#This Row],[Количество]]*Расходы[[#This Row],[Цена за ед.]]</f>
        <v>5000</v>
      </c>
    </row>
    <row r="10" spans="2:11" x14ac:dyDescent="0.25">
      <c r="B10" s="95">
        <v>44958</v>
      </c>
      <c r="C10" s="84">
        <f>MONTH(Расходы[[#This Row],[Дата]])</f>
        <v>2</v>
      </c>
      <c r="D10" s="84">
        <f>YEAR(Расходы[[#This Row],[Дата]])</f>
        <v>2023</v>
      </c>
      <c r="E10" s="77" t="str">
        <f>IF(Расходы[[#This Row],[Дата]]="","Пустая","Расходы")</f>
        <v>Расходы</v>
      </c>
      <c r="F10" s="77" t="s">
        <v>195</v>
      </c>
      <c r="G10" s="77" t="s">
        <v>195</v>
      </c>
      <c r="H10" s="77">
        <v>5</v>
      </c>
      <c r="I10" s="77" t="s">
        <v>196</v>
      </c>
      <c r="J10" s="67">
        <v>200</v>
      </c>
      <c r="K10" s="67">
        <f>Расходы[[#This Row],[Количество]]*Расходы[[#This Row],[Цена за ед.]]</f>
        <v>1000</v>
      </c>
    </row>
    <row r="11" spans="2:11" x14ac:dyDescent="0.25">
      <c r="B11" s="95">
        <v>44986</v>
      </c>
      <c r="C11" s="84">
        <f>MONTH(Расходы[[#This Row],[Дата]])</f>
        <v>3</v>
      </c>
      <c r="D11" s="84">
        <f>YEAR(Расходы[[#This Row],[Дата]])</f>
        <v>2023</v>
      </c>
      <c r="E11" s="77" t="str">
        <f>IF(Расходы[[#This Row],[Дата]]="","Пустая","Расходы")</f>
        <v>Расходы</v>
      </c>
      <c r="F11" s="77" t="s">
        <v>195</v>
      </c>
      <c r="G11" s="77" t="s">
        <v>195</v>
      </c>
      <c r="H11" s="77">
        <v>10</v>
      </c>
      <c r="I11" s="77" t="s">
        <v>196</v>
      </c>
      <c r="J11" s="67">
        <v>250</v>
      </c>
      <c r="K11" s="67">
        <f>Расходы[[#This Row],[Количество]]*Расходы[[#This Row],[Цена за ед.]]</f>
        <v>2500</v>
      </c>
    </row>
    <row r="12" spans="2:11" x14ac:dyDescent="0.25">
      <c r="B12" s="95">
        <v>45051</v>
      </c>
      <c r="C12" s="84">
        <f>MONTH(Расходы[[#This Row],[Дата]])</f>
        <v>5</v>
      </c>
      <c r="D12" s="84">
        <f>YEAR(Расходы[[#This Row],[Дата]])</f>
        <v>2023</v>
      </c>
      <c r="E12" s="77" t="str">
        <f>IF(Расходы[[#This Row],[Дата]]="","Пустая","Расходы")</f>
        <v>Расходы</v>
      </c>
      <c r="F12" s="77" t="s">
        <v>170</v>
      </c>
      <c r="G12" s="77" t="s">
        <v>170</v>
      </c>
      <c r="H12" s="77">
        <v>15</v>
      </c>
      <c r="I12" s="77" t="s">
        <v>166</v>
      </c>
      <c r="J12" s="67">
        <v>55</v>
      </c>
      <c r="K12" s="67">
        <f>Расходы[[#This Row],[Количество]]*Расходы[[#This Row],[Цена за ед.]]</f>
        <v>825</v>
      </c>
    </row>
    <row r="13" spans="2:11" x14ac:dyDescent="0.25">
      <c r="B13" s="115">
        <v>45061</v>
      </c>
      <c r="C13" s="116">
        <f>MONTH(Расходы[[#This Row],[Дата]])</f>
        <v>5</v>
      </c>
      <c r="D13" s="116">
        <f>YEAR(Расходы[[#This Row],[Дата]])</f>
        <v>2023</v>
      </c>
      <c r="E13" s="117" t="str">
        <f>IF(Расходы[[#This Row],[Дата]]="","Пустая","Расходы")</f>
        <v>Расходы</v>
      </c>
      <c r="F13" s="117" t="s">
        <v>167</v>
      </c>
      <c r="G13" s="77" t="s">
        <v>173</v>
      </c>
      <c r="H13" s="117">
        <v>5</v>
      </c>
      <c r="I13" s="117" t="s">
        <v>163</v>
      </c>
      <c r="J13" s="118">
        <v>100</v>
      </c>
      <c r="K13" s="118">
        <f>Расходы[[#This Row],[Количество]]*Расходы[[#This Row],[Цена за ед.]]</f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K29"/>
  <sheetViews>
    <sheetView showGridLines="0" workbookViewId="0">
      <selection activeCell="N15" sqref="N15"/>
    </sheetView>
  </sheetViews>
  <sheetFormatPr defaultRowHeight="15.75" x14ac:dyDescent="0.25"/>
  <cols>
    <col min="1" max="1" width="5.7109375" style="77" customWidth="1"/>
    <col min="2" max="2" width="28" style="77" bestFit="1" customWidth="1"/>
    <col min="3" max="3" width="25" style="77" bestFit="1" customWidth="1"/>
    <col min="4" max="4" width="13.28515625" style="77" bestFit="1" customWidth="1"/>
    <col min="5" max="5" width="17.7109375" style="77" bestFit="1" customWidth="1"/>
    <col min="6" max="16384" width="9.140625" style="77"/>
  </cols>
  <sheetData>
    <row r="2" spans="2:11" x14ac:dyDescent="0.25">
      <c r="B2" s="85" t="s">
        <v>203</v>
      </c>
      <c r="C2" s="121">
        <v>44945</v>
      </c>
    </row>
    <row r="3" spans="2:11" x14ac:dyDescent="0.25">
      <c r="B3" s="85" t="s">
        <v>141</v>
      </c>
      <c r="C3" s="111" t="s">
        <v>137</v>
      </c>
    </row>
    <row r="5" spans="2:11" x14ac:dyDescent="0.25">
      <c r="B5" s="80" t="s">
        <v>202</v>
      </c>
      <c r="C5" s="96" t="s">
        <v>174</v>
      </c>
      <c r="D5" s="96" t="s">
        <v>175</v>
      </c>
      <c r="E5" s="96" t="s">
        <v>176</v>
      </c>
      <c r="I5" s="98"/>
      <c r="K5" s="98"/>
    </row>
    <row r="6" spans="2:11" x14ac:dyDescent="0.25">
      <c r="B6" s="81" t="s">
        <v>135</v>
      </c>
      <c r="C6" s="104">
        <v>15</v>
      </c>
      <c r="D6" s="108">
        <v>150</v>
      </c>
      <c r="E6" s="108">
        <v>450</v>
      </c>
    </row>
    <row r="7" spans="2:11" x14ac:dyDescent="0.25">
      <c r="B7" s="81" t="s">
        <v>14</v>
      </c>
      <c r="C7" s="104">
        <v>1</v>
      </c>
      <c r="D7" s="108">
        <v>19</v>
      </c>
      <c r="E7" s="108">
        <v>19</v>
      </c>
    </row>
    <row r="8" spans="2:11" x14ac:dyDescent="0.25">
      <c r="B8" s="81" t="s">
        <v>7</v>
      </c>
      <c r="C8" s="104">
        <v>19</v>
      </c>
      <c r="D8" s="108">
        <v>145</v>
      </c>
      <c r="E8" s="108">
        <v>551</v>
      </c>
    </row>
    <row r="9" spans="2:11" x14ac:dyDescent="0.25">
      <c r="B9" s="81" t="s">
        <v>6</v>
      </c>
      <c r="C9" s="104">
        <v>4</v>
      </c>
      <c r="D9" s="108">
        <v>23</v>
      </c>
      <c r="E9" s="108">
        <v>92</v>
      </c>
    </row>
    <row r="10" spans="2:11" x14ac:dyDescent="0.25">
      <c r="B10" s="81" t="s">
        <v>8</v>
      </c>
      <c r="C10" s="104">
        <v>5</v>
      </c>
      <c r="D10" s="108">
        <v>23</v>
      </c>
      <c r="E10" s="108">
        <v>115</v>
      </c>
    </row>
    <row r="11" spans="2:11" x14ac:dyDescent="0.25">
      <c r="B11" s="81" t="s">
        <v>177</v>
      </c>
      <c r="C11" s="109">
        <v>44</v>
      </c>
      <c r="D11" s="110">
        <v>360</v>
      </c>
      <c r="E11" s="108">
        <v>1227</v>
      </c>
    </row>
    <row r="12" spans="2:11" x14ac:dyDescent="0.25">
      <c r="B12"/>
      <c r="C12"/>
      <c r="D12"/>
      <c r="E12"/>
    </row>
    <row r="13" spans="2:11" x14ac:dyDescent="0.25">
      <c r="B13"/>
      <c r="C13"/>
      <c r="D13"/>
      <c r="E13"/>
    </row>
    <row r="14" spans="2:11" x14ac:dyDescent="0.25">
      <c r="B14"/>
      <c r="C14"/>
      <c r="D14"/>
      <c r="E14"/>
    </row>
    <row r="15" spans="2:11" x14ac:dyDescent="0.25">
      <c r="B15"/>
      <c r="C15"/>
      <c r="D15"/>
      <c r="E15"/>
    </row>
    <row r="16" spans="2:11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9" spans="2:5" x14ac:dyDescent="0.25">
      <c r="B29" s="98" t="s">
        <v>204</v>
      </c>
      <c r="D29" s="98" t="s">
        <v>205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E25"/>
  <sheetViews>
    <sheetView showGridLines="0" workbookViewId="0">
      <selection activeCell="H23" sqref="H23"/>
    </sheetView>
  </sheetViews>
  <sheetFormatPr defaultRowHeight="15.75" x14ac:dyDescent="0.25"/>
  <cols>
    <col min="1" max="1" width="5.7109375" style="77" customWidth="1"/>
    <col min="2" max="2" width="28" style="77" bestFit="1" customWidth="1"/>
    <col min="3" max="3" width="17.7109375" style="77" customWidth="1"/>
    <col min="4" max="4" width="13.28515625" style="77" bestFit="1" customWidth="1"/>
    <col min="5" max="5" width="17.7109375" style="77" bestFit="1" customWidth="1"/>
    <col min="6" max="16384" width="9.140625" style="77"/>
  </cols>
  <sheetData>
    <row r="2" spans="2:5" x14ac:dyDescent="0.25">
      <c r="B2" s="85" t="s">
        <v>203</v>
      </c>
      <c r="C2" s="77" t="s">
        <v>137</v>
      </c>
    </row>
    <row r="3" spans="2:5" x14ac:dyDescent="0.25">
      <c r="B3" s="80" t="s">
        <v>156</v>
      </c>
      <c r="C3" s="77" t="s">
        <v>137</v>
      </c>
    </row>
    <row r="5" spans="2:5" x14ac:dyDescent="0.25">
      <c r="B5" s="80" t="s">
        <v>202</v>
      </c>
      <c r="C5" s="96" t="s">
        <v>174</v>
      </c>
      <c r="D5" s="96" t="s">
        <v>175</v>
      </c>
      <c r="E5" s="96" t="s">
        <v>176</v>
      </c>
    </row>
    <row r="6" spans="2:5" x14ac:dyDescent="0.25">
      <c r="B6" s="81" t="s">
        <v>78</v>
      </c>
      <c r="C6" s="99">
        <v>80</v>
      </c>
      <c r="D6" s="100">
        <v>128</v>
      </c>
      <c r="E6" s="100">
        <v>1280</v>
      </c>
    </row>
    <row r="7" spans="2:5" x14ac:dyDescent="0.25">
      <c r="B7" s="81" t="s">
        <v>69</v>
      </c>
      <c r="C7" s="99">
        <v>28</v>
      </c>
      <c r="D7" s="100">
        <v>72</v>
      </c>
      <c r="E7" s="100">
        <v>504</v>
      </c>
    </row>
    <row r="8" spans="2:5" x14ac:dyDescent="0.25">
      <c r="B8" s="81" t="s">
        <v>81</v>
      </c>
      <c r="C8" s="99">
        <v>2</v>
      </c>
      <c r="D8" s="100">
        <v>75</v>
      </c>
      <c r="E8" s="100">
        <v>150</v>
      </c>
    </row>
    <row r="9" spans="2:5" x14ac:dyDescent="0.25">
      <c r="B9" s="81" t="s">
        <v>135</v>
      </c>
      <c r="C9" s="99">
        <v>30</v>
      </c>
      <c r="D9" s="100">
        <v>210</v>
      </c>
      <c r="E9" s="100">
        <v>900</v>
      </c>
    </row>
    <row r="10" spans="2:5" x14ac:dyDescent="0.25">
      <c r="B10" s="81" t="s">
        <v>21</v>
      </c>
      <c r="C10" s="99">
        <v>1</v>
      </c>
      <c r="D10" s="100">
        <v>20</v>
      </c>
      <c r="E10" s="100">
        <v>20</v>
      </c>
    </row>
    <row r="11" spans="2:5" x14ac:dyDescent="0.25">
      <c r="B11" s="81" t="s">
        <v>73</v>
      </c>
      <c r="C11" s="99">
        <v>355</v>
      </c>
      <c r="D11" s="100">
        <v>513</v>
      </c>
      <c r="E11" s="100">
        <v>6745</v>
      </c>
    </row>
    <row r="12" spans="2:5" x14ac:dyDescent="0.25">
      <c r="B12" s="81" t="s">
        <v>3</v>
      </c>
      <c r="C12" s="99">
        <v>9</v>
      </c>
      <c r="D12" s="100">
        <v>52</v>
      </c>
      <c r="E12" s="100">
        <v>234</v>
      </c>
    </row>
    <row r="13" spans="2:5" x14ac:dyDescent="0.25">
      <c r="B13" s="81" t="s">
        <v>14</v>
      </c>
      <c r="C13" s="99">
        <v>46</v>
      </c>
      <c r="D13" s="100">
        <v>266</v>
      </c>
      <c r="E13" s="100">
        <v>874</v>
      </c>
    </row>
    <row r="14" spans="2:5" x14ac:dyDescent="0.25">
      <c r="B14" s="81" t="s">
        <v>7</v>
      </c>
      <c r="C14" s="99">
        <v>81</v>
      </c>
      <c r="D14" s="100">
        <v>609</v>
      </c>
      <c r="E14" s="100">
        <v>2349</v>
      </c>
    </row>
    <row r="15" spans="2:5" x14ac:dyDescent="0.25">
      <c r="B15" s="81" t="s">
        <v>6</v>
      </c>
      <c r="C15" s="99">
        <v>62</v>
      </c>
      <c r="D15" s="100">
        <v>92</v>
      </c>
      <c r="E15" s="100">
        <v>1426</v>
      </c>
    </row>
    <row r="16" spans="2:5" x14ac:dyDescent="0.25">
      <c r="B16" s="81" t="s">
        <v>4</v>
      </c>
      <c r="C16" s="99">
        <v>74</v>
      </c>
      <c r="D16" s="100">
        <v>378</v>
      </c>
      <c r="E16" s="100">
        <v>1998</v>
      </c>
    </row>
    <row r="17" spans="2:5" x14ac:dyDescent="0.25">
      <c r="B17" s="81" t="s">
        <v>8</v>
      </c>
      <c r="C17" s="99">
        <v>32</v>
      </c>
      <c r="D17" s="100">
        <v>184</v>
      </c>
      <c r="E17" s="100">
        <v>736</v>
      </c>
    </row>
    <row r="18" spans="2:5" x14ac:dyDescent="0.25">
      <c r="B18" s="81" t="s">
        <v>5</v>
      </c>
      <c r="C18" s="99">
        <v>20</v>
      </c>
      <c r="D18" s="100">
        <v>56</v>
      </c>
      <c r="E18" s="100">
        <v>560</v>
      </c>
    </row>
    <row r="19" spans="2:5" x14ac:dyDescent="0.25">
      <c r="B19" s="81" t="s">
        <v>9</v>
      </c>
      <c r="C19" s="99">
        <v>27</v>
      </c>
      <c r="D19" s="100">
        <v>208</v>
      </c>
      <c r="E19" s="100">
        <v>702</v>
      </c>
    </row>
    <row r="20" spans="2:5" x14ac:dyDescent="0.25">
      <c r="B20" s="81" t="s">
        <v>70</v>
      </c>
      <c r="C20" s="99">
        <v>20</v>
      </c>
      <c r="D20" s="100">
        <v>90</v>
      </c>
      <c r="E20" s="100">
        <v>900</v>
      </c>
    </row>
    <row r="21" spans="2:5" x14ac:dyDescent="0.25">
      <c r="B21" s="81" t="s">
        <v>57</v>
      </c>
      <c r="C21" s="99">
        <v>15</v>
      </c>
      <c r="D21" s="100">
        <v>18</v>
      </c>
      <c r="E21" s="100">
        <v>270</v>
      </c>
    </row>
    <row r="22" spans="2:5" x14ac:dyDescent="0.25">
      <c r="B22" s="81" t="s">
        <v>49</v>
      </c>
      <c r="C22" s="99">
        <v>50</v>
      </c>
      <c r="D22" s="100">
        <v>20</v>
      </c>
      <c r="E22" s="100">
        <v>1000</v>
      </c>
    </row>
    <row r="23" spans="2:5" x14ac:dyDescent="0.25">
      <c r="B23" s="81" t="s">
        <v>50</v>
      </c>
      <c r="C23" s="99">
        <v>15</v>
      </c>
      <c r="D23" s="100">
        <v>180</v>
      </c>
      <c r="E23" s="100">
        <v>2700</v>
      </c>
    </row>
    <row r="24" spans="2:5" x14ac:dyDescent="0.25">
      <c r="B24" s="81" t="s">
        <v>224</v>
      </c>
      <c r="C24" s="101">
        <v>947</v>
      </c>
      <c r="D24" s="102">
        <v>3171</v>
      </c>
      <c r="E24" s="100">
        <v>23348</v>
      </c>
    </row>
    <row r="25" spans="2:5" x14ac:dyDescent="0.25">
      <c r="B25" s="98"/>
      <c r="D25" s="98"/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I39"/>
  <sheetViews>
    <sheetView showGridLines="0" topLeftCell="A10" workbookViewId="0">
      <selection activeCell="E37" sqref="E37"/>
    </sheetView>
  </sheetViews>
  <sheetFormatPr defaultRowHeight="15.75" x14ac:dyDescent="0.25"/>
  <cols>
    <col min="1" max="1" width="5.7109375" style="56" customWidth="1"/>
    <col min="2" max="2" width="20.140625" style="56" bestFit="1" customWidth="1"/>
    <col min="3" max="4" width="20.7109375" style="56" customWidth="1"/>
    <col min="5" max="5" width="7.42578125" style="56" customWidth="1"/>
    <col min="6" max="6" width="18.28515625" style="56" customWidth="1"/>
    <col min="7" max="7" width="19.5703125" style="65" hidden="1" customWidth="1"/>
    <col min="8" max="9" width="12.140625" style="56" bestFit="1" customWidth="1"/>
    <col min="10" max="16384" width="9.140625" style="56"/>
  </cols>
  <sheetData>
    <row r="2" spans="2:8" ht="15.95" customHeight="1" x14ac:dyDescent="0.25">
      <c r="B2" s="54" t="s">
        <v>126</v>
      </c>
      <c r="C2" s="54"/>
      <c r="D2" s="57"/>
      <c r="E2" s="65"/>
      <c r="F2" s="73" t="s">
        <v>83</v>
      </c>
      <c r="G2" s="68" t="s">
        <v>188</v>
      </c>
    </row>
    <row r="3" spans="2:8" ht="15.95" customHeight="1" x14ac:dyDescent="0.25">
      <c r="B3" s="57" t="s">
        <v>121</v>
      </c>
      <c r="C3" s="67">
        <f>SUMIFS(Заявки!N:N,Заявки!B:B,'Ежедневный отчет'!F3)</f>
        <v>2879</v>
      </c>
      <c r="D3" s="58"/>
      <c r="E3" s="59"/>
      <c r="F3" s="120">
        <v>45061</v>
      </c>
      <c r="G3" s="60">
        <f>MONTH(F3)</f>
        <v>5</v>
      </c>
    </row>
    <row r="4" spans="2:8" x14ac:dyDescent="0.25">
      <c r="B4" s="57" t="s">
        <v>122</v>
      </c>
      <c r="C4" s="71">
        <f>SUMIFS(Заявки!N:N,Заявки!C:C,'Ежедневный отчет'!G3,Заявки!D:D,'Ежедневный отчет'!G4)</f>
        <v>5579</v>
      </c>
      <c r="D4" s="58"/>
      <c r="E4" s="59"/>
      <c r="F4" s="61"/>
      <c r="G4" s="60">
        <f>YEAR(F3)</f>
        <v>2023</v>
      </c>
    </row>
    <row r="5" spans="2:8" ht="15.95" customHeight="1" x14ac:dyDescent="0.25">
      <c r="B5" s="57"/>
      <c r="C5" s="57"/>
      <c r="D5" s="57"/>
      <c r="E5" s="57"/>
      <c r="F5" s="57"/>
      <c r="G5" s="62"/>
    </row>
    <row r="6" spans="2:8" ht="15.95" customHeight="1" x14ac:dyDescent="0.25">
      <c r="B6" s="54" t="s">
        <v>180</v>
      </c>
      <c r="C6" s="66" t="s">
        <v>124</v>
      </c>
      <c r="D6" s="66" t="s">
        <v>123</v>
      </c>
      <c r="E6" s="57"/>
      <c r="F6" s="144" t="s">
        <v>191</v>
      </c>
      <c r="G6" s="144"/>
      <c r="H6" s="144"/>
    </row>
    <row r="7" spans="2:8" ht="15.95" customHeight="1" x14ac:dyDescent="0.25">
      <c r="B7" s="57" t="s">
        <v>127</v>
      </c>
      <c r="C7" s="63">
        <f>SUMIFS(Пекарь!D:D,Пекарь!B:B,'Ежедневный отчет'!F3,Пекарь!G:G,B7)</f>
        <v>8</v>
      </c>
      <c r="D7" s="67">
        <f>SUMIFS(Пекарь!F:F,Пекарь!B:B,'Ежедневный отчет'!F3,Пекарь!G:G,'Ежедневный отчет'!B7)</f>
        <v>208</v>
      </c>
      <c r="E7" s="57"/>
      <c r="F7" s="90" t="s">
        <v>192</v>
      </c>
      <c r="G7" s="91"/>
      <c r="H7" s="75">
        <f>SUMIFS(Заявки!N:N,Заявки!G:G,'Ежедневный отчет'!F7,Заявки!B:B,'Ежедневный отчет'!F3)</f>
        <v>2879</v>
      </c>
    </row>
    <row r="8" spans="2:8" ht="15.95" customHeight="1" x14ac:dyDescent="0.25">
      <c r="B8" s="57" t="s">
        <v>128</v>
      </c>
      <c r="C8" s="63">
        <f>SUMIFS(Пекарь!D:D,Пекарь!B:B,'Ежедневный отчет'!F3,Пекарь!G:G,B8)</f>
        <v>50</v>
      </c>
      <c r="D8" s="67">
        <f>SUMIFS(Пекарь!F:F,Пекарь!B:B,'Ежедневный отчет'!F3,Пекарь!G:G,B8)</f>
        <v>900</v>
      </c>
      <c r="E8" s="57"/>
      <c r="F8" s="72" t="s">
        <v>190</v>
      </c>
      <c r="H8" s="75">
        <f>SUMIFS(Заявки!N:N,Заявки!G:G,'Ежедневный отчет'!F8,Заявки!B:B,'Ежедневный отчет'!F3)</f>
        <v>0</v>
      </c>
    </row>
    <row r="9" spans="2:8" ht="15.95" customHeight="1" x14ac:dyDescent="0.25">
      <c r="B9" s="57" t="s">
        <v>129</v>
      </c>
      <c r="C9" s="63">
        <f>SUMIFS(Пекарь!D:D,Пекарь!B:B,'Ежедневный отчет'!F3,Пекарь!G:G,B9)</f>
        <v>0</v>
      </c>
      <c r="D9" s="67">
        <f>SUMIFS(Пекарь!F:F,Пекарь!B:B,'Ежедневный отчет'!F3,Пекарь!G:G,B9)</f>
        <v>0</v>
      </c>
      <c r="E9" s="57"/>
      <c r="F9" s="57"/>
      <c r="G9" s="64"/>
    </row>
    <row r="10" spans="2:8" ht="15.95" customHeight="1" x14ac:dyDescent="0.25">
      <c r="B10" s="57"/>
      <c r="C10" s="57"/>
      <c r="D10" s="57"/>
      <c r="E10" s="57"/>
      <c r="F10" s="57"/>
      <c r="G10" s="62"/>
    </row>
    <row r="11" spans="2:8" ht="15.95" customHeight="1" x14ac:dyDescent="0.25">
      <c r="B11" s="54" t="s">
        <v>182</v>
      </c>
      <c r="C11" s="66" t="s">
        <v>124</v>
      </c>
      <c r="D11" s="66" t="s">
        <v>123</v>
      </c>
      <c r="E11" s="57"/>
      <c r="G11" s="56"/>
    </row>
    <row r="12" spans="2:8" ht="15.95" customHeight="1" x14ac:dyDescent="0.25">
      <c r="B12" s="57" t="s">
        <v>127</v>
      </c>
      <c r="C12" s="63">
        <f>SUMIFS(Заявки!M:M,Заявки!G:G,'Ежедневный отчет'!B11,Заявки!B:B,'Ежедневный отчет'!F3,Заявки!L:L,'Ежедневный отчет'!B12)</f>
        <v>0</v>
      </c>
      <c r="D12" s="67">
        <f>SUMIFS(Заявки!O:O,Заявки!G:G,'Ежедневный отчет'!B11,Заявки!L:L,'Ежедневный отчет'!B12,Заявки!B:B,'Ежедневный отчет'!F3)</f>
        <v>0</v>
      </c>
      <c r="E12" s="57"/>
      <c r="G12" s="56"/>
    </row>
    <row r="13" spans="2:8" ht="15.95" customHeight="1" x14ac:dyDescent="0.25">
      <c r="B13" s="57" t="s">
        <v>128</v>
      </c>
      <c r="C13" s="63">
        <f>SUMIFS(Заявки!M:M,Заявки!G:G,'Ежедневный отчет'!B11,Заявки!B:B,'Ежедневный отчет'!F3,Заявки!L:L,'Ежедневный отчет'!B13)</f>
        <v>0</v>
      </c>
      <c r="D13" s="67">
        <f>SUMIFS(Заявки!O:O,Заявки!G:G,'Ежедневный отчет'!B11,Заявки!L:L,'Ежедневный отчет'!B13,Заявки!B:B,'Ежедневный отчет'!F3)</f>
        <v>0</v>
      </c>
      <c r="G13" s="56"/>
    </row>
    <row r="14" spans="2:8" ht="15.95" customHeight="1" x14ac:dyDescent="0.25">
      <c r="B14" s="57" t="s">
        <v>129</v>
      </c>
      <c r="C14" s="63">
        <f>SUMIFS(Заявки!M:M,Заявки!G:G,'Ежедневный отчет'!B11,Заявки!B:B,'Ежедневный отчет'!F3,Заявки!L:L,'Ежедневный отчет'!B14)</f>
        <v>0</v>
      </c>
      <c r="D14" s="67">
        <f>SUMIFS(Заявки!O:O,Заявки!G:G,'Ежедневный отчет'!B11,Заявки!L:L,'Ежедневный отчет'!B14,Заявки!B:B,'Ежедневный отчет'!F3)</f>
        <v>0</v>
      </c>
      <c r="G14" s="56"/>
    </row>
    <row r="15" spans="2:8" ht="15.95" customHeight="1" x14ac:dyDescent="0.25"/>
    <row r="16" spans="2:8" ht="15.95" customHeight="1" x14ac:dyDescent="0.25">
      <c r="B16" s="54" t="s">
        <v>181</v>
      </c>
      <c r="C16" s="66" t="s">
        <v>124</v>
      </c>
      <c r="D16" s="66" t="s">
        <v>123</v>
      </c>
    </row>
    <row r="17" spans="2:9" ht="15.95" customHeight="1" x14ac:dyDescent="0.25">
      <c r="B17" s="57" t="s">
        <v>127</v>
      </c>
      <c r="C17" s="74">
        <f>SUMIFS(Заявки!L:L,Заявки!F:F,"&lt;&gt;Магазин",Заявки!F:F,"&lt;&gt;Водитель",Заявки!F:F,"&lt;&gt;Взяли себе",Заявки!K:K,'Ежедневный отчет'!B17,Заявки!B:B,'Ежедневный отчет'!F3)</f>
        <v>0</v>
      </c>
      <c r="D17" s="75">
        <f>SUMIFS(Заявки!N:N,Заявки!F:F,"&lt;&gt;Магазин",Заявки!F:F,"&lt;&gt;Водитель",Заявки!F:F,"&lt;&gt;Взяли себе",Заявки!K:K,'Ежедневный отчет'!B17,Заявки!B:B,'Ежедневный отчет'!F3)</f>
        <v>0</v>
      </c>
    </row>
    <row r="18" spans="2:9" ht="15.95" customHeight="1" x14ac:dyDescent="0.25">
      <c r="B18" s="57" t="s">
        <v>128</v>
      </c>
      <c r="C18" s="74">
        <f>SUMIFS(Заявки!L:L,Заявки!F:F,"&lt;&gt;Магазин",Заявки!F:F,"&lt;&gt;Водитель",Заявки!F:F,"&lt;&gt;Взяли себе",Заявки!K:K,'Ежедневный отчет'!B18,Заявки!B:B,'Ежедневный отчет'!F3)</f>
        <v>50</v>
      </c>
      <c r="D18" s="75">
        <f>SUMIFS(Заявки!N:N,Заявки!F:F,"&lt;&gt;Магазин",Заявки!F:F,"&lt;&gt;Водитель",Заявки!F:F,"&lt;&gt;Взяли себе",Заявки!K:K,'Ежедневный отчет'!B18,Заявки!B:B,'Ежедневный отчет'!F3)</f>
        <v>1000</v>
      </c>
    </row>
    <row r="19" spans="2:9" ht="15.95" customHeight="1" x14ac:dyDescent="0.25">
      <c r="B19" s="57" t="s">
        <v>129</v>
      </c>
      <c r="C19" s="76">
        <f>SUMIFS(Заявки!L:L,Заявки!F:F,"&lt;&gt;Магазин",Заявки!F:F,"&lt;&gt;Водитель",Заявки!F:F,"&lt;&gt;Взяли себе",Заявки!K:K,'Ежедневный отчет'!B19,Заявки!B:B,'Ежедневный отчет'!F3)</f>
        <v>0</v>
      </c>
      <c r="D19" s="75">
        <f>SUMIFS(Заявки!N:N,Заявки!F:F,"&lt;&gt;Магазин",Заявки!F:F,"&lt;&gt;Водитель",Заявки!F:F,"&lt;&gt;Взяли себе",Заявки!K:K,'Ежедневный отчет'!B19,Заявки!B:B,'Ежедневный отчет'!F3)</f>
        <v>0</v>
      </c>
      <c r="E19" s="57"/>
      <c r="F19" s="64"/>
      <c r="G19" s="64"/>
      <c r="H19" s="64"/>
    </row>
    <row r="20" spans="2:9" ht="15.95" customHeight="1" x14ac:dyDescent="0.25">
      <c r="B20" s="57"/>
      <c r="C20" s="57"/>
      <c r="D20" s="57"/>
      <c r="E20" s="57"/>
      <c r="F20" s="64"/>
      <c r="G20" s="64"/>
      <c r="H20" s="64"/>
    </row>
    <row r="21" spans="2:9" ht="15.95" customHeight="1" x14ac:dyDescent="0.25">
      <c r="B21" s="55" t="s">
        <v>125</v>
      </c>
      <c r="C21" s="66" t="s">
        <v>124</v>
      </c>
      <c r="D21" s="66" t="s">
        <v>123</v>
      </c>
      <c r="E21" s="57"/>
      <c r="F21" s="64"/>
      <c r="G21" s="64"/>
      <c r="H21" s="64"/>
    </row>
    <row r="22" spans="2:9" ht="15.95" customHeight="1" x14ac:dyDescent="0.25">
      <c r="B22" s="57" t="s">
        <v>127</v>
      </c>
      <c r="C22" s="63">
        <f>SUMIFS(Заявки!M:M,Заявки!G:G,'Ежедневный отчет'!B21,Заявки!L:L,'Ежедневный отчет'!B22,Заявки!B:B,'Ежедневный отчет'!F3)</f>
        <v>0</v>
      </c>
      <c r="D22" s="67">
        <f>SUMIFS(Заявки!O:O,Заявки!G:G,'Ежедневный отчет'!B21,Заявки!L:L,'Ежедневный отчет'!B22,Заявки!B:B,'Ежедневный отчет'!F3)</f>
        <v>0</v>
      </c>
      <c r="E22" s="57"/>
      <c r="F22" s="64"/>
      <c r="G22" s="64"/>
      <c r="H22" s="64"/>
    </row>
    <row r="23" spans="2:9" ht="15.95" customHeight="1" x14ac:dyDescent="0.25">
      <c r="B23" s="57" t="s">
        <v>128</v>
      </c>
      <c r="C23" s="63">
        <f>SUMIFS(Заявки!M:M,Заявки!G:G,'Ежедневный отчет'!B21,Заявки!L:L,'Ежедневный отчет'!B23,Заявки!B:B,'Ежедневный отчет'!F3)</f>
        <v>0</v>
      </c>
      <c r="D23" s="67">
        <f>SUMIFS(Заявки!O:O,Заявки!G:G,'Ежедневный отчет'!B21,Заявки!L:L,'Ежедневный отчет'!B23,Заявки!B:B,'Ежедневный отчет'!F3)</f>
        <v>0</v>
      </c>
      <c r="E23" s="57"/>
      <c r="F23" s="64"/>
      <c r="G23" s="64"/>
      <c r="H23" s="64"/>
    </row>
    <row r="24" spans="2:9" ht="15.95" customHeight="1" x14ac:dyDescent="0.25">
      <c r="B24" s="57" t="s">
        <v>129</v>
      </c>
      <c r="C24" s="69">
        <f>SUMIFS(Заявки!M:M,Заявки!G:G,'Ежедневный отчет'!B21,Заявки!L:L,'Ежедневный отчет'!B24,Заявки!B:B,'Ежедневный отчет'!F3)</f>
        <v>0</v>
      </c>
      <c r="D24" s="67">
        <f>SUMIFS(Заявки!O:O,Заявки!G:G,'Ежедневный отчет'!B21,Заявки!L:L,'Ежедневный отчет'!B24,Заявки!B:B,'Ежедневный отчет'!F3)</f>
        <v>0</v>
      </c>
      <c r="E24" s="57"/>
      <c r="F24" s="64"/>
      <c r="G24" s="64"/>
      <c r="H24" s="64"/>
    </row>
    <row r="25" spans="2:9" ht="15.95" customHeight="1" x14ac:dyDescent="0.25">
      <c r="D25" s="70"/>
      <c r="E25" s="57"/>
      <c r="F25" s="64"/>
      <c r="G25" s="64"/>
      <c r="H25" s="64"/>
    </row>
    <row r="26" spans="2:9" ht="15.95" customHeight="1" x14ac:dyDescent="0.25">
      <c r="B26" s="55" t="s">
        <v>187</v>
      </c>
      <c r="C26" s="66" t="s">
        <v>124</v>
      </c>
      <c r="D26" s="66" t="s">
        <v>123</v>
      </c>
      <c r="E26" s="57"/>
      <c r="F26" s="64"/>
      <c r="G26" s="64"/>
      <c r="H26" s="64"/>
    </row>
    <row r="27" spans="2:9" ht="15.75" customHeight="1" x14ac:dyDescent="0.25">
      <c r="B27" s="57" t="s">
        <v>127</v>
      </c>
      <c r="C27" s="63">
        <f>SUMIFS(Заявки!M:M,Заявки!G:G,'Ежедневный отчет'!B26,Заявки!L:L,'Ежедневный отчет'!B27,Заявки!B:B,'Ежедневный отчет'!F3)</f>
        <v>0</v>
      </c>
      <c r="D27" s="67">
        <f>SUMIFS(Заявки!O:O,Заявки!G:G,'Ежедневный отчет'!B26,Заявки!L:L,'Ежедневный отчет'!B27,Заявки!B:B,'Ежедневный отчет'!F3)</f>
        <v>0</v>
      </c>
      <c r="E27" s="57"/>
      <c r="F27" s="64"/>
      <c r="G27" s="64"/>
      <c r="H27" s="64"/>
    </row>
    <row r="28" spans="2:9" ht="15.95" customHeight="1" x14ac:dyDescent="0.25">
      <c r="B28" s="57" t="s">
        <v>128</v>
      </c>
      <c r="C28" s="69">
        <f>SUMIFS(Заявки!M:M,Заявки!G:G,'Ежедневный отчет'!B26,Заявки!L:L,'Ежедневный отчет'!B28,Заявки!B:B,'Ежедневный отчет'!F3)</f>
        <v>0</v>
      </c>
      <c r="D28" s="67">
        <f>SUMIFS(Заявки!O:O,Заявки!G:G,'Ежедневный отчет'!B26,Заявки!L:L,'Ежедневный отчет'!B28,Заявки!B:B,'Ежедневный отчет'!F3)</f>
        <v>0</v>
      </c>
    </row>
    <row r="29" spans="2:9" ht="15.95" customHeight="1" x14ac:dyDescent="0.25">
      <c r="B29" s="57" t="s">
        <v>129</v>
      </c>
      <c r="C29" s="69">
        <f>SUMIFS(Заявки!M:M,Заявки!G:G,'Ежедневный отчет'!B26,Заявки!L:L,'Ежедневный отчет'!B29,Заявки!B:B,'Ежедневный отчет'!F3)</f>
        <v>0</v>
      </c>
      <c r="D29" s="67">
        <f>SUMIFS(Заявки!O:O,Заявки!G:G,'Ежедневный отчет'!B26,Заявки!L:L,'Ежедневный отчет'!B29,Заявки!B:B,'Ежедневный отчет'!F3)</f>
        <v>0</v>
      </c>
    </row>
    <row r="30" spans="2:9" ht="15.95" customHeight="1" x14ac:dyDescent="0.25"/>
    <row r="31" spans="2:9" ht="31.5" x14ac:dyDescent="0.25">
      <c r="B31" s="55" t="s">
        <v>206</v>
      </c>
      <c r="C31" s="66" t="s">
        <v>124</v>
      </c>
      <c r="D31" s="66" t="s">
        <v>123</v>
      </c>
      <c r="F31" s="122" t="s">
        <v>225</v>
      </c>
      <c r="G31" s="66"/>
      <c r="H31" s="66" t="s">
        <v>124</v>
      </c>
      <c r="I31" s="66" t="s">
        <v>123</v>
      </c>
    </row>
    <row r="32" spans="2:9" ht="15.75" customHeight="1" x14ac:dyDescent="0.25">
      <c r="B32" s="57" t="s">
        <v>127</v>
      </c>
      <c r="C32" s="63">
        <f t="shared" ref="C32:D34" si="0">C7-C12-C17-C22-C27+C37</f>
        <v>8</v>
      </c>
      <c r="D32" s="67">
        <f t="shared" si="0"/>
        <v>208</v>
      </c>
      <c r="F32" s="56" t="s">
        <v>226</v>
      </c>
      <c r="H32" s="63">
        <f>SUMIFS(Пекарь!D:D,Пекарь!G:G,"Сухарь")</f>
        <v>20</v>
      </c>
      <c r="I32" s="67">
        <f>SUMIFS(Пекарь!F:F,Пекарь!G:G,"Сухарь")</f>
        <v>3600</v>
      </c>
    </row>
    <row r="33" spans="2:9" ht="15.95" customHeight="1" x14ac:dyDescent="0.25">
      <c r="B33" s="57" t="s">
        <v>128</v>
      </c>
      <c r="C33" s="63">
        <f t="shared" si="0"/>
        <v>0</v>
      </c>
      <c r="D33" s="67">
        <f t="shared" si="0"/>
        <v>-100</v>
      </c>
      <c r="F33" s="56" t="s">
        <v>227</v>
      </c>
      <c r="H33" s="63">
        <f>SUMIFS(Заявки!L:L,Заявки!K:K,"Сухарь")</f>
        <v>15</v>
      </c>
      <c r="I33" s="67">
        <f>SUMIFS(Заявки!N:N,Заявки!K:K,"Сухарь")</f>
        <v>2700</v>
      </c>
    </row>
    <row r="34" spans="2:9" ht="15.95" customHeight="1" x14ac:dyDescent="0.25">
      <c r="B34" s="57" t="s">
        <v>129</v>
      </c>
      <c r="C34" s="69">
        <f t="shared" si="0"/>
        <v>0</v>
      </c>
      <c r="D34" s="67">
        <f t="shared" si="0"/>
        <v>0</v>
      </c>
      <c r="F34" s="124" t="s">
        <v>228</v>
      </c>
      <c r="H34" s="125">
        <f>H32-H33</f>
        <v>5</v>
      </c>
      <c r="I34" s="126">
        <f>I32-I33</f>
        <v>900</v>
      </c>
    </row>
    <row r="36" spans="2:9" ht="31.5" x14ac:dyDescent="0.25">
      <c r="B36" s="55" t="s">
        <v>193</v>
      </c>
      <c r="C36" s="66" t="s">
        <v>124</v>
      </c>
      <c r="D36" s="66" t="s">
        <v>123</v>
      </c>
    </row>
    <row r="37" spans="2:9" x14ac:dyDescent="0.25">
      <c r="B37" s="57" t="s">
        <v>127</v>
      </c>
      <c r="C37" s="69">
        <f>(SUMIFS(Пекарь!D:D,Пекарь!B:B,'Ежедневный отчет'!F3-1,Пекарь!G:G,B7))-(SUMIFS(Заявки!M:M,Заявки!G:G,'Ежедневный отчет'!B11,Заявки!B:B,'Ежедневный отчет'!F3-1,Заявки!L:L,'Ежедневный отчет'!B12))-(SUMIFS(Заявки!L:L,Заявки!F:F,"&lt;&gt;Магазин",Заявки!F:F,"&lt;&gt;Водитель",Заявки!F:F,"&lt;&gt;Взяли себе",Заявки!K:K,'Ежедневный отчет'!B17,Заявки!B:B,'Ежедневный отчет'!F3-1))-(SUMIFS(Заявки!M:M,Заявки!G:G,'Ежедневный отчет'!B21,Заявки!L:L,'Ежедневный отчет'!B22,Заявки!B:B,'Ежедневный отчет'!F3-1))-(SUMIFS(Заявки!M:M,Заявки!G:G,'Ежедневный отчет'!B26,Заявки!L:L,'Ежедневный отчет'!B27,Заявки!B:B,'Ежедневный отчет'!F3-1))</f>
        <v>0</v>
      </c>
      <c r="D37" s="67">
        <f>(SUMIFS(Пекарь!F:F,Пекарь!B:B,'Ежедневный отчет'!F3-1,Пекарь!G:G,'Ежедневный отчет'!B7))-(SUMIFS(Заявки!O:O,Заявки!G:G,'Ежедневный отчет'!B11,Заявки!L:L,'Ежедневный отчет'!B12,Заявки!B:B,'Ежедневный отчет'!F3-1))-(SUMIFS(Заявки!N:N,Заявки!F:F,"&lt;&gt;Магазин",Заявки!F:F,"&lt;&gt;Водитель",Заявки!F:F,"&lt;&gt;Взяли себе",Заявки!K:K,'Ежедневный отчет'!B17,Заявки!B:B,'Ежедневный отчет'!F3-1))-(SUMIFS(Заявки!O:O,Заявки!G:G,'Ежедневный отчет'!B21,Заявки!L:L,'Ежедневный отчет'!B22,Заявки!B:B,'Ежедневный отчет'!F3-1))-(SUMIFS(Заявки!O:O,Заявки!G:G,'Ежедневный отчет'!B26,Заявки!L:L,'Ежедневный отчет'!B27,Заявки!B:B,'Ежедневный отчет'!F3-1))</f>
        <v>0</v>
      </c>
    </row>
    <row r="38" spans="2:9" x14ac:dyDescent="0.25">
      <c r="B38" s="57" t="s">
        <v>128</v>
      </c>
      <c r="C38" s="69">
        <f>(SUMIFS(Пекарь!D:D,Пекарь!B:B,'Ежедневный отчет'!F3-1,Пекарь!G:G,B8))-(SUMIFS(Заявки!M:M,Заявки!G:G,'Ежедневный отчет'!B11,Заявки!B:B,'Ежедневный отчет'!F3-1,Заявки!L:L,'Ежедневный отчет'!B13))-(SUMIFS(Заявки!L:L,Заявки!F:F,"&lt;&gt;Магазин",Заявки!F:F,"&lt;&gt;Водитель",Заявки!F:F,"&lt;&gt;Взяли себе",Заявки!K:K,'Ежедневный отчет'!B18,Заявки!B:B,'Ежедневный отчет'!F3-1))-(SUMIFS(Заявки!M:M,Заявки!G:G,'Ежедневный отчет'!B21,Заявки!L:L,'Ежедневный отчет'!B23,Заявки!B:B,'Ежедневный отчет'!F3-1))-(SUMIFS(Заявки!M:M,Заявки!G:G,'Ежедневный отчет'!B26,Заявки!L:L,'Ежедневный отчет'!B28,Заявки!B:B,'Ежедневный отчет'!F3-1))</f>
        <v>0</v>
      </c>
      <c r="D38" s="67">
        <f>(SUMIFS(Пекарь!F:F,Пекарь!B:B,'Ежедневный отчет'!F3-1,Пекарь!G:G,B8))-(SUMIFS(Заявки!O:O,Заявки!G:G,'Ежедневный отчет'!B11,Заявки!L:L,'Ежедневный отчет'!B13,Заявки!B:B,'Ежедневный отчет'!F3-1))-(SUMIFS(Заявки!N:N,Заявки!F:F,"&lt;&gt;Магазин",Заявки!F:F,"&lt;&gt;Водитель",Заявки!F:F,"&lt;&gt;Взяли себе",Заявки!K:K,'Ежедневный отчет'!B18,Заявки!B:B,'Ежедневный отчет'!F3-1))-(SUMIFS(Заявки!O:O,Заявки!G:G,'Ежедневный отчет'!B21,Заявки!L:L,'Ежедневный отчет'!B23,Заявки!B:B,'Ежедневный отчет'!F3-1))-(SUMIFS(Заявки!O:O,Заявки!G:G,'Ежедневный отчет'!B26,Заявки!L:L,'Ежедневный отчет'!B28,Заявки!B:B,'Ежедневный отчет'!F3-1))</f>
        <v>0</v>
      </c>
    </row>
    <row r="39" spans="2:9" x14ac:dyDescent="0.25">
      <c r="B39" s="57" t="s">
        <v>129</v>
      </c>
      <c r="C39" s="69">
        <f>(SUMIFS(Пекарь!D:D,Пекарь!B:B,'Ежедневный отчет'!F3-1,Пекарь!G:G,B9))-(SUMIFS(Заявки!M:M,Заявки!G:G,'Ежедневный отчет'!B11,Заявки!B:B,'Ежедневный отчет'!F3-1,Заявки!L:L,'Ежедневный отчет'!B14))-(SUMIFS(Заявки!L:L,Заявки!F:F,"&lt;&gt;Магазин",Заявки!F:F,"&lt;&gt;Водитель",Заявки!F:F,"&lt;&gt;Взяли себе",Заявки!K:K,'Ежедневный отчет'!B19,Заявки!B:B,'Ежедневный отчет'!F3-1))-(SUMIFS(Заявки!M:M,Заявки!G:G,'Ежедневный отчет'!B21,Заявки!L:L,'Ежедневный отчет'!B24,Заявки!B:B,'Ежедневный отчет'!F3-1))-(SUMIFS(Заявки!M:M,Заявки!G:G,'Ежедневный отчет'!B26,Заявки!L:L,'Ежедневный отчет'!B29,Заявки!B:B,'Ежедневный отчет'!F3-1))</f>
        <v>0</v>
      </c>
      <c r="D39" s="67">
        <f>(SUMIFS(Пекарь!F:F,Пекарь!B:B,'Ежедневный отчет'!F3-1,Пекарь!G:G,B9))-(SUMIFS(Заявки!O:O,Заявки!G:G,'Ежедневный отчет'!B11,Заявки!L:L,'Ежедневный отчет'!B14,Заявки!B:B,'Ежедневный отчет'!F3-1))-(SUMIFS(Заявки!N:N,Заявки!F:F,"&lt;&gt;Магазин",Заявки!F:F,"&lt;&gt;Водитель",Заявки!F:F,"&lt;&gt;Взяли себе",Заявки!K:K,'Ежедневный отчет'!B19,Заявки!B:B,'Ежедневный отчет'!F3-1))-(SUMIFS(Заявки!O:O,Заявки!G:G,'Ежедневный отчет'!B21,Заявки!L:L,'Ежедневный отчет'!B24,Заявки!B:B,'Ежедневный отчет'!F3-1))-(SUMIFS(Заявки!O:O,Заявки!G:G,'Ежедневный отчет'!B26,Заявки!L:L,'Ежедневный отчет'!B29,Заявки!B:B,'Ежедневный отчет'!F3-1))</f>
        <v>0</v>
      </c>
    </row>
  </sheetData>
  <mergeCells count="1">
    <mergeCell ref="F6:H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T37"/>
  <sheetViews>
    <sheetView showGridLines="0" tabSelected="1" zoomScale="75" zoomScaleNormal="75" workbookViewId="0">
      <selection activeCell="N18" sqref="N18"/>
    </sheetView>
  </sheetViews>
  <sheetFormatPr defaultRowHeight="15" x14ac:dyDescent="0.25"/>
  <cols>
    <col min="1" max="1" width="5.7109375" customWidth="1"/>
    <col min="2" max="2" width="26.140625" bestFit="1" customWidth="1"/>
    <col min="3" max="4" width="13.7109375" customWidth="1"/>
    <col min="5" max="5" width="8.7109375" customWidth="1"/>
    <col min="6" max="6" width="26.140625" customWidth="1"/>
    <col min="7" max="8" width="13.7109375" customWidth="1"/>
    <col min="9" max="9" width="8.7109375" customWidth="1"/>
    <col min="10" max="10" width="26.140625" bestFit="1" customWidth="1"/>
    <col min="11" max="11" width="15.140625" customWidth="1"/>
    <col min="12" max="12" width="13.85546875" customWidth="1"/>
    <col min="13" max="13" width="8.7109375" customWidth="1"/>
    <col min="14" max="14" width="26.140625" customWidth="1"/>
    <col min="15" max="16" width="13.7109375" customWidth="1"/>
    <col min="18" max="18" width="26.140625" customWidth="1"/>
    <col min="19" max="20" width="13.7109375" customWidth="1"/>
    <col min="21" max="21" width="8.7109375" customWidth="1"/>
  </cols>
  <sheetData>
    <row r="1" spans="2:20" x14ac:dyDescent="0.25">
      <c r="B1" s="130">
        <f>MONTH(F3)</f>
        <v>5</v>
      </c>
      <c r="C1" s="130">
        <f>YEAR(F3)</f>
        <v>2023</v>
      </c>
    </row>
    <row r="2" spans="2:20" ht="15.75" x14ac:dyDescent="0.25">
      <c r="B2" s="54" t="s">
        <v>126</v>
      </c>
      <c r="C2" s="54"/>
      <c r="D2" s="57"/>
      <c r="E2" s="65"/>
      <c r="F2" s="123" t="s">
        <v>83</v>
      </c>
      <c r="G2" s="56"/>
    </row>
    <row r="3" spans="2:20" ht="15.75" customHeight="1" x14ac:dyDescent="0.25">
      <c r="B3" s="57" t="s">
        <v>121</v>
      </c>
      <c r="C3" s="67">
        <f>SUMIFS(Заявки!N:N,Заявки!B:B,F3)</f>
        <v>2879</v>
      </c>
      <c r="D3" s="58"/>
      <c r="E3" s="59"/>
      <c r="F3" s="141">
        <v>45061</v>
      </c>
      <c r="G3" s="56"/>
    </row>
    <row r="4" spans="2:20" ht="15.75" customHeight="1" x14ac:dyDescent="0.25">
      <c r="B4" s="57" t="s">
        <v>122</v>
      </c>
      <c r="C4" s="71">
        <f>SUMIFS(Заявки!N:N,Заявки!C:C,B1,Заявки!D:D,C1)</f>
        <v>5579</v>
      </c>
      <c r="D4" s="58"/>
      <c r="E4" s="59"/>
      <c r="F4" s="136"/>
      <c r="G4" s="56"/>
    </row>
    <row r="5" spans="2:20" ht="15.75" customHeight="1" x14ac:dyDescent="0.25">
      <c r="B5" s="57"/>
      <c r="C5" s="71"/>
      <c r="D5" s="58"/>
      <c r="E5" s="59"/>
      <c r="F5" s="136"/>
      <c r="G5" s="56"/>
    </row>
    <row r="6" spans="2:20" ht="15.75" x14ac:dyDescent="0.25">
      <c r="B6" s="146" t="s">
        <v>191</v>
      </c>
      <c r="C6" s="146"/>
      <c r="D6" s="135"/>
      <c r="E6" s="59"/>
      <c r="F6" s="61"/>
      <c r="G6" s="56"/>
    </row>
    <row r="7" spans="2:20" ht="15.75" x14ac:dyDescent="0.25">
      <c r="B7" s="90" t="s">
        <v>192</v>
      </c>
      <c r="C7" s="75">
        <f ca="1">SUMIFS(Заявки!P:P,Заявки!I:I,'Ежедневный отчет'!H3,Заявки!D:D,B1)</f>
        <v>0</v>
      </c>
      <c r="D7" s="59"/>
      <c r="E7" s="61"/>
      <c r="F7" s="56"/>
    </row>
    <row r="8" spans="2:20" ht="15.75" x14ac:dyDescent="0.25">
      <c r="B8" s="72" t="s">
        <v>190</v>
      </c>
      <c r="C8" s="75">
        <f ca="1">SUMIFS(Заявки!P:P,Заявки!I:I,'Ежедневный отчет'!H4,Заявки!D:D,'Ежедневный отчет'!#REF!)</f>
        <v>0</v>
      </c>
      <c r="D8" s="59"/>
      <c r="E8" s="61"/>
      <c r="F8" s="56"/>
    </row>
    <row r="9" spans="2:20" ht="15.75" x14ac:dyDescent="0.25">
      <c r="B9" s="57"/>
      <c r="C9" s="71"/>
      <c r="D9" s="58"/>
      <c r="E9" s="59"/>
      <c r="F9" s="61"/>
      <c r="G9" s="56"/>
    </row>
    <row r="10" spans="2:20" ht="15.75" x14ac:dyDescent="0.25">
      <c r="B10" s="55" t="s">
        <v>51</v>
      </c>
      <c r="C10" s="123" t="s">
        <v>229</v>
      </c>
      <c r="D10" s="123" t="s">
        <v>230</v>
      </c>
      <c r="E10" s="59"/>
      <c r="F10" s="61"/>
      <c r="G10" s="56"/>
    </row>
    <row r="11" spans="2:20" ht="15.75" x14ac:dyDescent="0.25">
      <c r="B11" s="137" t="s">
        <v>226</v>
      </c>
      <c r="C11" s="63"/>
      <c r="D11" s="67"/>
      <c r="E11" s="59"/>
      <c r="F11" s="61"/>
      <c r="G11" s="56"/>
    </row>
    <row r="12" spans="2:20" ht="15.75" x14ac:dyDescent="0.25">
      <c r="B12" s="137" t="s">
        <v>227</v>
      </c>
      <c r="C12" s="63"/>
      <c r="D12" s="67"/>
      <c r="E12" s="59"/>
      <c r="F12" s="61"/>
      <c r="G12" s="56"/>
    </row>
    <row r="13" spans="2:20" ht="15.75" x14ac:dyDescent="0.25">
      <c r="B13" s="55" t="s">
        <v>228</v>
      </c>
      <c r="C13" s="133">
        <f>C11-C12</f>
        <v>0</v>
      </c>
      <c r="D13" s="140">
        <f>D11-D12</f>
        <v>0</v>
      </c>
      <c r="E13" s="59"/>
      <c r="F13" s="61"/>
      <c r="G13" s="56"/>
    </row>
    <row r="14" spans="2:20" ht="15.75" x14ac:dyDescent="0.25">
      <c r="B14" s="138"/>
      <c r="C14" s="139"/>
      <c r="D14" s="138"/>
      <c r="E14" s="59"/>
      <c r="F14" s="61"/>
      <c r="G14" s="56"/>
    </row>
    <row r="15" spans="2:20" ht="31.5" customHeight="1" x14ac:dyDescent="0.25">
      <c r="B15" s="145" t="s">
        <v>231</v>
      </c>
      <c r="C15" s="145"/>
      <c r="D15" s="145"/>
      <c r="E15" s="59"/>
      <c r="F15" s="145" t="s">
        <v>232</v>
      </c>
      <c r="G15" s="145"/>
      <c r="H15" s="145"/>
      <c r="J15" s="145" t="s">
        <v>125</v>
      </c>
      <c r="K15" s="145"/>
      <c r="L15" s="145"/>
      <c r="N15" s="145" t="s">
        <v>182</v>
      </c>
      <c r="O15" s="145"/>
      <c r="P15" s="145"/>
      <c r="R15" s="145" t="s">
        <v>234</v>
      </c>
      <c r="S15" s="145"/>
      <c r="T15" s="145"/>
    </row>
    <row r="16" spans="2:20" ht="47.25" x14ac:dyDescent="0.25">
      <c r="B16" s="123" t="s">
        <v>0</v>
      </c>
      <c r="C16" s="123" t="s">
        <v>229</v>
      </c>
      <c r="D16" s="123" t="s">
        <v>230</v>
      </c>
      <c r="F16" s="142" t="s">
        <v>0</v>
      </c>
      <c r="G16" s="142" t="s">
        <v>229</v>
      </c>
      <c r="H16" s="142" t="s">
        <v>230</v>
      </c>
      <c r="J16" s="123" t="s">
        <v>0</v>
      </c>
      <c r="K16" s="123" t="s">
        <v>229</v>
      </c>
      <c r="L16" s="123" t="s">
        <v>230</v>
      </c>
      <c r="N16" s="123" t="s">
        <v>0</v>
      </c>
      <c r="O16" s="123" t="s">
        <v>229</v>
      </c>
      <c r="P16" s="123" t="s">
        <v>230</v>
      </c>
      <c r="R16" s="123" t="s">
        <v>0</v>
      </c>
      <c r="S16" s="123" t="s">
        <v>229</v>
      </c>
      <c r="T16" s="123" t="s">
        <v>230</v>
      </c>
    </row>
    <row r="17" spans="2:20" x14ac:dyDescent="0.25">
      <c r="B17" s="127" t="s">
        <v>3</v>
      </c>
      <c r="C17" s="131"/>
      <c r="D17" s="132"/>
      <c r="F17" s="127" t="s">
        <v>3</v>
      </c>
      <c r="G17" s="134"/>
      <c r="H17" s="134"/>
      <c r="J17" s="127" t="s">
        <v>3</v>
      </c>
      <c r="K17" s="134"/>
      <c r="L17" s="134"/>
      <c r="N17" s="127" t="s">
        <v>3</v>
      </c>
      <c r="O17" s="134"/>
      <c r="P17" s="134"/>
      <c r="R17" s="127" t="s">
        <v>3</v>
      </c>
      <c r="S17" s="134"/>
      <c r="T17" s="134"/>
    </row>
    <row r="18" spans="2:20" x14ac:dyDescent="0.25">
      <c r="B18" s="128" t="s">
        <v>71</v>
      </c>
      <c r="C18" s="131"/>
      <c r="D18" s="132"/>
      <c r="F18" s="128" t="s">
        <v>71</v>
      </c>
      <c r="G18" s="134"/>
      <c r="H18" s="134"/>
      <c r="J18" s="128" t="s">
        <v>71</v>
      </c>
      <c r="K18" s="134"/>
      <c r="L18" s="134"/>
      <c r="N18" s="128" t="s">
        <v>71</v>
      </c>
      <c r="O18" s="134"/>
      <c r="P18" s="134"/>
      <c r="R18" s="128" t="s">
        <v>71</v>
      </c>
      <c r="S18" s="134"/>
      <c r="T18" s="134"/>
    </row>
    <row r="19" spans="2:20" x14ac:dyDescent="0.25">
      <c r="B19" s="127" t="s">
        <v>7</v>
      </c>
      <c r="C19" s="131"/>
      <c r="D19" s="132"/>
      <c r="F19" s="127" t="s">
        <v>7</v>
      </c>
      <c r="G19" s="134"/>
      <c r="H19" s="134"/>
      <c r="J19" s="127" t="s">
        <v>7</v>
      </c>
      <c r="K19" s="134"/>
      <c r="L19" s="134"/>
      <c r="N19" s="127" t="s">
        <v>7</v>
      </c>
      <c r="O19" s="134"/>
      <c r="P19" s="134"/>
      <c r="R19" s="127" t="s">
        <v>7</v>
      </c>
      <c r="S19" s="134"/>
      <c r="T19" s="134"/>
    </row>
    <row r="20" spans="2:20" x14ac:dyDescent="0.25">
      <c r="B20" s="127" t="s">
        <v>10</v>
      </c>
      <c r="C20" s="131"/>
      <c r="D20" s="132"/>
      <c r="F20" s="127" t="s">
        <v>10</v>
      </c>
      <c r="G20" s="134"/>
      <c r="H20" s="134"/>
      <c r="J20" s="127" t="s">
        <v>10</v>
      </c>
      <c r="K20" s="134"/>
      <c r="L20" s="134"/>
      <c r="N20" s="127" t="s">
        <v>10</v>
      </c>
      <c r="O20" s="134"/>
      <c r="P20" s="134"/>
      <c r="R20" s="127" t="s">
        <v>10</v>
      </c>
      <c r="S20" s="134"/>
      <c r="T20" s="134"/>
    </row>
    <row r="21" spans="2:20" x14ac:dyDescent="0.25">
      <c r="B21" s="127" t="s">
        <v>11</v>
      </c>
      <c r="C21" s="131"/>
      <c r="D21" s="132"/>
      <c r="F21" s="127" t="s">
        <v>11</v>
      </c>
      <c r="G21" s="134"/>
      <c r="H21" s="134"/>
      <c r="J21" s="127" t="s">
        <v>11</v>
      </c>
      <c r="K21" s="134"/>
      <c r="L21" s="134"/>
      <c r="N21" s="127" t="s">
        <v>11</v>
      </c>
      <c r="O21" s="134"/>
      <c r="P21" s="134"/>
      <c r="R21" s="127" t="s">
        <v>11</v>
      </c>
      <c r="S21" s="134"/>
      <c r="T21" s="134"/>
    </row>
    <row r="22" spans="2:20" x14ac:dyDescent="0.25">
      <c r="B22" s="127" t="s">
        <v>12</v>
      </c>
      <c r="C22" s="131"/>
      <c r="D22" s="132"/>
      <c r="F22" s="127" t="s">
        <v>12</v>
      </c>
      <c r="G22" s="134"/>
      <c r="H22" s="134"/>
      <c r="J22" s="127" t="s">
        <v>12</v>
      </c>
      <c r="K22" s="134"/>
      <c r="L22" s="134"/>
      <c r="N22" s="127" t="s">
        <v>12</v>
      </c>
      <c r="O22" s="134"/>
      <c r="P22" s="134"/>
      <c r="R22" s="127" t="s">
        <v>12</v>
      </c>
      <c r="S22" s="134"/>
      <c r="T22" s="134"/>
    </row>
    <row r="23" spans="2:20" x14ac:dyDescent="0.25">
      <c r="B23" s="127" t="s">
        <v>14</v>
      </c>
      <c r="C23" s="131"/>
      <c r="D23" s="132"/>
      <c r="F23" s="127" t="s">
        <v>14</v>
      </c>
      <c r="G23" s="134"/>
      <c r="H23" s="134"/>
      <c r="J23" s="127" t="s">
        <v>14</v>
      </c>
      <c r="K23" s="134"/>
      <c r="L23" s="134"/>
      <c r="N23" s="127" t="s">
        <v>14</v>
      </c>
      <c r="O23" s="134"/>
      <c r="P23" s="134"/>
      <c r="R23" s="127" t="s">
        <v>14</v>
      </c>
      <c r="S23" s="134"/>
      <c r="T23" s="134"/>
    </row>
    <row r="24" spans="2:20" x14ac:dyDescent="0.25">
      <c r="B24" s="127" t="s">
        <v>18</v>
      </c>
      <c r="C24" s="131"/>
      <c r="D24" s="132"/>
      <c r="F24" s="127" t="s">
        <v>18</v>
      </c>
      <c r="G24" s="134"/>
      <c r="H24" s="134"/>
      <c r="J24" s="127" t="s">
        <v>18</v>
      </c>
      <c r="K24" s="134"/>
      <c r="L24" s="134"/>
      <c r="N24" s="127" t="s">
        <v>18</v>
      </c>
      <c r="O24" s="134"/>
      <c r="P24" s="134"/>
      <c r="R24" s="127" t="s">
        <v>18</v>
      </c>
      <c r="S24" s="134"/>
      <c r="T24" s="134"/>
    </row>
    <row r="25" spans="2:20" x14ac:dyDescent="0.25">
      <c r="B25" s="127" t="s">
        <v>16</v>
      </c>
      <c r="C25" s="131"/>
      <c r="D25" s="132"/>
      <c r="F25" s="127" t="s">
        <v>16</v>
      </c>
      <c r="G25" s="134"/>
      <c r="H25" s="134"/>
      <c r="J25" s="127" t="s">
        <v>16</v>
      </c>
      <c r="K25" s="134"/>
      <c r="L25" s="134"/>
      <c r="N25" s="127" t="s">
        <v>16</v>
      </c>
      <c r="O25" s="134"/>
      <c r="P25" s="134"/>
      <c r="R25" s="127" t="s">
        <v>16</v>
      </c>
      <c r="S25" s="134"/>
      <c r="T25" s="134"/>
    </row>
    <row r="26" spans="2:20" x14ac:dyDescent="0.25">
      <c r="B26" s="127" t="s">
        <v>17</v>
      </c>
      <c r="C26" s="131"/>
      <c r="D26" s="132"/>
      <c r="F26" s="127" t="s">
        <v>17</v>
      </c>
      <c r="G26" s="134"/>
      <c r="H26" s="134"/>
      <c r="J26" s="127" t="s">
        <v>17</v>
      </c>
      <c r="K26" s="134"/>
      <c r="L26" s="134"/>
      <c r="N26" s="127" t="s">
        <v>17</v>
      </c>
      <c r="O26" s="134"/>
      <c r="P26" s="134"/>
      <c r="R26" s="127" t="s">
        <v>17</v>
      </c>
      <c r="S26" s="134"/>
      <c r="T26" s="134"/>
    </row>
    <row r="27" spans="2:20" x14ac:dyDescent="0.25">
      <c r="B27" s="127" t="s">
        <v>19</v>
      </c>
      <c r="C27" s="131"/>
      <c r="D27" s="132"/>
      <c r="F27" s="127" t="s">
        <v>19</v>
      </c>
      <c r="G27" s="134"/>
      <c r="H27" s="134"/>
      <c r="J27" s="127" t="s">
        <v>19</v>
      </c>
      <c r="K27" s="134"/>
      <c r="L27" s="134"/>
      <c r="N27" s="127" t="s">
        <v>19</v>
      </c>
      <c r="O27" s="134"/>
      <c r="P27" s="134"/>
      <c r="R27" s="127" t="s">
        <v>19</v>
      </c>
      <c r="S27" s="134"/>
      <c r="T27" s="134"/>
    </row>
    <row r="28" spans="2:20" x14ac:dyDescent="0.25">
      <c r="B28" s="41" t="s">
        <v>20</v>
      </c>
      <c r="C28" s="131"/>
      <c r="D28" s="132"/>
      <c r="F28" s="41" t="s">
        <v>20</v>
      </c>
      <c r="G28" s="134"/>
      <c r="H28" s="134"/>
      <c r="J28" s="41" t="s">
        <v>20</v>
      </c>
      <c r="K28" s="134"/>
      <c r="L28" s="134"/>
      <c r="N28" s="41" t="s">
        <v>20</v>
      </c>
      <c r="O28" s="134"/>
      <c r="P28" s="134"/>
      <c r="R28" s="41" t="s">
        <v>20</v>
      </c>
      <c r="S28" s="134"/>
      <c r="T28" s="134"/>
    </row>
    <row r="29" spans="2:20" x14ac:dyDescent="0.25">
      <c r="B29" s="41" t="s">
        <v>128</v>
      </c>
      <c r="C29" s="131"/>
      <c r="D29" s="132"/>
      <c r="F29" s="41" t="s">
        <v>128</v>
      </c>
      <c r="G29" s="134"/>
      <c r="H29" s="134"/>
      <c r="J29" s="41" t="s">
        <v>128</v>
      </c>
      <c r="K29" s="134"/>
      <c r="L29" s="134"/>
      <c r="N29" s="41" t="s">
        <v>128</v>
      </c>
      <c r="O29" s="134"/>
      <c r="P29" s="134"/>
      <c r="R29" s="41" t="s">
        <v>128</v>
      </c>
      <c r="S29" s="134"/>
      <c r="T29" s="134"/>
    </row>
    <row r="30" spans="2:20" x14ac:dyDescent="0.25">
      <c r="B30" s="129" t="s">
        <v>58</v>
      </c>
      <c r="C30" s="131"/>
      <c r="D30" s="132"/>
      <c r="F30" s="129" t="s">
        <v>58</v>
      </c>
      <c r="G30" s="134"/>
      <c r="H30" s="134"/>
      <c r="J30" s="129" t="s">
        <v>58</v>
      </c>
      <c r="K30" s="134"/>
      <c r="L30" s="134"/>
      <c r="N30" s="129" t="s">
        <v>58</v>
      </c>
      <c r="O30" s="134"/>
      <c r="P30" s="134"/>
      <c r="R30" s="129" t="s">
        <v>58</v>
      </c>
      <c r="S30" s="134"/>
      <c r="T30" s="134"/>
    </row>
    <row r="31" spans="2:20" x14ac:dyDescent="0.25">
      <c r="B31" s="128" t="s">
        <v>66</v>
      </c>
      <c r="C31" s="131"/>
      <c r="D31" s="132"/>
      <c r="F31" s="128" t="s">
        <v>66</v>
      </c>
      <c r="G31" s="134"/>
      <c r="H31" s="134"/>
      <c r="J31" s="128" t="s">
        <v>66</v>
      </c>
      <c r="K31" s="134"/>
      <c r="L31" s="134"/>
      <c r="N31" s="128" t="s">
        <v>66</v>
      </c>
      <c r="O31" s="134"/>
      <c r="P31" s="134"/>
      <c r="R31" s="128" t="s">
        <v>66</v>
      </c>
      <c r="S31" s="134"/>
      <c r="T31" s="134"/>
    </row>
    <row r="32" spans="2:20" x14ac:dyDescent="0.25">
      <c r="B32" s="129" t="s">
        <v>70</v>
      </c>
      <c r="C32" s="131"/>
      <c r="D32" s="132"/>
      <c r="F32" s="129" t="s">
        <v>70</v>
      </c>
      <c r="G32" s="134"/>
      <c r="H32" s="134"/>
      <c r="J32" s="129" t="s">
        <v>70</v>
      </c>
      <c r="K32" s="134"/>
      <c r="L32" s="134"/>
      <c r="N32" s="129" t="s">
        <v>70</v>
      </c>
      <c r="O32" s="134"/>
      <c r="P32" s="134"/>
      <c r="R32" s="129" t="s">
        <v>70</v>
      </c>
      <c r="S32" s="134"/>
      <c r="T32" s="134"/>
    </row>
    <row r="33" spans="2:20" x14ac:dyDescent="0.25">
      <c r="B33" s="128" t="s">
        <v>72</v>
      </c>
      <c r="C33" s="131"/>
      <c r="D33" s="132"/>
      <c r="F33" s="128" t="s">
        <v>72</v>
      </c>
      <c r="G33" s="134"/>
      <c r="H33" s="134"/>
      <c r="J33" s="128" t="s">
        <v>72</v>
      </c>
      <c r="K33" s="134"/>
      <c r="L33" s="134"/>
      <c r="N33" s="128" t="s">
        <v>72</v>
      </c>
      <c r="O33" s="134"/>
      <c r="P33" s="134"/>
      <c r="R33" s="128" t="s">
        <v>72</v>
      </c>
      <c r="S33" s="134"/>
      <c r="T33" s="134"/>
    </row>
    <row r="34" spans="2:20" x14ac:dyDescent="0.25">
      <c r="B34" s="128" t="s">
        <v>233</v>
      </c>
      <c r="C34" s="131"/>
      <c r="D34" s="132"/>
      <c r="F34" s="128" t="s">
        <v>233</v>
      </c>
      <c r="G34" s="134"/>
      <c r="H34" s="134"/>
      <c r="J34" s="128" t="s">
        <v>233</v>
      </c>
      <c r="K34" s="134"/>
      <c r="L34" s="134"/>
      <c r="N34" s="128" t="s">
        <v>233</v>
      </c>
      <c r="O34" s="134"/>
      <c r="P34" s="134"/>
      <c r="R34" s="128" t="s">
        <v>233</v>
      </c>
      <c r="S34" s="134"/>
      <c r="T34" s="134"/>
    </row>
    <row r="35" spans="2:20" x14ac:dyDescent="0.25">
      <c r="B35" s="41" t="s">
        <v>75</v>
      </c>
      <c r="C35" s="131"/>
      <c r="D35" s="132"/>
      <c r="F35" s="41" t="s">
        <v>75</v>
      </c>
      <c r="G35" s="134"/>
      <c r="H35" s="134"/>
      <c r="J35" s="41" t="s">
        <v>75</v>
      </c>
      <c r="K35" s="134"/>
      <c r="L35" s="134"/>
      <c r="N35" s="41" t="s">
        <v>75</v>
      </c>
      <c r="O35" s="134"/>
      <c r="P35" s="134"/>
      <c r="R35" s="41" t="s">
        <v>75</v>
      </c>
      <c r="S35" s="134"/>
      <c r="T35" s="134"/>
    </row>
    <row r="36" spans="2:20" x14ac:dyDescent="0.25">
      <c r="B36" s="127" t="s">
        <v>78</v>
      </c>
      <c r="C36" s="131"/>
      <c r="D36" s="132"/>
      <c r="F36" s="127" t="s">
        <v>78</v>
      </c>
      <c r="G36" s="134"/>
      <c r="H36" s="134"/>
      <c r="J36" s="127" t="s">
        <v>78</v>
      </c>
      <c r="K36" s="134"/>
      <c r="L36" s="134"/>
      <c r="N36" s="127" t="s">
        <v>78</v>
      </c>
      <c r="O36" s="134"/>
      <c r="P36" s="134"/>
      <c r="R36" s="127" t="s">
        <v>78</v>
      </c>
      <c r="S36" s="134"/>
      <c r="T36" s="134"/>
    </row>
    <row r="37" spans="2:20" ht="15.75" x14ac:dyDescent="0.25">
      <c r="B37" s="55" t="s">
        <v>144</v>
      </c>
      <c r="C37" s="133">
        <f>SUM(C17:C36)</f>
        <v>0</v>
      </c>
      <c r="D37" s="133">
        <f>SUM(D17:D36)</f>
        <v>0</v>
      </c>
      <c r="F37" s="143" t="s">
        <v>144</v>
      </c>
      <c r="G37" s="133">
        <f>SUM(G17:G36)</f>
        <v>0</v>
      </c>
      <c r="H37" s="133">
        <f>SUM(H17:H36)</f>
        <v>0</v>
      </c>
      <c r="J37" s="55" t="s">
        <v>144</v>
      </c>
      <c r="K37" s="133">
        <f>SUM(K17:K36)</f>
        <v>0</v>
      </c>
      <c r="L37" s="133">
        <f>SUM(L17:L36)</f>
        <v>0</v>
      </c>
      <c r="N37" s="55" t="s">
        <v>144</v>
      </c>
      <c r="O37" s="133">
        <f>SUM(O17:O36)</f>
        <v>0</v>
      </c>
      <c r="P37" s="133">
        <f>SUM(P17:P36)</f>
        <v>0</v>
      </c>
      <c r="R37" s="55" t="s">
        <v>144</v>
      </c>
      <c r="S37" s="133">
        <f>SUM(S17:S36)</f>
        <v>0</v>
      </c>
      <c r="T37" s="133">
        <f>SUM(T17:T36)</f>
        <v>0</v>
      </c>
    </row>
  </sheetData>
  <mergeCells count="6">
    <mergeCell ref="B6:C6"/>
    <mergeCell ref="J15:L15"/>
    <mergeCell ref="B15:D15"/>
    <mergeCell ref="N15:P15"/>
    <mergeCell ref="R15:T15"/>
    <mergeCell ref="F15:H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O51"/>
  <sheetViews>
    <sheetView showGridLines="0" workbookViewId="0">
      <selection activeCell="J22" sqref="J22"/>
    </sheetView>
  </sheetViews>
  <sheetFormatPr defaultRowHeight="15.75" x14ac:dyDescent="0.25"/>
  <cols>
    <col min="1" max="1" width="5.7109375" style="77" customWidth="1"/>
    <col min="2" max="2" width="30" style="77" customWidth="1"/>
    <col min="3" max="4" width="13.7109375" style="77" customWidth="1"/>
    <col min="5" max="5" width="14.7109375" style="77" bestFit="1" customWidth="1"/>
    <col min="6" max="14" width="13.7109375" style="77" customWidth="1"/>
    <col min="15" max="15" width="14.7109375" style="77" bestFit="1" customWidth="1"/>
    <col min="16" max="17" width="13.7109375" style="77" customWidth="1"/>
    <col min="18" max="16384" width="9.140625" style="77"/>
  </cols>
  <sheetData>
    <row r="2" spans="2:15" hidden="1" x14ac:dyDescent="0.25">
      <c r="B2" s="78" t="s">
        <v>186</v>
      </c>
      <c r="C2" s="83">
        <f ca="1">YEAR(TODAY())</f>
        <v>2023</v>
      </c>
    </row>
    <row r="3" spans="2:15" x14ac:dyDescent="0.25">
      <c r="B3" s="78" t="s">
        <v>185</v>
      </c>
      <c r="C3" s="83">
        <v>1</v>
      </c>
      <c r="D3" s="83">
        <v>2</v>
      </c>
      <c r="E3" s="83">
        <v>3</v>
      </c>
      <c r="F3" s="83">
        <v>4</v>
      </c>
      <c r="G3" s="83">
        <v>5</v>
      </c>
      <c r="H3" s="83">
        <v>6</v>
      </c>
      <c r="I3" s="83">
        <v>7</v>
      </c>
      <c r="J3" s="83">
        <v>8</v>
      </c>
      <c r="K3" s="83">
        <v>9</v>
      </c>
      <c r="L3" s="83">
        <v>10</v>
      </c>
      <c r="M3" s="83">
        <v>11</v>
      </c>
      <c r="N3" s="83">
        <v>12</v>
      </c>
      <c r="O3" s="83" t="s">
        <v>144</v>
      </c>
    </row>
    <row r="4" spans="2:15" x14ac:dyDescent="0.25">
      <c r="B4" s="79" t="s">
        <v>215</v>
      </c>
      <c r="C4" s="67">
        <f ca="1">SUMIFS(Заявки!$N:$N,Заявки!$E:$E,"Доходы",Заявки!$C:$C,'Ежемесячный отчет'!C3,Заявки!$D:$D,'Ежемесячный отчет'!$C$2)</f>
        <v>5746</v>
      </c>
      <c r="D4" s="67">
        <f ca="1">SUMIFS(Заявки!$N:$N,Заявки!$E:$E,"Доходы",Заявки!$C:$C,'Ежемесячный отчет'!D3,Заявки!$D:$D,'Ежемесячный отчет'!$C$2)</f>
        <v>3928</v>
      </c>
      <c r="E4" s="67">
        <f ca="1">SUMIFS(Заявки!$N:$N,Заявки!$E:$E,"Доходы",Заявки!$C:$C,'Ежемесячный отчет'!E3,Заявки!$D:$D,'Ежемесячный отчет'!$C$2)</f>
        <v>7135</v>
      </c>
      <c r="F4" s="67">
        <f ca="1">SUMIFS(Заявки!$N:$N,Заявки!$E:$E,"Доходы",Заявки!$C:$C,'Ежемесячный отчет'!F3,Заявки!$D:$D,'Ежемесячный отчет'!$C$2)</f>
        <v>960</v>
      </c>
      <c r="G4" s="67">
        <f ca="1">SUMIFS(Заявки!$N:$N,Заявки!$E:$E,"Доходы",Заявки!$C:$C,'Ежемесячный отчет'!G3,Заявки!$D:$D,'Ежемесячный отчет'!$C$2)</f>
        <v>5579</v>
      </c>
      <c r="H4" s="67">
        <f ca="1">SUMIFS(Заявки!$N:$N,Заявки!$E:$E,"Доходы",Заявки!$C:$C,'Ежемесячный отчет'!H3,Заявки!$D:$D,'Ежемесячный отчет'!$C$2)</f>
        <v>0</v>
      </c>
      <c r="I4" s="67">
        <f ca="1">SUMIFS(Заявки!$N:$N,Заявки!$E:$E,"Доходы",Заявки!$C:$C,'Ежемесячный отчет'!I3,Заявки!$D:$D,'Ежемесячный отчет'!$C$2)</f>
        <v>0</v>
      </c>
      <c r="J4" s="67">
        <f ca="1">SUMIFS(Заявки!$N:$N,Заявки!$E:$E,"Доходы",Заявки!$C:$C,'Ежемесячный отчет'!J3,Заявки!$D:$D,'Ежемесячный отчет'!$C$2)</f>
        <v>0</v>
      </c>
      <c r="K4" s="67">
        <f ca="1">SUMIFS(Заявки!$N:$N,Заявки!$E:$E,"Доходы",Заявки!$C:$C,'Ежемесячный отчет'!K3,Заявки!$D:$D,'Ежемесячный отчет'!$C$2)</f>
        <v>0</v>
      </c>
      <c r="L4" s="67">
        <f ca="1">SUMIFS(Заявки!$N:$N,Заявки!$E:$E,"Доходы",Заявки!$C:$C,'Ежемесячный отчет'!L3,Заявки!$D:$D,'Ежемесячный отчет'!$C$2)</f>
        <v>0</v>
      </c>
      <c r="M4" s="67">
        <f ca="1">SUMIFS(Заявки!$N:$N,Заявки!$E:$E,"Доходы",Заявки!$C:$C,'Ежемесячный отчет'!M3,Заявки!$D:$D,'Ежемесячный отчет'!$C$2)</f>
        <v>0</v>
      </c>
      <c r="N4" s="67">
        <f ca="1">SUMIFS(Заявки!$N:$N,Заявки!$E:$E,"Доходы",Заявки!$C:$C,'Ежемесячный отчет'!N3,Заявки!$D:$D,'Ежемесячный отчет'!$C$2)</f>
        <v>0</v>
      </c>
      <c r="O4" s="88">
        <f ca="1">SUM(C4:N4)</f>
        <v>23348</v>
      </c>
    </row>
    <row r="5" spans="2:15" x14ac:dyDescent="0.25">
      <c r="B5" s="77" t="s">
        <v>216</v>
      </c>
      <c r="C5" s="67">
        <f ca="1">SUMIFS(Расходы!$K:$K,Расходы!$E:$E,"Расходы",Расходы!$C:$C,'Ежемесячный отчет'!C3,Расходы!$D:$D,'Ежемесячный отчет'!$C$2)</f>
        <v>17225</v>
      </c>
      <c r="D5" s="67">
        <f ca="1">SUMIFS(Расходы!$K:$K,Расходы!$E:$E,"Расходы",Расходы!$C:$C,'Ежемесячный отчет'!D3,Расходы!$D:$D,'Ежемесячный отчет'!$C$2)</f>
        <v>13500</v>
      </c>
      <c r="E5" s="67">
        <f ca="1">SUMIFS(Расходы!$K:$K,Расходы!$E:$E,"Расходы",Расходы!$C:$C,'Ежемесячный отчет'!E3,Расходы!$D:$D,'Ежемесячный отчет'!$C$2)</f>
        <v>2500</v>
      </c>
      <c r="F5" s="67">
        <f ca="1">SUMIFS(Расходы!$K:$K,Расходы!$E:$E,"Расходы",Расходы!$C:$C,'Ежемесячный отчет'!F3,Расходы!$D:$D,'Ежемесячный отчет'!$C$2)</f>
        <v>0</v>
      </c>
      <c r="G5" s="67">
        <f ca="1">SUMIFS(Расходы!$K:$K,Расходы!$E:$E,"Расходы",Расходы!$C:$C,'Ежемесячный отчет'!G3,Расходы!$D:$D,'Ежемесячный отчет'!$C$2)</f>
        <v>1325</v>
      </c>
      <c r="H5" s="67">
        <f ca="1">SUMIFS(Расходы!$K:$K,Расходы!$E:$E,"Расходы",Расходы!$C:$C,'Ежемесячный отчет'!H3,Расходы!$D:$D,'Ежемесячный отчет'!$C$2)</f>
        <v>0</v>
      </c>
      <c r="I5" s="67">
        <f ca="1">SUMIFS(Расходы!$K:$K,Расходы!$E:$E,"Расходы",Расходы!$C:$C,'Ежемесячный отчет'!I3,Расходы!$D:$D,'Ежемесячный отчет'!$C$2)</f>
        <v>0</v>
      </c>
      <c r="J5" s="67">
        <f ca="1">SUMIFS(Расходы!$K:$K,Расходы!$E:$E,"Расходы",Расходы!$C:$C,'Ежемесячный отчет'!J3,Расходы!$D:$D,'Ежемесячный отчет'!$C$2)</f>
        <v>0</v>
      </c>
      <c r="K5" s="67">
        <f ca="1">SUMIFS(Расходы!$K:$K,Расходы!$E:$E,"Расходы",Расходы!$C:$C,'Ежемесячный отчет'!K3,Расходы!$D:$D,'Ежемесячный отчет'!$C$2)</f>
        <v>0</v>
      </c>
      <c r="L5" s="67">
        <f ca="1">SUMIFS(Расходы!$K:$K,Расходы!$E:$E,"Расходы",Расходы!$C:$C,'Ежемесячный отчет'!L3,Расходы!$D:$D,'Ежемесячный отчет'!$C$2)</f>
        <v>0</v>
      </c>
      <c r="M5" s="67">
        <f ca="1">SUMIFS(Расходы!$K:$K,Расходы!$E:$E,"Расходы",Расходы!$C:$C,'Ежемесячный отчет'!M3,Расходы!$D:$D,'Ежемесячный отчет'!$C$2)</f>
        <v>0</v>
      </c>
      <c r="N5" s="67">
        <f ca="1">SUMIFS(Расходы!$K:$K,Расходы!$E:$E,"Расходы",Расходы!$C:$C,'Ежемесячный отчет'!N3,Расходы!$D:$D,'Ежемесячный отчет'!$C$2)</f>
        <v>0</v>
      </c>
      <c r="O5" s="88">
        <f ca="1">SUM(C5:N5)</f>
        <v>34550</v>
      </c>
    </row>
    <row r="6" spans="2:15" x14ac:dyDescent="0.25">
      <c r="B6" s="78" t="s">
        <v>200</v>
      </c>
      <c r="C6" s="89">
        <f ca="1">C4-C5</f>
        <v>-11479</v>
      </c>
      <c r="D6" s="89">
        <f t="shared" ref="D6:N6" ca="1" si="0">D4-D5</f>
        <v>-9572</v>
      </c>
      <c r="E6" s="89">
        <f t="shared" ca="1" si="0"/>
        <v>4635</v>
      </c>
      <c r="F6" s="89">
        <f t="shared" ca="1" si="0"/>
        <v>960</v>
      </c>
      <c r="G6" s="89">
        <f t="shared" ca="1" si="0"/>
        <v>4254</v>
      </c>
      <c r="H6" s="89">
        <f t="shared" ca="1" si="0"/>
        <v>0</v>
      </c>
      <c r="I6" s="89">
        <f t="shared" ca="1" si="0"/>
        <v>0</v>
      </c>
      <c r="J6" s="89">
        <f t="shared" ca="1" si="0"/>
        <v>0</v>
      </c>
      <c r="K6" s="89">
        <f t="shared" ca="1" si="0"/>
        <v>0</v>
      </c>
      <c r="L6" s="89">
        <f t="shared" ca="1" si="0"/>
        <v>0</v>
      </c>
      <c r="M6" s="89">
        <f t="shared" ca="1" si="0"/>
        <v>0</v>
      </c>
      <c r="N6" s="89">
        <f t="shared" ca="1" si="0"/>
        <v>0</v>
      </c>
      <c r="O6" s="89">
        <f ca="1">O4-O5</f>
        <v>-11202</v>
      </c>
    </row>
    <row r="8" spans="2:15" hidden="1" x14ac:dyDescent="0.25">
      <c r="B8" s="80" t="s">
        <v>197</v>
      </c>
      <c r="C8" s="80" t="s">
        <v>178</v>
      </c>
    </row>
    <row r="9" spans="2:15" x14ac:dyDescent="0.25">
      <c r="B9" s="85" t="s">
        <v>194</v>
      </c>
      <c r="C9" s="84">
        <v>1</v>
      </c>
      <c r="D9" s="84">
        <v>2</v>
      </c>
      <c r="E9" s="84">
        <v>3</v>
      </c>
      <c r="F9" s="84">
        <v>4</v>
      </c>
      <c r="G9" s="84">
        <v>5</v>
      </c>
      <c r="H9" s="84" t="s">
        <v>144</v>
      </c>
    </row>
    <row r="10" spans="2:15" x14ac:dyDescent="0.25">
      <c r="B10" s="81" t="s">
        <v>127</v>
      </c>
      <c r="C10" s="87">
        <v>5276</v>
      </c>
      <c r="D10" s="87">
        <v>504</v>
      </c>
      <c r="E10" s="87">
        <v>1505</v>
      </c>
      <c r="F10" s="87">
        <v>690</v>
      </c>
      <c r="G10" s="87">
        <v>904</v>
      </c>
      <c r="H10" s="87">
        <v>8879</v>
      </c>
    </row>
    <row r="11" spans="2:15" x14ac:dyDescent="0.25">
      <c r="B11" s="81" t="s">
        <v>128</v>
      </c>
      <c r="C11" s="87">
        <v>20</v>
      </c>
      <c r="D11" s="87">
        <v>2899</v>
      </c>
      <c r="E11" s="87">
        <v>4350</v>
      </c>
      <c r="F11" s="87">
        <v>270</v>
      </c>
      <c r="G11" s="87">
        <v>1000</v>
      </c>
      <c r="H11" s="87">
        <v>8539</v>
      </c>
    </row>
    <row r="12" spans="2:15" x14ac:dyDescent="0.25">
      <c r="B12" s="81" t="s">
        <v>129</v>
      </c>
      <c r="C12" s="87">
        <v>450</v>
      </c>
      <c r="D12" s="87">
        <v>525</v>
      </c>
      <c r="E12" s="87">
        <v>1280</v>
      </c>
      <c r="F12" s="87"/>
      <c r="G12" s="87">
        <v>975</v>
      </c>
      <c r="H12" s="87">
        <v>3230</v>
      </c>
    </row>
    <row r="13" spans="2:15" x14ac:dyDescent="0.25">
      <c r="B13" s="81" t="s">
        <v>225</v>
      </c>
      <c r="C13" s="87"/>
      <c r="D13" s="87"/>
      <c r="E13" s="87"/>
      <c r="F13" s="87"/>
      <c r="G13" s="87">
        <v>2700</v>
      </c>
      <c r="H13" s="87">
        <v>2700</v>
      </c>
    </row>
    <row r="14" spans="2:15" x14ac:dyDescent="0.25">
      <c r="B14" s="81" t="s">
        <v>144</v>
      </c>
      <c r="C14" s="87">
        <v>5746</v>
      </c>
      <c r="D14" s="87">
        <v>3928</v>
      </c>
      <c r="E14" s="87">
        <v>7135</v>
      </c>
      <c r="F14" s="87">
        <v>960</v>
      </c>
      <c r="G14" s="87">
        <v>5579</v>
      </c>
      <c r="H14" s="87">
        <v>23348</v>
      </c>
    </row>
    <row r="15" spans="2:15" hidden="1" x14ac:dyDescent="0.25">
      <c r="B15" s="80" t="s">
        <v>199</v>
      </c>
      <c r="C15" s="80" t="s">
        <v>178</v>
      </c>
    </row>
    <row r="16" spans="2:15" x14ac:dyDescent="0.25">
      <c r="B16" s="86" t="s">
        <v>171</v>
      </c>
      <c r="C16" s="84">
        <v>1</v>
      </c>
      <c r="D16" s="84">
        <v>2</v>
      </c>
      <c r="E16" s="84">
        <v>3</v>
      </c>
      <c r="F16" s="84">
        <v>5</v>
      </c>
      <c r="G16" s="84" t="s">
        <v>144</v>
      </c>
    </row>
    <row r="17" spans="2:8" x14ac:dyDescent="0.25">
      <c r="B17" s="81" t="s">
        <v>130</v>
      </c>
      <c r="C17" s="87">
        <v>15000</v>
      </c>
      <c r="D17" s="87">
        <v>12500</v>
      </c>
      <c r="E17" s="87"/>
      <c r="F17" s="87"/>
      <c r="G17" s="87">
        <v>27500</v>
      </c>
    </row>
    <row r="18" spans="2:8" x14ac:dyDescent="0.25">
      <c r="B18" s="81" t="s">
        <v>195</v>
      </c>
      <c r="C18" s="87"/>
      <c r="D18" s="87">
        <v>1000</v>
      </c>
      <c r="E18" s="87">
        <v>2500</v>
      </c>
      <c r="F18" s="87"/>
      <c r="G18" s="87">
        <v>3500</v>
      </c>
    </row>
    <row r="19" spans="2:8" x14ac:dyDescent="0.25">
      <c r="B19" s="81" t="s">
        <v>170</v>
      </c>
      <c r="C19" s="87">
        <v>825</v>
      </c>
      <c r="D19" s="87"/>
      <c r="E19" s="87"/>
      <c r="F19" s="87">
        <v>825</v>
      </c>
      <c r="G19" s="87">
        <v>1650</v>
      </c>
    </row>
    <row r="20" spans="2:8" x14ac:dyDescent="0.25">
      <c r="B20" s="81" t="s">
        <v>172</v>
      </c>
      <c r="C20" s="87">
        <v>450</v>
      </c>
      <c r="D20" s="87"/>
      <c r="E20" s="87"/>
      <c r="F20" s="87"/>
      <c r="G20" s="87">
        <v>450</v>
      </c>
    </row>
    <row r="21" spans="2:8" x14ac:dyDescent="0.25">
      <c r="B21" s="81" t="s">
        <v>173</v>
      </c>
      <c r="C21" s="87">
        <v>400</v>
      </c>
      <c r="D21" s="87"/>
      <c r="E21" s="87"/>
      <c r="F21" s="87"/>
      <c r="G21" s="87">
        <v>400</v>
      </c>
    </row>
    <row r="22" spans="2:8" x14ac:dyDescent="0.25">
      <c r="B22" s="81" t="s">
        <v>131</v>
      </c>
      <c r="C22" s="87">
        <v>300</v>
      </c>
      <c r="D22" s="87"/>
      <c r="E22" s="87"/>
      <c r="F22" s="87"/>
      <c r="G22" s="87">
        <v>300</v>
      </c>
    </row>
    <row r="23" spans="2:8" x14ac:dyDescent="0.25">
      <c r="B23" s="81" t="s">
        <v>165</v>
      </c>
      <c r="C23" s="87">
        <v>250</v>
      </c>
      <c r="D23" s="87"/>
      <c r="E23" s="87"/>
      <c r="F23" s="87"/>
      <c r="G23" s="87">
        <v>250</v>
      </c>
    </row>
    <row r="24" spans="2:8" x14ac:dyDescent="0.25">
      <c r="B24" s="81" t="s">
        <v>144</v>
      </c>
      <c r="C24" s="87">
        <v>17225</v>
      </c>
      <c r="D24" s="87">
        <v>13500</v>
      </c>
      <c r="E24" s="87">
        <v>2500</v>
      </c>
      <c r="F24" s="87">
        <v>825</v>
      </c>
      <c r="G24" s="87">
        <v>34050</v>
      </c>
    </row>
    <row r="25" spans="2:8" x14ac:dyDescent="0.25">
      <c r="B25" s="81"/>
      <c r="C25" s="82"/>
      <c r="D25" s="82"/>
      <c r="E25" s="82"/>
      <c r="F25" s="82"/>
    </row>
    <row r="26" spans="2:8" hidden="1" x14ac:dyDescent="0.25">
      <c r="B26" s="80" t="s">
        <v>178</v>
      </c>
      <c r="C26" s="80" t="s">
        <v>178</v>
      </c>
    </row>
    <row r="27" spans="2:8" x14ac:dyDescent="0.25">
      <c r="B27" s="86" t="s">
        <v>147</v>
      </c>
      <c r="C27" s="84">
        <v>1</v>
      </c>
      <c r="D27" s="84">
        <v>2</v>
      </c>
      <c r="E27" s="84">
        <v>3</v>
      </c>
      <c r="F27" s="84">
        <v>4</v>
      </c>
      <c r="G27" s="84">
        <v>5</v>
      </c>
      <c r="H27" s="84" t="s">
        <v>144</v>
      </c>
    </row>
    <row r="28" spans="2:8" x14ac:dyDescent="0.25">
      <c r="B28" s="81" t="s">
        <v>116</v>
      </c>
      <c r="C28" s="87"/>
      <c r="D28" s="87">
        <v>1275</v>
      </c>
      <c r="E28" s="87">
        <v>5180</v>
      </c>
      <c r="F28" s="87"/>
      <c r="G28" s="87"/>
      <c r="H28" s="87">
        <v>6455</v>
      </c>
    </row>
    <row r="29" spans="2:8" x14ac:dyDescent="0.25">
      <c r="B29" s="81" t="s">
        <v>125</v>
      </c>
      <c r="C29" s="87">
        <v>645</v>
      </c>
      <c r="D29" s="87">
        <v>380</v>
      </c>
      <c r="E29" s="87"/>
      <c r="F29" s="87"/>
      <c r="G29" s="87">
        <v>2700</v>
      </c>
      <c r="H29" s="87">
        <v>3725</v>
      </c>
    </row>
    <row r="30" spans="2:8" x14ac:dyDescent="0.25">
      <c r="B30" s="81" t="s">
        <v>108</v>
      </c>
      <c r="C30" s="87">
        <v>3038</v>
      </c>
      <c r="D30" s="87"/>
      <c r="E30" s="87"/>
      <c r="F30" s="87"/>
      <c r="G30" s="87"/>
      <c r="H30" s="87">
        <v>3038</v>
      </c>
    </row>
    <row r="31" spans="2:8" x14ac:dyDescent="0.25">
      <c r="B31" s="81" t="s">
        <v>182</v>
      </c>
      <c r="C31" s="87"/>
      <c r="D31" s="87">
        <v>450</v>
      </c>
      <c r="E31" s="87"/>
      <c r="F31" s="87"/>
      <c r="G31" s="87">
        <v>1879</v>
      </c>
      <c r="H31" s="87">
        <v>2329</v>
      </c>
    </row>
    <row r="32" spans="2:8" x14ac:dyDescent="0.25">
      <c r="B32" s="81" t="s">
        <v>92</v>
      </c>
      <c r="C32" s="87">
        <v>92</v>
      </c>
      <c r="D32" s="87">
        <v>1543</v>
      </c>
      <c r="E32" s="87"/>
      <c r="F32" s="87"/>
      <c r="G32" s="87"/>
      <c r="H32" s="87">
        <v>1635</v>
      </c>
    </row>
    <row r="33" spans="2:8" x14ac:dyDescent="0.25">
      <c r="B33" s="81" t="s">
        <v>90</v>
      </c>
      <c r="C33" s="87">
        <v>228</v>
      </c>
      <c r="D33" s="87"/>
      <c r="E33" s="87">
        <v>780</v>
      </c>
      <c r="F33" s="87">
        <v>500</v>
      </c>
      <c r="G33" s="87"/>
      <c r="H33" s="87">
        <v>1508</v>
      </c>
    </row>
    <row r="34" spans="2:8" x14ac:dyDescent="0.25">
      <c r="B34" s="81" t="s">
        <v>89</v>
      </c>
      <c r="C34" s="87">
        <v>750</v>
      </c>
      <c r="D34" s="87"/>
      <c r="E34" s="87">
        <v>295</v>
      </c>
      <c r="F34" s="87"/>
      <c r="G34" s="87"/>
      <c r="H34" s="87">
        <v>1045</v>
      </c>
    </row>
    <row r="35" spans="2:8" x14ac:dyDescent="0.25">
      <c r="B35" s="81" t="s">
        <v>91</v>
      </c>
      <c r="C35" s="87">
        <v>477</v>
      </c>
      <c r="D35" s="87"/>
      <c r="E35" s="87">
        <v>80</v>
      </c>
      <c r="F35" s="87">
        <v>460</v>
      </c>
      <c r="G35" s="87"/>
      <c r="H35" s="87">
        <v>1017</v>
      </c>
    </row>
    <row r="36" spans="2:8" x14ac:dyDescent="0.25">
      <c r="B36" s="81" t="s">
        <v>96</v>
      </c>
      <c r="C36" s="87"/>
      <c r="D36" s="87"/>
      <c r="E36" s="87"/>
      <c r="F36" s="87"/>
      <c r="G36" s="87">
        <v>1000</v>
      </c>
      <c r="H36" s="87">
        <v>1000</v>
      </c>
    </row>
    <row r="37" spans="2:8" x14ac:dyDescent="0.25">
      <c r="B37" s="81" t="s">
        <v>93</v>
      </c>
      <c r="C37" s="87">
        <v>456</v>
      </c>
      <c r="D37" s="87"/>
      <c r="E37" s="87"/>
      <c r="F37" s="87"/>
      <c r="G37" s="87"/>
      <c r="H37" s="87">
        <v>456</v>
      </c>
    </row>
    <row r="38" spans="2:8" x14ac:dyDescent="0.25">
      <c r="B38" s="81" t="s">
        <v>113</v>
      </c>
      <c r="C38" s="87">
        <v>60</v>
      </c>
      <c r="D38" s="87"/>
      <c r="E38" s="87">
        <v>160</v>
      </c>
      <c r="F38" s="87"/>
      <c r="G38" s="87"/>
      <c r="H38" s="87">
        <v>220</v>
      </c>
    </row>
    <row r="39" spans="2:8" x14ac:dyDescent="0.25">
      <c r="B39" s="81" t="s">
        <v>117</v>
      </c>
      <c r="C39" s="87"/>
      <c r="D39" s="87"/>
      <c r="E39" s="87">
        <v>160</v>
      </c>
      <c r="F39" s="87"/>
      <c r="G39" s="87"/>
      <c r="H39" s="87">
        <v>160</v>
      </c>
    </row>
    <row r="40" spans="2:8" x14ac:dyDescent="0.25">
      <c r="B40" s="81" t="s">
        <v>119</v>
      </c>
      <c r="C40" s="87"/>
      <c r="D40" s="87"/>
      <c r="E40" s="87">
        <v>160</v>
      </c>
      <c r="F40" s="87"/>
      <c r="G40" s="87"/>
      <c r="H40" s="87">
        <v>160</v>
      </c>
    </row>
    <row r="41" spans="2:8" x14ac:dyDescent="0.25">
      <c r="B41" s="81" t="s">
        <v>100</v>
      </c>
      <c r="C41" s="87"/>
      <c r="D41" s="87"/>
      <c r="E41" s="87">
        <v>160</v>
      </c>
      <c r="F41" s="87"/>
      <c r="G41" s="87"/>
      <c r="H41" s="87">
        <v>160</v>
      </c>
    </row>
    <row r="42" spans="2:8" x14ac:dyDescent="0.25">
      <c r="B42" s="81" t="s">
        <v>110</v>
      </c>
      <c r="C42" s="87"/>
      <c r="D42" s="87"/>
      <c r="E42" s="87">
        <v>160</v>
      </c>
      <c r="F42" s="87"/>
      <c r="G42" s="87"/>
      <c r="H42" s="87">
        <v>160</v>
      </c>
    </row>
    <row r="43" spans="2:8" x14ac:dyDescent="0.25">
      <c r="B43" s="81" t="s">
        <v>118</v>
      </c>
      <c r="C43" s="87"/>
      <c r="D43" s="87">
        <v>150</v>
      </c>
      <c r="E43" s="87"/>
      <c r="F43" s="87"/>
      <c r="G43" s="87"/>
      <c r="H43" s="87">
        <v>150</v>
      </c>
    </row>
    <row r="44" spans="2:8" x14ac:dyDescent="0.25">
      <c r="B44" s="81" t="s">
        <v>187</v>
      </c>
      <c r="C44" s="87"/>
      <c r="D44" s="87">
        <v>130</v>
      </c>
      <c r="E44" s="87"/>
      <c r="F44" s="87"/>
      <c r="G44" s="87"/>
      <c r="H44" s="87">
        <v>130</v>
      </c>
    </row>
    <row r="45" spans="2:8" x14ac:dyDescent="0.25">
      <c r="B45" s="81" t="s">
        <v>144</v>
      </c>
      <c r="C45" s="87">
        <v>5746</v>
      </c>
      <c r="D45" s="87">
        <v>3928</v>
      </c>
      <c r="E45" s="87">
        <v>7135</v>
      </c>
      <c r="F45" s="87">
        <v>960</v>
      </c>
      <c r="G45" s="87">
        <v>5579</v>
      </c>
      <c r="H45" s="87">
        <v>23348</v>
      </c>
    </row>
    <row r="46" spans="2:8" x14ac:dyDescent="0.25">
      <c r="B46" s="81"/>
      <c r="C46" s="82"/>
      <c r="D46" s="82"/>
      <c r="E46" s="82"/>
    </row>
    <row r="47" spans="2:8" x14ac:dyDescent="0.25">
      <c r="B47" s="81"/>
      <c r="C47" s="82"/>
      <c r="D47" s="82"/>
      <c r="E47" s="82"/>
    </row>
    <row r="48" spans="2:8" x14ac:dyDescent="0.25">
      <c r="B48" s="81"/>
      <c r="C48" s="82"/>
      <c r="D48" s="82"/>
      <c r="E48" s="82"/>
    </row>
    <row r="49" spans="2:5" x14ac:dyDescent="0.25">
      <c r="B49" s="81"/>
      <c r="C49" s="82"/>
      <c r="D49" s="82"/>
      <c r="E49" s="82"/>
    </row>
    <row r="50" spans="2:5" x14ac:dyDescent="0.25">
      <c r="B50" s="81"/>
      <c r="C50" s="82"/>
      <c r="D50" s="82"/>
      <c r="E50" s="82"/>
    </row>
    <row r="51" spans="2:5" x14ac:dyDescent="0.25">
      <c r="B51" s="81"/>
      <c r="C51" s="82"/>
      <c r="D51" s="82"/>
      <c r="E51" s="8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E15"/>
  <sheetViews>
    <sheetView showGridLines="0" zoomScaleNormal="100" zoomScaleSheetLayoutView="100" workbookViewId="0">
      <selection activeCell="E7" sqref="E7"/>
    </sheetView>
  </sheetViews>
  <sheetFormatPr defaultRowHeight="15" x14ac:dyDescent="0.25"/>
  <cols>
    <col min="1" max="1" width="5.7109375" customWidth="1"/>
    <col min="2" max="2" width="31.140625" bestFit="1" customWidth="1"/>
    <col min="3" max="20" width="16.7109375" customWidth="1"/>
  </cols>
  <sheetData>
    <row r="2" spans="2:5" ht="15.75" x14ac:dyDescent="0.25">
      <c r="B2" s="80" t="s">
        <v>156</v>
      </c>
      <c r="C2" s="77" t="s">
        <v>158</v>
      </c>
    </row>
    <row r="3" spans="2:5" ht="15.75" x14ac:dyDescent="0.25">
      <c r="B3" s="80" t="s">
        <v>186</v>
      </c>
      <c r="C3" s="92">
        <v>2023</v>
      </c>
      <c r="D3" s="77"/>
      <c r="E3" s="77"/>
    </row>
    <row r="4" spans="2:5" ht="15.75" x14ac:dyDescent="0.25">
      <c r="B4" s="80" t="s">
        <v>185</v>
      </c>
      <c r="C4" s="77" t="s">
        <v>137</v>
      </c>
      <c r="D4" s="77"/>
      <c r="E4" s="77"/>
    </row>
    <row r="5" spans="2:5" ht="15.75" x14ac:dyDescent="0.25">
      <c r="B5" s="77"/>
      <c r="C5" s="77"/>
      <c r="D5" s="77"/>
      <c r="E5" s="77"/>
    </row>
    <row r="6" spans="2:5" ht="15.75" hidden="1" x14ac:dyDescent="0.25">
      <c r="B6" s="80" t="s">
        <v>178</v>
      </c>
      <c r="C6" s="80" t="s">
        <v>178</v>
      </c>
      <c r="D6" s="77"/>
    </row>
    <row r="7" spans="2:5" ht="15.75" x14ac:dyDescent="0.25">
      <c r="B7" s="77"/>
      <c r="C7" s="77" t="s">
        <v>198</v>
      </c>
      <c r="D7" s="96" t="s">
        <v>136</v>
      </c>
    </row>
    <row r="8" spans="2:5" ht="15.75" x14ac:dyDescent="0.25">
      <c r="B8" s="86" t="s">
        <v>201</v>
      </c>
      <c r="C8" s="95" t="s">
        <v>207</v>
      </c>
      <c r="D8" s="96"/>
    </row>
    <row r="9" spans="2:5" ht="15.75" x14ac:dyDescent="0.25">
      <c r="B9" s="81" t="s">
        <v>108</v>
      </c>
      <c r="C9" s="93">
        <v>116</v>
      </c>
      <c r="D9" s="93">
        <v>116</v>
      </c>
    </row>
    <row r="10" spans="2:5" ht="15.75" x14ac:dyDescent="0.25">
      <c r="B10" s="94" t="s">
        <v>128</v>
      </c>
      <c r="C10" s="93">
        <v>1</v>
      </c>
      <c r="D10" s="93">
        <v>1</v>
      </c>
    </row>
    <row r="11" spans="2:5" ht="15.75" x14ac:dyDescent="0.25">
      <c r="B11" s="94" t="s">
        <v>129</v>
      </c>
      <c r="C11" s="93">
        <v>3</v>
      </c>
      <c r="D11" s="93">
        <v>3</v>
      </c>
    </row>
    <row r="12" spans="2:5" ht="15.75" x14ac:dyDescent="0.25">
      <c r="B12" s="94" t="s">
        <v>127</v>
      </c>
      <c r="C12" s="93">
        <v>112</v>
      </c>
      <c r="D12" s="93">
        <v>112</v>
      </c>
    </row>
    <row r="13" spans="2:5" ht="15.75" x14ac:dyDescent="0.25">
      <c r="B13" s="81" t="s">
        <v>113</v>
      </c>
      <c r="C13" s="93">
        <v>2</v>
      </c>
      <c r="D13" s="93">
        <v>2</v>
      </c>
    </row>
    <row r="14" spans="2:5" ht="15.75" x14ac:dyDescent="0.25">
      <c r="B14" s="94" t="s">
        <v>129</v>
      </c>
      <c r="C14" s="93">
        <v>2</v>
      </c>
      <c r="D14" s="93">
        <v>2</v>
      </c>
    </row>
    <row r="15" spans="2:5" ht="15.75" x14ac:dyDescent="0.25">
      <c r="B15" s="81" t="s">
        <v>136</v>
      </c>
      <c r="C15" s="93">
        <v>118</v>
      </c>
      <c r="D15" s="93">
        <v>118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Дашборд</vt:lpstr>
      <vt:lpstr>Заявки</vt:lpstr>
      <vt:lpstr>Расходы</vt:lpstr>
      <vt:lpstr>Фактуры</vt:lpstr>
      <vt:lpstr>Общее задание</vt:lpstr>
      <vt:lpstr>Ежедневный отчет</vt:lpstr>
      <vt:lpstr>ЕДО</vt:lpstr>
      <vt:lpstr>Ежемесячный отчет</vt:lpstr>
      <vt:lpstr>Сады и школы</vt:lpstr>
      <vt:lpstr>Выручка</vt:lpstr>
      <vt:lpstr>Категории</vt:lpstr>
      <vt:lpstr>Топ-10 товаров</vt:lpstr>
      <vt:lpstr>Заказчики</vt:lpstr>
      <vt:lpstr>Направления</vt:lpstr>
      <vt:lpstr>Пекарь</vt:lpstr>
      <vt:lpstr>Карта</vt:lpstr>
      <vt:lpstr>Прайс</vt:lpstr>
      <vt:lpstr>Контрагенты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2023-02-06T08:57:11Z</dcterms:modified>
</cp:coreProperties>
</file>