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9b591bc2f03276/Documents/Spring 25/Trading/"/>
    </mc:Choice>
  </mc:AlternateContent>
  <xr:revisionPtr revIDLastSave="694" documentId="8_{2E148686-42FB-4130-A58D-56B6317B51C3}" xr6:coauthVersionLast="47" xr6:coauthVersionMax="47" xr10:uidLastSave="{F8F30D73-4B84-4848-B0E2-ED8C71FDD2CE}"/>
  <bookViews>
    <workbookView xWindow="-108" yWindow="-108" windowWidth="23256" windowHeight="14856" xr2:uid="{8B52FEA6-87F3-4BAA-8628-17D4B73DF3C4}"/>
  </bookViews>
  <sheets>
    <sheet name="April Pn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K36" i="1"/>
  <c r="K37" i="1"/>
  <c r="K42" i="1"/>
  <c r="L13" i="1"/>
  <c r="K1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J36" i="1"/>
  <c r="K35" i="1"/>
  <c r="K43" i="1"/>
  <c r="K41" i="1"/>
  <c r="K40" i="1"/>
  <c r="K39" i="1"/>
  <c r="K38" i="1"/>
  <c r="J43" i="1"/>
  <c r="J41" i="1"/>
  <c r="J40" i="1"/>
  <c r="J39" i="1"/>
  <c r="J38" i="1"/>
  <c r="J35" i="1"/>
  <c r="K33" i="1"/>
  <c r="K32" i="1"/>
  <c r="K31" i="1"/>
  <c r="J23" i="1"/>
  <c r="J37" i="1" l="1"/>
  <c r="M37" i="1" s="1"/>
  <c r="J42" i="1"/>
  <c r="M42" i="1" s="1"/>
  <c r="M40" i="1"/>
  <c r="M38" i="1"/>
  <c r="M41" i="1"/>
  <c r="M43" i="1"/>
  <c r="M39" i="1"/>
  <c r="M36" i="1"/>
  <c r="M35" i="1"/>
  <c r="J28" i="1" l="1"/>
  <c r="J31" i="1"/>
  <c r="M31" i="1" s="1"/>
  <c r="J25" i="1" l="1"/>
  <c r="K25" i="1"/>
  <c r="K26" i="1"/>
  <c r="K28" i="1"/>
  <c r="K19" i="1"/>
  <c r="J19" i="1"/>
  <c r="K24" i="1"/>
  <c r="J33" i="1"/>
  <c r="J34" i="1"/>
  <c r="J32" i="1"/>
  <c r="M8" i="1"/>
  <c r="G5" i="1"/>
  <c r="G6" i="1"/>
  <c r="L6" i="1" s="1"/>
  <c r="G7" i="1"/>
  <c r="G10" i="1"/>
  <c r="L10" i="1" s="1"/>
  <c r="G9" i="1"/>
  <c r="L9" i="1" s="1"/>
  <c r="G8" i="1"/>
  <c r="L8" i="1" s="1"/>
  <c r="M10" i="1" l="1"/>
  <c r="N10" i="1" s="1"/>
  <c r="M4" i="1"/>
  <c r="M34" i="1"/>
  <c r="M33" i="1"/>
  <c r="M32" i="1"/>
  <c r="K30" i="1"/>
  <c r="K29" i="1"/>
  <c r="F30" i="1"/>
  <c r="J30" i="1" s="1"/>
  <c r="L7" i="1"/>
  <c r="M7" i="1"/>
  <c r="J24" i="1"/>
  <c r="M24" i="1" s="1"/>
  <c r="M28" i="1"/>
  <c r="F29" i="1"/>
  <c r="J29" i="1" s="1"/>
  <c r="N7" i="1" l="1"/>
  <c r="K27" i="1"/>
  <c r="J27" i="1"/>
  <c r="J20" i="1"/>
  <c r="K20" i="1"/>
  <c r="J26" i="1"/>
  <c r="J22" i="1"/>
  <c r="K22" i="1"/>
  <c r="K23" i="1"/>
  <c r="K21" i="1"/>
  <c r="J21" i="1"/>
  <c r="K18" i="1"/>
  <c r="K15" i="1"/>
  <c r="K16" i="1"/>
  <c r="K17" i="1"/>
  <c r="M3" i="1"/>
  <c r="M5" i="1"/>
  <c r="M6" i="1"/>
  <c r="N6" i="1" s="1"/>
  <c r="M9" i="1"/>
  <c r="N9" i="1" s="1"/>
  <c r="L3" i="1"/>
  <c r="L4" i="1"/>
  <c r="N4" i="1" s="1"/>
  <c r="L5" i="1"/>
  <c r="N5" i="1" s="1"/>
  <c r="N8" i="1"/>
  <c r="M29" i="1" l="1"/>
  <c r="M30" i="1"/>
  <c r="N3" i="1"/>
  <c r="M13" i="1" s="1"/>
  <c r="M26" i="1"/>
  <c r="M27" i="1"/>
  <c r="N11" i="1" l="1"/>
  <c r="M25" i="1"/>
  <c r="M20" i="1" l="1"/>
  <c r="M19" i="1"/>
  <c r="M21" i="1" l="1"/>
  <c r="M23" i="1"/>
  <c r="M22" i="1"/>
  <c r="N13" i="1"/>
  <c r="F18" i="1"/>
  <c r="J18" i="1" s="1"/>
  <c r="F17" i="1"/>
  <c r="J17" i="1" s="1"/>
  <c r="F14" i="1"/>
  <c r="F15" i="1"/>
  <c r="F16" i="1"/>
  <c r="J16" i="1" s="1"/>
  <c r="J14" i="1" l="1"/>
  <c r="J15" i="1"/>
  <c r="M15" i="1" s="1"/>
  <c r="M17" i="1"/>
  <c r="M18" i="1"/>
  <c r="M16" i="1"/>
  <c r="M14" i="1" l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</calcChain>
</file>

<file path=xl/sharedStrings.xml><?xml version="1.0" encoding="utf-8"?>
<sst xmlns="http://schemas.openxmlformats.org/spreadsheetml/2006/main" count="46" uniqueCount="32">
  <si>
    <t>Counterparty</t>
  </si>
  <si>
    <t>Location</t>
  </si>
  <si>
    <t>Volume</t>
  </si>
  <si>
    <t>Start Date</t>
  </si>
  <si>
    <t>End Date</t>
  </si>
  <si>
    <t>Price</t>
  </si>
  <si>
    <t>Mark</t>
  </si>
  <si>
    <t>New deal PnL</t>
  </si>
  <si>
    <t>CW</t>
  </si>
  <si>
    <t>Waha</t>
  </si>
  <si>
    <t>PnL Date</t>
  </si>
  <si>
    <t>Flow Date</t>
  </si>
  <si>
    <t>Waha GDA</t>
  </si>
  <si>
    <t>Previous Day Balmo Mark</t>
  </si>
  <si>
    <t>End of Day Balmo Mark</t>
  </si>
  <si>
    <t>Remaining Days</t>
  </si>
  <si>
    <t>Rolloff PnL</t>
  </si>
  <si>
    <t>Balmo Curve Shift</t>
  </si>
  <si>
    <t>New Deal PnL</t>
  </si>
  <si>
    <t>Total Monthly PnL</t>
  </si>
  <si>
    <t>N/A</t>
  </si>
  <si>
    <t>Total Daily PnL</t>
  </si>
  <si>
    <t>EM</t>
  </si>
  <si>
    <t>JB</t>
  </si>
  <si>
    <t>Rolloff GDA</t>
  </si>
  <si>
    <t>New Deal PnL Non-Roloff</t>
  </si>
  <si>
    <t>Days Strip</t>
  </si>
  <si>
    <t>Roloff Days</t>
  </si>
  <si>
    <t>New Deal PnL Roloff</t>
  </si>
  <si>
    <t>Day Start Volume</t>
  </si>
  <si>
    <t>SK</t>
  </si>
  <si>
    <t>Trade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</si>
</sst>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4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16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165" fontId="3" fillId="4" borderId="0" xfId="0" applyNumberFormat="1" applyFont="1" applyFill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4" fillId="2" borderId="0" xfId="0" applyFont="1" applyFill="1"/>
    <xf numFmtId="0" fontId="7" fillId="6" borderId="3" xfId="0" applyFont="1" applyFill="1" applyBorder="1" applyAlignment="1">
      <alignment horizontal="center"/>
    </xf>
    <xf numFmtId="16" fontId="2" fillId="7" borderId="0" xfId="0" applyNumberFormat="1" applyFont="1" applyFill="1" applyAlignment="1">
      <alignment horizontal="center"/>
    </xf>
    <xf numFmtId="164" fontId="2" fillId="5" borderId="1" xfId="1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5" formatCode="&quot;$&quot;#,##0.00"/>
      <fill>
        <patternFill patternType="solid">
          <fgColor indexed="64"/>
          <bgColor theme="9" tint="0.39997558519241921"/>
        </patternFill>
      </fill>
      <alignment horizontal="center" vertical="bottom" textRotation="0" wrapText="1" indent="0" justifyLastLine="0" shrinkToFit="0" readingOrder="0"/>
    </dxf>
    <dxf>
      <font>
        <b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FE7F5-6747-4255-B163-77851D8C30E7}" name="Table1" displayName="Table1" ref="B2:N11" totalsRowCount="1" headerRowDxfId="19">
  <autoFilter ref="B2:N10" xr:uid="{9BCFE7F5-6747-4255-B163-77851D8C30E7}"/>
  <tableColumns count="13">
    <tableColumn id="1" xr3:uid="{F0461DC0-8EEB-49C3-A5E7-1B3D50175DCA}" name="Counterparty" totalsRowDxfId="18"/>
    <tableColumn id="2" xr3:uid="{F0B6D815-6430-4737-82B3-47323AA32C6A}" name="Location" totalsRowDxfId="17"/>
    <tableColumn id="3" xr3:uid="{6B22A343-854A-4293-A981-33D15AE28BA7}" name="Volume" totalsRowDxfId="16"/>
    <tableColumn id="4" xr3:uid="{98403D20-3BC8-4C87-96E4-18EA35BB622A}" name="Start Date" totalsRowDxfId="15"/>
    <tableColumn id="5" xr3:uid="{5D3C2386-0FA4-458B-9E5D-1CCB4E4035FE}" name="End Date" totalsRowDxfId="14"/>
    <tableColumn id="13" xr3:uid="{4EEA7615-AFB9-4667-AFF5-8197FDC13E77}" name="Days Strip" dataDxfId="13" totalsRowDxfId="12"/>
    <tableColumn id="14" xr3:uid="{34FC0796-50E4-4409-B4B1-9E139D76BF36}" name="Roloff Days" dataDxfId="11" totalsRowDxfId="10"/>
    <tableColumn id="6" xr3:uid="{347CD21F-0DB9-40A7-87FC-F1739C0EEDB7}" name="Price" totalsRowDxfId="9"/>
    <tableColumn id="8" xr3:uid="{47DDDD94-1DE2-48BD-9951-71D8A3EE23DD}" name="Mark" totalsRowDxfId="8"/>
    <tableColumn id="10" xr3:uid="{AFDF10CF-DD24-42AB-B0C6-C57D9EBBF3C2}" name="Rolloff GDA" dataDxfId="7" totalsRowDxfId="6"/>
    <tableColumn id="11" xr3:uid="{913F2409-7D77-4B8A-915B-2D9D0CEA1E53}" name="New Deal PnL Non-Roloff" dataDxfId="5" totalsRowDxfId="4">
      <calculatedColumnFormula>D3*(G3-H3)*(J3-I3)</calculatedColumnFormula>
    </tableColumn>
    <tableColumn id="12" xr3:uid="{279A6293-AD3F-4D25-B317-BF53C405B32A}" name="New Deal PnL Roloff" dataDxfId="3" totalsRowDxfId="2">
      <calculatedColumnFormula>D3*(K3-I3)*H3</calculatedColumnFormula>
    </tableColumn>
    <tableColumn id="7" xr3:uid="{C1E4AC49-8833-4865-81B9-3C38FC568483}" name="New deal PnL" totalsRowFunction="custom" dataDxfId="1" totalsRowDxfId="0" dataCellStyle="Currency">
      <calculatedColumnFormula>SUM(Table1[[#This Row],[New Deal PnL Non-Roloff]:[New Deal PnL Roloff]])</calculatedColumnFormula>
      <totalsRowFormula>SUM(Table1[New deal PnL])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A33D-26F3-4CA8-9EEE-F0753DE993C1}">
  <dimension ref="A1:S43"/>
  <sheetViews>
    <sheetView tabSelected="1" topLeftCell="A17" zoomScale="94" workbookViewId="0">
      <selection activeCell="P4" sqref="P4"/>
    </sheetView>
  </sheetViews>
  <sheetFormatPr defaultRowHeight="14.4" x14ac:dyDescent="0.3"/>
  <cols>
    <col min="1" max="1" width="11.109375" customWidth="1"/>
    <col min="2" max="2" width="13.5546875" style="2" customWidth="1"/>
    <col min="3" max="3" width="10.88671875" style="2" customWidth="1"/>
    <col min="4" max="4" width="10.21875" style="16" customWidth="1"/>
    <col min="5" max="5" width="11.21875" style="2" customWidth="1"/>
    <col min="6" max="6" width="11.44140625" style="16" customWidth="1"/>
    <col min="7" max="7" width="10.109375" style="16" customWidth="1"/>
    <col min="8" max="8" width="11" style="16" customWidth="1"/>
    <col min="9" max="9" width="10.33203125" style="2" customWidth="1"/>
    <col min="10" max="10" width="10.44140625" style="2" customWidth="1"/>
    <col min="11" max="11" width="11.33203125" style="2" customWidth="1"/>
    <col min="12" max="12" width="15.5546875" style="2" customWidth="1"/>
    <col min="13" max="13" width="15.21875" style="2" customWidth="1"/>
    <col min="14" max="14" width="15.6640625" style="2" customWidth="1"/>
    <col min="15" max="15" width="16.109375" style="12" customWidth="1"/>
    <col min="16" max="16" width="16.5546875" style="12" customWidth="1"/>
    <col min="17" max="18" width="18.33203125" style="12" customWidth="1"/>
    <col min="19" max="19" width="19.5546875" style="12" customWidth="1"/>
    <col min="20" max="16384" width="8.88671875" style="2"/>
  </cols>
  <sheetData>
    <row r="1" spans="1:17" customFormat="1" x14ac:dyDescent="0.3"/>
    <row r="2" spans="1:17" customFormat="1" ht="43.8" customHeight="1" x14ac:dyDescent="0.35">
      <c r="A2" s="22" t="s">
        <v>31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26</v>
      </c>
      <c r="H2" s="9" t="s">
        <v>27</v>
      </c>
      <c r="I2" s="9" t="s">
        <v>5</v>
      </c>
      <c r="J2" s="9" t="s">
        <v>6</v>
      </c>
      <c r="K2" s="9" t="s">
        <v>24</v>
      </c>
      <c r="L2" s="10" t="s">
        <v>25</v>
      </c>
      <c r="M2" s="10" t="s">
        <v>28</v>
      </c>
      <c r="N2" s="10" t="s">
        <v>7</v>
      </c>
    </row>
    <row r="3" spans="1:17" s="2" customFormat="1" x14ac:dyDescent="0.3">
      <c r="A3" s="23">
        <v>45746</v>
      </c>
      <c r="B3" s="3" t="s">
        <v>8</v>
      </c>
      <c r="C3" s="3" t="s">
        <v>9</v>
      </c>
      <c r="D3" s="3">
        <v>-10000</v>
      </c>
      <c r="E3" s="4">
        <v>45748</v>
      </c>
      <c r="F3" s="4">
        <v>45777</v>
      </c>
      <c r="G3" s="3">
        <v>30</v>
      </c>
      <c r="H3" s="3">
        <v>0</v>
      </c>
      <c r="I3" s="3">
        <v>-0.9</v>
      </c>
      <c r="J3" s="3">
        <v>-0.875</v>
      </c>
      <c r="K3" s="3"/>
      <c r="L3" s="26">
        <f t="shared" ref="L3:L5" si="0">D3*(G3-H3)*(J3-I3)</f>
        <v>-7500.0000000000064</v>
      </c>
      <c r="M3" s="14">
        <f t="shared" ref="M3:M6" si="1">D3*(K3-I3)*H3</f>
        <v>0</v>
      </c>
      <c r="N3" s="11">
        <f>SUM(Table1[[#This Row],[New Deal PnL Non-Roloff]:[New Deal PnL Roloff]])</f>
        <v>-7500.0000000000064</v>
      </c>
      <c r="O3" s="3"/>
      <c r="P3" s="3"/>
      <c r="Q3" s="3"/>
    </row>
    <row r="4" spans="1:17" customFormat="1" x14ac:dyDescent="0.3">
      <c r="A4" s="23">
        <v>45751</v>
      </c>
      <c r="B4" s="3" t="s">
        <v>8</v>
      </c>
      <c r="C4" s="3" t="s">
        <v>9</v>
      </c>
      <c r="D4" s="3">
        <v>-10000</v>
      </c>
      <c r="E4" s="4">
        <v>45754</v>
      </c>
      <c r="F4" s="4">
        <v>45777</v>
      </c>
      <c r="G4" s="3">
        <v>26</v>
      </c>
      <c r="H4" s="3">
        <v>3</v>
      </c>
      <c r="I4" s="3">
        <v>-0.15</v>
      </c>
      <c r="J4" s="3">
        <v>0</v>
      </c>
      <c r="K4" s="3">
        <v>1.9</v>
      </c>
      <c r="L4" s="14">
        <f t="shared" si="0"/>
        <v>-34500</v>
      </c>
      <c r="M4" s="25">
        <f>D4*(K4-I4)*H4</f>
        <v>-61500</v>
      </c>
      <c r="N4" s="11">
        <f>SUM(Table1[[#This Row],[New Deal PnL Non-Roloff]:[New Deal PnL Roloff]])</f>
        <v>-96000</v>
      </c>
    </row>
    <row r="5" spans="1:17" customFormat="1" x14ac:dyDescent="0.3">
      <c r="A5" s="23">
        <v>45756</v>
      </c>
      <c r="B5" s="3" t="s">
        <v>22</v>
      </c>
      <c r="C5" s="3" t="s">
        <v>9</v>
      </c>
      <c r="D5" s="3">
        <v>-10000</v>
      </c>
      <c r="E5" s="4">
        <v>45758</v>
      </c>
      <c r="F5" s="4">
        <v>45777</v>
      </c>
      <c r="G5" s="3">
        <f>Table1[[#This Row],[End Date]]-Table1[[#This Row],[Start Date]]+1</f>
        <v>20</v>
      </c>
      <c r="H5" s="3">
        <v>0</v>
      </c>
      <c r="I5" s="3">
        <v>0.65</v>
      </c>
      <c r="J5" s="3">
        <v>0.7</v>
      </c>
      <c r="K5" s="3">
        <v>0.72</v>
      </c>
      <c r="L5" s="14">
        <f t="shared" si="0"/>
        <v>-9999.9999999999873</v>
      </c>
      <c r="M5" s="14">
        <f t="shared" si="1"/>
        <v>0</v>
      </c>
      <c r="N5" s="11">
        <f>SUM(Table1[[#This Row],[New Deal PnL Non-Roloff]:[New Deal PnL Roloff]])</f>
        <v>-9999.9999999999873</v>
      </c>
    </row>
    <row r="6" spans="1:17" customFormat="1" ht="23.4" customHeight="1" x14ac:dyDescent="0.3">
      <c r="A6" s="23">
        <v>45756</v>
      </c>
      <c r="B6" s="3" t="s">
        <v>23</v>
      </c>
      <c r="C6" s="3" t="s">
        <v>9</v>
      </c>
      <c r="D6" s="3">
        <v>10000</v>
      </c>
      <c r="E6" s="4">
        <v>45758</v>
      </c>
      <c r="F6" s="4">
        <v>45777</v>
      </c>
      <c r="G6" s="3">
        <f>Table1[[#This Row],[End Date]]-Table1[[#This Row],[Start Date]]+1</f>
        <v>20</v>
      </c>
      <c r="H6" s="3">
        <v>0</v>
      </c>
      <c r="I6" s="3">
        <v>0.64</v>
      </c>
      <c r="J6" s="3">
        <v>0.7</v>
      </c>
      <c r="K6" s="3">
        <v>0.72</v>
      </c>
      <c r="L6" s="14">
        <f>D6*(G6-H6)*(J6-I6)</f>
        <v>11999.999999999989</v>
      </c>
      <c r="M6" s="14">
        <f t="shared" si="1"/>
        <v>0</v>
      </c>
      <c r="N6" s="11">
        <f>SUM(Table1[[#This Row],[New Deal PnL Non-Roloff]:[New Deal PnL Roloff]])</f>
        <v>11999.999999999989</v>
      </c>
      <c r="O6" s="2"/>
      <c r="P6" s="2"/>
      <c r="Q6" s="2"/>
    </row>
    <row r="7" spans="1:17" s="2" customFormat="1" x14ac:dyDescent="0.3">
      <c r="A7" s="23">
        <v>45762</v>
      </c>
      <c r="B7" s="3" t="s">
        <v>8</v>
      </c>
      <c r="C7" s="3" t="s">
        <v>9</v>
      </c>
      <c r="D7" s="3">
        <v>20000</v>
      </c>
      <c r="E7" s="4">
        <v>45763</v>
      </c>
      <c r="F7" s="4">
        <v>45777</v>
      </c>
      <c r="G7" s="3">
        <f>Table1[[#This Row],[End Date]]-Table1[[#This Row],[Start Date]]+1</f>
        <v>15</v>
      </c>
      <c r="H7" s="3">
        <v>0</v>
      </c>
      <c r="I7" s="3">
        <v>1.67</v>
      </c>
      <c r="J7" s="3">
        <v>1.4</v>
      </c>
      <c r="K7" s="3">
        <v>1.7</v>
      </c>
      <c r="L7" s="14">
        <f>D7*(G7-H7)*(J7-I7)</f>
        <v>-81000</v>
      </c>
      <c r="M7" s="14">
        <f>D7*(K7-I7)*H7</f>
        <v>0</v>
      </c>
      <c r="N7" s="11">
        <f>SUM(Table1[[#This Row],[New Deal PnL Non-Roloff]:[New Deal PnL Roloff]])</f>
        <v>-81000</v>
      </c>
      <c r="O7" s="3"/>
      <c r="P7" s="3"/>
      <c r="Q7" s="3"/>
    </row>
    <row r="8" spans="1:17" s="2" customFormat="1" x14ac:dyDescent="0.3">
      <c r="A8" s="23">
        <v>45763</v>
      </c>
      <c r="B8" s="3" t="s">
        <v>30</v>
      </c>
      <c r="C8" s="3" t="s">
        <v>9</v>
      </c>
      <c r="D8" s="3">
        <v>10000</v>
      </c>
      <c r="E8" s="4">
        <v>45765</v>
      </c>
      <c r="F8" s="4">
        <v>45777</v>
      </c>
      <c r="G8" s="3">
        <f>Table1[[#This Row],[End Date]]-Table1[[#This Row],[Start Date]]+1</f>
        <v>13</v>
      </c>
      <c r="H8" s="3">
        <v>0</v>
      </c>
      <c r="I8" s="3">
        <v>0.39</v>
      </c>
      <c r="J8" s="3">
        <v>0.66</v>
      </c>
      <c r="K8" s="3">
        <v>1.55</v>
      </c>
      <c r="L8" s="14">
        <f>D8*(G8-H8)*(J8-I8)</f>
        <v>35100</v>
      </c>
      <c r="M8" s="14">
        <f>D8*(K8-I8)*H8</f>
        <v>0</v>
      </c>
      <c r="N8" s="11">
        <f>SUM(Table1[[#This Row],[New Deal PnL Non-Roloff]:[New Deal PnL Roloff]])</f>
        <v>35100</v>
      </c>
      <c r="O8" s="3"/>
      <c r="P8" s="3"/>
      <c r="Q8" s="3"/>
    </row>
    <row r="9" spans="1:17" s="2" customFormat="1" x14ac:dyDescent="0.3">
      <c r="A9" s="23">
        <v>45763</v>
      </c>
      <c r="B9" s="3" t="s">
        <v>30</v>
      </c>
      <c r="C9" s="3" t="s">
        <v>9</v>
      </c>
      <c r="D9" s="3">
        <v>-10000</v>
      </c>
      <c r="E9" s="4">
        <v>45765</v>
      </c>
      <c r="F9" s="4">
        <v>45777</v>
      </c>
      <c r="G9" s="3">
        <f>Table1[[#This Row],[End Date]]-Table1[[#This Row],[Start Date]]+1</f>
        <v>13</v>
      </c>
      <c r="H9" s="3">
        <v>0</v>
      </c>
      <c r="I9" s="3">
        <v>0.41</v>
      </c>
      <c r="J9" s="3">
        <v>0.66</v>
      </c>
      <c r="K9" s="3">
        <v>1.55</v>
      </c>
      <c r="L9" s="14">
        <f>D9*(G9-H9)*(J9-I9)</f>
        <v>-32500.000000000007</v>
      </c>
      <c r="M9" s="14">
        <f>D9*(K9-I9)*H9</f>
        <v>0</v>
      </c>
      <c r="N9" s="11">
        <f>SUM(Table1[[#This Row],[New Deal PnL Non-Roloff]:[New Deal PnL Roloff]])</f>
        <v>-32500.000000000007</v>
      </c>
      <c r="O9" s="3"/>
      <c r="P9" s="3"/>
      <c r="Q9" s="3"/>
    </row>
    <row r="10" spans="1:17" s="2" customFormat="1" x14ac:dyDescent="0.3">
      <c r="A10" s="23">
        <v>45763</v>
      </c>
      <c r="B10" s="3" t="s">
        <v>30</v>
      </c>
      <c r="C10" s="3" t="s">
        <v>9</v>
      </c>
      <c r="D10" s="3">
        <v>10000</v>
      </c>
      <c r="E10" s="4">
        <v>45765</v>
      </c>
      <c r="F10" s="4">
        <v>45777</v>
      </c>
      <c r="G10" s="3">
        <f>Table1[[#This Row],[End Date]]-Table1[[#This Row],[Start Date]]+1</f>
        <v>13</v>
      </c>
      <c r="H10" s="3">
        <v>0</v>
      </c>
      <c r="I10" s="3">
        <v>0.4</v>
      </c>
      <c r="J10" s="3">
        <v>0.66</v>
      </c>
      <c r="K10" s="3">
        <v>1.55</v>
      </c>
      <c r="L10" s="14">
        <f>D10*(G10-H10)*(J10-I10)</f>
        <v>33800</v>
      </c>
      <c r="M10" s="14">
        <f>D10*(K10-I10)*H10</f>
        <v>0</v>
      </c>
      <c r="N10" s="11">
        <f>SUM(Table1[[#This Row],[New Deal PnL Non-Roloff]:[New Deal PnL Roloff]])</f>
        <v>33800</v>
      </c>
      <c r="O10" s="3"/>
      <c r="P10" s="3"/>
      <c r="Q10" s="3"/>
    </row>
    <row r="11" spans="1:17" s="2" customFormat="1" ht="18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3">
        <f>SUM(Table1[New deal PnL])</f>
        <v>-146100</v>
      </c>
      <c r="O11" s="1"/>
      <c r="P11" s="3"/>
    </row>
    <row r="12" spans="1:17" s="2" customFormat="1" ht="43.2" x14ac:dyDescent="0.3">
      <c r="B12" s="5" t="s">
        <v>10</v>
      </c>
      <c r="C12" s="5" t="s">
        <v>11</v>
      </c>
      <c r="D12" s="21" t="s">
        <v>27</v>
      </c>
      <c r="E12" s="5" t="s">
        <v>12</v>
      </c>
      <c r="F12" s="6" t="s">
        <v>13</v>
      </c>
      <c r="G12" s="6" t="s">
        <v>14</v>
      </c>
      <c r="H12" s="6" t="s">
        <v>29</v>
      </c>
      <c r="I12" s="6" t="s">
        <v>15</v>
      </c>
      <c r="J12" s="6" t="s">
        <v>16</v>
      </c>
      <c r="K12" s="6" t="s">
        <v>17</v>
      </c>
      <c r="L12" s="6" t="s">
        <v>18</v>
      </c>
      <c r="M12" s="6" t="s">
        <v>21</v>
      </c>
      <c r="N12" s="6" t="s">
        <v>19</v>
      </c>
    </row>
    <row r="13" spans="1:17" s="2" customFormat="1" x14ac:dyDescent="0.3">
      <c r="B13" s="7">
        <v>45746</v>
      </c>
      <c r="C13" s="17" t="s">
        <v>20</v>
      </c>
      <c r="D13" s="17">
        <v>0</v>
      </c>
      <c r="E13" s="8" t="s">
        <v>20</v>
      </c>
      <c r="F13" s="17" t="s">
        <v>20</v>
      </c>
      <c r="G13" s="8">
        <v>-0.875</v>
      </c>
      <c r="H13" s="17">
        <v>-10000</v>
      </c>
      <c r="I13" s="17">
        <v>30</v>
      </c>
      <c r="J13" s="18">
        <v>0</v>
      </c>
      <c r="K13" s="18">
        <v>0</v>
      </c>
      <c r="L13" s="20">
        <f ca="1">SUMIF($A$3:$N$10,B13,Table1[New deal PnL])</f>
        <v>-7500.0000000000064</v>
      </c>
      <c r="M13" s="18">
        <f ca="1">L13</f>
        <v>-7500.0000000000064</v>
      </c>
      <c r="N13" s="18">
        <f ca="1">M13</f>
        <v>-7500.0000000000064</v>
      </c>
    </row>
    <row r="14" spans="1:17" s="2" customFormat="1" x14ac:dyDescent="0.3">
      <c r="B14" s="7">
        <v>45747</v>
      </c>
      <c r="C14" s="19">
        <v>45748</v>
      </c>
      <c r="D14" s="17">
        <v>1</v>
      </c>
      <c r="E14" s="8">
        <v>-0.14000000000000001</v>
      </c>
      <c r="F14" s="17">
        <f t="shared" ref="F14:F18" si="2">G13</f>
        <v>-0.875</v>
      </c>
      <c r="G14" s="8">
        <v>-0.65</v>
      </c>
      <c r="H14" s="17">
        <v>-10000</v>
      </c>
      <c r="I14" s="17">
        <v>29</v>
      </c>
      <c r="J14" s="18">
        <f>H14*(E14-F14)</f>
        <v>-7350</v>
      </c>
      <c r="K14" s="18">
        <f>H14*(G14-G13)*I14</f>
        <v>-65250</v>
      </c>
      <c r="L14" s="24">
        <f ca="1">SUMIF($A$3:$N$10,B14,Table1[New deal PnL])</f>
        <v>0</v>
      </c>
      <c r="M14" s="18">
        <f ca="1">SUM(J14:L14)</f>
        <v>-72600</v>
      </c>
      <c r="N14" s="18">
        <f ca="1">M14+$N$13</f>
        <v>-80100</v>
      </c>
    </row>
    <row r="15" spans="1:17" s="2" customFormat="1" x14ac:dyDescent="0.3">
      <c r="B15" s="7">
        <v>45748</v>
      </c>
      <c r="C15" s="19">
        <v>45749</v>
      </c>
      <c r="D15" s="17">
        <v>1</v>
      </c>
      <c r="E15" s="8">
        <v>0.28999999999999998</v>
      </c>
      <c r="F15" s="17">
        <f t="shared" si="2"/>
        <v>-0.65</v>
      </c>
      <c r="G15" s="8">
        <v>-0.8</v>
      </c>
      <c r="H15" s="17">
        <v>-10000</v>
      </c>
      <c r="I15" s="17">
        <v>28</v>
      </c>
      <c r="J15" s="18">
        <f>H15*(E15-F15)</f>
        <v>-9400</v>
      </c>
      <c r="K15" s="18">
        <f>H15*(G15-G14)*I15</f>
        <v>42000.000000000007</v>
      </c>
      <c r="L15" s="24">
        <f ca="1">SUMIF($A$3:$N$10,B15,Table1[New deal PnL])</f>
        <v>0</v>
      </c>
      <c r="M15" s="18">
        <f ca="1">SUM(J15:L15)</f>
        <v>32600.000000000007</v>
      </c>
      <c r="N15" s="18">
        <f ca="1">M15+N14</f>
        <v>-47499.999999999993</v>
      </c>
    </row>
    <row r="16" spans="1:17" s="2" customFormat="1" x14ac:dyDescent="0.3">
      <c r="B16" s="7">
        <v>45749</v>
      </c>
      <c r="C16" s="19">
        <v>45750</v>
      </c>
      <c r="D16" s="17">
        <v>1</v>
      </c>
      <c r="E16" s="8">
        <v>1.04</v>
      </c>
      <c r="F16" s="17">
        <f t="shared" si="2"/>
        <v>-0.8</v>
      </c>
      <c r="G16" s="8">
        <v>-0.75</v>
      </c>
      <c r="H16" s="17">
        <v>-10000</v>
      </c>
      <c r="I16" s="17">
        <v>27</v>
      </c>
      <c r="J16" s="18">
        <f>H16*(E16-F16)</f>
        <v>-18400</v>
      </c>
      <c r="K16" s="18">
        <f>H16*(G16-G15)*I16</f>
        <v>-13500.000000000013</v>
      </c>
      <c r="L16" s="24">
        <f ca="1">SUMIF($A$3:$N$10,B16,Table1[New deal PnL])</f>
        <v>0</v>
      </c>
      <c r="M16" s="18">
        <f t="shared" ref="M16:M17" ca="1" si="3">SUM(J16:L16)</f>
        <v>-31900.000000000015</v>
      </c>
      <c r="N16" s="18">
        <f ca="1">M16+N15</f>
        <v>-79400</v>
      </c>
    </row>
    <row r="17" spans="2:14" s="2" customFormat="1" x14ac:dyDescent="0.3">
      <c r="B17" s="7">
        <v>45750</v>
      </c>
      <c r="C17" s="19">
        <v>45751</v>
      </c>
      <c r="D17" s="17">
        <v>1</v>
      </c>
      <c r="E17" s="8">
        <v>2.09</v>
      </c>
      <c r="F17" s="17">
        <f t="shared" si="2"/>
        <v>-0.75</v>
      </c>
      <c r="G17" s="8">
        <v>-0.5</v>
      </c>
      <c r="H17" s="17">
        <v>-10000</v>
      </c>
      <c r="I17" s="17">
        <v>26</v>
      </c>
      <c r="J17" s="18">
        <f>H17*(E17-F17)</f>
        <v>-28400</v>
      </c>
      <c r="K17" s="18">
        <f>H17*(G17-G16)*I17</f>
        <v>-65000</v>
      </c>
      <c r="L17" s="24">
        <f ca="1">SUMIF($A$3:$N$10,B17,Table1[New deal PnL])</f>
        <v>0</v>
      </c>
      <c r="M17" s="18">
        <f t="shared" ca="1" si="3"/>
        <v>-93400</v>
      </c>
      <c r="N17" s="18">
        <f t="shared" ref="N17:N26" ca="1" si="4">M17+N16</f>
        <v>-172800</v>
      </c>
    </row>
    <row r="18" spans="2:14" s="2" customFormat="1" x14ac:dyDescent="0.3">
      <c r="B18" s="7">
        <v>45751</v>
      </c>
      <c r="C18" s="19">
        <v>45752</v>
      </c>
      <c r="D18" s="17">
        <v>3</v>
      </c>
      <c r="E18" s="8">
        <v>1.9</v>
      </c>
      <c r="F18" s="17">
        <f t="shared" si="2"/>
        <v>-0.5</v>
      </c>
      <c r="G18" s="8">
        <v>0</v>
      </c>
      <c r="H18" s="17">
        <v>-10000</v>
      </c>
      <c r="I18" s="17">
        <v>25</v>
      </c>
      <c r="J18" s="18">
        <f>H18*(E18-F18)*3</f>
        <v>-72000</v>
      </c>
      <c r="K18" s="18">
        <f>H18*(G18-G17)*I20</f>
        <v>-115000</v>
      </c>
      <c r="L18" s="20">
        <f ca="1">SUMIF($A$3:$N$10,B18,Table1[New deal PnL])</f>
        <v>-96000</v>
      </c>
      <c r="M18" s="18">
        <f ca="1">SUM(J18:L18)</f>
        <v>-283000</v>
      </c>
      <c r="N18" s="18">
        <f ca="1">M18+N17</f>
        <v>-455800</v>
      </c>
    </row>
    <row r="19" spans="2:14" s="2" customFormat="1" x14ac:dyDescent="0.3">
      <c r="B19" s="7">
        <v>45752</v>
      </c>
      <c r="C19" s="19">
        <v>45753</v>
      </c>
      <c r="D19" s="17">
        <v>0</v>
      </c>
      <c r="E19" s="8">
        <v>1.9</v>
      </c>
      <c r="F19" s="17">
        <v>-0.5</v>
      </c>
      <c r="G19" s="8">
        <v>0</v>
      </c>
      <c r="H19" s="17">
        <v>-10000</v>
      </c>
      <c r="I19" s="17">
        <v>24</v>
      </c>
      <c r="J19" s="18">
        <f>H19*(E19-F19)*0</f>
        <v>0</v>
      </c>
      <c r="K19" s="18">
        <f>I19*(F19-G19)*0</f>
        <v>0</v>
      </c>
      <c r="L19" s="24">
        <f ca="1">SUMIF($A$3:$N$10,B19,Table1[New deal PnL])</f>
        <v>0</v>
      </c>
      <c r="M19" s="18">
        <f ca="1">SUM(J19:L19)</f>
        <v>0</v>
      </c>
      <c r="N19" s="18">
        <f t="shared" ca="1" si="4"/>
        <v>-455800</v>
      </c>
    </row>
    <row r="20" spans="2:14" s="2" customFormat="1" x14ac:dyDescent="0.3">
      <c r="B20" s="7">
        <v>45753</v>
      </c>
      <c r="C20" s="19">
        <v>45754</v>
      </c>
      <c r="D20" s="17">
        <v>0</v>
      </c>
      <c r="E20" s="8">
        <v>1.9</v>
      </c>
      <c r="F20" s="17">
        <v>-0.5</v>
      </c>
      <c r="G20" s="8">
        <v>0</v>
      </c>
      <c r="H20" s="17">
        <v>-10000</v>
      </c>
      <c r="I20" s="17">
        <v>23</v>
      </c>
      <c r="J20" s="18">
        <f>H20*(E20-F20)*0</f>
        <v>0</v>
      </c>
      <c r="K20" s="18">
        <f>I20*(F20-G20)*0</f>
        <v>0</v>
      </c>
      <c r="L20" s="24">
        <f ca="1">SUMIF($A$3:$N$10,B20,Table1[New deal PnL])</f>
        <v>0</v>
      </c>
      <c r="M20" s="18">
        <f ca="1">SUM(J20:L20)</f>
        <v>0</v>
      </c>
      <c r="N20" s="18">
        <f ca="1">M20+N19</f>
        <v>-455800</v>
      </c>
    </row>
    <row r="21" spans="2:14" s="2" customFormat="1" x14ac:dyDescent="0.3">
      <c r="B21" s="7">
        <v>45754</v>
      </c>
      <c r="C21" s="19">
        <v>45755</v>
      </c>
      <c r="D21" s="17">
        <v>1</v>
      </c>
      <c r="E21" s="8">
        <v>0.83</v>
      </c>
      <c r="F21" s="17">
        <v>0</v>
      </c>
      <c r="G21" s="8">
        <v>0.5</v>
      </c>
      <c r="H21" s="17">
        <v>-20000</v>
      </c>
      <c r="I21" s="17">
        <v>22</v>
      </c>
      <c r="J21" s="18">
        <f>H21*(E21-F21)</f>
        <v>-16600</v>
      </c>
      <c r="K21" s="18">
        <f t="shared" ref="K21:K23" si="5">H21*(G21-G20)*I21</f>
        <v>-220000</v>
      </c>
      <c r="L21" s="24">
        <f ca="1">SUMIF($A$3:$N$10,B21,Table1[New deal PnL])</f>
        <v>0</v>
      </c>
      <c r="M21" s="18">
        <f ca="1">SUM(J21:L21)</f>
        <v>-236600</v>
      </c>
      <c r="N21" s="18">
        <f t="shared" ca="1" si="4"/>
        <v>-692400</v>
      </c>
    </row>
    <row r="22" spans="2:14" s="2" customFormat="1" x14ac:dyDescent="0.3">
      <c r="B22" s="7">
        <v>45755</v>
      </c>
      <c r="C22" s="19">
        <v>45756</v>
      </c>
      <c r="D22" s="17">
        <v>1</v>
      </c>
      <c r="E22" s="8">
        <v>1.4</v>
      </c>
      <c r="F22" s="17">
        <v>0.5</v>
      </c>
      <c r="G22" s="8">
        <v>0.17499999999999999</v>
      </c>
      <c r="H22" s="17">
        <v>-20000</v>
      </c>
      <c r="I22" s="17">
        <v>21</v>
      </c>
      <c r="J22" s="18">
        <f>H22*(E22-F22)</f>
        <v>-18000</v>
      </c>
      <c r="K22" s="18">
        <f t="shared" si="5"/>
        <v>136500</v>
      </c>
      <c r="L22" s="24">
        <f ca="1">SUMIF($A$3:$N$10,B22,Table1[New deal PnL])</f>
        <v>0</v>
      </c>
      <c r="M22" s="18">
        <f t="shared" ref="M22:M24" ca="1" si="6">SUM(J22:L22)</f>
        <v>118500</v>
      </c>
      <c r="N22" s="18">
        <f t="shared" ca="1" si="4"/>
        <v>-573900</v>
      </c>
    </row>
    <row r="23" spans="2:14" s="2" customFormat="1" x14ac:dyDescent="0.3">
      <c r="B23" s="7">
        <v>45756</v>
      </c>
      <c r="C23" s="19">
        <v>45757</v>
      </c>
      <c r="D23" s="17">
        <v>1</v>
      </c>
      <c r="E23" s="8">
        <v>0.72</v>
      </c>
      <c r="F23" s="17">
        <v>0.18</v>
      </c>
      <c r="G23" s="8">
        <v>0.7</v>
      </c>
      <c r="H23" s="17">
        <v>-20000</v>
      </c>
      <c r="I23" s="17">
        <v>20</v>
      </c>
      <c r="J23" s="18">
        <f>H23*(E23-F23)</f>
        <v>-10800</v>
      </c>
      <c r="K23" s="18">
        <f t="shared" si="5"/>
        <v>-209999.99999999997</v>
      </c>
      <c r="L23" s="20">
        <f ca="1">SUMIF($A$3:$N$10,B23,Table1[New deal PnL])</f>
        <v>2000.0000000000018</v>
      </c>
      <c r="M23" s="18">
        <f t="shared" ca="1" si="6"/>
        <v>-218799.99999999997</v>
      </c>
      <c r="N23" s="18">
        <f ca="1">M23+N22</f>
        <v>-792700</v>
      </c>
    </row>
    <row r="24" spans="2:14" s="2" customFormat="1" x14ac:dyDescent="0.3">
      <c r="B24" s="7">
        <v>45757</v>
      </c>
      <c r="C24" s="19">
        <v>45758</v>
      </c>
      <c r="D24" s="17">
        <v>1</v>
      </c>
      <c r="E24" s="8">
        <v>1.08</v>
      </c>
      <c r="F24" s="17">
        <v>0.7</v>
      </c>
      <c r="G24" s="8">
        <v>0.8</v>
      </c>
      <c r="H24" s="17">
        <v>-20000</v>
      </c>
      <c r="I24" s="17">
        <v>19</v>
      </c>
      <c r="J24" s="18">
        <f>H24*(E24-F24)</f>
        <v>-7600.0000000000027</v>
      </c>
      <c r="K24" s="18">
        <f>H24*(G24-G23)*I24</f>
        <v>-38000.000000000036</v>
      </c>
      <c r="L24" s="24">
        <f ca="1">SUMIF($A$3:$N$10,B24,Table1[New deal PnL])</f>
        <v>0</v>
      </c>
      <c r="M24" s="18">
        <f t="shared" ca="1" si="6"/>
        <v>-45600.000000000036</v>
      </c>
      <c r="N24" s="18">
        <f ca="1">M24+N23</f>
        <v>-838300</v>
      </c>
    </row>
    <row r="25" spans="2:14" s="2" customFormat="1" x14ac:dyDescent="0.3">
      <c r="B25" s="7">
        <v>45758</v>
      </c>
      <c r="C25" s="19">
        <v>45759</v>
      </c>
      <c r="D25" s="17">
        <v>3</v>
      </c>
      <c r="E25" s="8">
        <v>0.71</v>
      </c>
      <c r="F25" s="17">
        <v>0.8</v>
      </c>
      <c r="G25" s="8">
        <v>1.35</v>
      </c>
      <c r="H25" s="17">
        <v>-20000</v>
      </c>
      <c r="I25" s="17">
        <v>16</v>
      </c>
      <c r="J25" s="18">
        <f>H25*(E25-F25)*3</f>
        <v>5400.0000000000045</v>
      </c>
      <c r="K25" s="18">
        <f>H25*(G25-G24)*I25</f>
        <v>-176000</v>
      </c>
      <c r="L25" s="24">
        <f ca="1">SUMIF($A$3:$N$10,B25,Table1[New deal PnL])</f>
        <v>0</v>
      </c>
      <c r="M25" s="18">
        <f ca="1">SUM(J25:L25)</f>
        <v>-170600</v>
      </c>
      <c r="N25" s="18">
        <f t="shared" ca="1" si="4"/>
        <v>-1008900</v>
      </c>
    </row>
    <row r="26" spans="2:14" s="2" customFormat="1" x14ac:dyDescent="0.3">
      <c r="B26" s="7">
        <v>45759</v>
      </c>
      <c r="C26" s="19">
        <v>45760</v>
      </c>
      <c r="D26" s="17">
        <v>0</v>
      </c>
      <c r="E26" s="8">
        <v>0.71</v>
      </c>
      <c r="F26" s="17">
        <v>1.35</v>
      </c>
      <c r="G26" s="8">
        <v>1.35</v>
      </c>
      <c r="H26" s="17">
        <v>-20000</v>
      </c>
      <c r="I26" s="17">
        <v>16</v>
      </c>
      <c r="J26" s="18">
        <f>H26*(E26-F26)*0</f>
        <v>0</v>
      </c>
      <c r="K26" s="18">
        <f>H26*(G26-G25)*I26</f>
        <v>0</v>
      </c>
      <c r="L26" s="24">
        <f ca="1">SUMIF($A$3:$N$10,B26,Table1[New deal PnL])</f>
        <v>0</v>
      </c>
      <c r="M26" s="18">
        <f t="shared" ref="M26:M27" ca="1" si="7">SUM(J26:L26)</f>
        <v>0</v>
      </c>
      <c r="N26" s="18">
        <f t="shared" ca="1" si="4"/>
        <v>-1008900</v>
      </c>
    </row>
    <row r="27" spans="2:14" s="2" customFormat="1" x14ac:dyDescent="0.3">
      <c r="B27" s="7">
        <v>45760</v>
      </c>
      <c r="C27" s="19">
        <v>45761</v>
      </c>
      <c r="D27" s="17">
        <v>0</v>
      </c>
      <c r="E27" s="8">
        <v>0.71</v>
      </c>
      <c r="F27" s="17">
        <v>1.35</v>
      </c>
      <c r="G27" s="8">
        <v>1.35</v>
      </c>
      <c r="H27" s="17">
        <v>-20000</v>
      </c>
      <c r="I27" s="17">
        <v>16</v>
      </c>
      <c r="J27" s="18">
        <f>H27*(E27-F27)*0</f>
        <v>0</v>
      </c>
      <c r="K27" s="18">
        <f t="shared" ref="K27:K30" si="8">H27*(G27-G26)*I27</f>
        <v>0</v>
      </c>
      <c r="L27" s="24">
        <f ca="1">SUMIF($A$3:$N$10,B27,Table1[New deal PnL])</f>
        <v>0</v>
      </c>
      <c r="M27" s="18">
        <f t="shared" ca="1" si="7"/>
        <v>0</v>
      </c>
      <c r="N27" s="18">
        <f ca="1">M27+N26</f>
        <v>-1008900</v>
      </c>
    </row>
    <row r="28" spans="2:14" s="2" customFormat="1" x14ac:dyDescent="0.3">
      <c r="B28" s="7">
        <v>45761</v>
      </c>
      <c r="C28" s="19">
        <v>45762</v>
      </c>
      <c r="D28" s="17">
        <v>1</v>
      </c>
      <c r="E28" s="8">
        <v>1.96</v>
      </c>
      <c r="F28" s="17">
        <v>1.35</v>
      </c>
      <c r="G28" s="8">
        <v>1.7</v>
      </c>
      <c r="H28" s="15">
        <v>-20000</v>
      </c>
      <c r="I28" s="17">
        <v>15</v>
      </c>
      <c r="J28" s="18">
        <f>H28*(E28-F28)</f>
        <v>-12199.999999999998</v>
      </c>
      <c r="K28" s="18">
        <f>H28*(G28-G27)*I28</f>
        <v>-104999.99999999996</v>
      </c>
      <c r="L28" s="24">
        <f ca="1">SUMIF($A$3:$N$10,B28,Table1[New deal PnL])</f>
        <v>0</v>
      </c>
      <c r="M28" s="18">
        <f t="shared" ref="M28:M43" ca="1" si="9">SUM(J28:L28)</f>
        <v>-117199.99999999996</v>
      </c>
      <c r="N28" s="18">
        <f ca="1">M28+N27</f>
        <v>-1126100</v>
      </c>
    </row>
    <row r="29" spans="2:14" s="2" customFormat="1" x14ac:dyDescent="0.3">
      <c r="B29" s="7">
        <v>45762</v>
      </c>
      <c r="C29" s="19">
        <v>45763</v>
      </c>
      <c r="D29" s="17">
        <v>1</v>
      </c>
      <c r="E29" s="8">
        <v>1.88</v>
      </c>
      <c r="F29" s="15">
        <f>G28</f>
        <v>1.7</v>
      </c>
      <c r="G29" s="8">
        <v>1.4</v>
      </c>
      <c r="H29" s="15">
        <v>-20000</v>
      </c>
      <c r="I29" s="17">
        <v>14</v>
      </c>
      <c r="J29" s="18">
        <f>H29*(E29-F29)</f>
        <v>-3599.9999999999986</v>
      </c>
      <c r="K29" s="18">
        <f t="shared" si="8"/>
        <v>84000.000000000015</v>
      </c>
      <c r="L29" s="20">
        <f ca="1">SUMIF($A$3:$N$10,B29,Table1[New deal PnL])</f>
        <v>-81000</v>
      </c>
      <c r="M29" s="18">
        <f t="shared" ca="1" si="9"/>
        <v>-599.99999999998545</v>
      </c>
      <c r="N29" s="18">
        <f ca="1">M29+N28</f>
        <v>-1126700</v>
      </c>
    </row>
    <row r="30" spans="2:14" s="2" customFormat="1" x14ac:dyDescent="0.3">
      <c r="B30" s="7">
        <v>45763</v>
      </c>
      <c r="C30" s="19">
        <v>45764</v>
      </c>
      <c r="D30" s="17">
        <v>1</v>
      </c>
      <c r="E30" s="8">
        <v>1.55</v>
      </c>
      <c r="F30" s="15">
        <f>G29</f>
        <v>1.4</v>
      </c>
      <c r="G30" s="8">
        <v>0.66</v>
      </c>
      <c r="H30" s="15">
        <v>0</v>
      </c>
      <c r="I30" s="17">
        <v>13</v>
      </c>
      <c r="J30" s="18">
        <f>H30*(E30-F30)</f>
        <v>0</v>
      </c>
      <c r="K30" s="18">
        <f t="shared" si="8"/>
        <v>0</v>
      </c>
      <c r="L30" s="20">
        <f ca="1">SUMIF($A$3:$N$10,B30,Table1[New deal PnL])</f>
        <v>36399.999999999993</v>
      </c>
      <c r="M30" s="18">
        <f t="shared" ca="1" si="9"/>
        <v>36399.999999999993</v>
      </c>
      <c r="N30" s="18">
        <f ca="1">M30+N29</f>
        <v>-1090300</v>
      </c>
    </row>
    <row r="31" spans="2:14" s="2" customFormat="1" x14ac:dyDescent="0.3">
      <c r="B31" s="7">
        <v>45764</v>
      </c>
      <c r="C31" s="19">
        <v>45765</v>
      </c>
      <c r="D31" s="17">
        <v>4</v>
      </c>
      <c r="E31" s="8">
        <v>-0.04</v>
      </c>
      <c r="F31" s="15">
        <v>0.66</v>
      </c>
      <c r="G31" s="8">
        <v>0.75</v>
      </c>
      <c r="H31" s="15">
        <v>10000</v>
      </c>
      <c r="I31" s="17">
        <v>12</v>
      </c>
      <c r="J31" s="18">
        <f>H31*(E31-F31)*D31</f>
        <v>-28000.000000000004</v>
      </c>
      <c r="K31" s="18">
        <f>H31*(G31-G30)*I34</f>
        <v>8099.9999999999973</v>
      </c>
      <c r="L31" s="24">
        <f ca="1">SUMIF($A$3:$N$10,B31,Table1[New deal PnL])</f>
        <v>0</v>
      </c>
      <c r="M31" s="18">
        <f ca="1">SUM(J31:L31)</f>
        <v>-19900.000000000007</v>
      </c>
      <c r="N31" s="18">
        <f ca="1">M31+N30</f>
        <v>-1110200</v>
      </c>
    </row>
    <row r="32" spans="2:14" s="2" customFormat="1" x14ac:dyDescent="0.3">
      <c r="B32" s="7">
        <v>45765</v>
      </c>
      <c r="C32" s="19">
        <v>45766</v>
      </c>
      <c r="D32" s="17">
        <v>0</v>
      </c>
      <c r="E32" s="8">
        <v>-0.04</v>
      </c>
      <c r="F32" s="15">
        <v>0.75</v>
      </c>
      <c r="G32" s="8">
        <v>0.75</v>
      </c>
      <c r="H32" s="15">
        <v>10000</v>
      </c>
      <c r="I32" s="17">
        <v>11</v>
      </c>
      <c r="J32" s="18">
        <f>H32*(E32-F32)*D32</f>
        <v>0</v>
      </c>
      <c r="K32" s="18">
        <f>H32*(G32-G31)*I34</f>
        <v>0</v>
      </c>
      <c r="L32" s="24">
        <f ca="1">SUMIF($A$3:$N$10,B32,Table1[New deal PnL])</f>
        <v>0</v>
      </c>
      <c r="M32" s="18">
        <f t="shared" ca="1" si="9"/>
        <v>0</v>
      </c>
      <c r="N32" s="18">
        <f t="shared" ref="N32:N33" ca="1" si="10">M32+N31</f>
        <v>-1110200</v>
      </c>
    </row>
    <row r="33" spans="2:14" s="2" customFormat="1" x14ac:dyDescent="0.3">
      <c r="B33" s="7">
        <v>45766</v>
      </c>
      <c r="C33" s="19">
        <v>45767</v>
      </c>
      <c r="D33" s="17">
        <v>0</v>
      </c>
      <c r="E33" s="8">
        <v>-0.04</v>
      </c>
      <c r="F33" s="15">
        <v>0.75</v>
      </c>
      <c r="G33" s="8">
        <v>0.75</v>
      </c>
      <c r="H33" s="15">
        <v>10000</v>
      </c>
      <c r="I33" s="17">
        <v>10</v>
      </c>
      <c r="J33" s="18">
        <f t="shared" ref="J33:J43" si="11">H33*(E33-F33)*D33</f>
        <v>0</v>
      </c>
      <c r="K33" s="18">
        <f>H33*(G33-G32)*I34</f>
        <v>0</v>
      </c>
      <c r="L33" s="24">
        <f ca="1">SUMIF($A$3:$N$10,B33,Table1[New deal PnL])</f>
        <v>0</v>
      </c>
      <c r="M33" s="18">
        <f t="shared" ca="1" si="9"/>
        <v>0</v>
      </c>
      <c r="N33" s="18">
        <f t="shared" ca="1" si="10"/>
        <v>-1110200</v>
      </c>
    </row>
    <row r="34" spans="2:14" s="2" customFormat="1" x14ac:dyDescent="0.3">
      <c r="B34" s="7">
        <v>45767</v>
      </c>
      <c r="C34" s="19">
        <v>45768</v>
      </c>
      <c r="D34" s="17">
        <v>0</v>
      </c>
      <c r="E34" s="8">
        <v>-0.04</v>
      </c>
      <c r="F34" s="15">
        <v>0.75</v>
      </c>
      <c r="G34" s="8">
        <v>0.75</v>
      </c>
      <c r="H34" s="15">
        <v>10000</v>
      </c>
      <c r="I34" s="17">
        <v>9</v>
      </c>
      <c r="J34" s="18">
        <f t="shared" si="11"/>
        <v>0</v>
      </c>
      <c r="K34" s="18">
        <f>H34*(G34-G33)*I34</f>
        <v>0</v>
      </c>
      <c r="L34" s="24">
        <f ca="1">SUMIF($A$3:$N$10,B34,Table1[New deal PnL])</f>
        <v>0</v>
      </c>
      <c r="M34" s="18">
        <f t="shared" ca="1" si="9"/>
        <v>0</v>
      </c>
      <c r="N34" s="18">
        <f ca="1">M34+N33</f>
        <v>-1110200</v>
      </c>
    </row>
    <row r="35" spans="2:14" s="2" customFormat="1" x14ac:dyDescent="0.3">
      <c r="B35" s="7">
        <v>45768</v>
      </c>
      <c r="C35" s="19">
        <v>45769</v>
      </c>
      <c r="D35" s="17">
        <v>1</v>
      </c>
      <c r="E35" s="8">
        <v>0.5</v>
      </c>
      <c r="F35" s="15">
        <v>0.75</v>
      </c>
      <c r="G35" s="8">
        <v>0.5</v>
      </c>
      <c r="H35" s="15">
        <v>10000</v>
      </c>
      <c r="I35" s="17">
        <v>8</v>
      </c>
      <c r="J35" s="18">
        <f t="shared" si="11"/>
        <v>-2500</v>
      </c>
      <c r="K35" s="18">
        <f>H35*(G35-G34)*I35</f>
        <v>-20000</v>
      </c>
      <c r="L35" s="24">
        <f ca="1">SUMIF($A$3:$N$10,B35,Table1[New deal PnL])</f>
        <v>0</v>
      </c>
      <c r="M35" s="18">
        <f t="shared" ca="1" si="9"/>
        <v>-22500</v>
      </c>
      <c r="N35" s="18">
        <f t="shared" ref="N35:N43" ca="1" si="12">M35+N34</f>
        <v>-1132700</v>
      </c>
    </row>
    <row r="36" spans="2:14" s="2" customFormat="1" x14ac:dyDescent="0.3">
      <c r="B36" s="7">
        <v>45769</v>
      </c>
      <c r="C36" s="19">
        <v>45770</v>
      </c>
      <c r="D36" s="17">
        <v>1</v>
      </c>
      <c r="E36" s="8">
        <v>1.07</v>
      </c>
      <c r="F36" s="15">
        <v>0.5</v>
      </c>
      <c r="G36" s="8">
        <v>0.75</v>
      </c>
      <c r="H36" s="15">
        <v>10000</v>
      </c>
      <c r="I36" s="17">
        <v>7</v>
      </c>
      <c r="J36" s="18">
        <f>H36*(E36-F36)*D36</f>
        <v>5700.0000000000009</v>
      </c>
      <c r="K36" s="18">
        <f t="shared" ref="K36:K43" si="13">H36*(G36-G35)*I36</f>
        <v>17500</v>
      </c>
      <c r="L36" s="24">
        <f ca="1">SUMIF($A$3:$N$10,B36,Table1[New deal PnL])</f>
        <v>0</v>
      </c>
      <c r="M36" s="18">
        <f t="shared" ca="1" si="9"/>
        <v>23200</v>
      </c>
      <c r="N36" s="18">
        <f t="shared" ca="1" si="12"/>
        <v>-1109500</v>
      </c>
    </row>
    <row r="37" spans="2:14" s="2" customFormat="1" x14ac:dyDescent="0.3">
      <c r="B37" s="7">
        <v>45770</v>
      </c>
      <c r="C37" s="19">
        <v>45771</v>
      </c>
      <c r="D37" s="17">
        <v>1</v>
      </c>
      <c r="E37" s="8"/>
      <c r="F37" s="15">
        <v>0.75</v>
      </c>
      <c r="G37" s="8">
        <v>0.6</v>
      </c>
      <c r="H37" s="15"/>
      <c r="I37" s="17">
        <v>6</v>
      </c>
      <c r="J37" s="18">
        <f t="shared" si="11"/>
        <v>0</v>
      </c>
      <c r="K37" s="18">
        <f t="shared" si="13"/>
        <v>0</v>
      </c>
      <c r="L37" s="24">
        <f ca="1">SUMIF($A$3:$N$10,B37,Table1[New deal PnL])</f>
        <v>0</v>
      </c>
      <c r="M37" s="18">
        <f t="shared" ca="1" si="9"/>
        <v>0</v>
      </c>
      <c r="N37" s="18">
        <f t="shared" ca="1" si="12"/>
        <v>-1109500</v>
      </c>
    </row>
    <row r="38" spans="2:14" s="2" customFormat="1" x14ac:dyDescent="0.3">
      <c r="B38" s="7">
        <v>45771</v>
      </c>
      <c r="C38" s="19">
        <v>45772</v>
      </c>
      <c r="D38" s="17">
        <v>1</v>
      </c>
      <c r="E38" s="8"/>
      <c r="F38" s="15"/>
      <c r="G38" s="8"/>
      <c r="H38" s="15"/>
      <c r="I38" s="17">
        <v>5</v>
      </c>
      <c r="J38" s="18">
        <f t="shared" si="11"/>
        <v>0</v>
      </c>
      <c r="K38" s="18">
        <f t="shared" si="13"/>
        <v>0</v>
      </c>
      <c r="L38" s="24">
        <f ca="1">SUMIF($A$3:$N$10,B38,Table1[New deal PnL])</f>
        <v>0</v>
      </c>
      <c r="M38" s="18">
        <f t="shared" ca="1" si="9"/>
        <v>0</v>
      </c>
      <c r="N38" s="18">
        <f t="shared" ca="1" si="12"/>
        <v>-1109500</v>
      </c>
    </row>
    <row r="39" spans="2:14" s="2" customFormat="1" x14ac:dyDescent="0.3">
      <c r="B39" s="7">
        <v>45772</v>
      </c>
      <c r="C39" s="19">
        <v>45773</v>
      </c>
      <c r="D39" s="17">
        <v>3</v>
      </c>
      <c r="E39" s="8"/>
      <c r="F39" s="15"/>
      <c r="G39" s="8"/>
      <c r="H39" s="15"/>
      <c r="I39" s="17">
        <v>4</v>
      </c>
      <c r="J39" s="18">
        <f t="shared" si="11"/>
        <v>0</v>
      </c>
      <c r="K39" s="18">
        <f t="shared" si="13"/>
        <v>0</v>
      </c>
      <c r="L39" s="24">
        <f ca="1">SUMIF($A$3:$N$10,B39,Table1[New deal PnL])</f>
        <v>0</v>
      </c>
      <c r="M39" s="18">
        <f t="shared" ca="1" si="9"/>
        <v>0</v>
      </c>
      <c r="N39" s="18">
        <f t="shared" ca="1" si="12"/>
        <v>-1109500</v>
      </c>
    </row>
    <row r="40" spans="2:14" s="2" customFormat="1" x14ac:dyDescent="0.3">
      <c r="B40" s="7">
        <v>45773</v>
      </c>
      <c r="C40" s="19">
        <v>45774</v>
      </c>
      <c r="D40" s="17">
        <v>0</v>
      </c>
      <c r="E40" s="8"/>
      <c r="F40" s="15"/>
      <c r="G40" s="8"/>
      <c r="H40" s="15"/>
      <c r="I40" s="17">
        <v>3</v>
      </c>
      <c r="J40" s="18">
        <f t="shared" si="11"/>
        <v>0</v>
      </c>
      <c r="K40" s="18">
        <f t="shared" si="13"/>
        <v>0</v>
      </c>
      <c r="L40" s="24">
        <f ca="1">SUMIF($A$3:$N$10,B40,Table1[New deal PnL])</f>
        <v>0</v>
      </c>
      <c r="M40" s="18">
        <f t="shared" ca="1" si="9"/>
        <v>0</v>
      </c>
      <c r="N40" s="18">
        <f t="shared" ca="1" si="12"/>
        <v>-1109500</v>
      </c>
    </row>
    <row r="41" spans="2:14" s="2" customFormat="1" x14ac:dyDescent="0.3">
      <c r="B41" s="7">
        <v>45774</v>
      </c>
      <c r="C41" s="19">
        <v>45775</v>
      </c>
      <c r="D41" s="17">
        <v>0</v>
      </c>
      <c r="E41" s="8"/>
      <c r="F41" s="15"/>
      <c r="G41" s="8"/>
      <c r="H41" s="15"/>
      <c r="I41" s="17">
        <v>2</v>
      </c>
      <c r="J41" s="18">
        <f t="shared" si="11"/>
        <v>0</v>
      </c>
      <c r="K41" s="18">
        <f t="shared" si="13"/>
        <v>0</v>
      </c>
      <c r="L41" s="24">
        <f ca="1">SUMIF($A$3:$N$10,B41,Table1[New deal PnL])</f>
        <v>0</v>
      </c>
      <c r="M41" s="18">
        <f t="shared" ca="1" si="9"/>
        <v>0</v>
      </c>
      <c r="N41" s="18">
        <f t="shared" ca="1" si="12"/>
        <v>-1109500</v>
      </c>
    </row>
    <row r="42" spans="2:14" s="2" customFormat="1" x14ac:dyDescent="0.3">
      <c r="B42" s="7">
        <v>45775</v>
      </c>
      <c r="C42" s="19">
        <v>45776</v>
      </c>
      <c r="D42" s="17">
        <v>1</v>
      </c>
      <c r="E42" s="8"/>
      <c r="F42" s="15"/>
      <c r="G42" s="8"/>
      <c r="H42" s="15"/>
      <c r="I42" s="17">
        <v>1</v>
      </c>
      <c r="J42" s="18">
        <f t="shared" si="11"/>
        <v>0</v>
      </c>
      <c r="K42" s="18">
        <f t="shared" si="13"/>
        <v>0</v>
      </c>
      <c r="L42" s="24">
        <f ca="1">SUMIF($A$3:$N$10,B42,Table1[New deal PnL])</f>
        <v>0</v>
      </c>
      <c r="M42" s="18">
        <f t="shared" ca="1" si="9"/>
        <v>0</v>
      </c>
      <c r="N42" s="18">
        <f t="shared" ca="1" si="12"/>
        <v>-1109500</v>
      </c>
    </row>
    <row r="43" spans="2:14" s="2" customFormat="1" x14ac:dyDescent="0.3">
      <c r="B43" s="7">
        <v>45776</v>
      </c>
      <c r="C43" s="19">
        <v>45777</v>
      </c>
      <c r="D43" s="17">
        <v>1</v>
      </c>
      <c r="E43" s="8"/>
      <c r="F43" s="15"/>
      <c r="G43" s="8"/>
      <c r="H43" s="15"/>
      <c r="I43" s="17">
        <v>0</v>
      </c>
      <c r="J43" s="18">
        <f t="shared" si="11"/>
        <v>0</v>
      </c>
      <c r="K43" s="18">
        <f t="shared" si="13"/>
        <v>0</v>
      </c>
      <c r="L43" s="24">
        <f ca="1">SUMIF($A$3:$N$10,B43,Table1[New deal PnL])</f>
        <v>0</v>
      </c>
      <c r="M43" s="18">
        <f t="shared" ca="1" si="9"/>
        <v>0</v>
      </c>
      <c r="N43" s="18">
        <f t="shared" ca="1" si="12"/>
        <v>-1109500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Alpar</dc:creator>
  <cp:lastModifiedBy>Gabe Alpar</cp:lastModifiedBy>
  <cp:lastPrinted>2025-04-11T19:38:58Z</cp:lastPrinted>
  <dcterms:created xsi:type="dcterms:W3CDTF">2025-04-03T15:51:59Z</dcterms:created>
  <dcterms:modified xsi:type="dcterms:W3CDTF">2025-05-05T01:41:15Z</dcterms:modified>
</cp:coreProperties>
</file>