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veedores" sheetId="1" r:id="rId4"/>
    <sheet state="hidden" name="Donantes" sheetId="2" r:id="rId5"/>
    <sheet state="hidden" name="Detalles_Ing_Egres" sheetId="3" r:id="rId6"/>
    <sheet state="visible" name="OrganizacionUnificada" sheetId="4" r:id="rId7"/>
    <sheet state="visible" name="CuentaUnificada" sheetId="5" r:id="rId8"/>
    <sheet state="visible" name="DetallePUnificado" sheetId="6" r:id="rId9"/>
    <sheet state="visible" name="DetalleDUnificado" sheetId="7" r:id="rId10"/>
    <sheet state="visible" name="Movimientos" sheetId="8" r:id="rId11"/>
    <sheet state="visible" name="Calendario" sheetId="9" r:id="rId12"/>
    <sheet state="visible" name="Organización" sheetId="10" r:id="rId13"/>
    <sheet state="visible" name="Cuenta" sheetId="11" r:id="rId14"/>
    <sheet state="visible" name="Detalle Donante" sheetId="12" r:id="rId15"/>
    <sheet state="visible" name="Detalle Proveedor" sheetId="13" r:id="rId16"/>
    <sheet state="visible" name="Tipo Organizacion" sheetId="14" r:id="rId17"/>
    <sheet state="visible" name="Paises" sheetId="15" r:id="rId18"/>
    <sheet state="visible" name="Razon Social" sheetId="16" r:id="rId19"/>
    <sheet state="visible" name="Contacto" sheetId="17" r:id="rId20"/>
    <sheet state="visible" name="Tipo Contribuyente" sheetId="18" r:id="rId21"/>
    <sheet state="visible" name="Tipo Donante" sheetId="19" r:id="rId22"/>
    <sheet state="visible" name="Frecuencia" sheetId="20" r:id="rId23"/>
    <sheet state="visible" name="Categoria Proveedor" sheetId="21" r:id="rId24"/>
    <sheet state="visible" name="Tipo de Cuenta" sheetId="22" r:id="rId25"/>
  </sheets>
  <definedNames>
    <definedName hidden="1" localSheetId="0" name="_xlnm._FilterDatabase">Proveedores!$A$1:$O$374</definedName>
    <definedName hidden="1" localSheetId="1" name="_xlnm._FilterDatabase">Donantes!$A$1:$R$500</definedName>
    <definedName hidden="1" localSheetId="6" name="_xlnm._FilterDatabase">DetalleDUnificado!$A$1:$J$34</definedName>
    <definedName hidden="1" localSheetId="8" name="_xlnm._FilterDatabase">Calendario!$A$1:$F$2558</definedName>
    <definedName hidden="1" localSheetId="10" name="_xlnm._FilterDatabase">Cuenta!$A$1:$E$45</definedName>
    <definedName hidden="1" localSheetId="11" name="_xlnm._FilterDatabase">'Detalle Donante'!$A$1:$H$34</definedName>
    <definedName hidden="1" localSheetId="16" name="_xlnm._FilterDatabase">Contacto!$A$1:$F$102</definedName>
  </definedNames>
  <calcPr/>
</workbook>
</file>

<file path=xl/sharedStrings.xml><?xml version="1.0" encoding="utf-8"?>
<sst xmlns="http://schemas.openxmlformats.org/spreadsheetml/2006/main" count="28931" uniqueCount="1187">
  <si>
    <t>Número Proveedor</t>
  </si>
  <si>
    <t>Nombre Proveedor</t>
  </si>
  <si>
    <t>CUIT</t>
  </si>
  <si>
    <t>Categor/a Proveedor</t>
  </si>
  <si>
    <t>Tipo de Contribuyente</t>
  </si>
  <si>
    <t>Observaciones</t>
  </si>
  <si>
    <t>Contacto</t>
  </si>
  <si>
    <t>Correo Electrónico</t>
  </si>
  <si>
    <t>Teléfono</t>
  </si>
  <si>
    <t>Razón Social</t>
  </si>
  <si>
    <t>Importe</t>
  </si>
  <si>
    <t>Fecha</t>
  </si>
  <si>
    <t>Nro_Cuenta</t>
  </si>
  <si>
    <t>Ciudad</t>
  </si>
  <si>
    <t>Pais</t>
  </si>
  <si>
    <t>P00001</t>
  </si>
  <si>
    <t>Proveedora S.A.</t>
  </si>
  <si>
    <t>30-12345678-9</t>
  </si>
  <si>
    <t>SERVIC/OS</t>
  </si>
  <si>
    <t>RESPONSABLE INSCR/ITO</t>
  </si>
  <si>
    <t>-</t>
  </si>
  <si>
    <t>Juan Pérez</t>
  </si>
  <si>
    <t>juan.perez@empresa.com</t>
  </si>
  <si>
    <t>1234-5678</t>
  </si>
  <si>
    <t>S.A.</t>
  </si>
  <si>
    <t>Buenos Aires</t>
  </si>
  <si>
    <t>Argentina</t>
  </si>
  <si>
    <t>P00002</t>
  </si>
  <si>
    <t>Pedro González</t>
  </si>
  <si>
    <t>30-87654321-0</t>
  </si>
  <si>
    <t>MONOTRIBUTISTA</t>
  </si>
  <si>
    <t>pedro.gonzalez@correo.zom</t>
  </si>
  <si>
    <t>2345-6789</t>
  </si>
  <si>
    <t>S.R.L.</t>
  </si>
  <si>
    <t>Cordoba</t>
  </si>
  <si>
    <t>P00003</t>
  </si>
  <si>
    <t>Empresa XYZ</t>
  </si>
  <si>
    <t>30-13579246-3</t>
  </si>
  <si>
    <t>MATER/IALES</t>
  </si>
  <si>
    <t>María López</t>
  </si>
  <si>
    <t>maria.lopez@empresa.com</t>
  </si>
  <si>
    <t>3456-7890</t>
  </si>
  <si>
    <t>Rosario</t>
  </si>
  <si>
    <t>P00004</t>
  </si>
  <si>
    <t>Servicios AB</t>
  </si>
  <si>
    <t>30-24681357-2</t>
  </si>
  <si>
    <t>AGENTE /MPOSITIVO</t>
  </si>
  <si>
    <t>RESPONSAB/LE INSCRIPTO</t>
  </si>
  <si>
    <t>Laura Ruiz</t>
  </si>
  <si>
    <t>laura.ruiz@correo.zom</t>
  </si>
  <si>
    <t>AR4567-8901</t>
  </si>
  <si>
    <t>Mendoza</t>
  </si>
  <si>
    <t>P00005</t>
  </si>
  <si>
    <t xml:space="preserve"> Carlos Méndez</t>
  </si>
  <si>
    <t>carlos.mendez@correo.com</t>
  </si>
  <si>
    <t>5678-9012</t>
  </si>
  <si>
    <t>Carlos Méndez</t>
  </si>
  <si>
    <t>P00006</t>
  </si>
  <si>
    <t>Grupo Alfa</t>
  </si>
  <si>
    <t>30-97531246-1</t>
  </si>
  <si>
    <t>Alberto Fernández</t>
  </si>
  <si>
    <t>alberto.fernandez@empresa.zom</t>
  </si>
  <si>
    <t>6789-0123</t>
  </si>
  <si>
    <t>San Miguel de Tucumán</t>
  </si>
  <si>
    <t>P00007</t>
  </si>
  <si>
    <t>Ana Sánchez</t>
  </si>
  <si>
    <t>30-19283746-4</t>
  </si>
  <si>
    <t>ana.sanchez@correo.com</t>
  </si>
  <si>
    <t>7890-1234</t>
  </si>
  <si>
    <t>Mar del Plata</t>
  </si>
  <si>
    <t>P00008</t>
  </si>
  <si>
    <t>Compañía Beta</t>
  </si>
  <si>
    <t>30-74859632-7</t>
  </si>
  <si>
    <t>Laura Martínez</t>
  </si>
  <si>
    <t>laura.martinez@empresa.zom</t>
  </si>
  <si>
    <t>8901-2345</t>
  </si>
  <si>
    <t>La Plata</t>
  </si>
  <si>
    <t>P00009</t>
  </si>
  <si>
    <t>Fernando Gómez</t>
  </si>
  <si>
    <t>30-12345679-8</t>
  </si>
  <si>
    <t xml:space="preserve"> Fernando Gómez</t>
  </si>
  <si>
    <t>fernando.gomez@correo.zom</t>
  </si>
  <si>
    <t>9012-3456</t>
  </si>
  <si>
    <t>P00010</t>
  </si>
  <si>
    <t>Soluciones Gama</t>
  </si>
  <si>
    <t>30-98765432-1</t>
  </si>
  <si>
    <t>Javier Martínez</t>
  </si>
  <si>
    <t>javier.martinez@empresa.com</t>
  </si>
  <si>
    <t>0123-4567</t>
  </si>
  <si>
    <t>P00011</t>
  </si>
  <si>
    <t>Javier López</t>
  </si>
  <si>
    <t>30-65432198-7</t>
  </si>
  <si>
    <t>javier.lopez@correo.zom</t>
  </si>
  <si>
    <t>P00012</t>
  </si>
  <si>
    <t>Proveedor Ltda.</t>
  </si>
  <si>
    <t>30-32165487-0</t>
  </si>
  <si>
    <t>Natalia Gómez</t>
  </si>
  <si>
    <t>natalia.gomez@empresa.com</t>
  </si>
  <si>
    <t>Salta</t>
  </si>
  <si>
    <t>P00013</t>
  </si>
  <si>
    <t>Repuestos Omega</t>
  </si>
  <si>
    <t>30-45678901-2</t>
  </si>
  <si>
    <t xml:space="preserve"> Sergio Castro</t>
  </si>
  <si>
    <t>sergio.castro@correo.zom</t>
  </si>
  <si>
    <t>Santa Fe</t>
  </si>
  <si>
    <t>P00014</t>
  </si>
  <si>
    <t>Estudio Jurídico Alfa</t>
  </si>
  <si>
    <t>María Hernández</t>
  </si>
  <si>
    <t>maria.hernandez@correo.com</t>
  </si>
  <si>
    <t>4567-8901</t>
  </si>
  <si>
    <t>San Juan</t>
  </si>
  <si>
    <t>P00015</t>
  </si>
  <si>
    <t>Rosa Pérez</t>
  </si>
  <si>
    <t>30-24681358-6</t>
  </si>
  <si>
    <t>rosa.perez@correo.zom</t>
  </si>
  <si>
    <t>P00016</t>
  </si>
  <si>
    <t>Marketing Global</t>
  </si>
  <si>
    <t>30-97531247-8</t>
  </si>
  <si>
    <t>Gabriela Gómez</t>
  </si>
  <si>
    <t>gabriela.gomez@empresa.com</t>
  </si>
  <si>
    <t>AR6789-0123</t>
  </si>
  <si>
    <t>Neuquén</t>
  </si>
  <si>
    <t>P00017</t>
  </si>
  <si>
    <t>Julio Fernández</t>
  </si>
  <si>
    <t>30-86430976-9</t>
  </si>
  <si>
    <t>julio.fernandez@correo.zom</t>
  </si>
  <si>
    <t>Rio Gallegos</t>
  </si>
  <si>
    <t>P00018</t>
  </si>
  <si>
    <t>Consultora Zeta</t>
  </si>
  <si>
    <t>30-19283747-0</t>
  </si>
  <si>
    <t xml:space="preserve"> Laura Sánchez</t>
  </si>
  <si>
    <t>laura.sanchez@empresa.zom</t>
  </si>
  <si>
    <t>San Rafael</t>
  </si>
  <si>
    <t>P00101</t>
  </si>
  <si>
    <t>Luis Martínez</t>
  </si>
  <si>
    <t>20-12345678-9</t>
  </si>
  <si>
    <t>Tecnología</t>
  </si>
  <si>
    <t>Monotributista</t>
  </si>
  <si>
    <t>luis.martinez@empresa.xyz</t>
  </si>
  <si>
    <t>0111-2345</t>
  </si>
  <si>
    <t>P00102</t>
  </si>
  <si>
    <t>Ana Rodríguez</t>
  </si>
  <si>
    <t>30-98765432-5</t>
  </si>
  <si>
    <t>Consultoría</t>
  </si>
  <si>
    <t>IVA Responsable</t>
  </si>
  <si>
    <t>ana.rodriguez@empresa.abc</t>
  </si>
  <si>
    <t>0123-5678</t>
  </si>
  <si>
    <t>Bahía Blanca</t>
  </si>
  <si>
    <t>P00103</t>
  </si>
  <si>
    <t>Carlos Fernández</t>
  </si>
  <si>
    <t>27-23456789-1</t>
  </si>
  <si>
    <t>Energía Renovable</t>
  </si>
  <si>
    <t>carlos.fernandez@empresa.def</t>
  </si>
  <si>
    <t>0345-6789</t>
  </si>
  <si>
    <t>Cooperativa</t>
  </si>
  <si>
    <t>P00104</t>
  </si>
  <si>
    <t>María González</t>
  </si>
  <si>
    <t>23-45678901-3</t>
  </si>
  <si>
    <t>Transporte</t>
  </si>
  <si>
    <t>Responsable Inscripto</t>
  </si>
  <si>
    <t>maria.gonzalez@empresa.ghi</t>
  </si>
  <si>
    <t>0678-3456</t>
  </si>
  <si>
    <t>P00105</t>
  </si>
  <si>
    <t>Pedro López</t>
  </si>
  <si>
    <t>33-56789012-4</t>
  </si>
  <si>
    <t>Construcción</t>
  </si>
  <si>
    <t>pedro.lopez@empresa.jkl</t>
  </si>
  <si>
    <t>0765-4321</t>
  </si>
  <si>
    <t>Sociedad Anónima</t>
  </si>
  <si>
    <t>Santiago del Estero</t>
  </si>
  <si>
    <t>P00106</t>
  </si>
  <si>
    <t>Laura Pérez</t>
  </si>
  <si>
    <t>20-87654321-2</t>
  </si>
  <si>
    <t>Agroindustria</t>
  </si>
  <si>
    <t>laura.perez@empresa.mno</t>
  </si>
  <si>
    <t>0889-7654</t>
  </si>
  <si>
    <t>Río Cuarto</t>
  </si>
  <si>
    <t>P00107</t>
  </si>
  <si>
    <t>Javier Ramírez</t>
  </si>
  <si>
    <t>30-65432109-8</t>
  </si>
  <si>
    <t>javier.ramirez@empresa.pqr</t>
  </si>
  <si>
    <t>0999-1234</t>
  </si>
  <si>
    <t>San Fernando del Valle de Catamarca</t>
  </si>
  <si>
    <t>P00108</t>
  </si>
  <si>
    <t>Claudia Sánchez</t>
  </si>
  <si>
    <t>27-76543210-6</t>
  </si>
  <si>
    <t>claudia.sanchez@empresa.stu</t>
  </si>
  <si>
    <t>0777-5678</t>
  </si>
  <si>
    <t>Villa María</t>
  </si>
  <si>
    <t>P00109</t>
  </si>
  <si>
    <t>Daniel Morales</t>
  </si>
  <si>
    <t>23-87654320-5</t>
  </si>
  <si>
    <t>daniel.morales@empresa.vwx</t>
  </si>
  <si>
    <t>0555-4321</t>
  </si>
  <si>
    <t>San Luis</t>
  </si>
  <si>
    <t>P00110</t>
  </si>
  <si>
    <t>Gabriela Torres</t>
  </si>
  <si>
    <t>33-76543219-7</t>
  </si>
  <si>
    <t>gabriela.torres@empresa.yza</t>
  </si>
  <si>
    <t>0666-2345</t>
  </si>
  <si>
    <t>Chaco</t>
  </si>
  <si>
    <t>P00111</t>
  </si>
  <si>
    <t>Jorge Herrera</t>
  </si>
  <si>
    <t>20-87654322-3</t>
  </si>
  <si>
    <t>jorge.herrera@empresa.bcd</t>
  </si>
  <si>
    <t>0123-9876</t>
  </si>
  <si>
    <t>P00112</t>
  </si>
  <si>
    <t>Silvia Ramírez</t>
  </si>
  <si>
    <t>30-76543214-8</t>
  </si>
  <si>
    <t>silvia.ramirez@empresa.efg</t>
  </si>
  <si>
    <t>0999-2345</t>
  </si>
  <si>
    <t>San Nicolás</t>
  </si>
  <si>
    <t>P00113</t>
  </si>
  <si>
    <t>Roberto Cruz</t>
  </si>
  <si>
    <t>27-23456789-3</t>
  </si>
  <si>
    <t>roberto.cruz@empresa.hij</t>
  </si>
  <si>
    <t>0555-9876</t>
  </si>
  <si>
    <t>Luján</t>
  </si>
  <si>
    <t>P00114</t>
  </si>
  <si>
    <t>Patricia Gómez</t>
  </si>
  <si>
    <t>23-87654323-6</t>
  </si>
  <si>
    <t>patricia.gomez@empresa.klm</t>
  </si>
  <si>
    <t>0765-3456</t>
  </si>
  <si>
    <t>Jujuy</t>
  </si>
  <si>
    <t>P00115</t>
  </si>
  <si>
    <t>Ernesto Ruiz</t>
  </si>
  <si>
    <t>33-65432198-7</t>
  </si>
  <si>
    <t>ernesto.ruiz@empresa.nop</t>
  </si>
  <si>
    <t>0889-6543</t>
  </si>
  <si>
    <t>P00116</t>
  </si>
  <si>
    <t>Valeria Ortega</t>
  </si>
  <si>
    <t>20-98765432-9</t>
  </si>
  <si>
    <t>valeria.ortega@empresa.qrs</t>
  </si>
  <si>
    <t>0777-7654</t>
  </si>
  <si>
    <t>P00117</t>
  </si>
  <si>
    <t>Juan Castillo</t>
  </si>
  <si>
    <t>juan.castillo@empresa.tuv</t>
  </si>
  <si>
    <t>0345-9998</t>
  </si>
  <si>
    <t>Trelew</t>
  </si>
  <si>
    <t>P00118</t>
  </si>
  <si>
    <t>Sofía Martínez</t>
  </si>
  <si>
    <t>27-12345678-9</t>
  </si>
  <si>
    <t>sofia.martinez@empresa.wxy</t>
  </si>
  <si>
    <t>0555-2345</t>
  </si>
  <si>
    <t>P00119</t>
  </si>
  <si>
    <t>Pablo Díaz</t>
  </si>
  <si>
    <t>23-87654329-8</t>
  </si>
  <si>
    <t>pablo.diaz@empresa.zab</t>
  </si>
  <si>
    <t>0123-7654</t>
  </si>
  <si>
    <t>San Fernando</t>
  </si>
  <si>
    <t>P00120</t>
  </si>
  <si>
    <t>Isabel Ramírez</t>
  </si>
  <si>
    <t>33-76543218-9</t>
  </si>
  <si>
    <t>isabel.ramirez@empresa.bef</t>
  </si>
  <si>
    <t>0999-9876</t>
  </si>
  <si>
    <t>Merlo</t>
  </si>
  <si>
    <t>P00121</t>
  </si>
  <si>
    <t>Carla Medina</t>
  </si>
  <si>
    <t>20-34567890-1</t>
  </si>
  <si>
    <t>Software</t>
  </si>
  <si>
    <t>carla.medina@empresa.qrs</t>
  </si>
  <si>
    <t>0123-6789</t>
  </si>
  <si>
    <t>San Martín</t>
  </si>
  <si>
    <t>P00122</t>
  </si>
  <si>
    <t>Manuel Fernández</t>
  </si>
  <si>
    <t>30-98765434-2</t>
  </si>
  <si>
    <t>Consultoría IT</t>
  </si>
  <si>
    <t>manuel.fernandez@empresa.tuv</t>
  </si>
  <si>
    <t>Viedma</t>
  </si>
  <si>
    <t>P00123</t>
  </si>
  <si>
    <t>Sofía Castro</t>
  </si>
  <si>
    <t>27-87654321-0</t>
  </si>
  <si>
    <t>Energía Eólica</t>
  </si>
  <si>
    <t>sofia.castro@empresa.uvw</t>
  </si>
  <si>
    <t>0456-7890</t>
  </si>
  <si>
    <t>Rawson</t>
  </si>
  <si>
    <t>P00124</t>
  </si>
  <si>
    <t>Ricardo López</t>
  </si>
  <si>
    <t>23-98765432-4</t>
  </si>
  <si>
    <t>ricardo.lopez@empresa.xyz</t>
  </si>
  <si>
    <t>0567-8901</t>
  </si>
  <si>
    <t>Oberá</t>
  </si>
  <si>
    <t>P00125</t>
  </si>
  <si>
    <t>Gabriela Martínez</t>
  </si>
  <si>
    <t>33-12345678-9</t>
  </si>
  <si>
    <t>gabriela.martinez@empresa.abc</t>
  </si>
  <si>
    <t>0678-9012</t>
  </si>
  <si>
    <t>Calafate</t>
  </si>
  <si>
    <t>P00126</t>
  </si>
  <si>
    <t>Pablo Vargas</t>
  </si>
  <si>
    <t>20-23456789-1</t>
  </si>
  <si>
    <t>pablo.vargas@empresa.def</t>
  </si>
  <si>
    <t>0789-0123</t>
  </si>
  <si>
    <t>Gualeguaychú</t>
  </si>
  <si>
    <t>P00127</t>
  </si>
  <si>
    <t>Laura Fernández</t>
  </si>
  <si>
    <t>30-34567890-3</t>
  </si>
  <si>
    <t>Energía Solar</t>
  </si>
  <si>
    <t>laura.fernandez@empresa.ghi</t>
  </si>
  <si>
    <t>0890-1234</t>
  </si>
  <si>
    <t>Río Grande</t>
  </si>
  <si>
    <t>P00128</t>
  </si>
  <si>
    <t>Javier González</t>
  </si>
  <si>
    <t>27-98765432-5</t>
  </si>
  <si>
    <t>javier.gonzalez@empresa.jkl</t>
  </si>
  <si>
    <t>0912-3456</t>
  </si>
  <si>
    <t>P00129</t>
  </si>
  <si>
    <t>Patricia Rivas</t>
  </si>
  <si>
    <t>23-45678901-7</t>
  </si>
  <si>
    <t>patricia.rivas@empresa.mno</t>
  </si>
  <si>
    <t>Villa Carlos Paz</t>
  </si>
  <si>
    <t>P00130</t>
  </si>
  <si>
    <t>Fernando Reyes</t>
  </si>
  <si>
    <t>33-56789012-6</t>
  </si>
  <si>
    <t>fernando.reyes@empresa.pqr</t>
  </si>
  <si>
    <t>Villa Allende</t>
  </si>
  <si>
    <t>P00131</t>
  </si>
  <si>
    <t>Valentina Ortega</t>
  </si>
  <si>
    <t>valentina.ortega@empresa.stu</t>
  </si>
  <si>
    <t>San Pedro</t>
  </si>
  <si>
    <t>P00132</t>
  </si>
  <si>
    <t>Andrés Ruiz</t>
  </si>
  <si>
    <t>andres.ruiz@empresa.tuv</t>
  </si>
  <si>
    <t>General Roca</t>
  </si>
  <si>
    <t>P00133</t>
  </si>
  <si>
    <t>Daniela Fernández</t>
  </si>
  <si>
    <t>27-23456789-4</t>
  </si>
  <si>
    <t>daniela.fernandez@empresa.uvw</t>
  </si>
  <si>
    <t>Junín</t>
  </si>
  <si>
    <t>P00134</t>
  </si>
  <si>
    <t>Luis Gómez</t>
  </si>
  <si>
    <t>23-34567890-7</t>
  </si>
  <si>
    <t>luis.gomez@empresa.xyz</t>
  </si>
  <si>
    <t>P00135</t>
  </si>
  <si>
    <t>Marcela Jiménez</t>
  </si>
  <si>
    <t>33-45678901-8</t>
  </si>
  <si>
    <t>marcela.jimenez@empresa.abc</t>
  </si>
  <si>
    <t>Rafaela</t>
  </si>
  <si>
    <t>P00136</t>
  </si>
  <si>
    <t>Roberto Díaz</t>
  </si>
  <si>
    <t>20-56789012-3</t>
  </si>
  <si>
    <t>roberto.diaz@empresa.def</t>
  </si>
  <si>
    <t>P00137</t>
  </si>
  <si>
    <t>Camila Martínez</t>
  </si>
  <si>
    <t>30-67890123-4</t>
  </si>
  <si>
    <t>camila.martinez@empresa.ghi</t>
  </si>
  <si>
    <t>P00138</t>
  </si>
  <si>
    <t>Santiago López</t>
  </si>
  <si>
    <t>27-78901234-6</t>
  </si>
  <si>
    <t>santiago.lopez@empresa.jkl</t>
  </si>
  <si>
    <t>P00139</t>
  </si>
  <si>
    <t>Fernanda García</t>
  </si>
  <si>
    <t>23-89012345-9</t>
  </si>
  <si>
    <t>fernanda.garcia@empresa.mno</t>
  </si>
  <si>
    <t>P00140</t>
  </si>
  <si>
    <t>Nicolás Castillo</t>
  </si>
  <si>
    <t>33-90123456-0</t>
  </si>
  <si>
    <t>nicolas.castillo@empresa.pqr</t>
  </si>
  <si>
    <t>P00141</t>
  </si>
  <si>
    <t>Juliana Pérez</t>
  </si>
  <si>
    <t>20-01234567-4</t>
  </si>
  <si>
    <t>juliana.perez@empresa.stu</t>
  </si>
  <si>
    <t>P00142</t>
  </si>
  <si>
    <t>Diego Fernández</t>
  </si>
  <si>
    <t>30-12345678-5</t>
  </si>
  <si>
    <t>diego.fernandez@empresa.uvw</t>
  </si>
  <si>
    <t>P00143</t>
  </si>
  <si>
    <t>Mariana Gómez</t>
  </si>
  <si>
    <t>27-23456789-6</t>
  </si>
  <si>
    <t>mariana.gomez@empresa.xyz</t>
  </si>
  <si>
    <t>Posadas</t>
  </si>
  <si>
    <t>P00144</t>
  </si>
  <si>
    <t>Manuel Rodríguez</t>
  </si>
  <si>
    <t>23-34567890-1</t>
  </si>
  <si>
    <t>manuel.rodriguez@empresa.def</t>
  </si>
  <si>
    <t>P00145</t>
  </si>
  <si>
    <t>Clara Jiménez</t>
  </si>
  <si>
    <t>33-45678901-2</t>
  </si>
  <si>
    <t>clara.jimenez@empresa.ghi</t>
  </si>
  <si>
    <t>Resistencia</t>
  </si>
  <si>
    <t>P00146</t>
  </si>
  <si>
    <t>Eduardo Reyes</t>
  </si>
  <si>
    <t>20-56789012-5</t>
  </si>
  <si>
    <t>eduardo.reyes@empresa.jkl</t>
  </si>
  <si>
    <t>Formosa</t>
  </si>
  <si>
    <t>P00147</t>
  </si>
  <si>
    <t>Laura Castillo</t>
  </si>
  <si>
    <t>30-67890123-6</t>
  </si>
  <si>
    <t>laura.castillo@empresa.mno</t>
  </si>
  <si>
    <t>P00148</t>
  </si>
  <si>
    <t>Alejandro Rivas</t>
  </si>
  <si>
    <t>27-78901234-9</t>
  </si>
  <si>
    <t>alejandro.rivas@empresa.pqr</t>
  </si>
  <si>
    <t>P00149</t>
  </si>
  <si>
    <t>Verónica Martínez</t>
  </si>
  <si>
    <t>23-89012346-2</t>
  </si>
  <si>
    <t>veronica.martinez@empresa.stu</t>
  </si>
  <si>
    <t>P00150</t>
  </si>
  <si>
    <t>Gabriel López</t>
  </si>
  <si>
    <t>33-90123456-3</t>
  </si>
  <si>
    <t>gabriel.lopez@empresa.uvw</t>
  </si>
  <si>
    <t>Numero</t>
  </si>
  <si>
    <t>Nombre</t>
  </si>
  <si>
    <t>Tipo</t>
  </si>
  <si>
    <t>Cargo</t>
  </si>
  <si>
    <t>Telefono</t>
  </si>
  <si>
    <t>Razon Social</t>
  </si>
  <si>
    <t>Alta</t>
  </si>
  <si>
    <t>Baja</t>
  </si>
  <si>
    <t>Activo</t>
  </si>
  <si>
    <t>Frecuencia</t>
  </si>
  <si>
    <t>Fecha_Donación</t>
  </si>
  <si>
    <t>Nro de Cuenta</t>
  </si>
  <si>
    <t>D00108</t>
  </si>
  <si>
    <t>Iniciativa Solidaria</t>
  </si>
  <si>
    <t>Empresa</t>
  </si>
  <si>
    <t>Contacto C</t>
  </si>
  <si>
    <t>iniciativasolidaria@mail.com</t>
  </si>
  <si>
    <t>(+)55 5747-7433</t>
  </si>
  <si>
    <t>Observación D</t>
  </si>
  <si>
    <t>SAS</t>
  </si>
  <si>
    <t>24-91224120-6</t>
  </si>
  <si>
    <t>NO</t>
  </si>
  <si>
    <t>Bimestral</t>
  </si>
  <si>
    <t>D00109</t>
  </si>
  <si>
    <t>Innovatech Solutions</t>
  </si>
  <si>
    <t>Estado</t>
  </si>
  <si>
    <t>Contacto B</t>
  </si>
  <si>
    <t>innovatechsolutions@mail.com</t>
  </si>
  <si>
    <t>(+)54 5263-2378</t>
  </si>
  <si>
    <t>Observación A</t>
  </si>
  <si>
    <t>S.A</t>
  </si>
  <si>
    <t>Exento</t>
  </si>
  <si>
    <t>24-56588769-6</t>
  </si>
  <si>
    <t>SI</t>
  </si>
  <si>
    <t>D00110</t>
  </si>
  <si>
    <t>Apoyo Logistico S.A.</t>
  </si>
  <si>
    <t>Contacto GH</t>
  </si>
  <si>
    <t>apoyologisticosa@mail.com</t>
  </si>
  <si>
    <t>(595) 5030-0105</t>
  </si>
  <si>
    <t>Observación 175</t>
  </si>
  <si>
    <t>SA</t>
  </si>
  <si>
    <t>29-01265476-14</t>
  </si>
  <si>
    <t>Trimestral</t>
  </si>
  <si>
    <t>D00111</t>
  </si>
  <si>
    <t>Futuro Corporativo</t>
  </si>
  <si>
    <t>Contacto E</t>
  </si>
  <si>
    <t>futurocorporativo@mail.com</t>
  </si>
  <si>
    <t>(+)595 5380-3426</t>
  </si>
  <si>
    <t>27-23783266-6</t>
  </si>
  <si>
    <t>Mensual</t>
  </si>
  <si>
    <t>D00112</t>
  </si>
  <si>
    <t>Global Energies S.A.</t>
  </si>
  <si>
    <t>Contacto A</t>
  </si>
  <si>
    <t>globalenergiess.a.@example.net</t>
  </si>
  <si>
    <t>(+)598 5503-7127</t>
  </si>
  <si>
    <t>Observación C</t>
  </si>
  <si>
    <t>25-36901514-8</t>
  </si>
  <si>
    <t>Anual</t>
  </si>
  <si>
    <t>D00113</t>
  </si>
  <si>
    <t>Proyecto Gubernamental</t>
  </si>
  <si>
    <t>proyectogubernamental@mail.com</t>
  </si>
  <si>
    <t>(+)598 5550-9219</t>
  </si>
  <si>
    <t>GOB</t>
  </si>
  <si>
    <t>29-75196406-1</t>
  </si>
  <si>
    <t>D00114</t>
  </si>
  <si>
    <t>Latinoamerica Crece</t>
  </si>
  <si>
    <t>Contacto ESD</t>
  </si>
  <si>
    <t>latinoamerica_crece@example.com</t>
  </si>
  <si>
    <t>27-75193456-1</t>
  </si>
  <si>
    <t>D00115</t>
  </si>
  <si>
    <t>Mercado Popular</t>
  </si>
  <si>
    <t>Campaña</t>
  </si>
  <si>
    <t>Contacto VDS</t>
  </si>
  <si>
    <t>mercadopopular@example.com</t>
  </si>
  <si>
    <t>(+)55 5550-9219</t>
  </si>
  <si>
    <t>Observación DAS</t>
  </si>
  <si>
    <t>24-34193456-2</t>
  </si>
  <si>
    <t>D00116</t>
  </si>
  <si>
    <t>Universidad del Sur</t>
  </si>
  <si>
    <t>Contacto V</t>
  </si>
  <si>
    <t>universidadds@mail.com</t>
  </si>
  <si>
    <t>(+)51 5550-9220</t>
  </si>
  <si>
    <t>Observación O</t>
  </si>
  <si>
    <t>29-38793456-3</t>
  </si>
  <si>
    <t>D00117</t>
  </si>
  <si>
    <t>Automoviles Full</t>
  </si>
  <si>
    <t>Contacto VS</t>
  </si>
  <si>
    <t>afull@mail.com</t>
  </si>
  <si>
    <t>(+)598 5550-9221</t>
  </si>
  <si>
    <t>Observación OA</t>
  </si>
  <si>
    <t>21-38712356-4</t>
  </si>
  <si>
    <t>D00120</t>
  </si>
  <si>
    <t>Supermercado Vegano SRL</t>
  </si>
  <si>
    <t>Contacto VG</t>
  </si>
  <si>
    <t>supermercadovegano@mail.com</t>
  </si>
  <si>
    <t>(+)58 5550-9222</t>
  </si>
  <si>
    <t>34-01712356-5</t>
  </si>
  <si>
    <t>D00121</t>
  </si>
  <si>
    <t>Ministerio de Acción Comunitaria</t>
  </si>
  <si>
    <t>Contacto ZVS</t>
  </si>
  <si>
    <t>accióncomunitaria@mail.com</t>
  </si>
  <si>
    <t>(+)56 5550-9223</t>
  </si>
  <si>
    <t>Observación DD</t>
  </si>
  <si>
    <t>34-01712356-6</t>
  </si>
  <si>
    <t>Si</t>
  </si>
  <si>
    <t>D00122</t>
  </si>
  <si>
    <t>El Parque SRL</t>
  </si>
  <si>
    <t>Contacto ASD</t>
  </si>
  <si>
    <t>parque@mail.com</t>
  </si>
  <si>
    <t>(+)591 5550-9224</t>
  </si>
  <si>
    <t>Observación</t>
  </si>
  <si>
    <t>SRL</t>
  </si>
  <si>
    <t>24-78912356-7</t>
  </si>
  <si>
    <t>Semestral</t>
  </si>
  <si>
    <t>D00123</t>
  </si>
  <si>
    <t>Merendero Solidario</t>
  </si>
  <si>
    <t>ONG</t>
  </si>
  <si>
    <t>solidario@mail.com</t>
  </si>
  <si>
    <t>(+)591 5550-9225</t>
  </si>
  <si>
    <t>24-72582356-8</t>
  </si>
  <si>
    <t>D00124</t>
  </si>
  <si>
    <t>Soluciones VerdeVida</t>
  </si>
  <si>
    <t>Contacto DSF</t>
  </si>
  <si>
    <t>ana.solis@verdevida.com</t>
  </si>
  <si>
    <t>(+)54 9 11 1234 5678</t>
  </si>
  <si>
    <t>Observación DE</t>
  </si>
  <si>
    <t>D00125</t>
  </si>
  <si>
    <t>Innovación Global S.A.</t>
  </si>
  <si>
    <t>Contacto DDD</t>
  </si>
  <si>
    <t>carlos.martinez@innovacionglobal.com</t>
  </si>
  <si>
    <t>(+)55 21 9876 5432</t>
  </si>
  <si>
    <t>Observación DG</t>
  </si>
  <si>
    <t>D00126</t>
  </si>
  <si>
    <t>Empresas FuturoBrillante</t>
  </si>
  <si>
    <t>Contacto AHH</t>
  </si>
  <si>
    <t>laura.perez@futurobrillante.com</t>
  </si>
  <si>
    <t>(+)56 9 8765 4321</t>
  </si>
  <si>
    <t>Observación DED</t>
  </si>
  <si>
    <t>30-34567890-2</t>
  </si>
  <si>
    <t>D00127</t>
  </si>
  <si>
    <t>Horizonte Ecológico</t>
  </si>
  <si>
    <t>Contacto AWW</t>
  </si>
  <si>
    <t>juan.rodriguez@horizonteecologico.com</t>
  </si>
  <si>
    <t>(+)52 55 1234 5678</t>
  </si>
  <si>
    <t>Observación DRF</t>
  </si>
  <si>
    <t>D00128</t>
  </si>
  <si>
    <t>Fundación UniCorp</t>
  </si>
  <si>
    <t>Contacto ASEE</t>
  </si>
  <si>
    <t>marta.gonzalez@unicorp.org</t>
  </si>
  <si>
    <t>(+)57 300 123 4567</t>
  </si>
  <si>
    <t>Observación GG</t>
  </si>
  <si>
    <t>D00129</t>
  </si>
  <si>
    <t>Corporación NovaTech</t>
  </si>
  <si>
    <t>Contacto ATEC</t>
  </si>
  <si>
    <t>gerencia@novatech.com</t>
  </si>
  <si>
    <t>Observación II</t>
  </si>
  <si>
    <t>D00130</t>
  </si>
  <si>
    <t>Servicios Plus</t>
  </si>
  <si>
    <t>Contacto AT</t>
  </si>
  <si>
    <t>luis.gonzalez@ecoplus.com</t>
  </si>
  <si>
    <t>(+)57 301 234 5678</t>
  </si>
  <si>
    <t>Observación IIA</t>
  </si>
  <si>
    <t>30-45765232-2</t>
  </si>
  <si>
    <t>Observación IIAA</t>
  </si>
  <si>
    <t>D00131</t>
  </si>
  <si>
    <t>InnovaLogix S.A.</t>
  </si>
  <si>
    <t>Contacto IT</t>
  </si>
  <si>
    <t>carla.fernandez@innovalogix.com</t>
  </si>
  <si>
    <t>(+)55 301 234 5678</t>
  </si>
  <si>
    <t>27-65432109-8</t>
  </si>
  <si>
    <t>D00132</t>
  </si>
  <si>
    <t>VíaVerde</t>
  </si>
  <si>
    <t>Contacto RCO</t>
  </si>
  <si>
    <t>eco@viaverde.com</t>
  </si>
  <si>
    <t>27-78434109-9</t>
  </si>
  <si>
    <t>D00133</t>
  </si>
  <si>
    <t>Energía Futuro S.A.</t>
  </si>
  <si>
    <t>Contacto AEF</t>
  </si>
  <si>
    <t>maria.lopez@energiasfuturo.com</t>
  </si>
  <si>
    <t>Observación MM</t>
  </si>
  <si>
    <t>IVA Responsable Inscripto</t>
  </si>
  <si>
    <t>30-67891234-7</t>
  </si>
  <si>
    <t>D00134</t>
  </si>
  <si>
    <t>Energía Sustentable S.A.</t>
  </si>
  <si>
    <t>Contacto AES</t>
  </si>
  <si>
    <t>maria.lopez@energiasustentable.com</t>
  </si>
  <si>
    <t>D00135</t>
  </si>
  <si>
    <t>Logística Global S.R.L.</t>
  </si>
  <si>
    <t>Contacto ALG</t>
  </si>
  <si>
    <t>global@logisticaglobal.com</t>
  </si>
  <si>
    <t>(+)56 9 7654 3210</t>
  </si>
  <si>
    <t>Observación NN</t>
  </si>
  <si>
    <t>20-98765432-1</t>
  </si>
  <si>
    <t>D00136</t>
  </si>
  <si>
    <t>AgroIndustrias del Sur</t>
  </si>
  <si>
    <t>Contacto AAS</t>
  </si>
  <si>
    <t>laura.garcia@agroindustrias.com</t>
  </si>
  <si>
    <t>(+)57 300 876 5432</t>
  </si>
  <si>
    <t>Observación OO</t>
  </si>
  <si>
    <t>33-11223344-5</t>
  </si>
  <si>
    <t>D00137</t>
  </si>
  <si>
    <t>TecnoAvanzado S.R.L.</t>
  </si>
  <si>
    <t>Contacto ATS</t>
  </si>
  <si>
    <t>roberto.sanchez@tecnoavanzado.com</t>
  </si>
  <si>
    <t>(+)54 9 11 6543 2109</t>
  </si>
  <si>
    <t>Observación PP</t>
  </si>
  <si>
    <t>20-22334455-6</t>
  </si>
  <si>
    <t>D00138</t>
  </si>
  <si>
    <t>Innovación Solar S.A.</t>
  </si>
  <si>
    <t>Contacto AIS</t>
  </si>
  <si>
    <t>julia.martinez@innovacionsolar.com</t>
  </si>
  <si>
    <t>Observación QQ</t>
  </si>
  <si>
    <t>30-99887766-7</t>
  </si>
  <si>
    <t>D00139</t>
  </si>
  <si>
    <t>TechGreen Innovación S.R.L.</t>
  </si>
  <si>
    <t>Contacto ATG</t>
  </si>
  <si>
    <t>tech@techgreeninnovacion.com</t>
  </si>
  <si>
    <t>(+)54 9 11 4567 8901</t>
  </si>
  <si>
    <t>Observación TT</t>
  </si>
  <si>
    <t>25-67890123-0</t>
  </si>
  <si>
    <t>D00140</t>
  </si>
  <si>
    <t>EcoTransporte S.A.</t>
  </si>
  <si>
    <t>Contacto AET</t>
  </si>
  <si>
    <t>fernando.lopez@ecotransporte.com</t>
  </si>
  <si>
    <t>(+)54 9 11 8765 4321</t>
  </si>
  <si>
    <t>Observación SS</t>
  </si>
  <si>
    <t>30-33445566-7</t>
  </si>
  <si>
    <t>D00141</t>
  </si>
  <si>
    <t>Apoyo Social Universal</t>
  </si>
  <si>
    <t>Contacto AK</t>
  </si>
  <si>
    <t>apoyosocialuniversal@example.com</t>
  </si>
  <si>
    <t>(+)54 9 11 8765 5588</t>
  </si>
  <si>
    <t>Observación SSA</t>
  </si>
  <si>
    <t>30-33675566-8</t>
  </si>
  <si>
    <t>D00142</t>
  </si>
  <si>
    <t>Bebidas S.A</t>
  </si>
  <si>
    <t>Contacto GHY</t>
  </si>
  <si>
    <t>bebidassa@mail.com</t>
  </si>
  <si>
    <t>(+)52 55 1234 4324</t>
  </si>
  <si>
    <t>34-38765566-0</t>
  </si>
  <si>
    <t>Nombre de Cuenta</t>
  </si>
  <si>
    <t>Tipo de Cuenta</t>
  </si>
  <si>
    <t>Descripción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</si>
  <si>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</si>
  <si>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</si>
  <si>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</si>
  <si>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</si>
  <si>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</si>
  <si>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</si>
  <si>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Ingresos Institucionales</t>
  </si>
  <si>
    <t>Ingresos</t>
  </si>
  <si>
    <t>Programas / Proyectos Sociales, Internacionales, Concursos</t>
  </si>
  <si>
    <t>Ingresos Institucionales mensuales</t>
  </si>
  <si>
    <t>Donaciones Personales mensuales</t>
  </si>
  <si>
    <t>Donaciones Personales no recurrentes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</si>
  <si>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</si>
  <si>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</si>
  <si>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</si>
  <si>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</si>
  <si>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</si>
  <si>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</si>
  <si>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</si>
  <si>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</si>
  <si>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</si>
  <si>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</si>
  <si>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</si>
  <si>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</si>
  <si>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</si>
  <si>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</si>
  <si>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</si>
  <si>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</si>
  <si>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</si>
  <si>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</si>
  <si>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</si>
  <si>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</si>
  <si>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</si>
  <si>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</si>
  <si>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</si>
  <si>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</si>
  <si>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</si>
  <si>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</si>
  <si>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</si>
  <si>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</si>
  <si>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</si>
  <si>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</si>
  <si>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</si>
  <si>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</si>
  <si>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Insumos Pedagógicos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</si>
  <si>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</si>
  <si>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</si>
  <si>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</si>
  <si>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</si>
  <si>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</si>
  <si>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Servicios Soporte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</si>
  <si>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</si>
  <si>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</si>
  <si>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</si>
  <si>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</si>
  <si>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</si>
  <si>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</si>
  <si>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</si>
  <si>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</si>
  <si>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</si>
  <si>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</si>
  <si>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</si>
  <si>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</si>
  <si>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</si>
  <si>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</si>
  <si>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</si>
  <si>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</si>
  <si>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</si>
  <si>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</si>
  <si>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</si>
  <si>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</si>
  <si>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</si>
  <si>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</si>
  <si>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</si>
  <si>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</si>
  <si>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</si>
  <si>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</si>
  <si>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</si>
  <si>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</si>
  <si>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</si>
  <si>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</si>
  <si>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</si>
  <si>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</si>
  <si>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</si>
  <si>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</si>
  <si>
    <t>tipo_org</t>
  </si>
  <si>
    <t>razon_soc</t>
  </si>
  <si>
    <t>tipo_c</t>
  </si>
  <si>
    <t>pais</t>
  </si>
  <si>
    <t>tipo_cta</t>
  </si>
  <si>
    <t>categoria</t>
  </si>
  <si>
    <t>frecuencia</t>
  </si>
  <si>
    <t>tipo_donante</t>
  </si>
  <si>
    <t>id_org</t>
  </si>
  <si>
    <t>id_cta</t>
  </si>
  <si>
    <t>fecha_mov</t>
  </si>
  <si>
    <t>importe</t>
  </si>
  <si>
    <t>observaciones</t>
  </si>
  <si>
    <t>1</t>
  </si>
  <si>
    <t>19</t>
  </si>
  <si>
    <t>2</t>
  </si>
  <si>
    <t>21</t>
  </si>
  <si>
    <t>3</t>
  </si>
  <si>
    <t>24</t>
  </si>
  <si>
    <t>4</t>
  </si>
  <si>
    <t>27</t>
  </si>
  <si>
    <t>5</t>
  </si>
  <si>
    <t>38</t>
  </si>
  <si>
    <t>6</t>
  </si>
  <si>
    <t>7</t>
  </si>
  <si>
    <t>8</t>
  </si>
  <si>
    <t>9</t>
  </si>
  <si>
    <t>10</t>
  </si>
  <si>
    <t>36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</si>
  <si>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</si>
  <si>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</si>
  <si>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</si>
  <si>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</si>
  <si>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</si>
  <si>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</si>
  <si>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</si>
  <si>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</si>
  <si>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</si>
  <si>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22</t>
  </si>
  <si>
    <t>23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</si>
  <si>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</si>
  <si>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</si>
  <si>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</si>
  <si>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</si>
  <si>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</si>
  <si>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</si>
  <si>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</si>
  <si>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</si>
  <si>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</si>
  <si>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</si>
  <si>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</si>
  <si>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</si>
  <si>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</si>
  <si>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</si>
  <si>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</si>
  <si>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</si>
  <si>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</si>
  <si>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</si>
  <si>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</si>
  <si>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</si>
  <si>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</si>
  <si>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</si>
  <si>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</si>
  <si>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</si>
  <si>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</si>
  <si>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</si>
  <si>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</si>
  <si>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</si>
  <si>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</si>
  <si>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</si>
  <si>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</si>
  <si>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</si>
  <si>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</si>
  <si>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</si>
  <si>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</si>
  <si>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</si>
  <si>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</si>
  <si>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</si>
  <si>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</si>
  <si>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</si>
  <si>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</si>
  <si>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</si>
  <si>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</si>
  <si>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</si>
  <si>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</si>
  <si>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</si>
  <si>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</si>
  <si>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</si>
  <si>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</si>
  <si>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</si>
  <si>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</si>
  <si>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</si>
  <si>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</si>
  <si>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</si>
  <si>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</si>
  <si>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</si>
  <si>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</si>
  <si>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</si>
  <si>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</si>
  <si>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</si>
  <si>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</si>
  <si>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</si>
  <si>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</si>
  <si>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</si>
  <si>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</si>
  <si>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</si>
  <si>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</si>
  <si>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</si>
  <si>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</si>
  <si>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</si>
  <si>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</si>
  <si>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</si>
  <si>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</si>
  <si>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</si>
  <si>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fecha</t>
  </si>
  <si>
    <t>dia</t>
  </si>
  <si>
    <t>mes</t>
  </si>
  <si>
    <t>mesNombre</t>
  </si>
  <si>
    <t>mesNroNom</t>
  </si>
  <si>
    <t>año</t>
  </si>
  <si>
    <t>01</t>
  </si>
  <si>
    <t>Enero</t>
  </si>
  <si>
    <t>01 - Enero</t>
  </si>
  <si>
    <t>2018</t>
  </si>
  <si>
    <t>02</t>
  </si>
  <si>
    <t>Febrero</t>
  </si>
  <si>
    <t>02 - Febrero</t>
  </si>
  <si>
    <t>03</t>
  </si>
  <si>
    <t>Marzo</t>
  </si>
  <si>
    <t>03 - Marzo</t>
  </si>
  <si>
    <t>04</t>
  </si>
  <si>
    <t>Abril</t>
  </si>
  <si>
    <t>04 - Abril</t>
  </si>
  <si>
    <t>05</t>
  </si>
  <si>
    <t>Mayo</t>
  </si>
  <si>
    <t>05 - Mayo</t>
  </si>
  <si>
    <t>06</t>
  </si>
  <si>
    <t>Junio</t>
  </si>
  <si>
    <t>06 - Junio</t>
  </si>
  <si>
    <t>07</t>
  </si>
  <si>
    <t>Julio</t>
  </si>
  <si>
    <t>07 - Julio</t>
  </si>
  <si>
    <t>08</t>
  </si>
  <si>
    <t>Agosto</t>
  </si>
  <si>
    <t>08 - Agosto</t>
  </si>
  <si>
    <t>09</t>
  </si>
  <si>
    <t>Septiembre</t>
  </si>
  <si>
    <t>09 - Septiembre</t>
  </si>
  <si>
    <t>Octubre</t>
  </si>
  <si>
    <t>10 - Octubre</t>
  </si>
  <si>
    <t>Noviembre</t>
  </si>
  <si>
    <t>11 - Noviembre</t>
  </si>
  <si>
    <t>Diciembre</t>
  </si>
  <si>
    <t>12 - Diciembre</t>
  </si>
  <si>
    <t>2019</t>
  </si>
  <si>
    <t>2020</t>
  </si>
  <si>
    <t>2021</t>
  </si>
  <si>
    <t>2022</t>
  </si>
  <si>
    <t>2023</t>
  </si>
  <si>
    <t>2024</t>
  </si>
  <si>
    <t>cod_org</t>
  </si>
  <si>
    <t>nom_org</t>
  </si>
  <si>
    <t>cuit</t>
  </si>
  <si>
    <t>id_tipo_org</t>
  </si>
  <si>
    <t>id_razon_soc</t>
  </si>
  <si>
    <t>id_tipo_c</t>
  </si>
  <si>
    <t>id_pais</t>
  </si>
  <si>
    <t>Pedro Gonzalez</t>
  </si>
  <si>
    <t>Carlos Mendez</t>
  </si>
  <si>
    <t>Ana Sanchez</t>
  </si>
  <si>
    <t>Compañia Beta</t>
  </si>
  <si>
    <t>Fernando Gomez</t>
  </si>
  <si>
    <t>Javier Lopez</t>
  </si>
  <si>
    <t>Estudio Juridico Alfa</t>
  </si>
  <si>
    <t>30-13579248-7</t>
  </si>
  <si>
    <t>Rosa Perez</t>
  </si>
  <si>
    <t>Julio Fernandez</t>
  </si>
  <si>
    <t>Luis Martinez</t>
  </si>
  <si>
    <t>Ana Rodriguez</t>
  </si>
  <si>
    <t>Carlos Fernandez</t>
  </si>
  <si>
    <t>Maria Gonzalez</t>
  </si>
  <si>
    <t>Pedro Lopez</t>
  </si>
  <si>
    <t>Laura Perez</t>
  </si>
  <si>
    <t>Javier Ramirez</t>
  </si>
  <si>
    <t>Claudia Sanchez</t>
  </si>
  <si>
    <t>Silvia Ramirez</t>
  </si>
  <si>
    <t>Patricia Gomez</t>
  </si>
  <si>
    <t>Sofia Martinez</t>
  </si>
  <si>
    <t>Pablo Diaz</t>
  </si>
  <si>
    <t>Isabel Ramirez</t>
  </si>
  <si>
    <t>Manuel Fernandez</t>
  </si>
  <si>
    <t>Sofia Castro</t>
  </si>
  <si>
    <t>Ricardo Lopez</t>
  </si>
  <si>
    <t>Gabriela Martinez</t>
  </si>
  <si>
    <t>Laura Fernandez</t>
  </si>
  <si>
    <t>Javier Gonzalez</t>
  </si>
  <si>
    <t>Andres Ruiz</t>
  </si>
  <si>
    <t>Daniela Fernandez</t>
  </si>
  <si>
    <t>Luis Gomez</t>
  </si>
  <si>
    <t>Marcela Jimenez</t>
  </si>
  <si>
    <t>Roberto Diaz</t>
  </si>
  <si>
    <t>Camila Martinez</t>
  </si>
  <si>
    <t>Santiago Lopez</t>
  </si>
  <si>
    <t>Fernanda Garcia</t>
  </si>
  <si>
    <t>Nicolas Castillo</t>
  </si>
  <si>
    <t>Juliana Perez</t>
  </si>
  <si>
    <t>Diego Fernandez</t>
  </si>
  <si>
    <t>Mariana Gomez</t>
  </si>
  <si>
    <t>Manuel Rodriguez</t>
  </si>
  <si>
    <t>Clara Jimenez</t>
  </si>
  <si>
    <t>Veronica Martinez</t>
  </si>
  <si>
    <t>Gabriel Lopez</t>
  </si>
  <si>
    <t>Ministerio de Accion Comunitaria</t>
  </si>
  <si>
    <t>Innovacion Global S.A.</t>
  </si>
  <si>
    <t>Horizonte Ecologico</t>
  </si>
  <si>
    <t>Fundacion UniCorp</t>
  </si>
  <si>
    <t>Corporacion NovaTech</t>
  </si>
  <si>
    <t>ViaVerde</t>
  </si>
  <si>
    <t>Energia Futuro S.A.</t>
  </si>
  <si>
    <t>Energia Sustentable S.A.</t>
  </si>
  <si>
    <t>Logistica Global S.R.L.</t>
  </si>
  <si>
    <t>Innovacion Solar S.A.</t>
  </si>
  <si>
    <t>TechGreen Innovacion S.R.L.</t>
  </si>
  <si>
    <t>nro_cta</t>
  </si>
  <si>
    <t>nom_cta</t>
  </si>
  <si>
    <t>descripcion</t>
  </si>
  <si>
    <t>id_tipo_cta</t>
  </si>
  <si>
    <t>102201</t>
  </si>
  <si>
    <t>N/A</t>
  </si>
  <si>
    <t>202001</t>
  </si>
  <si>
    <t>Prestamos</t>
  </si>
  <si>
    <t>300010</t>
  </si>
  <si>
    <t>401200</t>
  </si>
  <si>
    <t>402101</t>
  </si>
  <si>
    <t>402102</t>
  </si>
  <si>
    <t>403101</t>
  </si>
  <si>
    <t>403102</t>
  </si>
  <si>
    <t>403103</t>
  </si>
  <si>
    <t>Ingresos Bonos Contribucion</t>
  </si>
  <si>
    <t>403106</t>
  </si>
  <si>
    <t>404100</t>
  </si>
  <si>
    <t>405100</t>
  </si>
  <si>
    <t>Servicios Sociales, Asistencia Tecnica, Educacion, Matriculas, etc</t>
  </si>
  <si>
    <t>406100</t>
  </si>
  <si>
    <t>Institucionales o Bonos Contribucion al Evento, Ingresos adicionales institucionales o Personales al Evento, Otros, etc</t>
  </si>
  <si>
    <t>409021</t>
  </si>
  <si>
    <t>Donacion de mercaderia que, si se registra, debe ser a un valor en $$$ que sea correcto de acuerdo al valor de mercado</t>
  </si>
  <si>
    <t>409099</t>
  </si>
  <si>
    <t>501100</t>
  </si>
  <si>
    <t>501200</t>
  </si>
  <si>
    <t>Trabajadores sociales, medicos, nutricionistas, enfermeria, pedagogicos, tutores, coordinacion, limpieza y cocina, apoyo escolar, etc</t>
  </si>
  <si>
    <t>501300</t>
  </si>
  <si>
    <t>Contables, Administrativos, Legales, Escribania, Auditoria, Liquidacion Sueldos, RRHH, desarrollo fondos, voluntarios, etc</t>
  </si>
  <si>
    <t>501400</t>
  </si>
  <si>
    <t>Honorarios Asesoria General</t>
  </si>
  <si>
    <t>Gestion, Comunicacion Institucional, Voluntariado, Desarrollo de Fondos</t>
  </si>
  <si>
    <t>502100</t>
  </si>
  <si>
    <t>503100</t>
  </si>
  <si>
    <t>Alimentacion</t>
  </si>
  <si>
    <t>504100</t>
  </si>
  <si>
    <t>Insumos medicos/enfermeria/odontologicos, medicamentos, analisis, consultas, emergencias, etc</t>
  </si>
  <si>
    <t>505100</t>
  </si>
  <si>
    <t>Ayudas Economicas</t>
  </si>
  <si>
    <t>506100</t>
  </si>
  <si>
    <t>Insumos Pedagogicos</t>
  </si>
  <si>
    <t>Material didactico, laboratorio, deportivo, artistico, libros, revistas y subscripciones</t>
  </si>
  <si>
    <t>507100</t>
  </si>
  <si>
    <t>508100</t>
  </si>
  <si>
    <t>Formacion</t>
  </si>
  <si>
    <t>509100</t>
  </si>
  <si>
    <t>510100</t>
  </si>
  <si>
    <t>Viatico General</t>
  </si>
  <si>
    <t>Refrigerio, transporte publico, taxi, remisse, combi, fletes, etc</t>
  </si>
  <si>
    <t>510200</t>
  </si>
  <si>
    <t>510300</t>
  </si>
  <si>
    <t>510500</t>
  </si>
  <si>
    <t>511000</t>
  </si>
  <si>
    <t>511200</t>
  </si>
  <si>
    <t>Servicios Basicos</t>
  </si>
  <si>
    <t>512100</t>
  </si>
  <si>
    <t>Sistemas informaticos</t>
  </si>
  <si>
    <t>513000</t>
  </si>
  <si>
    <t>Basicos Generales</t>
  </si>
  <si>
    <t>Bancarios, Cobranza Fondos, Impuestos, Basicos Oficina, Libreria, Envios masivos, Seguros,Tramites ONG, etc</t>
  </si>
  <si>
    <t>514100</t>
  </si>
  <si>
    <t>515100</t>
  </si>
  <si>
    <t>516000</t>
  </si>
  <si>
    <t>Celulares, capacitacion equipo interno, uniformes, delantales, decoracion sede, busqueda y despido personal, multas, otros gastos, etc</t>
  </si>
  <si>
    <t>601001</t>
  </si>
  <si>
    <t>601002</t>
  </si>
  <si>
    <t>601003</t>
  </si>
  <si>
    <t>601005</t>
  </si>
  <si>
    <t>601007</t>
  </si>
  <si>
    <t>601008</t>
  </si>
  <si>
    <t>id_detalle_d</t>
  </si>
  <si>
    <t>fecha_alta</t>
  </si>
  <si>
    <t>fecha_baja</t>
  </si>
  <si>
    <t>Dias de Actividad</t>
  </si>
  <si>
    <t>activo</t>
  </si>
  <si>
    <t>id_frec</t>
  </si>
  <si>
    <t>id_tipo_d</t>
  </si>
  <si>
    <t>20/8/2024</t>
  </si>
  <si>
    <t>null</t>
  </si>
  <si>
    <t>1/7/2024</t>
  </si>
  <si>
    <t>25/12/2021</t>
  </si>
  <si>
    <t>2/2/2024</t>
  </si>
  <si>
    <t>3/1/2023</t>
  </si>
  <si>
    <t>31/12/2023</t>
  </si>
  <si>
    <t>1/12/2023</t>
  </si>
  <si>
    <t>1/6/2024</t>
  </si>
  <si>
    <t>30/5/2024</t>
  </si>
  <si>
    <t>id_detalle_p</t>
  </si>
  <si>
    <t>id_categoria</t>
  </si>
  <si>
    <t>ciudad</t>
  </si>
  <si>
    <t>cod_prov</t>
  </si>
  <si>
    <t>provincia</t>
  </si>
  <si>
    <t>AR-B</t>
  </si>
  <si>
    <t>AR-X</t>
  </si>
  <si>
    <t>AR-S</t>
  </si>
  <si>
    <t>AR-M</t>
  </si>
  <si>
    <t>San Miguel de Tucuman</t>
  </si>
  <si>
    <t>AR-T</t>
  </si>
  <si>
    <t>Tucuman</t>
  </si>
  <si>
    <t>AR-A</t>
  </si>
  <si>
    <t>AR-J</t>
  </si>
  <si>
    <t>Neuquen</t>
  </si>
  <si>
    <t>AR-Q</t>
  </si>
  <si>
    <t>AR-Z</t>
  </si>
  <si>
    <t>Santa Cruz</t>
  </si>
  <si>
    <t>Bahia Blanca</t>
  </si>
  <si>
    <t>AR-G</t>
  </si>
  <si>
    <t>Rio Cuarto</t>
  </si>
  <si>
    <t>AR-K</t>
  </si>
  <si>
    <t>Catamarca</t>
  </si>
  <si>
    <t>Villa Maria</t>
  </si>
  <si>
    <t>AR-D</t>
  </si>
  <si>
    <t>AR-H</t>
  </si>
  <si>
    <t>San Nicolas</t>
  </si>
  <si>
    <t>Lujan</t>
  </si>
  <si>
    <t>AR-Y</t>
  </si>
  <si>
    <t>AR-U</t>
  </si>
  <si>
    <t>Chubut</t>
  </si>
  <si>
    <t>San Martin</t>
  </si>
  <si>
    <t>AR-R</t>
  </si>
  <si>
    <t>Rio Negro</t>
  </si>
  <si>
    <t>Obera</t>
  </si>
  <si>
    <t>AR-N</t>
  </si>
  <si>
    <t>Misiones</t>
  </si>
  <si>
    <t>Gualeguaychu</t>
  </si>
  <si>
    <t>AR-E</t>
  </si>
  <si>
    <t>Entre Rios</t>
  </si>
  <si>
    <t>Rio Grande</t>
  </si>
  <si>
    <t>AR-V</t>
  </si>
  <si>
    <t>Tierra del Fuego, Antartida e Islas del Atlantico Sur</t>
  </si>
  <si>
    <t>Junin</t>
  </si>
  <si>
    <t>AR-P</t>
  </si>
  <si>
    <t>nom_tipo</t>
  </si>
  <si>
    <t>Donante</t>
  </si>
  <si>
    <t>Proveedor</t>
  </si>
  <si>
    <t>Bolivia</t>
  </si>
  <si>
    <t>Brasil</t>
  </si>
  <si>
    <t>Chile</t>
  </si>
  <si>
    <t>Colombia</t>
  </si>
  <si>
    <t>Mexico</t>
  </si>
  <si>
    <t>Paraguay</t>
  </si>
  <si>
    <t>Perú</t>
  </si>
  <si>
    <t>Uruguay</t>
  </si>
  <si>
    <t>Venezuela</t>
  </si>
  <si>
    <t>nom_razon_soc</t>
  </si>
  <si>
    <t>S.A.S</t>
  </si>
  <si>
    <t>S.R.L</t>
  </si>
  <si>
    <t>COOP</t>
  </si>
  <si>
    <t>id_contacto</t>
  </si>
  <si>
    <t>contacto</t>
  </si>
  <si>
    <t>email</t>
  </si>
  <si>
    <t>cod_tel</t>
  </si>
  <si>
    <t>telefono</t>
  </si>
  <si>
    <t>Accion Comunitaria</t>
  </si>
  <si>
    <t>accioncomunitaria@mail.com</t>
  </si>
  <si>
    <t>(+56)</t>
  </si>
  <si>
    <t>5550-9223</t>
  </si>
  <si>
    <t>A Full</t>
  </si>
  <si>
    <t>(+598)</t>
  </si>
  <si>
    <t>5550-9221</t>
  </si>
  <si>
    <t>Alberto Fernandez</t>
  </si>
  <si>
    <t>(+54)</t>
  </si>
  <si>
    <t>Ana Solis</t>
  </si>
  <si>
    <t>9-11-1234-5678</t>
  </si>
  <si>
    <t>Apoyo Logistico SA</t>
  </si>
  <si>
    <t>(+595)</t>
  </si>
  <si>
    <t>030-0105</t>
  </si>
  <si>
    <t>9-11-8765-5588</t>
  </si>
  <si>
    <t>Bebidas SA</t>
  </si>
  <si>
    <t>(+52)</t>
  </si>
  <si>
    <t>55-1234-4324</t>
  </si>
  <si>
    <t>Carla Fernandez</t>
  </si>
  <si>
    <t>(+55)</t>
  </si>
  <si>
    <t>301-234-5678</t>
  </si>
  <si>
    <t>Carlos Martinez</t>
  </si>
  <si>
    <t>21-9876-5432</t>
  </si>
  <si>
    <t>Eco</t>
  </si>
  <si>
    <t>9-8765-4321</t>
  </si>
  <si>
    <t>Fernando Lopez</t>
  </si>
  <si>
    <t>9-11-8765-4321</t>
  </si>
  <si>
    <t>Futurocorporativo</t>
  </si>
  <si>
    <t>5380-3426</t>
  </si>
  <si>
    <t>Gabriela Gomez</t>
  </si>
  <si>
    <t>Gerencia</t>
  </si>
  <si>
    <t>(+57)</t>
  </si>
  <si>
    <t>300-123-4567</t>
  </si>
  <si>
    <t>Global</t>
  </si>
  <si>
    <t>9-7654-3210</t>
  </si>
  <si>
    <t>Global Energies SA</t>
  </si>
  <si>
    <t>5503-7127</t>
  </si>
  <si>
    <t>Iniciativasolidaria</t>
  </si>
  <si>
    <t>5747-7433</t>
  </si>
  <si>
    <t>Innovatechsolutions</t>
  </si>
  <si>
    <t>5263-2378</t>
  </si>
  <si>
    <t>Javier Martinez</t>
  </si>
  <si>
    <t>Juan Perez</t>
  </si>
  <si>
    <t>Juan Rodriguez</t>
  </si>
  <si>
    <t>55-1234-5678</t>
  </si>
  <si>
    <t>Julia Martinez</t>
  </si>
  <si>
    <t>5550-9219</t>
  </si>
  <si>
    <t>Laura Garcia</t>
  </si>
  <si>
    <t>300-876-5432</t>
  </si>
  <si>
    <t>Laura Martinez</t>
  </si>
  <si>
    <t>Laura Sanchez</t>
  </si>
  <si>
    <t>Luis Gonzalez</t>
  </si>
  <si>
    <t>Maria Hernandez</t>
  </si>
  <si>
    <t>Maria Lopez</t>
  </si>
  <si>
    <t>Marta Gonzalez</t>
  </si>
  <si>
    <t>Mercadopopular</t>
  </si>
  <si>
    <t>Natalia Gomez</t>
  </si>
  <si>
    <t>Parque</t>
  </si>
  <si>
    <t>(+591)</t>
  </si>
  <si>
    <t>5550-9224</t>
  </si>
  <si>
    <t>Roberto Sanchez</t>
  </si>
  <si>
    <t>9-11-6543-2109</t>
  </si>
  <si>
    <t>Sergio Castro</t>
  </si>
  <si>
    <t>Solidario</t>
  </si>
  <si>
    <t>5550-9225</t>
  </si>
  <si>
    <t>Supermercado Vegano</t>
  </si>
  <si>
    <t>(+58)</t>
  </si>
  <si>
    <t>5550-9222</t>
  </si>
  <si>
    <t>Tech</t>
  </si>
  <si>
    <t>9-11-4567-8901</t>
  </si>
  <si>
    <t>Universidad Ds</t>
  </si>
  <si>
    <t>(+51)</t>
  </si>
  <si>
    <t>5550-9220</t>
  </si>
  <si>
    <t>nom_tipo_c</t>
  </si>
  <si>
    <t>nom_tipo_d</t>
  </si>
  <si>
    <t>nom_frecuencia</t>
  </si>
  <si>
    <t>nom_categoria</t>
  </si>
  <si>
    <t>Servicios</t>
  </si>
  <si>
    <t>Materiales</t>
  </si>
  <si>
    <t>Agente Impositivo</t>
  </si>
  <si>
    <t>nom_tipo_cta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</si>
</sst>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M/yyyy"/>
    <numFmt numFmtId="165" formatCode="D/M/YYYY"/>
    <numFmt numFmtId="166" formatCode="dd/mm/yyyy"/>
    <numFmt numFmtId="167" formatCode="d/m/yyyy"/>
    <numFmt numFmtId="168" formatCode="d/M/yyyy"/>
    <numFmt numFmtId="169" formatCode="yyyy&quot;-&quot;mm&quot;-&quot;dd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66017"/>
      </left>
      <right style="thin">
        <color rgb="FF33801F"/>
      </right>
      <top style="thin">
        <color rgb="FF266017"/>
      </top>
      <bottom style="thin">
        <color rgb="FF266017"/>
      </bottom>
    </border>
    <border>
      <left style="thin">
        <color rgb="FF33801F"/>
      </left>
      <right style="thin">
        <color rgb="FF266017"/>
      </right>
      <top style="thin">
        <color rgb="FF266017"/>
      </top>
      <bottom style="thin">
        <color rgb="FF266017"/>
      </bottom>
    </border>
    <border>
      <left style="thin">
        <color rgb="FF266017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66017"/>
      </right>
      <top style="thin">
        <color rgb="FFFFFFFF"/>
      </top>
      <bottom style="thin">
        <color rgb="FFFFFFFF"/>
      </bottom>
    </border>
    <border>
      <left style="thin">
        <color rgb="FF266017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66017"/>
      </right>
      <top style="thin">
        <color rgb="FFF6F8F9"/>
      </top>
      <bottom style="thin">
        <color rgb="FFF6F8F9"/>
      </bottom>
    </border>
    <border>
      <left style="thin">
        <color rgb="FF266017"/>
      </left>
      <right style="thin">
        <color rgb="FFF6F8F9"/>
      </right>
      <top style="thin">
        <color rgb="FFF6F8F9"/>
      </top>
      <bottom style="thin">
        <color rgb="FF266017"/>
      </bottom>
    </border>
    <border>
      <left style="thin">
        <color rgb="FFF6F8F9"/>
      </left>
      <right style="thin">
        <color rgb="FF266017"/>
      </right>
      <top style="thin">
        <color rgb="FFF6F8F9"/>
      </top>
      <bottom style="thin">
        <color rgb="FF266017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1" numFmtId="0" xfId="0" applyFont="1"/>
    <xf borderId="0" fillId="0" fontId="3" numFmtId="165" xfId="0" applyFont="1" applyNumberFormat="1"/>
    <xf borderId="0" fillId="0" fontId="4" numFmtId="166" xfId="0" applyFont="1" applyNumberFormat="1"/>
    <xf borderId="0" fillId="0" fontId="3" numFmtId="166" xfId="0" applyFont="1" applyNumberFormat="1"/>
    <xf borderId="0" fillId="0" fontId="3" numFmtId="4" xfId="0" applyFont="1" applyNumberFormat="1"/>
    <xf borderId="0" fillId="0" fontId="3" numFmtId="167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1" numFmtId="166" xfId="0" applyFont="1" applyNumberFormat="1"/>
    <xf borderId="0" fillId="0" fontId="4" numFmtId="165" xfId="0" applyFont="1" applyNumberFormat="1"/>
    <xf borderId="0" fillId="0" fontId="1" numFmtId="167" xfId="0" applyFont="1" applyNumberFormat="1"/>
    <xf borderId="0" fillId="0" fontId="5" numFmtId="0" xfId="0" applyAlignment="1" applyFont="1">
      <alignment readingOrder="0"/>
    </xf>
    <xf borderId="0" fillId="0" fontId="5" numFmtId="49" xfId="0" applyFont="1" applyNumberFormat="1"/>
    <xf borderId="0" fillId="0" fontId="5" numFmtId="49" xfId="0" applyAlignment="1" applyFont="1" applyNumberFormat="1">
      <alignment readingOrder="0"/>
    </xf>
    <xf borderId="0" fillId="0" fontId="5" numFmtId="168" xfId="0" applyFont="1" applyNumberFormat="1"/>
    <xf borderId="0" fillId="0" fontId="5" numFmtId="3" xfId="0" applyFont="1" applyNumberFormat="1"/>
    <xf borderId="1" fillId="0" fontId="5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4" fillId="0" fontId="5" numFmtId="49" xfId="0" applyAlignment="1" applyBorder="1" applyFont="1" applyNumberFormat="1">
      <alignment readingOrder="0" shrinkToFit="0" vertical="center" wrapText="0"/>
    </xf>
    <xf borderId="5" fillId="0" fontId="5" numFmtId="49" xfId="0" applyAlignment="1" applyBorder="1" applyFont="1" applyNumberFormat="1">
      <alignment shrinkToFit="0" vertical="center" wrapText="0"/>
    </xf>
    <xf borderId="5" fillId="0" fontId="5" numFmtId="168" xfId="0" applyAlignment="1" applyBorder="1" applyFont="1" applyNumberForma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0" fillId="0" fontId="5" numFmtId="169" xfId="0" applyFont="1" applyNumberFormat="1"/>
    <xf borderId="7" fillId="0" fontId="5" numFmtId="49" xfId="0" applyAlignment="1" applyBorder="1" applyFont="1" applyNumberFormat="1">
      <alignment readingOrder="0" shrinkToFit="0" vertical="center" wrapText="0"/>
    </xf>
    <xf borderId="8" fillId="0" fontId="5" numFmtId="49" xfId="0" applyAlignment="1" applyBorder="1" applyFont="1" applyNumberFormat="1">
      <alignment shrinkToFit="0" vertical="center" wrapText="0"/>
    </xf>
    <xf borderId="8" fillId="0" fontId="5" numFmtId="168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10" fillId="0" fontId="5" numFmtId="49" xfId="0" applyAlignment="1" applyBorder="1" applyFont="1" applyNumberFormat="1">
      <alignment readingOrder="0" shrinkToFit="0" vertical="center" wrapText="0"/>
    </xf>
    <xf borderId="11" fillId="0" fontId="5" numFmtId="49" xfId="0" applyAlignment="1" applyBorder="1" applyFont="1" applyNumberFormat="1">
      <alignment shrinkToFit="0" vertical="center" wrapText="0"/>
    </xf>
    <xf borderId="11" fillId="0" fontId="5" numFmtId="168" xfId="0" applyAlignment="1" applyBorder="1" applyFont="1" applyNumberForma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shrinkToFit="0" vertical="center" wrapText="0"/>
    </xf>
    <xf borderId="1" fillId="0" fontId="5" numFmtId="168" xfId="0" applyAlignment="1" applyBorder="1" applyFont="1" applyNumberFormat="1">
      <alignment horizontal="left" readingOrder="0" shrinkToFit="0" vertical="center" wrapText="0"/>
    </xf>
    <xf borderId="2" fillId="0" fontId="5" numFmtId="49" xfId="0" applyAlignment="1" applyBorder="1" applyFont="1" applyNumberFormat="1">
      <alignment horizontal="left" readingOrder="0" shrinkToFit="0" vertical="center" wrapText="0"/>
    </xf>
    <xf borderId="2" fillId="0" fontId="5" numFmtId="49" xfId="0" applyAlignment="1" applyBorder="1" applyFont="1" applyNumberFormat="1">
      <alignment horizontal="left" readingOrder="0" shrinkToFit="0" vertical="center" wrapText="0"/>
    </xf>
    <xf borderId="3" fillId="0" fontId="5" numFmtId="49" xfId="0" applyAlignment="1" applyBorder="1" applyFont="1" applyNumberFormat="1">
      <alignment horizontal="left" readingOrder="0" shrinkToFit="0" vertical="center" wrapText="0"/>
    </xf>
    <xf borderId="4" fillId="0" fontId="5" numFmtId="168" xfId="0" applyAlignment="1" applyBorder="1" applyFont="1" applyNumberFormat="1">
      <alignment readingOrder="0" shrinkToFit="0" vertical="center" wrapText="0"/>
    </xf>
    <xf borderId="5" fillId="0" fontId="5" numFmtId="49" xfId="0" applyAlignment="1" applyBorder="1" applyFont="1" applyNumberFormat="1">
      <alignment shrinkToFit="0" vertical="center" wrapText="0"/>
    </xf>
    <xf borderId="5" fillId="0" fontId="5" numFmtId="49" xfId="0" applyAlignment="1" applyBorder="1" applyFont="1" applyNumberForma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6" fillId="0" fontId="5" numFmtId="49" xfId="0" applyAlignment="1" applyBorder="1" applyFont="1" applyNumberFormat="1">
      <alignment shrinkToFit="0" vertical="center" wrapText="0"/>
    </xf>
    <xf borderId="7" fillId="0" fontId="5" numFmtId="168" xfId="0" applyAlignment="1" applyBorder="1" applyFont="1" applyNumberFormat="1">
      <alignment shrinkToFit="0" vertical="center" wrapText="0"/>
    </xf>
    <xf borderId="8" fillId="0" fontId="5" numFmtId="49" xfId="0" applyAlignment="1" applyBorder="1" applyFont="1" applyNumberFormat="1">
      <alignment shrinkToFit="0" vertical="center" wrapText="0"/>
    </xf>
    <xf borderId="8" fillId="0" fontId="5" numFmtId="49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49" xfId="0" applyAlignment="1" applyBorder="1" applyFont="1" applyNumberFormat="1">
      <alignment shrinkToFit="0" vertical="center" wrapText="0"/>
    </xf>
    <xf borderId="4" fillId="0" fontId="5" numFmtId="168" xfId="0" applyAlignment="1" applyBorder="1" applyFont="1" applyNumberFormat="1">
      <alignment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13" fillId="0" fontId="5" numFmtId="168" xfId="0" applyAlignment="1" applyBorder="1" applyFont="1" applyNumberFormat="1">
      <alignment shrinkToFit="0" vertical="center" wrapText="0"/>
    </xf>
    <xf borderId="14" fillId="0" fontId="5" numFmtId="49" xfId="0" applyAlignment="1" applyBorder="1" applyFont="1" applyNumberFormat="1">
      <alignment shrinkToFit="0" vertical="center" wrapText="0"/>
    </xf>
    <xf borderId="14" fillId="0" fontId="5" numFmtId="0" xfId="0" applyAlignment="1" applyBorder="1" applyFont="1">
      <alignment shrinkToFit="0" vertical="center" wrapText="0"/>
    </xf>
    <xf borderId="15" fillId="0" fontId="5" numFmtId="49" xfId="0" applyAlignment="1" applyBorder="1" applyFont="1" applyNumberFormat="1">
      <alignment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horizontal="center" shrinkToFit="0" wrapText="1"/>
    </xf>
    <xf borderId="5" fillId="0" fontId="5" numFmtId="0" xfId="0" applyAlignment="1" applyBorder="1" applyFont="1">
      <alignment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6" fillId="0" fontId="5" numFmtId="49" xfId="0" applyAlignment="1" applyBorder="1" applyFont="1" applyNumberFormat="1">
      <alignment readingOrder="0" shrinkToFit="0" vertical="center" wrapText="0"/>
    </xf>
    <xf borderId="8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9" fillId="0" fontId="5" numFmtId="49" xfId="0" applyAlignment="1" applyBorder="1" applyFont="1" applyNumberForma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5" numFmtId="49" xfId="0" applyAlignment="1" applyBorder="1" applyFont="1" applyNumberFormat="1">
      <alignment shrinkToFit="0" vertical="center" wrapText="0"/>
    </xf>
    <xf borderId="9" fillId="0" fontId="5" numFmtId="49" xfId="0" applyAlignment="1" applyBorder="1" applyFont="1" applyNumberFormat="1">
      <alignment shrinkToFit="0" vertical="center" wrapText="0"/>
    </xf>
    <xf borderId="13" fillId="0" fontId="5" numFmtId="49" xfId="0" applyAlignment="1" applyBorder="1" applyFont="1" applyNumberFormat="1">
      <alignment readingOrder="0" shrinkToFit="0" vertical="center" wrapText="0"/>
    </xf>
    <xf borderId="14" fillId="0" fontId="5" numFmtId="0" xfId="0" applyAlignment="1" applyBorder="1" applyFont="1">
      <alignment shrinkToFit="0" vertical="center" wrapText="0"/>
    </xf>
    <xf borderId="14" fillId="0" fontId="5" numFmtId="49" xfId="0" applyAlignment="1" applyBorder="1" applyFont="1" applyNumberFormat="1">
      <alignment readingOrder="0" shrinkToFit="0" vertical="center" wrapText="0"/>
    </xf>
    <xf borderId="14" fillId="0" fontId="5" numFmtId="49" xfId="0" applyAlignment="1" applyBorder="1" applyFont="1" applyNumberFormat="1">
      <alignment shrinkToFit="0" vertical="center" wrapText="0"/>
    </xf>
    <xf borderId="15" fillId="0" fontId="5" numFmtId="49" xfId="0" applyAlignment="1" applyBorder="1" applyFont="1" applyNumberFormat="1">
      <alignment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6" fillId="0" fontId="5" numFmtId="49" xfId="0" applyAlignment="1" applyBorder="1" applyFont="1" applyNumberFormat="1">
      <alignment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9" fillId="0" fontId="5" numFmtId="49" xfId="0" applyAlignment="1" applyBorder="1" applyFont="1" applyNumberFormat="1">
      <alignment shrinkToFit="0" vertical="center" wrapText="0"/>
    </xf>
    <xf borderId="11" fillId="0" fontId="5" numFmtId="49" xfId="0" applyAlignment="1" applyBorder="1" applyFont="1" applyNumberForma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5" numFmtId="49" xfId="0" applyAlignment="1" applyBorder="1" applyFont="1" applyNumberFormat="1">
      <alignment shrinkToFit="0" vertical="center" wrapText="0"/>
    </xf>
    <xf borderId="4" fillId="0" fontId="5" numFmtId="49" xfId="0" applyAlignment="1" applyBorder="1" applyFont="1" applyNumberFormat="1">
      <alignment readingOrder="0"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3" numFmtId="168" xfId="0" applyAlignment="1" applyBorder="1" applyFont="1" applyNumberFormat="1">
      <alignment shrinkToFit="0" vertical="center" wrapText="0"/>
    </xf>
    <xf borderId="5" fillId="0" fontId="4" numFmtId="49" xfId="0" applyAlignment="1" applyBorder="1" applyFont="1" applyNumberFormat="1">
      <alignment shrinkToFit="0" vertical="center" wrapText="0"/>
    </xf>
    <xf borderId="5" fillId="0" fontId="2" numFmtId="3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5" numFmtId="49" xfId="0" applyAlignment="1" applyBorder="1" applyFont="1" applyNumberFormat="1">
      <alignment shrinkToFit="0" vertical="center" wrapText="0"/>
    </xf>
    <xf borderId="7" fillId="0" fontId="5" numFmtId="49" xfId="0" applyAlignment="1" applyBorder="1" applyFont="1" applyNumberFormat="1">
      <alignment readingOrder="0"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8" fillId="0" fontId="3" numFmtId="168" xfId="0" applyAlignment="1" applyBorder="1" applyFont="1" applyNumberFormat="1">
      <alignment shrinkToFit="0" vertical="center" wrapText="0"/>
    </xf>
    <xf borderId="8" fillId="0" fontId="2" numFmtId="3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5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4" numFmtId="168" xfId="0" applyAlignment="1" applyBorder="1" applyFont="1" applyNumberFormat="1">
      <alignment shrinkToFit="0" vertical="center" wrapText="0"/>
    </xf>
    <xf borderId="13" fillId="0" fontId="5" numFmtId="49" xfId="0" applyAlignment="1" applyBorder="1" applyFont="1" applyNumberFormat="1">
      <alignment readingOrder="0" shrinkToFit="0" vertical="center" wrapText="0"/>
    </xf>
    <xf borderId="14" fillId="0" fontId="3" numFmtId="49" xfId="0" applyAlignment="1" applyBorder="1" applyFont="1" applyNumberFormat="1">
      <alignment shrinkToFit="0" vertical="center" wrapText="0"/>
    </xf>
    <xf borderId="14" fillId="0" fontId="3" numFmtId="168" xfId="0" applyAlignment="1" applyBorder="1" applyFont="1" applyNumberFormat="1">
      <alignment shrinkToFit="0" vertical="center" wrapText="0"/>
    </xf>
    <xf borderId="14" fillId="0" fontId="2" numFmtId="3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5" numFmtId="49" xfId="0" applyAlignment="1" applyBorder="1" applyFont="1" applyNumberFormat="1">
      <alignment shrinkToFit="0" vertical="center" wrapText="0"/>
    </xf>
    <xf borderId="15" fillId="0" fontId="5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bottom" wrapText="0"/>
    </xf>
    <xf borderId="5" fillId="0" fontId="1" numFmtId="49" xfId="0" applyAlignment="1" applyBorder="1" applyFont="1" applyNumberFormat="1">
      <alignment shrinkToFit="0" vertical="bottom" wrapText="0"/>
    </xf>
    <xf borderId="7" fillId="0" fontId="1" numFmtId="49" xfId="0" applyAlignment="1" applyBorder="1" applyFont="1" applyNumberFormat="1">
      <alignment readingOrder="0" shrinkToFit="0" vertical="bottom" wrapText="0"/>
    </xf>
    <xf borderId="8" fillId="0" fontId="1" numFmtId="49" xfId="0" applyAlignment="1" applyBorder="1" applyFont="1" applyNumberFormat="1">
      <alignment shrinkToFit="0" vertical="bottom" wrapText="0"/>
    </xf>
    <xf borderId="8" fillId="0" fontId="5" numFmtId="49" xfId="0" applyAlignment="1" applyBorder="1" applyFont="1" applyNumberFormat="1">
      <alignment readingOrder="0" shrinkToFit="0" vertical="center" wrapText="0"/>
    </xf>
    <xf borderId="9" fillId="0" fontId="5" numFmtId="49" xfId="0" applyAlignment="1" applyBorder="1" applyFont="1" applyNumberFormat="1">
      <alignment readingOrder="0"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6" fillId="0" fontId="5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bottom" wrapText="0"/>
    </xf>
    <xf borderId="11" fillId="0" fontId="1" numFmtId="49" xfId="0" applyAlignment="1" applyBorder="1" applyFont="1" applyNumberFormat="1">
      <alignment shrinkToFit="0" vertical="bottom" wrapText="0"/>
    </xf>
    <xf borderId="11" fillId="0" fontId="5" numFmtId="49" xfId="0" applyAlignment="1" applyBorder="1" applyFont="1" applyNumberFormat="1">
      <alignment readingOrder="0" shrinkToFit="0" vertical="center" wrapText="0"/>
    </xf>
    <xf borderId="11" fillId="0" fontId="5" numFmtId="49" xfId="0" applyAlignment="1" applyBorder="1" applyFont="1" applyNumberFormat="1">
      <alignment shrinkToFit="0" vertical="center" wrapText="0"/>
    </xf>
    <xf borderId="12" fillId="0" fontId="5" numFmtId="49" xfId="0" applyAlignment="1" applyBorder="1" applyFont="1" applyNumberForma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10" fillId="0" fontId="5" numFmtId="49" xfId="0" applyAlignment="1" applyBorder="1" applyFont="1" applyNumberFormat="1">
      <alignment readingOrder="0"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1" fillId="0" fontId="5" numFmtId="49" xfId="0" applyAlignment="1" applyBorder="1" applyFont="1" applyNumberFormat="1">
      <alignment horizontal="left" readingOrder="0" shrinkToFit="0" vertical="center" wrapText="0"/>
    </xf>
    <xf borderId="4" fillId="0" fontId="5" numFmtId="49" xfId="0" applyAlignment="1" applyBorder="1" applyFont="1" applyNumberFormat="1">
      <alignment readingOrder="0" shrinkToFit="0" vertical="center" wrapText="0"/>
    </xf>
    <xf borderId="7" fillId="0" fontId="5" numFmtId="49" xfId="0" applyAlignment="1" applyBorder="1" applyFont="1" applyNumberForma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5" numFmtId="49" xfId="0" applyAlignment="1" applyBorder="1" applyFont="1" applyNumberFormat="1">
      <alignment readingOrder="0" shrinkToFit="0" vertical="center" wrapText="0"/>
    </xf>
    <xf borderId="9" fillId="0" fontId="5" numFmtId="0" xfId="0" applyAlignment="1" applyBorder="1" applyFont="1">
      <alignment shrinkToFit="0" vertical="center" wrapText="0"/>
    </xf>
    <xf borderId="14" fillId="0" fontId="5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15" fillId="0" fontId="5" numFmtId="0" xfId="0" applyAlignment="1" applyBorder="1" applyFont="1">
      <alignment shrinkToFit="0" vertical="center" wrapText="0"/>
    </xf>
    <xf borderId="4" fillId="0" fontId="5" numFmtId="49" xfId="0" applyAlignment="1" applyBorder="1" applyFont="1" applyNumberFormat="1">
      <alignment shrinkToFit="0" vertical="center" wrapText="0"/>
    </xf>
    <xf borderId="0" fillId="0" fontId="5" numFmtId="0" xfId="0" applyFont="1"/>
    <xf borderId="7" fillId="0" fontId="5" numFmtId="49" xfId="0" applyAlignment="1" applyBorder="1" applyFont="1" applyNumberFormat="1">
      <alignment shrinkToFit="0" vertical="center" wrapText="0"/>
    </xf>
    <xf borderId="10" fillId="0" fontId="5" numFmtId="49" xfId="0" applyAlignment="1" applyBorder="1" applyFont="1" applyNumberFormat="1">
      <alignment shrinkToFit="0" vertical="center" wrapText="0"/>
    </xf>
    <xf borderId="12" fillId="0" fontId="5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left" readingOrder="0" shrinkToFit="0" vertical="center" wrapText="0"/>
    </xf>
    <xf borderId="17" fillId="0" fontId="5" numFmtId="0" xfId="0" applyAlignment="1" applyBorder="1" applyFont="1">
      <alignment horizontal="left" readingOrder="0" shrinkToFit="0" vertical="center" wrapText="0"/>
    </xf>
    <xf borderId="18" fillId="0" fontId="5" numFmtId="49" xfId="0" applyAlignment="1" applyBorder="1" applyFont="1" applyNumberFormat="1">
      <alignment readingOrder="0" shrinkToFit="0" vertical="center" wrapText="0"/>
    </xf>
    <xf borderId="19" fillId="0" fontId="5" numFmtId="0" xfId="0" applyAlignment="1" applyBorder="1" applyFont="1">
      <alignment readingOrder="0" shrinkToFit="0" vertical="center" wrapText="0"/>
    </xf>
    <xf borderId="20" fillId="0" fontId="5" numFmtId="49" xfId="0" applyAlignment="1" applyBorder="1" applyFont="1" applyNumberFormat="1">
      <alignment readingOrder="0" shrinkToFit="0" vertical="center" wrapText="0"/>
    </xf>
    <xf borderId="21" fillId="0" fontId="5" numFmtId="0" xfId="0" applyAlignment="1" applyBorder="1" applyFont="1">
      <alignment readingOrder="0" shrinkToFit="0" vertical="center" wrapText="0"/>
    </xf>
    <xf borderId="22" fillId="0" fontId="5" numFmtId="49" xfId="0" applyAlignment="1" applyBorder="1" applyFont="1" applyNumberFormat="1">
      <alignment readingOrder="0" shrinkToFit="0" vertical="center" wrapText="0"/>
    </xf>
    <xf borderId="23" fillId="0" fontId="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3801F"/>
          <bgColor rgb="FF33801F"/>
        </patternFill>
      </fill>
      <border/>
    </dxf>
  </dxfs>
  <tableStyles count="15">
    <tableStyle count="3" pivot="0" name="Movimientos-style">
      <tableStyleElement dxfId="1" type="headerRow"/>
      <tableStyleElement dxfId="2" type="firstRowStripe"/>
      <tableStyleElement dxfId="3" type="secondRowStripe"/>
    </tableStyle>
    <tableStyle count="3" pivot="0" name="Calendario-style">
      <tableStyleElement dxfId="1" type="headerRow"/>
      <tableStyleElement dxfId="2" type="firstRowStripe"/>
      <tableStyleElement dxfId="3" type="secondRowStripe"/>
    </tableStyle>
    <tableStyle count="3" pivot="0" name="Organización-style">
      <tableStyleElement dxfId="1" type="headerRow"/>
      <tableStyleElement dxfId="2" type="firstRowStripe"/>
      <tableStyleElement dxfId="3" type="secondRowStripe"/>
    </tableStyle>
    <tableStyle count="3" pivot="0" name="Cuenta-style">
      <tableStyleElement dxfId="1" type="headerRow"/>
      <tableStyleElement dxfId="2" type="firstRowStripe"/>
      <tableStyleElement dxfId="3" type="secondRowStripe"/>
    </tableStyle>
    <tableStyle count="3" pivot="0" name="Detalle Donante-style">
      <tableStyleElement dxfId="1" type="headerRow"/>
      <tableStyleElement dxfId="2" type="firstRowStripe"/>
      <tableStyleElement dxfId="3" type="secondRowStripe"/>
    </tableStyle>
    <tableStyle count="3" pivot="0" name="Detalle Proveedor-style">
      <tableStyleElement dxfId="1" type="headerRow"/>
      <tableStyleElement dxfId="2" type="firstRowStripe"/>
      <tableStyleElement dxfId="3" type="secondRowStripe"/>
    </tableStyle>
    <tableStyle count="3" pivot="0" name="Tipo Organizacion-style">
      <tableStyleElement dxfId="1" type="headerRow"/>
      <tableStyleElement dxfId="2" type="firstRowStripe"/>
      <tableStyleElement dxfId="3" type="secondRowStripe"/>
    </tableStyle>
    <tableStyle count="3" pivot="0" name="Paises-style">
      <tableStyleElement dxfId="1" type="headerRow"/>
      <tableStyleElement dxfId="2" type="firstRowStripe"/>
      <tableStyleElement dxfId="3" type="secondRowStripe"/>
    </tableStyle>
    <tableStyle count="3" pivot="0" name="Razon Social-style">
      <tableStyleElement dxfId="1" type="headerRow"/>
      <tableStyleElement dxfId="2" type="firstRowStripe"/>
      <tableStyleElement dxfId="3" type="secondRowStripe"/>
    </tableStyle>
    <tableStyle count="3" pivot="0" name="Contacto-style">
      <tableStyleElement dxfId="1" type="headerRow"/>
      <tableStyleElement dxfId="2" type="firstRowStripe"/>
      <tableStyleElement dxfId="3" type="secondRowStripe"/>
    </tableStyle>
    <tableStyle count="3" pivot="0" name="Tipo Contribuyente-style">
      <tableStyleElement dxfId="1" type="headerRow"/>
      <tableStyleElement dxfId="2" type="firstRowStripe"/>
      <tableStyleElement dxfId="3" type="secondRowStripe"/>
    </tableStyle>
    <tableStyle count="3" pivot="0" name="Tipo Donante-style">
      <tableStyleElement dxfId="1" type="headerRow"/>
      <tableStyleElement dxfId="2" type="firstRowStripe"/>
      <tableStyleElement dxfId="3" type="secondRowStripe"/>
    </tableStyle>
    <tableStyle count="3" pivot="0" name="Frecuencia-style">
      <tableStyleElement dxfId="1" type="headerRow"/>
      <tableStyleElement dxfId="2" type="firstRowStripe"/>
      <tableStyleElement dxfId="3" type="secondRowStripe"/>
    </tableStyle>
    <tableStyle count="3" pivot="0" name="Categoria Proveedor-style">
      <tableStyleElement dxfId="1" type="headerRow"/>
      <tableStyleElement dxfId="2" type="firstRowStripe"/>
      <tableStyleElement dxfId="3" type="secondRowStripe"/>
    </tableStyle>
    <tableStyle count="3" pivot="0" name="Tipo de Cuenta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873" displayName="movimiento" name="movimiento" id="1">
  <tableColumns count="5">
    <tableColumn name="id_org" id="1"/>
    <tableColumn name="id_cta" id="2"/>
    <tableColumn name="fecha_mov" id="3"/>
    <tableColumn name="importe" id="4"/>
    <tableColumn name="observaciones" id="5"/>
  </tableColumns>
  <tableStyleInfo name="Movimientos-style" showColumnStripes="0" showFirstColumn="1" showLastColumn="1" showRowStripes="1"/>
</table>
</file>

<file path=xl/tables/table10.xml><?xml version="1.0" encoding="utf-8"?>
<table xmlns="http://schemas.openxmlformats.org/spreadsheetml/2006/main" ref="A1:F102" displayName="contacto" name="contacto" id="10">
  <autoFilter ref="$A$1:$F$102"/>
  <tableColumns count="6">
    <tableColumn name="id_contacto" id="1"/>
    <tableColumn name="contacto" id="2"/>
    <tableColumn name="email" id="3"/>
    <tableColumn name="cod_tel" id="4"/>
    <tableColumn name="telefono" id="5"/>
    <tableColumn name="id_org" id="6"/>
  </tableColumns>
  <tableStyleInfo name="Contacto-style" showColumnStripes="0" showFirstColumn="1" showLastColumn="1" showRowStripes="1"/>
</table>
</file>

<file path=xl/tables/table11.xml><?xml version="1.0" encoding="utf-8"?>
<table xmlns="http://schemas.openxmlformats.org/spreadsheetml/2006/main" ref="A1:B6" displayName="tipo_contribuyente" name="tipo_contribuyente" id="11">
  <tableColumns count="2">
    <tableColumn name="id_tipo_c" id="1"/>
    <tableColumn name="nom_tipo_c" id="2"/>
  </tableColumns>
  <tableStyleInfo name="Tipo Contribuyente-style" showColumnStripes="0" showFirstColumn="1" showLastColumn="1" showRowStripes="1"/>
</table>
</file>

<file path=xl/tables/table12.xml><?xml version="1.0" encoding="utf-8"?>
<table xmlns="http://schemas.openxmlformats.org/spreadsheetml/2006/main" ref="A1:B7" displayName="tipo_donante" name="tipo_donante" id="12">
  <tableColumns count="2">
    <tableColumn name="id_tipo_d" id="1"/>
    <tableColumn name="nom_tipo_d" id="2"/>
  </tableColumns>
  <tableStyleInfo name="Tipo Donante-style" showColumnStripes="0" showFirstColumn="1" showLastColumn="1" showRowStripes="1"/>
</table>
</file>

<file path=xl/tables/table13.xml><?xml version="1.0" encoding="utf-8"?>
<table xmlns="http://schemas.openxmlformats.org/spreadsheetml/2006/main" ref="A1:B6" displayName="frecuencia" name="frecuencia" id="13">
  <tableColumns count="2">
    <tableColumn name="id_frec" id="1"/>
    <tableColumn name="nom_frecuencia" id="2"/>
  </tableColumns>
  <tableStyleInfo name="Frecuencia-style" showColumnStripes="0" showFirstColumn="1" showLastColumn="1" showRowStripes="1"/>
</table>
</file>

<file path=xl/tables/table14.xml><?xml version="1.0" encoding="utf-8"?>
<table xmlns="http://schemas.openxmlformats.org/spreadsheetml/2006/main" ref="A1:B14" displayName="categoria_proveedor" name="categoria_proveedor" id="14">
  <tableColumns count="2">
    <tableColumn name="id_categoria" id="1"/>
    <tableColumn name="nom_categoria" id="2"/>
  </tableColumns>
  <tableStyleInfo name="Categoria Proveedor-style" showColumnStripes="0" showFirstColumn="1" showLastColumn="1" showRowStripes="1"/>
</table>
</file>

<file path=xl/tables/table15.xml><?xml version="1.0" encoding="utf-8"?>
<table xmlns="http://schemas.openxmlformats.org/spreadsheetml/2006/main" ref="A1:B7" displayName="tipo_cuenta" name="tipo_cuenta" id="15">
  <tableColumns count="2">
    <tableColumn name="id_tipo_cta" id="1"/>
    <tableColumn name="nom_tipo_cta" id="2"/>
  </tableColumns>
  <tableStyleInfo name="Tipo de Cuenta-style" showColumnStripes="0" showFirstColumn="1" showLastColumn="1" showRowStripes="1"/>
</table>
</file>

<file path=xl/tables/table2.xml><?xml version="1.0" encoding="utf-8"?>
<table xmlns="http://schemas.openxmlformats.org/spreadsheetml/2006/main" ref="A1:F2558" displayName="Calendario" name="Calendario" id="2">
  <autoFilter ref="$A$1:$F$2558"/>
  <tableColumns count="6">
    <tableColumn name="fecha" id="1"/>
    <tableColumn name="dia" id="2"/>
    <tableColumn name="mes" id="3"/>
    <tableColumn name="mesNombre" id="4"/>
    <tableColumn name="mesNroNom" id="5"/>
    <tableColumn name="año" id="6"/>
  </tableColumns>
  <tableStyleInfo name="Calendario-style" showColumnStripes="0" showFirstColumn="1" showLastColumn="1" showRowStripes="1"/>
</table>
</file>

<file path=xl/tables/table3.xml><?xml version="1.0" encoding="utf-8"?>
<table xmlns="http://schemas.openxmlformats.org/spreadsheetml/2006/main" ref="A1:H102" displayName="organizacion" name="organizacion" id="3">
  <tableColumns count="8">
    <tableColumn name="id_org" id="1"/>
    <tableColumn name="cod_org" id="2"/>
    <tableColumn name="nom_org" id="3"/>
    <tableColumn name="cuit" id="4"/>
    <tableColumn name="id_tipo_org" id="5"/>
    <tableColumn name="id_razon_soc" id="6"/>
    <tableColumn name="id_tipo_c" id="7"/>
    <tableColumn name="id_pais" id="8"/>
  </tableColumns>
  <tableStyleInfo name="Organización-style" showColumnStripes="0" showFirstColumn="1" showLastColumn="1" showRowStripes="1"/>
</table>
</file>

<file path=xl/tables/table4.xml><?xml version="1.0" encoding="utf-8"?>
<table xmlns="http://schemas.openxmlformats.org/spreadsheetml/2006/main" ref="A1:E45" displayName="cuenta" name="cuenta" id="4">
  <autoFilter ref="$A$1:$E$45"/>
  <tableColumns count="5">
    <tableColumn name="id_cta" id="1"/>
    <tableColumn name="nro_cta" id="2"/>
    <tableColumn name="nom_cta" id="3"/>
    <tableColumn name="descripcion" id="4"/>
    <tableColumn name="id_tipo_cta" id="5"/>
  </tableColumns>
  <tableStyleInfo name="Cuenta-style" showColumnStripes="0" showFirstColumn="1" showLastColumn="1" showRowStripes="1"/>
</table>
</file>

<file path=xl/tables/table5.xml><?xml version="1.0" encoding="utf-8"?>
<table xmlns="http://schemas.openxmlformats.org/spreadsheetml/2006/main" ref="A1:H34" displayName="detalle_donante" name="detalle_donante" id="5">
  <autoFilter ref="$A$1:$H$34"/>
  <tableColumns count="8">
    <tableColumn name="id_detalle_d" id="1"/>
    <tableColumn name="id_org" id="2"/>
    <tableColumn name="fecha_alta" id="3"/>
    <tableColumn name="fecha_baja" id="4"/>
    <tableColumn name="Dias de Actividad" id="5"/>
    <tableColumn name="activo" id="6"/>
    <tableColumn name="id_frec" id="7"/>
    <tableColumn name="id_tipo_d" id="8"/>
  </tableColumns>
  <tableStyleInfo name="Detalle Donante-style" showColumnStripes="0" showFirstColumn="1" showLastColumn="1" showRowStripes="1"/>
</table>
</file>

<file path=xl/tables/table6.xml><?xml version="1.0" encoding="utf-8"?>
<table xmlns="http://schemas.openxmlformats.org/spreadsheetml/2006/main" ref="A1:F69" displayName="detalle_proveedor" name="detalle_proveedor" id="6">
  <tableColumns count="6">
    <tableColumn name="id_detalle_p" id="1"/>
    <tableColumn name="id_org" id="2"/>
    <tableColumn name="id_categoria" id="3"/>
    <tableColumn name="ciudad" id="4"/>
    <tableColumn name="cod_prov" id="5"/>
    <tableColumn name="provincia" id="6"/>
  </tableColumns>
  <tableStyleInfo name="Detalle Proveedor-style" showColumnStripes="0" showFirstColumn="1" showLastColumn="1" showRowStripes="1"/>
</table>
</file>

<file path=xl/tables/table7.xml><?xml version="1.0" encoding="utf-8"?>
<table xmlns="http://schemas.openxmlformats.org/spreadsheetml/2006/main" ref="A1:B3" displayName="tipo_organizacion" name="tipo_organizacion" id="7">
  <tableColumns count="2">
    <tableColumn name="id_tipo_org" id="1"/>
    <tableColumn name="nom_tipo" id="2"/>
  </tableColumns>
  <tableStyleInfo name="Tipo Organizacion-style" showColumnStripes="0" showFirstColumn="1" showLastColumn="1" showRowStripes="1"/>
</table>
</file>

<file path=xl/tables/table8.xml><?xml version="1.0" encoding="utf-8"?>
<table xmlns="http://schemas.openxmlformats.org/spreadsheetml/2006/main" ref="A1:B11" displayName="pais" name="pais" id="8">
  <tableColumns count="2">
    <tableColumn name="id_pais" id="1"/>
    <tableColumn name="pais" id="2"/>
  </tableColumns>
  <tableStyleInfo name="Paises-style" showColumnStripes="0" showFirstColumn="1" showLastColumn="1" showRowStripes="1"/>
</table>
</file>

<file path=xl/tables/table9.xml><?xml version="1.0" encoding="utf-8"?>
<table xmlns="http://schemas.openxmlformats.org/spreadsheetml/2006/main" ref="A1:B7" displayName="razon_social" name="razon_social" id="9">
  <tableColumns count="2">
    <tableColumn name="id_razon_soc" id="1"/>
    <tableColumn name="nom_razon_soc" id="2"/>
  </tableColumns>
  <tableStyleInfo name="Razon Soc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5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6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7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8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0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1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13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14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1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75"/>
    <col customWidth="1" min="3" max="4" width="12.63"/>
    <col customWidth="1" min="5" max="5" width="16.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4" t="s">
        <v>13</v>
      </c>
      <c r="O1" s="4" t="s">
        <v>14</v>
      </c>
    </row>
    <row r="2" ht="15.75" customHeight="1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5">
        <v>171488.0</v>
      </c>
      <c r="L2" s="6">
        <v>45369.0</v>
      </c>
      <c r="M2" s="7">
        <v>501400.0</v>
      </c>
      <c r="N2" s="4" t="s">
        <v>25</v>
      </c>
      <c r="O2" s="4" t="s">
        <v>26</v>
      </c>
    </row>
    <row r="3" ht="15.75" customHeight="1">
      <c r="A3" s="1" t="s">
        <v>27</v>
      </c>
      <c r="B3" s="1" t="s">
        <v>28</v>
      </c>
      <c r="C3" s="1" t="s">
        <v>29</v>
      </c>
      <c r="D3" s="1" t="s">
        <v>18</v>
      </c>
      <c r="E3" s="1" t="s">
        <v>30</v>
      </c>
      <c r="F3" s="1" t="s">
        <v>20</v>
      </c>
      <c r="G3" s="1" t="s">
        <v>28</v>
      </c>
      <c r="H3" s="1" t="s">
        <v>31</v>
      </c>
      <c r="I3" s="1" t="s">
        <v>32</v>
      </c>
      <c r="J3" s="1" t="s">
        <v>33</v>
      </c>
      <c r="K3" s="5">
        <v>288255.0</v>
      </c>
      <c r="L3" s="6">
        <v>45330.0</v>
      </c>
      <c r="M3" s="7">
        <v>503100.0</v>
      </c>
      <c r="N3" s="4" t="s">
        <v>34</v>
      </c>
      <c r="O3" s="4" t="s">
        <v>26</v>
      </c>
    </row>
    <row r="4" ht="15.75" customHeight="1">
      <c r="A4" s="1" t="s">
        <v>35</v>
      </c>
      <c r="B4" s="1" t="s">
        <v>36</v>
      </c>
      <c r="C4" s="1" t="s">
        <v>37</v>
      </c>
      <c r="D4" s="1" t="s">
        <v>38</v>
      </c>
      <c r="E4" s="1" t="s">
        <v>19</v>
      </c>
      <c r="F4" s="1" t="s">
        <v>20</v>
      </c>
      <c r="G4" s="1" t="s">
        <v>39</v>
      </c>
      <c r="H4" s="1" t="s">
        <v>40</v>
      </c>
      <c r="I4" s="1" t="s">
        <v>41</v>
      </c>
      <c r="J4" s="1" t="s">
        <v>24</v>
      </c>
      <c r="K4" s="5">
        <v>195975.0</v>
      </c>
      <c r="L4" s="6">
        <v>45309.0</v>
      </c>
      <c r="M4" s="7">
        <v>506100.0</v>
      </c>
      <c r="N4" s="4" t="s">
        <v>42</v>
      </c>
      <c r="O4" s="4" t="s">
        <v>26</v>
      </c>
    </row>
    <row r="5" ht="15.75" customHeight="1">
      <c r="A5" s="1" t="s">
        <v>43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20</v>
      </c>
      <c r="G5" s="1" t="s">
        <v>48</v>
      </c>
      <c r="H5" s="1" t="s">
        <v>49</v>
      </c>
      <c r="I5" s="1" t="s">
        <v>50</v>
      </c>
      <c r="J5" s="1" t="s">
        <v>33</v>
      </c>
      <c r="K5" s="5">
        <v>158607.0</v>
      </c>
      <c r="L5" s="6">
        <v>45360.0</v>
      </c>
      <c r="M5" s="7">
        <v>509100.0</v>
      </c>
      <c r="N5" s="4" t="s">
        <v>51</v>
      </c>
      <c r="O5" s="4" t="s">
        <v>26</v>
      </c>
    </row>
    <row r="6" ht="15.75" customHeight="1">
      <c r="A6" s="1" t="s">
        <v>52</v>
      </c>
      <c r="B6" s="1" t="s">
        <v>53</v>
      </c>
      <c r="C6" s="1" t="s">
        <v>17</v>
      </c>
      <c r="D6" s="1" t="s">
        <v>18</v>
      </c>
      <c r="E6" s="1" t="s">
        <v>30</v>
      </c>
      <c r="F6" s="1" t="s">
        <v>20</v>
      </c>
      <c r="G6" s="1" t="s">
        <v>53</v>
      </c>
      <c r="H6" s="1" t="s">
        <v>54</v>
      </c>
      <c r="I6" s="1" t="s">
        <v>55</v>
      </c>
      <c r="J6" s="1" t="s">
        <v>24</v>
      </c>
      <c r="K6" s="5">
        <v>238101.0</v>
      </c>
      <c r="L6" s="6">
        <v>45379.0</v>
      </c>
      <c r="M6" s="7">
        <v>516000.0</v>
      </c>
      <c r="N6" s="4" t="s">
        <v>25</v>
      </c>
      <c r="O6" s="4" t="s">
        <v>26</v>
      </c>
    </row>
    <row r="7" ht="15.75" customHeight="1">
      <c r="A7" s="1" t="s">
        <v>52</v>
      </c>
      <c r="B7" s="1" t="s">
        <v>53</v>
      </c>
      <c r="C7" s="1" t="s">
        <v>17</v>
      </c>
      <c r="D7" s="1" t="s">
        <v>18</v>
      </c>
      <c r="E7" s="1" t="s">
        <v>30</v>
      </c>
      <c r="F7" s="1" t="s">
        <v>20</v>
      </c>
      <c r="G7" s="1" t="s">
        <v>56</v>
      </c>
      <c r="H7" s="1" t="s">
        <v>54</v>
      </c>
      <c r="I7" s="1" t="s">
        <v>55</v>
      </c>
      <c r="J7" s="1" t="s">
        <v>24</v>
      </c>
      <c r="K7" s="5">
        <v>288617.0</v>
      </c>
      <c r="L7" s="6">
        <v>45396.0</v>
      </c>
      <c r="M7" s="7">
        <v>516000.0</v>
      </c>
      <c r="N7" s="4" t="s">
        <v>25</v>
      </c>
      <c r="O7" s="4" t="s">
        <v>26</v>
      </c>
    </row>
    <row r="8" ht="15.75" customHeight="1">
      <c r="A8" s="1" t="s">
        <v>57</v>
      </c>
      <c r="B8" s="1" t="s">
        <v>58</v>
      </c>
      <c r="C8" s="1" t="s">
        <v>59</v>
      </c>
      <c r="D8" s="1" t="s">
        <v>18</v>
      </c>
      <c r="E8" s="1" t="s">
        <v>47</v>
      </c>
      <c r="F8" s="1" t="s">
        <v>20</v>
      </c>
      <c r="G8" s="1" t="s">
        <v>60</v>
      </c>
      <c r="H8" s="1" t="s">
        <v>61</v>
      </c>
      <c r="I8" s="1" t="s">
        <v>62</v>
      </c>
      <c r="J8" s="1" t="s">
        <v>33</v>
      </c>
      <c r="K8" s="5">
        <v>251833.0</v>
      </c>
      <c r="L8" s="6">
        <v>45300.0</v>
      </c>
      <c r="M8" s="7">
        <v>501400.0</v>
      </c>
      <c r="N8" s="4" t="s">
        <v>63</v>
      </c>
      <c r="O8" s="4" t="s">
        <v>26</v>
      </c>
    </row>
    <row r="9" ht="15.75" customHeight="1">
      <c r="A9" s="1" t="s">
        <v>64</v>
      </c>
      <c r="B9" s="1" t="s">
        <v>65</v>
      </c>
      <c r="C9" s="1" t="s">
        <v>66</v>
      </c>
      <c r="D9" s="1" t="s">
        <v>18</v>
      </c>
      <c r="E9" s="1" t="s">
        <v>19</v>
      </c>
      <c r="F9" s="1" t="s">
        <v>20</v>
      </c>
      <c r="G9" s="1" t="s">
        <v>65</v>
      </c>
      <c r="H9" s="1" t="s">
        <v>67</v>
      </c>
      <c r="I9" s="1" t="s">
        <v>68</v>
      </c>
      <c r="J9" s="1" t="s">
        <v>24</v>
      </c>
      <c r="K9" s="5">
        <v>235688.0</v>
      </c>
      <c r="L9" s="6">
        <v>45418.0</v>
      </c>
      <c r="M9" s="7">
        <v>503100.0</v>
      </c>
      <c r="N9" s="4" t="s">
        <v>69</v>
      </c>
      <c r="O9" s="4" t="s">
        <v>26</v>
      </c>
    </row>
    <row r="10" ht="15.75" customHeight="1">
      <c r="A10" s="1" t="s">
        <v>70</v>
      </c>
      <c r="B10" s="1" t="s">
        <v>71</v>
      </c>
      <c r="C10" s="1" t="s">
        <v>72</v>
      </c>
      <c r="D10" s="1" t="s">
        <v>46</v>
      </c>
      <c r="E10" s="1" t="s">
        <v>30</v>
      </c>
      <c r="F10" s="1" t="s">
        <v>20</v>
      </c>
      <c r="G10" s="1" t="s">
        <v>73</v>
      </c>
      <c r="H10" s="1" t="s">
        <v>74</v>
      </c>
      <c r="I10" s="1" t="s">
        <v>75</v>
      </c>
      <c r="J10" s="1" t="s">
        <v>33</v>
      </c>
      <c r="K10" s="5">
        <v>110198.0</v>
      </c>
      <c r="L10" s="6">
        <v>45455.0</v>
      </c>
      <c r="M10" s="7">
        <v>506100.0</v>
      </c>
      <c r="N10" s="4" t="s">
        <v>76</v>
      </c>
      <c r="O10" s="4" t="s">
        <v>26</v>
      </c>
    </row>
    <row r="11" ht="15.75" customHeight="1">
      <c r="A11" s="1" t="s">
        <v>70</v>
      </c>
      <c r="B11" s="1" t="s">
        <v>71</v>
      </c>
      <c r="C11" s="1" t="s">
        <v>72</v>
      </c>
      <c r="D11" s="1" t="s">
        <v>46</v>
      </c>
      <c r="E11" s="1" t="s">
        <v>30</v>
      </c>
      <c r="F11" s="1" t="s">
        <v>20</v>
      </c>
      <c r="G11" s="1" t="s">
        <v>73</v>
      </c>
      <c r="H11" s="1" t="s">
        <v>74</v>
      </c>
      <c r="I11" s="1" t="s">
        <v>75</v>
      </c>
      <c r="J11" s="1" t="s">
        <v>33</v>
      </c>
      <c r="K11" s="5">
        <v>269252.0</v>
      </c>
      <c r="L11" s="6">
        <v>45312.0</v>
      </c>
      <c r="M11" s="7">
        <v>506100.0</v>
      </c>
      <c r="N11" s="4" t="s">
        <v>76</v>
      </c>
      <c r="O11" s="4" t="s">
        <v>26</v>
      </c>
    </row>
    <row r="12" ht="15.75" customHeight="1">
      <c r="A12" s="1" t="s">
        <v>77</v>
      </c>
      <c r="B12" s="1" t="s">
        <v>78</v>
      </c>
      <c r="C12" s="1" t="s">
        <v>79</v>
      </c>
      <c r="D12" s="1" t="s">
        <v>38</v>
      </c>
      <c r="E12" s="1" t="s">
        <v>47</v>
      </c>
      <c r="F12" s="1" t="s">
        <v>20</v>
      </c>
      <c r="G12" s="1" t="s">
        <v>80</v>
      </c>
      <c r="H12" s="1" t="s">
        <v>81</v>
      </c>
      <c r="I12" s="1" t="s">
        <v>82</v>
      </c>
      <c r="J12" s="1" t="s">
        <v>24</v>
      </c>
      <c r="K12" s="5">
        <v>12373.0</v>
      </c>
      <c r="L12" s="6">
        <v>45311.0</v>
      </c>
      <c r="M12" s="7">
        <v>509100.0</v>
      </c>
      <c r="N12" s="4" t="s">
        <v>51</v>
      </c>
      <c r="O12" s="4" t="s">
        <v>26</v>
      </c>
    </row>
    <row r="13" ht="15.75" customHeight="1">
      <c r="A13" s="1" t="s">
        <v>77</v>
      </c>
      <c r="B13" s="1" t="s">
        <v>78</v>
      </c>
      <c r="C13" s="1" t="s">
        <v>79</v>
      </c>
      <c r="D13" s="1" t="s">
        <v>38</v>
      </c>
      <c r="E13" s="1" t="s">
        <v>47</v>
      </c>
      <c r="F13" s="1" t="s">
        <v>20</v>
      </c>
      <c r="G13" s="1" t="s">
        <v>80</v>
      </c>
      <c r="H13" s="1" t="s">
        <v>81</v>
      </c>
      <c r="I13" s="1" t="s">
        <v>82</v>
      </c>
      <c r="J13" s="1" t="s">
        <v>24</v>
      </c>
      <c r="K13" s="5">
        <v>151274.0</v>
      </c>
      <c r="L13" s="6">
        <v>45357.0</v>
      </c>
      <c r="M13" s="7">
        <v>509100.0</v>
      </c>
      <c r="N13" s="4" t="s">
        <v>51</v>
      </c>
      <c r="O13" s="4" t="s">
        <v>26</v>
      </c>
    </row>
    <row r="14" ht="15.75" customHeight="1">
      <c r="A14" s="1" t="s">
        <v>83</v>
      </c>
      <c r="B14" s="1" t="s">
        <v>84</v>
      </c>
      <c r="C14" s="1" t="s">
        <v>85</v>
      </c>
      <c r="D14" s="1" t="s">
        <v>18</v>
      </c>
      <c r="E14" s="1" t="s">
        <v>19</v>
      </c>
      <c r="F14" s="1" t="s">
        <v>20</v>
      </c>
      <c r="G14" s="1" t="s">
        <v>86</v>
      </c>
      <c r="H14" s="1" t="s">
        <v>87</v>
      </c>
      <c r="I14" s="1" t="s">
        <v>88</v>
      </c>
      <c r="J14" s="1" t="s">
        <v>33</v>
      </c>
      <c r="K14" s="5">
        <v>101610.0</v>
      </c>
      <c r="L14" s="6">
        <v>45319.0</v>
      </c>
      <c r="M14" s="7">
        <v>514100.0</v>
      </c>
      <c r="N14" s="4" t="s">
        <v>69</v>
      </c>
      <c r="O14" s="4" t="s">
        <v>26</v>
      </c>
    </row>
    <row r="15" ht="15.75" customHeight="1">
      <c r="A15" s="1" t="s">
        <v>83</v>
      </c>
      <c r="B15" s="1" t="s">
        <v>84</v>
      </c>
      <c r="C15" s="1" t="s">
        <v>85</v>
      </c>
      <c r="D15" s="1" t="s">
        <v>18</v>
      </c>
      <c r="E15" s="1" t="s">
        <v>19</v>
      </c>
      <c r="F15" s="1" t="s">
        <v>20</v>
      </c>
      <c r="G15" s="1" t="s">
        <v>86</v>
      </c>
      <c r="H15" s="1" t="s">
        <v>87</v>
      </c>
      <c r="I15" s="1" t="s">
        <v>88</v>
      </c>
      <c r="J15" s="1" t="s">
        <v>33</v>
      </c>
      <c r="K15" s="5">
        <v>273713.0</v>
      </c>
      <c r="L15" s="6">
        <v>45414.0</v>
      </c>
      <c r="M15" s="7">
        <v>514100.0</v>
      </c>
      <c r="N15" s="4" t="s">
        <v>69</v>
      </c>
      <c r="O15" s="4" t="s">
        <v>26</v>
      </c>
    </row>
    <row r="16" ht="15.75" customHeight="1">
      <c r="A16" s="1" t="s">
        <v>89</v>
      </c>
      <c r="B16" s="1" t="s">
        <v>90</v>
      </c>
      <c r="C16" s="1" t="s">
        <v>91</v>
      </c>
      <c r="D16" s="1" t="s">
        <v>46</v>
      </c>
      <c r="E16" s="1" t="s">
        <v>30</v>
      </c>
      <c r="F16" s="1" t="s">
        <v>20</v>
      </c>
      <c r="G16" s="1" t="s">
        <v>90</v>
      </c>
      <c r="H16" s="1" t="s">
        <v>92</v>
      </c>
      <c r="I16" s="1" t="s">
        <v>23</v>
      </c>
      <c r="J16" s="1" t="s">
        <v>24</v>
      </c>
      <c r="K16" s="5">
        <v>291963.0</v>
      </c>
      <c r="L16" s="6">
        <v>45447.0</v>
      </c>
      <c r="M16" s="7">
        <v>516000.0</v>
      </c>
      <c r="N16" s="4" t="s">
        <v>69</v>
      </c>
      <c r="O16" s="4" t="s">
        <v>26</v>
      </c>
    </row>
    <row r="17" ht="15.75" customHeight="1">
      <c r="A17" s="1" t="s">
        <v>93</v>
      </c>
      <c r="B17" s="1" t="s">
        <v>94</v>
      </c>
      <c r="C17" s="1" t="s">
        <v>95</v>
      </c>
      <c r="D17" s="1" t="s">
        <v>18</v>
      </c>
      <c r="E17" s="1" t="s">
        <v>19</v>
      </c>
      <c r="F17" s="1" t="s">
        <v>20</v>
      </c>
      <c r="G17" s="1" t="s">
        <v>96</v>
      </c>
      <c r="H17" s="1" t="s">
        <v>97</v>
      </c>
      <c r="I17" s="1" t="s">
        <v>32</v>
      </c>
      <c r="J17" s="1" t="s">
        <v>33</v>
      </c>
      <c r="K17" s="5">
        <v>224379.0</v>
      </c>
      <c r="L17" s="6">
        <v>45391.0</v>
      </c>
      <c r="M17" s="7">
        <v>501400.0</v>
      </c>
      <c r="N17" s="4" t="s">
        <v>98</v>
      </c>
      <c r="O17" s="4" t="s">
        <v>26</v>
      </c>
    </row>
    <row r="18" ht="15.75" customHeight="1">
      <c r="A18" s="1" t="s">
        <v>93</v>
      </c>
      <c r="B18" s="1" t="s">
        <v>94</v>
      </c>
      <c r="C18" s="1" t="s">
        <v>95</v>
      </c>
      <c r="D18" s="1" t="s">
        <v>18</v>
      </c>
      <c r="E18" s="1" t="s">
        <v>19</v>
      </c>
      <c r="F18" s="1" t="s">
        <v>20</v>
      </c>
      <c r="G18" s="1" t="s">
        <v>96</v>
      </c>
      <c r="H18" s="1" t="s">
        <v>97</v>
      </c>
      <c r="I18" s="1" t="s">
        <v>32</v>
      </c>
      <c r="J18" s="1" t="s">
        <v>33</v>
      </c>
      <c r="K18" s="5">
        <v>153447.0</v>
      </c>
      <c r="L18" s="6">
        <v>45446.0</v>
      </c>
      <c r="M18" s="7">
        <v>501400.0</v>
      </c>
      <c r="N18" s="4" t="s">
        <v>98</v>
      </c>
      <c r="O18" s="4" t="s">
        <v>26</v>
      </c>
    </row>
    <row r="19" ht="15.75" customHeight="1">
      <c r="A19" s="1" t="s">
        <v>99</v>
      </c>
      <c r="B19" s="1" t="s">
        <v>100</v>
      </c>
      <c r="C19" s="1" t="s">
        <v>101</v>
      </c>
      <c r="D19" s="1" t="s">
        <v>18</v>
      </c>
      <c r="E19" s="1" t="s">
        <v>30</v>
      </c>
      <c r="F19" s="1" t="s">
        <v>20</v>
      </c>
      <c r="G19" s="1" t="s">
        <v>102</v>
      </c>
      <c r="H19" s="1" t="s">
        <v>103</v>
      </c>
      <c r="I19" s="1" t="s">
        <v>41</v>
      </c>
      <c r="J19" s="1" t="s">
        <v>24</v>
      </c>
      <c r="K19" s="5">
        <v>79543.0</v>
      </c>
      <c r="L19" s="6">
        <v>45396.0</v>
      </c>
      <c r="M19" s="7">
        <v>503100.0</v>
      </c>
      <c r="N19" s="4" t="s">
        <v>104</v>
      </c>
      <c r="O19" s="4" t="s">
        <v>26</v>
      </c>
    </row>
    <row r="20" ht="15.75" customHeight="1">
      <c r="A20" s="1" t="s">
        <v>99</v>
      </c>
      <c r="B20" s="1" t="s">
        <v>100</v>
      </c>
      <c r="C20" s="1" t="s">
        <v>101</v>
      </c>
      <c r="D20" s="1" t="s">
        <v>18</v>
      </c>
      <c r="E20" s="1" t="s">
        <v>30</v>
      </c>
      <c r="F20" s="1" t="s">
        <v>20</v>
      </c>
      <c r="G20" s="1" t="s">
        <v>102</v>
      </c>
      <c r="H20" s="1" t="s">
        <v>103</v>
      </c>
      <c r="I20" s="1" t="s">
        <v>41</v>
      </c>
      <c r="J20" s="1" t="s">
        <v>24</v>
      </c>
      <c r="K20" s="5">
        <v>41665.0</v>
      </c>
      <c r="L20" s="6">
        <v>45323.0</v>
      </c>
      <c r="M20" s="7">
        <v>503100.0</v>
      </c>
      <c r="N20" s="4" t="s">
        <v>104</v>
      </c>
      <c r="O20" s="4" t="s">
        <v>26</v>
      </c>
    </row>
    <row r="21" ht="15.75" customHeight="1">
      <c r="A21" s="1" t="s">
        <v>105</v>
      </c>
      <c r="B21" s="1" t="s">
        <v>106</v>
      </c>
      <c r="C21" s="7">
        <v>3.0135792487E10</v>
      </c>
      <c r="D21" s="1" t="s">
        <v>38</v>
      </c>
      <c r="E21" s="1" t="s">
        <v>19</v>
      </c>
      <c r="F21" s="1" t="s">
        <v>20</v>
      </c>
      <c r="G21" s="1" t="s">
        <v>107</v>
      </c>
      <c r="H21" s="1" t="s">
        <v>108</v>
      </c>
      <c r="I21" s="1" t="s">
        <v>109</v>
      </c>
      <c r="J21" s="1" t="s">
        <v>33</v>
      </c>
      <c r="K21" s="5">
        <v>58494.0</v>
      </c>
      <c r="L21" s="6">
        <v>45306.0</v>
      </c>
      <c r="M21" s="7">
        <v>506100.0</v>
      </c>
      <c r="N21" s="4" t="s">
        <v>110</v>
      </c>
      <c r="O21" s="4" t="s">
        <v>26</v>
      </c>
    </row>
    <row r="22" ht="15.75" customHeight="1">
      <c r="A22" s="1" t="s">
        <v>105</v>
      </c>
      <c r="B22" s="1" t="s">
        <v>106</v>
      </c>
      <c r="C22" s="7">
        <v>3.0135792487E10</v>
      </c>
      <c r="D22" s="1" t="s">
        <v>38</v>
      </c>
      <c r="E22" s="1" t="s">
        <v>19</v>
      </c>
      <c r="F22" s="1" t="s">
        <v>20</v>
      </c>
      <c r="G22" s="1" t="s">
        <v>107</v>
      </c>
      <c r="H22" s="1" t="s">
        <v>108</v>
      </c>
      <c r="I22" s="1" t="s">
        <v>109</v>
      </c>
      <c r="J22" s="1" t="s">
        <v>33</v>
      </c>
      <c r="K22" s="5">
        <v>218705.0</v>
      </c>
      <c r="L22" s="6">
        <v>45462.0</v>
      </c>
      <c r="M22" s="7">
        <v>506100.0</v>
      </c>
      <c r="N22" s="4" t="s">
        <v>110</v>
      </c>
      <c r="O22" s="4" t="s">
        <v>26</v>
      </c>
    </row>
    <row r="23" ht="15.75" customHeight="1">
      <c r="A23" s="1" t="s">
        <v>111</v>
      </c>
      <c r="B23" s="1" t="s">
        <v>112</v>
      </c>
      <c r="C23" s="1" t="s">
        <v>113</v>
      </c>
      <c r="D23" s="1" t="s">
        <v>46</v>
      </c>
      <c r="E23" s="1" t="s">
        <v>47</v>
      </c>
      <c r="F23" s="1" t="s">
        <v>20</v>
      </c>
      <c r="G23" s="1" t="s">
        <v>112</v>
      </c>
      <c r="H23" s="1" t="s">
        <v>114</v>
      </c>
      <c r="I23" s="1" t="s">
        <v>55</v>
      </c>
      <c r="J23" s="1" t="s">
        <v>24</v>
      </c>
      <c r="K23" s="5">
        <v>35574.0</v>
      </c>
      <c r="L23" s="6">
        <v>45436.0</v>
      </c>
      <c r="M23" s="7">
        <v>509100.0</v>
      </c>
      <c r="N23" s="4" t="s">
        <v>25</v>
      </c>
      <c r="O23" s="4" t="s">
        <v>26</v>
      </c>
    </row>
    <row r="24" ht="15.75" customHeight="1">
      <c r="A24" s="1" t="s">
        <v>111</v>
      </c>
      <c r="B24" s="1" t="s">
        <v>112</v>
      </c>
      <c r="C24" s="1" t="s">
        <v>113</v>
      </c>
      <c r="D24" s="1" t="s">
        <v>46</v>
      </c>
      <c r="E24" s="1" t="s">
        <v>47</v>
      </c>
      <c r="F24" s="1" t="s">
        <v>20</v>
      </c>
      <c r="G24" s="1" t="s">
        <v>112</v>
      </c>
      <c r="H24" s="1" t="s">
        <v>114</v>
      </c>
      <c r="I24" s="1" t="s">
        <v>55</v>
      </c>
      <c r="J24" s="1" t="s">
        <v>24</v>
      </c>
      <c r="K24" s="5">
        <v>26434.0</v>
      </c>
      <c r="L24" s="6">
        <v>45431.0</v>
      </c>
      <c r="M24" s="7">
        <v>509100.0</v>
      </c>
      <c r="N24" s="4" t="s">
        <v>25</v>
      </c>
      <c r="O24" s="4" t="s">
        <v>26</v>
      </c>
    </row>
    <row r="25" ht="15.75" customHeight="1">
      <c r="A25" s="1" t="s">
        <v>115</v>
      </c>
      <c r="B25" s="1" t="s">
        <v>116</v>
      </c>
      <c r="C25" s="1" t="s">
        <v>117</v>
      </c>
      <c r="D25" s="1" t="s">
        <v>18</v>
      </c>
      <c r="E25" s="1" t="s">
        <v>19</v>
      </c>
      <c r="F25" s="1" t="s">
        <v>20</v>
      </c>
      <c r="G25" s="1" t="s">
        <v>118</v>
      </c>
      <c r="H25" s="1" t="s">
        <v>119</v>
      </c>
      <c r="I25" s="1" t="s">
        <v>120</v>
      </c>
      <c r="J25" s="1" t="s">
        <v>33</v>
      </c>
      <c r="K25" s="5">
        <v>295412.0</v>
      </c>
      <c r="L25" s="6">
        <v>45391.0</v>
      </c>
      <c r="M25" s="7">
        <v>514100.0</v>
      </c>
      <c r="N25" s="4" t="s">
        <v>121</v>
      </c>
      <c r="O25" s="4" t="s">
        <v>26</v>
      </c>
    </row>
    <row r="26" ht="15.75" customHeight="1">
      <c r="A26" s="1" t="s">
        <v>115</v>
      </c>
      <c r="B26" s="1" t="s">
        <v>116</v>
      </c>
      <c r="C26" s="1" t="s">
        <v>117</v>
      </c>
      <c r="D26" s="1" t="s">
        <v>18</v>
      </c>
      <c r="E26" s="1" t="s">
        <v>19</v>
      </c>
      <c r="F26" s="1" t="s">
        <v>20</v>
      </c>
      <c r="G26" s="1" t="s">
        <v>118</v>
      </c>
      <c r="H26" s="1" t="s">
        <v>119</v>
      </c>
      <c r="I26" s="1" t="s">
        <v>120</v>
      </c>
      <c r="J26" s="1" t="s">
        <v>33</v>
      </c>
      <c r="K26" s="5">
        <v>128265.0</v>
      </c>
      <c r="L26" s="6">
        <v>45392.0</v>
      </c>
      <c r="M26" s="7">
        <v>514100.0</v>
      </c>
      <c r="N26" s="4" t="s">
        <v>121</v>
      </c>
      <c r="O26" s="4" t="s">
        <v>26</v>
      </c>
    </row>
    <row r="27" ht="15.75" customHeight="1">
      <c r="A27" s="1" t="s">
        <v>122</v>
      </c>
      <c r="B27" s="1" t="s">
        <v>123</v>
      </c>
      <c r="C27" s="1" t="s">
        <v>124</v>
      </c>
      <c r="D27" s="1" t="s">
        <v>38</v>
      </c>
      <c r="E27" s="1" t="s">
        <v>30</v>
      </c>
      <c r="F27" s="1" t="s">
        <v>20</v>
      </c>
      <c r="G27" s="1" t="s">
        <v>123</v>
      </c>
      <c r="H27" s="1" t="s">
        <v>125</v>
      </c>
      <c r="I27" s="1" t="s">
        <v>68</v>
      </c>
      <c r="J27" s="1" t="s">
        <v>24</v>
      </c>
      <c r="K27" s="5">
        <v>136358.0</v>
      </c>
      <c r="L27" s="6">
        <v>45413.0</v>
      </c>
      <c r="M27" s="7">
        <v>516000.0</v>
      </c>
      <c r="N27" s="4" t="s">
        <v>126</v>
      </c>
      <c r="O27" s="4" t="s">
        <v>26</v>
      </c>
    </row>
    <row r="28" ht="15.75" customHeight="1">
      <c r="A28" s="1" t="s">
        <v>122</v>
      </c>
      <c r="B28" s="1" t="s">
        <v>123</v>
      </c>
      <c r="C28" s="1" t="s">
        <v>124</v>
      </c>
      <c r="D28" s="1" t="s">
        <v>38</v>
      </c>
      <c r="E28" s="1" t="s">
        <v>30</v>
      </c>
      <c r="F28" s="1" t="s">
        <v>20</v>
      </c>
      <c r="G28" s="1" t="s">
        <v>123</v>
      </c>
      <c r="H28" s="1" t="s">
        <v>125</v>
      </c>
      <c r="I28" s="1" t="s">
        <v>68</v>
      </c>
      <c r="J28" s="1" t="s">
        <v>24</v>
      </c>
      <c r="K28" s="5">
        <v>288537.0</v>
      </c>
      <c r="L28" s="6">
        <v>45356.0</v>
      </c>
      <c r="M28" s="7">
        <v>516000.0</v>
      </c>
      <c r="N28" s="4" t="s">
        <v>126</v>
      </c>
      <c r="O28" s="4" t="s">
        <v>26</v>
      </c>
    </row>
    <row r="29" ht="15.75" customHeight="1">
      <c r="A29" s="1" t="s">
        <v>127</v>
      </c>
      <c r="B29" s="1" t="s">
        <v>128</v>
      </c>
      <c r="C29" s="1" t="s">
        <v>129</v>
      </c>
      <c r="D29" s="1" t="s">
        <v>18</v>
      </c>
      <c r="E29" s="1" t="s">
        <v>19</v>
      </c>
      <c r="F29" s="1" t="s">
        <v>20</v>
      </c>
      <c r="G29" s="1" t="s">
        <v>130</v>
      </c>
      <c r="H29" s="1" t="s">
        <v>131</v>
      </c>
      <c r="I29" s="1" t="s">
        <v>75</v>
      </c>
      <c r="J29" s="1" t="s">
        <v>33</v>
      </c>
      <c r="K29" s="5">
        <v>122441.0</v>
      </c>
      <c r="L29" s="6">
        <v>45294.0</v>
      </c>
      <c r="M29" s="7">
        <v>501400.0</v>
      </c>
      <c r="N29" s="4" t="s">
        <v>132</v>
      </c>
      <c r="O29" s="4" t="s">
        <v>26</v>
      </c>
    </row>
    <row r="30" ht="15.75" customHeight="1">
      <c r="A30" s="1" t="s">
        <v>127</v>
      </c>
      <c r="B30" s="1" t="s">
        <v>128</v>
      </c>
      <c r="C30" s="1" t="s">
        <v>129</v>
      </c>
      <c r="D30" s="1" t="s">
        <v>18</v>
      </c>
      <c r="E30" s="1" t="s">
        <v>19</v>
      </c>
      <c r="F30" s="1" t="s">
        <v>20</v>
      </c>
      <c r="G30" s="1" t="s">
        <v>130</v>
      </c>
      <c r="H30" s="1" t="s">
        <v>131</v>
      </c>
      <c r="I30" s="1" t="s">
        <v>75</v>
      </c>
      <c r="J30" s="1" t="s">
        <v>33</v>
      </c>
      <c r="K30" s="5">
        <v>133962.0</v>
      </c>
      <c r="L30" s="6">
        <v>45326.0</v>
      </c>
      <c r="M30" s="7">
        <v>501400.0</v>
      </c>
      <c r="N30" s="4" t="s">
        <v>132</v>
      </c>
      <c r="O30" s="4" t="s">
        <v>26</v>
      </c>
    </row>
    <row r="31" ht="15.75" customHeight="1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137</v>
      </c>
      <c r="F31" s="1" t="s">
        <v>20</v>
      </c>
      <c r="G31" s="1" t="s">
        <v>134</v>
      </c>
      <c r="H31" s="1" t="s">
        <v>138</v>
      </c>
      <c r="I31" s="1" t="s">
        <v>139</v>
      </c>
      <c r="J31" s="1" t="s">
        <v>33</v>
      </c>
      <c r="K31" s="5">
        <v>109470.0</v>
      </c>
      <c r="L31" s="6">
        <v>43466.0</v>
      </c>
      <c r="M31" s="7">
        <v>509100.0</v>
      </c>
      <c r="N31" s="4" t="s">
        <v>25</v>
      </c>
      <c r="O31" s="4" t="s">
        <v>26</v>
      </c>
    </row>
    <row r="32" ht="15.75" customHeight="1">
      <c r="A32" s="1" t="s">
        <v>133</v>
      </c>
      <c r="B32" s="1" t="s">
        <v>134</v>
      </c>
      <c r="C32" s="1" t="s">
        <v>135</v>
      </c>
      <c r="D32" s="1" t="s">
        <v>136</v>
      </c>
      <c r="E32" s="1" t="s">
        <v>137</v>
      </c>
      <c r="F32" s="1" t="s">
        <v>20</v>
      </c>
      <c r="G32" s="1" t="s">
        <v>134</v>
      </c>
      <c r="H32" s="1" t="s">
        <v>138</v>
      </c>
      <c r="I32" s="1" t="s">
        <v>139</v>
      </c>
      <c r="J32" s="1" t="s">
        <v>33</v>
      </c>
      <c r="K32" s="5">
        <v>211512.0</v>
      </c>
      <c r="L32" s="6">
        <v>43552.0</v>
      </c>
      <c r="M32" s="7">
        <v>509100.0</v>
      </c>
      <c r="N32" s="4" t="s">
        <v>25</v>
      </c>
      <c r="O32" s="4" t="s">
        <v>26</v>
      </c>
    </row>
    <row r="33" ht="15.75" customHeight="1">
      <c r="A33" s="1" t="s">
        <v>133</v>
      </c>
      <c r="B33" s="1" t="s">
        <v>134</v>
      </c>
      <c r="C33" s="1" t="s">
        <v>135</v>
      </c>
      <c r="D33" s="1" t="s">
        <v>136</v>
      </c>
      <c r="E33" s="1" t="s">
        <v>137</v>
      </c>
      <c r="F33" s="1" t="s">
        <v>20</v>
      </c>
      <c r="G33" s="1" t="s">
        <v>134</v>
      </c>
      <c r="H33" s="1" t="s">
        <v>138</v>
      </c>
      <c r="I33" s="1" t="s">
        <v>139</v>
      </c>
      <c r="J33" s="1" t="s">
        <v>33</v>
      </c>
      <c r="K33" s="5">
        <v>115392.0</v>
      </c>
      <c r="L33" s="6">
        <v>43613.0</v>
      </c>
      <c r="M33" s="7">
        <v>509100.0</v>
      </c>
      <c r="N33" s="4" t="s">
        <v>25</v>
      </c>
      <c r="O33" s="4" t="s">
        <v>26</v>
      </c>
    </row>
    <row r="34" ht="15.75" customHeight="1">
      <c r="A34" s="1" t="s">
        <v>133</v>
      </c>
      <c r="B34" s="1" t="s">
        <v>134</v>
      </c>
      <c r="C34" s="1" t="s">
        <v>135</v>
      </c>
      <c r="D34" s="1" t="s">
        <v>136</v>
      </c>
      <c r="E34" s="1" t="s">
        <v>137</v>
      </c>
      <c r="F34" s="1" t="s">
        <v>20</v>
      </c>
      <c r="G34" s="1" t="s">
        <v>134</v>
      </c>
      <c r="H34" s="1" t="s">
        <v>138</v>
      </c>
      <c r="I34" s="1" t="s">
        <v>139</v>
      </c>
      <c r="J34" s="1" t="s">
        <v>33</v>
      </c>
      <c r="K34" s="5">
        <v>66906.0</v>
      </c>
      <c r="L34" s="6">
        <v>44203.0</v>
      </c>
      <c r="M34" s="7">
        <v>509100.0</v>
      </c>
      <c r="N34" s="4" t="s">
        <v>25</v>
      </c>
      <c r="O34" s="4" t="s">
        <v>26</v>
      </c>
    </row>
    <row r="35" ht="15.75" customHeight="1">
      <c r="A35" s="1" t="s">
        <v>133</v>
      </c>
      <c r="B35" s="1" t="s">
        <v>134</v>
      </c>
      <c r="C35" s="1" t="s">
        <v>135</v>
      </c>
      <c r="D35" s="1" t="s">
        <v>136</v>
      </c>
      <c r="E35" s="1" t="s">
        <v>137</v>
      </c>
      <c r="F35" s="1" t="s">
        <v>20</v>
      </c>
      <c r="G35" s="1" t="s">
        <v>134</v>
      </c>
      <c r="H35" s="1" t="s">
        <v>138</v>
      </c>
      <c r="I35" s="1" t="s">
        <v>139</v>
      </c>
      <c r="J35" s="1" t="s">
        <v>33</v>
      </c>
      <c r="K35" s="5">
        <v>149277.0</v>
      </c>
      <c r="L35" s="6">
        <v>44111.0</v>
      </c>
      <c r="M35" s="7">
        <v>509100.0</v>
      </c>
      <c r="N35" s="4" t="s">
        <v>25</v>
      </c>
      <c r="O35" s="4" t="s">
        <v>26</v>
      </c>
    </row>
    <row r="36" ht="15.75" customHeight="1">
      <c r="A36" s="1" t="s">
        <v>133</v>
      </c>
      <c r="B36" s="1" t="s">
        <v>134</v>
      </c>
      <c r="C36" s="1" t="s">
        <v>135</v>
      </c>
      <c r="D36" s="1" t="s">
        <v>136</v>
      </c>
      <c r="E36" s="1" t="s">
        <v>137</v>
      </c>
      <c r="F36" s="1" t="s">
        <v>20</v>
      </c>
      <c r="G36" s="1" t="s">
        <v>134</v>
      </c>
      <c r="H36" s="1" t="s">
        <v>138</v>
      </c>
      <c r="I36" s="1" t="s">
        <v>139</v>
      </c>
      <c r="J36" s="1" t="s">
        <v>33</v>
      </c>
      <c r="K36" s="5">
        <v>164820.0</v>
      </c>
      <c r="L36" s="6">
        <v>44927.0</v>
      </c>
      <c r="M36" s="7">
        <v>509100.0</v>
      </c>
      <c r="N36" s="4" t="s">
        <v>25</v>
      </c>
      <c r="O36" s="4" t="s">
        <v>26</v>
      </c>
    </row>
    <row r="37" ht="15.75" customHeight="1">
      <c r="A37" s="1" t="s">
        <v>133</v>
      </c>
      <c r="B37" s="1" t="s">
        <v>134</v>
      </c>
      <c r="C37" s="1" t="s">
        <v>135</v>
      </c>
      <c r="D37" s="1" t="s">
        <v>136</v>
      </c>
      <c r="E37" s="1" t="s">
        <v>137</v>
      </c>
      <c r="F37" s="1" t="s">
        <v>20</v>
      </c>
      <c r="G37" s="1" t="s">
        <v>134</v>
      </c>
      <c r="H37" s="1" t="s">
        <v>138</v>
      </c>
      <c r="I37" s="1" t="s">
        <v>139</v>
      </c>
      <c r="J37" s="1" t="s">
        <v>33</v>
      </c>
      <c r="K37" s="5">
        <v>84017.0</v>
      </c>
      <c r="L37" s="6">
        <v>45206.0</v>
      </c>
      <c r="M37" s="7">
        <v>509100.0</v>
      </c>
      <c r="N37" s="4" t="s">
        <v>25</v>
      </c>
      <c r="O37" s="4" t="s">
        <v>26</v>
      </c>
    </row>
    <row r="38" ht="15.75" customHeight="1">
      <c r="A38" s="1" t="s">
        <v>140</v>
      </c>
      <c r="B38" s="1" t="s">
        <v>141</v>
      </c>
      <c r="C38" s="1" t="s">
        <v>142</v>
      </c>
      <c r="D38" s="1" t="s">
        <v>143</v>
      </c>
      <c r="E38" s="1" t="s">
        <v>144</v>
      </c>
      <c r="F38" s="1" t="s">
        <v>20</v>
      </c>
      <c r="G38" s="1" t="s">
        <v>141</v>
      </c>
      <c r="H38" s="1" t="s">
        <v>145</v>
      </c>
      <c r="I38" s="1" t="s">
        <v>146</v>
      </c>
      <c r="J38" s="1" t="s">
        <v>24</v>
      </c>
      <c r="K38" s="5">
        <v>12770.0</v>
      </c>
      <c r="L38" s="6">
        <v>43468.0</v>
      </c>
      <c r="M38" s="7">
        <v>501400.0</v>
      </c>
      <c r="N38" s="4" t="s">
        <v>147</v>
      </c>
      <c r="O38" s="4" t="s">
        <v>26</v>
      </c>
    </row>
    <row r="39" ht="15.75" customHeight="1">
      <c r="A39" s="1" t="s">
        <v>140</v>
      </c>
      <c r="B39" s="1" t="s">
        <v>141</v>
      </c>
      <c r="C39" s="1" t="s">
        <v>142</v>
      </c>
      <c r="D39" s="1" t="s">
        <v>143</v>
      </c>
      <c r="E39" s="1" t="s">
        <v>144</v>
      </c>
      <c r="F39" s="1" t="s">
        <v>20</v>
      </c>
      <c r="G39" s="1" t="s">
        <v>141</v>
      </c>
      <c r="H39" s="1" t="s">
        <v>145</v>
      </c>
      <c r="I39" s="1" t="s">
        <v>146</v>
      </c>
      <c r="J39" s="1" t="s">
        <v>24</v>
      </c>
      <c r="K39" s="5">
        <v>279575.0</v>
      </c>
      <c r="L39" s="6">
        <v>43556.0</v>
      </c>
      <c r="M39" s="7">
        <v>501400.0</v>
      </c>
      <c r="N39" s="4" t="s">
        <v>147</v>
      </c>
      <c r="O39" s="4" t="s">
        <v>26</v>
      </c>
    </row>
    <row r="40" ht="15.75" customHeight="1">
      <c r="A40" s="1" t="s">
        <v>140</v>
      </c>
      <c r="B40" s="1" t="s">
        <v>141</v>
      </c>
      <c r="C40" s="1" t="s">
        <v>142</v>
      </c>
      <c r="D40" s="1" t="s">
        <v>143</v>
      </c>
      <c r="E40" s="1" t="s">
        <v>144</v>
      </c>
      <c r="F40" s="1" t="s">
        <v>20</v>
      </c>
      <c r="G40" s="1" t="s">
        <v>141</v>
      </c>
      <c r="H40" s="1" t="s">
        <v>145</v>
      </c>
      <c r="I40" s="1" t="s">
        <v>146</v>
      </c>
      <c r="J40" s="1" t="s">
        <v>24</v>
      </c>
      <c r="K40" s="5">
        <v>229019.0</v>
      </c>
      <c r="L40" s="6">
        <v>43617.0</v>
      </c>
      <c r="M40" s="7">
        <v>501400.0</v>
      </c>
      <c r="N40" s="4" t="s">
        <v>147</v>
      </c>
      <c r="O40" s="4" t="s">
        <v>26</v>
      </c>
    </row>
    <row r="41" ht="15.75" customHeight="1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 t="s">
        <v>20</v>
      </c>
      <c r="G41" s="1" t="s">
        <v>141</v>
      </c>
      <c r="H41" s="1" t="s">
        <v>145</v>
      </c>
      <c r="I41" s="1" t="s">
        <v>146</v>
      </c>
      <c r="J41" s="1" t="s">
        <v>24</v>
      </c>
      <c r="K41" s="5">
        <v>277032.0</v>
      </c>
      <c r="L41" s="6">
        <v>44206.0</v>
      </c>
      <c r="M41" s="7">
        <v>501400.0</v>
      </c>
      <c r="N41" s="4" t="s">
        <v>147</v>
      </c>
      <c r="O41" s="4" t="s">
        <v>26</v>
      </c>
    </row>
    <row r="42" ht="15.75" customHeight="1">
      <c r="A42" s="1" t="s">
        <v>140</v>
      </c>
      <c r="B42" s="1" t="s">
        <v>141</v>
      </c>
      <c r="C42" s="1" t="s">
        <v>142</v>
      </c>
      <c r="D42" s="1" t="s">
        <v>143</v>
      </c>
      <c r="E42" s="1" t="s">
        <v>144</v>
      </c>
      <c r="F42" s="1" t="s">
        <v>20</v>
      </c>
      <c r="G42" s="1" t="s">
        <v>141</v>
      </c>
      <c r="H42" s="1" t="s">
        <v>145</v>
      </c>
      <c r="I42" s="1" t="s">
        <v>146</v>
      </c>
      <c r="J42" s="1" t="s">
        <v>24</v>
      </c>
      <c r="K42" s="5">
        <v>170554.0</v>
      </c>
      <c r="L42" s="6">
        <v>44114.0</v>
      </c>
      <c r="M42" s="7">
        <v>501400.0</v>
      </c>
      <c r="N42" s="4" t="s">
        <v>147</v>
      </c>
      <c r="O42" s="4" t="s">
        <v>26</v>
      </c>
    </row>
    <row r="43" ht="15.75" customHeight="1">
      <c r="A43" s="1" t="s">
        <v>140</v>
      </c>
      <c r="B43" s="1" t="s">
        <v>141</v>
      </c>
      <c r="C43" s="1" t="s">
        <v>142</v>
      </c>
      <c r="D43" s="1" t="s">
        <v>143</v>
      </c>
      <c r="E43" s="1" t="s">
        <v>144</v>
      </c>
      <c r="F43" s="1" t="s">
        <v>20</v>
      </c>
      <c r="G43" s="1" t="s">
        <v>141</v>
      </c>
      <c r="H43" s="1" t="s">
        <v>145</v>
      </c>
      <c r="I43" s="1" t="s">
        <v>146</v>
      </c>
      <c r="J43" s="1" t="s">
        <v>24</v>
      </c>
      <c r="K43" s="5">
        <v>109099.0</v>
      </c>
      <c r="L43" s="6">
        <v>44929.0</v>
      </c>
      <c r="M43" s="7">
        <v>501400.0</v>
      </c>
      <c r="N43" s="4" t="s">
        <v>147</v>
      </c>
      <c r="O43" s="4" t="s">
        <v>26</v>
      </c>
    </row>
    <row r="44" ht="15.75" customHeight="1">
      <c r="A44" s="1" t="s">
        <v>140</v>
      </c>
      <c r="B44" s="1" t="s">
        <v>141</v>
      </c>
      <c r="C44" s="1" t="s">
        <v>142</v>
      </c>
      <c r="D44" s="1" t="s">
        <v>143</v>
      </c>
      <c r="E44" s="1" t="s">
        <v>144</v>
      </c>
      <c r="F44" s="1" t="s">
        <v>20</v>
      </c>
      <c r="G44" s="1" t="s">
        <v>141</v>
      </c>
      <c r="H44" s="1" t="s">
        <v>145</v>
      </c>
      <c r="I44" s="1" t="s">
        <v>146</v>
      </c>
      <c r="J44" s="1" t="s">
        <v>24</v>
      </c>
      <c r="K44" s="5">
        <v>120929.0</v>
      </c>
      <c r="L44" s="6">
        <v>45209.0</v>
      </c>
      <c r="M44" s="7">
        <v>501400.0</v>
      </c>
      <c r="N44" s="4" t="s">
        <v>147</v>
      </c>
      <c r="O44" s="4" t="s">
        <v>26</v>
      </c>
    </row>
    <row r="45" ht="15.75" customHeight="1">
      <c r="A45" s="1" t="s">
        <v>148</v>
      </c>
      <c r="B45" s="1" t="s">
        <v>149</v>
      </c>
      <c r="C45" s="1" t="s">
        <v>150</v>
      </c>
      <c r="D45" s="1" t="s">
        <v>151</v>
      </c>
      <c r="E45" s="1" t="s">
        <v>137</v>
      </c>
      <c r="F45" s="1" t="s">
        <v>20</v>
      </c>
      <c r="G45" s="1" t="s">
        <v>149</v>
      </c>
      <c r="H45" s="1" t="s">
        <v>152</v>
      </c>
      <c r="I45" s="1" t="s">
        <v>153</v>
      </c>
      <c r="J45" s="1" t="s">
        <v>154</v>
      </c>
      <c r="K45" s="5">
        <v>272036.0</v>
      </c>
      <c r="L45" s="6">
        <v>43470.0</v>
      </c>
      <c r="M45" s="7">
        <v>501400.0</v>
      </c>
      <c r="N45" s="4" t="s">
        <v>25</v>
      </c>
      <c r="O45" s="4" t="s">
        <v>26</v>
      </c>
    </row>
    <row r="46" ht="15.75" customHeight="1">
      <c r="A46" s="1" t="s">
        <v>148</v>
      </c>
      <c r="B46" s="1" t="s">
        <v>149</v>
      </c>
      <c r="C46" s="1" t="s">
        <v>150</v>
      </c>
      <c r="D46" s="1" t="s">
        <v>151</v>
      </c>
      <c r="E46" s="1" t="s">
        <v>137</v>
      </c>
      <c r="F46" s="1" t="s">
        <v>20</v>
      </c>
      <c r="G46" s="1" t="s">
        <v>149</v>
      </c>
      <c r="H46" s="1" t="s">
        <v>152</v>
      </c>
      <c r="I46" s="1" t="s">
        <v>153</v>
      </c>
      <c r="J46" s="1" t="s">
        <v>154</v>
      </c>
      <c r="K46" s="5">
        <v>211801.0</v>
      </c>
      <c r="L46" s="6">
        <v>43559.0</v>
      </c>
      <c r="M46" s="7">
        <v>501400.0</v>
      </c>
      <c r="N46" s="4" t="s">
        <v>25</v>
      </c>
      <c r="O46" s="4" t="s">
        <v>26</v>
      </c>
    </row>
    <row r="47" ht="15.75" customHeight="1">
      <c r="A47" s="1" t="s">
        <v>148</v>
      </c>
      <c r="B47" s="1" t="s">
        <v>149</v>
      </c>
      <c r="C47" s="1" t="s">
        <v>150</v>
      </c>
      <c r="D47" s="1" t="s">
        <v>151</v>
      </c>
      <c r="E47" s="1" t="s">
        <v>137</v>
      </c>
      <c r="F47" s="1" t="s">
        <v>20</v>
      </c>
      <c r="G47" s="1" t="s">
        <v>149</v>
      </c>
      <c r="H47" s="1" t="s">
        <v>152</v>
      </c>
      <c r="I47" s="1" t="s">
        <v>153</v>
      </c>
      <c r="J47" s="1" t="s">
        <v>154</v>
      </c>
      <c r="K47" s="5">
        <v>153534.0</v>
      </c>
      <c r="L47" s="6">
        <v>43620.0</v>
      </c>
      <c r="M47" s="7">
        <v>501400.0</v>
      </c>
      <c r="N47" s="4" t="s">
        <v>25</v>
      </c>
      <c r="O47" s="4" t="s">
        <v>26</v>
      </c>
    </row>
    <row r="48" ht="15.75" customHeight="1">
      <c r="A48" s="1" t="s">
        <v>148</v>
      </c>
      <c r="B48" s="1" t="s">
        <v>149</v>
      </c>
      <c r="C48" s="1" t="s">
        <v>150</v>
      </c>
      <c r="D48" s="1" t="s">
        <v>151</v>
      </c>
      <c r="E48" s="1" t="s">
        <v>137</v>
      </c>
      <c r="F48" s="1" t="s">
        <v>20</v>
      </c>
      <c r="G48" s="1" t="s">
        <v>149</v>
      </c>
      <c r="H48" s="1" t="s">
        <v>152</v>
      </c>
      <c r="I48" s="1" t="s">
        <v>153</v>
      </c>
      <c r="J48" s="1" t="s">
        <v>154</v>
      </c>
      <c r="K48" s="5">
        <v>291211.0</v>
      </c>
      <c r="L48" s="6">
        <v>44209.0</v>
      </c>
      <c r="M48" s="7">
        <v>501400.0</v>
      </c>
      <c r="N48" s="4" t="s">
        <v>25</v>
      </c>
      <c r="O48" s="4" t="s">
        <v>26</v>
      </c>
    </row>
    <row r="49" ht="15.75" customHeight="1">
      <c r="A49" s="1" t="s">
        <v>148</v>
      </c>
      <c r="B49" s="1" t="s">
        <v>149</v>
      </c>
      <c r="C49" s="1" t="s">
        <v>150</v>
      </c>
      <c r="D49" s="1" t="s">
        <v>151</v>
      </c>
      <c r="E49" s="1" t="s">
        <v>137</v>
      </c>
      <c r="F49" s="1" t="s">
        <v>20</v>
      </c>
      <c r="G49" s="1" t="s">
        <v>149</v>
      </c>
      <c r="H49" s="1" t="s">
        <v>152</v>
      </c>
      <c r="I49" s="1" t="s">
        <v>153</v>
      </c>
      <c r="J49" s="1" t="s">
        <v>154</v>
      </c>
      <c r="K49" s="5">
        <v>25100.0</v>
      </c>
      <c r="L49" s="6">
        <v>44117.0</v>
      </c>
      <c r="M49" s="7">
        <v>501400.0</v>
      </c>
      <c r="N49" s="4" t="s">
        <v>25</v>
      </c>
      <c r="O49" s="4" t="s">
        <v>26</v>
      </c>
    </row>
    <row r="50" ht="15.75" customHeight="1">
      <c r="A50" s="1" t="s">
        <v>148</v>
      </c>
      <c r="B50" s="1" t="s">
        <v>149</v>
      </c>
      <c r="C50" s="1" t="s">
        <v>150</v>
      </c>
      <c r="D50" s="1" t="s">
        <v>151</v>
      </c>
      <c r="E50" s="1" t="s">
        <v>137</v>
      </c>
      <c r="F50" s="1" t="s">
        <v>20</v>
      </c>
      <c r="G50" s="1" t="s">
        <v>149</v>
      </c>
      <c r="H50" s="1" t="s">
        <v>152</v>
      </c>
      <c r="I50" s="1" t="s">
        <v>153</v>
      </c>
      <c r="J50" s="1" t="s">
        <v>154</v>
      </c>
      <c r="K50" s="5">
        <v>136125.0</v>
      </c>
      <c r="L50" s="6">
        <v>44931.0</v>
      </c>
      <c r="M50" s="7">
        <v>501400.0</v>
      </c>
      <c r="N50" s="4" t="s">
        <v>25</v>
      </c>
      <c r="O50" s="4" t="s">
        <v>26</v>
      </c>
    </row>
    <row r="51" ht="15.75" customHeight="1">
      <c r="A51" s="1" t="s">
        <v>148</v>
      </c>
      <c r="B51" s="1" t="s">
        <v>149</v>
      </c>
      <c r="C51" s="1" t="s">
        <v>150</v>
      </c>
      <c r="D51" s="1" t="s">
        <v>151</v>
      </c>
      <c r="E51" s="1" t="s">
        <v>137</v>
      </c>
      <c r="F51" s="1" t="s">
        <v>20</v>
      </c>
      <c r="G51" s="1" t="s">
        <v>149</v>
      </c>
      <c r="H51" s="1" t="s">
        <v>152</v>
      </c>
      <c r="I51" s="1" t="s">
        <v>153</v>
      </c>
      <c r="J51" s="1" t="s">
        <v>154</v>
      </c>
      <c r="K51" s="5">
        <v>151245.0</v>
      </c>
      <c r="L51" s="6">
        <v>45212.0</v>
      </c>
      <c r="M51" s="7">
        <v>501400.0</v>
      </c>
      <c r="N51" s="4" t="s">
        <v>25</v>
      </c>
      <c r="O51" s="4" t="s">
        <v>26</v>
      </c>
    </row>
    <row r="52" ht="15.75" customHeight="1">
      <c r="A52" s="1" t="s">
        <v>155</v>
      </c>
      <c r="B52" s="1" t="s">
        <v>156</v>
      </c>
      <c r="C52" s="1" t="s">
        <v>157</v>
      </c>
      <c r="D52" s="1" t="s">
        <v>158</v>
      </c>
      <c r="E52" s="1" t="s">
        <v>159</v>
      </c>
      <c r="F52" s="1" t="s">
        <v>20</v>
      </c>
      <c r="G52" s="1" t="s">
        <v>156</v>
      </c>
      <c r="H52" s="1" t="s">
        <v>160</v>
      </c>
      <c r="I52" s="1" t="s">
        <v>161</v>
      </c>
      <c r="J52" s="1" t="s">
        <v>33</v>
      </c>
      <c r="K52" s="5">
        <v>10352.0</v>
      </c>
      <c r="L52" s="6">
        <v>43472.0</v>
      </c>
      <c r="M52" s="7">
        <v>502100.0</v>
      </c>
      <c r="N52" s="4" t="s">
        <v>25</v>
      </c>
      <c r="O52" s="4" t="s">
        <v>26</v>
      </c>
    </row>
    <row r="53" ht="15.75" customHeight="1">
      <c r="A53" s="1" t="s">
        <v>155</v>
      </c>
      <c r="B53" s="1" t="s">
        <v>156</v>
      </c>
      <c r="C53" s="1" t="s">
        <v>157</v>
      </c>
      <c r="D53" s="1" t="s">
        <v>158</v>
      </c>
      <c r="E53" s="1" t="s">
        <v>159</v>
      </c>
      <c r="F53" s="1" t="s">
        <v>20</v>
      </c>
      <c r="G53" s="1" t="s">
        <v>156</v>
      </c>
      <c r="H53" s="1" t="s">
        <v>160</v>
      </c>
      <c r="I53" s="1" t="s">
        <v>161</v>
      </c>
      <c r="J53" s="1" t="s">
        <v>33</v>
      </c>
      <c r="K53" s="5">
        <v>199434.0</v>
      </c>
      <c r="L53" s="6">
        <v>43562.0</v>
      </c>
      <c r="M53" s="7">
        <v>502100.0</v>
      </c>
      <c r="N53" s="4" t="s">
        <v>25</v>
      </c>
      <c r="O53" s="4" t="s">
        <v>26</v>
      </c>
    </row>
    <row r="54" ht="15.75" customHeight="1">
      <c r="A54" s="1" t="s">
        <v>155</v>
      </c>
      <c r="B54" s="1" t="s">
        <v>156</v>
      </c>
      <c r="C54" s="1" t="s">
        <v>157</v>
      </c>
      <c r="D54" s="1" t="s">
        <v>158</v>
      </c>
      <c r="E54" s="1" t="s">
        <v>159</v>
      </c>
      <c r="F54" s="1" t="s">
        <v>20</v>
      </c>
      <c r="G54" s="1" t="s">
        <v>156</v>
      </c>
      <c r="H54" s="1" t="s">
        <v>160</v>
      </c>
      <c r="I54" s="1" t="s">
        <v>161</v>
      </c>
      <c r="J54" s="1" t="s">
        <v>33</v>
      </c>
      <c r="K54" s="5">
        <v>288754.0</v>
      </c>
      <c r="L54" s="6">
        <v>44212.0</v>
      </c>
      <c r="M54" s="7">
        <v>502100.0</v>
      </c>
      <c r="N54" s="4" t="s">
        <v>25</v>
      </c>
      <c r="O54" s="4" t="s">
        <v>26</v>
      </c>
    </row>
    <row r="55" ht="15.75" customHeight="1">
      <c r="A55" s="1" t="s">
        <v>155</v>
      </c>
      <c r="B55" s="1" t="s">
        <v>156</v>
      </c>
      <c r="C55" s="1" t="s">
        <v>157</v>
      </c>
      <c r="D55" s="1" t="s">
        <v>158</v>
      </c>
      <c r="E55" s="1" t="s">
        <v>159</v>
      </c>
      <c r="F55" s="1" t="s">
        <v>20</v>
      </c>
      <c r="G55" s="1" t="s">
        <v>156</v>
      </c>
      <c r="H55" s="1" t="s">
        <v>160</v>
      </c>
      <c r="I55" s="1" t="s">
        <v>161</v>
      </c>
      <c r="J55" s="1" t="s">
        <v>33</v>
      </c>
      <c r="K55" s="5">
        <v>241670.0</v>
      </c>
      <c r="L55" s="6">
        <v>44933.0</v>
      </c>
      <c r="M55" s="7">
        <v>502100.0</v>
      </c>
      <c r="N55" s="4" t="s">
        <v>25</v>
      </c>
      <c r="O55" s="4" t="s">
        <v>26</v>
      </c>
    </row>
    <row r="56" ht="15.75" customHeight="1">
      <c r="A56" s="1" t="s">
        <v>162</v>
      </c>
      <c r="B56" s="1" t="s">
        <v>163</v>
      </c>
      <c r="C56" s="1" t="s">
        <v>164</v>
      </c>
      <c r="D56" s="1" t="s">
        <v>165</v>
      </c>
      <c r="E56" s="1" t="s">
        <v>137</v>
      </c>
      <c r="F56" s="1" t="s">
        <v>20</v>
      </c>
      <c r="G56" s="1" t="s">
        <v>163</v>
      </c>
      <c r="H56" s="1" t="s">
        <v>166</v>
      </c>
      <c r="I56" s="1" t="s">
        <v>167</v>
      </c>
      <c r="J56" s="1" t="s">
        <v>168</v>
      </c>
      <c r="K56" s="5">
        <v>291670.0</v>
      </c>
      <c r="L56" s="6">
        <v>43475.0</v>
      </c>
      <c r="M56" s="7">
        <v>516000.0</v>
      </c>
      <c r="N56" s="4" t="s">
        <v>169</v>
      </c>
      <c r="O56" s="4" t="s">
        <v>26</v>
      </c>
    </row>
    <row r="57" ht="15.75" customHeight="1">
      <c r="A57" s="1" t="s">
        <v>162</v>
      </c>
      <c r="B57" s="1" t="s">
        <v>163</v>
      </c>
      <c r="C57" s="1" t="s">
        <v>164</v>
      </c>
      <c r="D57" s="1" t="s">
        <v>165</v>
      </c>
      <c r="E57" s="1" t="s">
        <v>137</v>
      </c>
      <c r="F57" s="1" t="s">
        <v>20</v>
      </c>
      <c r="G57" s="1" t="s">
        <v>163</v>
      </c>
      <c r="H57" s="1" t="s">
        <v>166</v>
      </c>
      <c r="I57" s="1" t="s">
        <v>167</v>
      </c>
      <c r="J57" s="1" t="s">
        <v>168</v>
      </c>
      <c r="K57" s="5">
        <v>175139.0</v>
      </c>
      <c r="L57" s="6">
        <v>43565.0</v>
      </c>
      <c r="M57" s="7">
        <v>516000.0</v>
      </c>
      <c r="N57" s="4" t="s">
        <v>169</v>
      </c>
      <c r="O57" s="4" t="s">
        <v>26</v>
      </c>
    </row>
    <row r="58" ht="15.75" customHeight="1">
      <c r="A58" s="1" t="s">
        <v>162</v>
      </c>
      <c r="B58" s="1" t="s">
        <v>163</v>
      </c>
      <c r="C58" s="1" t="s">
        <v>164</v>
      </c>
      <c r="D58" s="1" t="s">
        <v>165</v>
      </c>
      <c r="E58" s="1" t="s">
        <v>137</v>
      </c>
      <c r="F58" s="1" t="s">
        <v>20</v>
      </c>
      <c r="G58" s="1" t="s">
        <v>163</v>
      </c>
      <c r="H58" s="1" t="s">
        <v>166</v>
      </c>
      <c r="I58" s="1" t="s">
        <v>167</v>
      </c>
      <c r="J58" s="1" t="s">
        <v>168</v>
      </c>
      <c r="K58" s="5">
        <v>140691.0</v>
      </c>
      <c r="L58" s="6">
        <v>44215.0</v>
      </c>
      <c r="M58" s="7">
        <v>516000.0</v>
      </c>
      <c r="N58" s="4" t="s">
        <v>169</v>
      </c>
      <c r="O58" s="4" t="s">
        <v>26</v>
      </c>
    </row>
    <row r="59" ht="15.75" customHeight="1">
      <c r="A59" s="1" t="s">
        <v>162</v>
      </c>
      <c r="B59" s="1" t="s">
        <v>163</v>
      </c>
      <c r="C59" s="1" t="s">
        <v>164</v>
      </c>
      <c r="D59" s="1" t="s">
        <v>165</v>
      </c>
      <c r="E59" s="1" t="s">
        <v>137</v>
      </c>
      <c r="F59" s="1" t="s">
        <v>20</v>
      </c>
      <c r="G59" s="1" t="s">
        <v>163</v>
      </c>
      <c r="H59" s="1" t="s">
        <v>166</v>
      </c>
      <c r="I59" s="1" t="s">
        <v>167</v>
      </c>
      <c r="J59" s="1" t="s">
        <v>168</v>
      </c>
      <c r="K59" s="5">
        <v>257510.0</v>
      </c>
      <c r="L59" s="6">
        <v>44936.0</v>
      </c>
      <c r="M59" s="7">
        <v>516000.0</v>
      </c>
      <c r="N59" s="4" t="s">
        <v>169</v>
      </c>
      <c r="O59" s="4" t="s">
        <v>26</v>
      </c>
    </row>
    <row r="60" ht="15.75" customHeight="1">
      <c r="A60" s="1" t="s">
        <v>170</v>
      </c>
      <c r="B60" s="1" t="s">
        <v>171</v>
      </c>
      <c r="C60" s="1" t="s">
        <v>172</v>
      </c>
      <c r="D60" s="1" t="s">
        <v>173</v>
      </c>
      <c r="E60" s="1" t="s">
        <v>144</v>
      </c>
      <c r="F60" s="1" t="s">
        <v>20</v>
      </c>
      <c r="G60" s="1" t="s">
        <v>171</v>
      </c>
      <c r="H60" s="1" t="s">
        <v>174</v>
      </c>
      <c r="I60" s="1" t="s">
        <v>175</v>
      </c>
      <c r="J60" s="1" t="s">
        <v>33</v>
      </c>
      <c r="K60" s="5">
        <v>104176.0</v>
      </c>
      <c r="L60" s="6">
        <v>43507.0</v>
      </c>
      <c r="M60" s="7">
        <v>507100.0</v>
      </c>
      <c r="N60" s="4" t="s">
        <v>176</v>
      </c>
      <c r="O60" s="4" t="s">
        <v>26</v>
      </c>
    </row>
    <row r="61" ht="15.75" customHeight="1">
      <c r="A61" s="1" t="s">
        <v>170</v>
      </c>
      <c r="B61" s="1" t="s">
        <v>171</v>
      </c>
      <c r="C61" s="1" t="s">
        <v>172</v>
      </c>
      <c r="D61" s="1" t="s">
        <v>173</v>
      </c>
      <c r="E61" s="1" t="s">
        <v>144</v>
      </c>
      <c r="F61" s="1" t="s">
        <v>20</v>
      </c>
      <c r="G61" s="1" t="s">
        <v>171</v>
      </c>
      <c r="H61" s="1" t="s">
        <v>174</v>
      </c>
      <c r="I61" s="1" t="s">
        <v>175</v>
      </c>
      <c r="J61" s="1" t="s">
        <v>33</v>
      </c>
      <c r="K61" s="5">
        <v>18742.0</v>
      </c>
      <c r="L61" s="6">
        <v>43568.0</v>
      </c>
      <c r="M61" s="7">
        <v>507100.0</v>
      </c>
      <c r="N61" s="4" t="s">
        <v>176</v>
      </c>
      <c r="O61" s="4" t="s">
        <v>26</v>
      </c>
    </row>
    <row r="62" ht="15.75" customHeight="1">
      <c r="A62" s="1" t="s">
        <v>170</v>
      </c>
      <c r="B62" s="1" t="s">
        <v>171</v>
      </c>
      <c r="C62" s="1" t="s">
        <v>172</v>
      </c>
      <c r="D62" s="1" t="s">
        <v>173</v>
      </c>
      <c r="E62" s="1" t="s">
        <v>144</v>
      </c>
      <c r="F62" s="1" t="s">
        <v>20</v>
      </c>
      <c r="G62" s="1" t="s">
        <v>171</v>
      </c>
      <c r="H62" s="1" t="s">
        <v>174</v>
      </c>
      <c r="I62" s="1" t="s">
        <v>175</v>
      </c>
      <c r="J62" s="1" t="s">
        <v>33</v>
      </c>
      <c r="K62" s="5">
        <v>29783.0</v>
      </c>
      <c r="L62" s="6">
        <v>44218.0</v>
      </c>
      <c r="M62" s="7">
        <v>507100.0</v>
      </c>
      <c r="N62" s="4" t="s">
        <v>176</v>
      </c>
      <c r="O62" s="4" t="s">
        <v>26</v>
      </c>
    </row>
    <row r="63" ht="15.75" customHeight="1">
      <c r="A63" s="1" t="s">
        <v>170</v>
      </c>
      <c r="B63" s="1" t="s">
        <v>171</v>
      </c>
      <c r="C63" s="1" t="s">
        <v>172</v>
      </c>
      <c r="D63" s="1" t="s">
        <v>173</v>
      </c>
      <c r="E63" s="1" t="s">
        <v>144</v>
      </c>
      <c r="F63" s="1" t="s">
        <v>20</v>
      </c>
      <c r="G63" s="1" t="s">
        <v>171</v>
      </c>
      <c r="H63" s="1" t="s">
        <v>174</v>
      </c>
      <c r="I63" s="1" t="s">
        <v>175</v>
      </c>
      <c r="J63" s="1" t="s">
        <v>33</v>
      </c>
      <c r="K63" s="5">
        <v>47776.0</v>
      </c>
      <c r="L63" s="6">
        <v>44968.0</v>
      </c>
      <c r="M63" s="7">
        <v>507100.0</v>
      </c>
      <c r="N63" s="4" t="s">
        <v>176</v>
      </c>
      <c r="O63" s="4" t="s">
        <v>26</v>
      </c>
    </row>
    <row r="64" ht="15.75" customHeight="1">
      <c r="A64" s="1" t="s">
        <v>177</v>
      </c>
      <c r="B64" s="1" t="s">
        <v>178</v>
      </c>
      <c r="C64" s="1" t="s">
        <v>179</v>
      </c>
      <c r="D64" s="1" t="s">
        <v>136</v>
      </c>
      <c r="E64" s="1" t="s">
        <v>137</v>
      </c>
      <c r="F64" s="1" t="s">
        <v>20</v>
      </c>
      <c r="G64" s="1" t="s">
        <v>178</v>
      </c>
      <c r="H64" s="1" t="s">
        <v>180</v>
      </c>
      <c r="I64" s="1" t="s">
        <v>181</v>
      </c>
      <c r="J64" s="1" t="s">
        <v>24</v>
      </c>
      <c r="K64" s="5">
        <v>64042.0</v>
      </c>
      <c r="L64" s="6">
        <v>43510.0</v>
      </c>
      <c r="M64" s="7">
        <v>509100.0</v>
      </c>
      <c r="N64" s="4" t="s">
        <v>182</v>
      </c>
      <c r="O64" s="4" t="s">
        <v>26</v>
      </c>
    </row>
    <row r="65" ht="15.75" customHeight="1">
      <c r="A65" s="1" t="s">
        <v>177</v>
      </c>
      <c r="B65" s="1" t="s">
        <v>178</v>
      </c>
      <c r="C65" s="1" t="s">
        <v>179</v>
      </c>
      <c r="D65" s="1" t="s">
        <v>136</v>
      </c>
      <c r="E65" s="1" t="s">
        <v>137</v>
      </c>
      <c r="F65" s="1" t="s">
        <v>20</v>
      </c>
      <c r="G65" s="1" t="s">
        <v>178</v>
      </c>
      <c r="H65" s="1" t="s">
        <v>180</v>
      </c>
      <c r="I65" s="1" t="s">
        <v>181</v>
      </c>
      <c r="J65" s="1" t="s">
        <v>24</v>
      </c>
      <c r="K65" s="5">
        <v>271022.0</v>
      </c>
      <c r="L65" s="6">
        <v>43571.0</v>
      </c>
      <c r="M65" s="7">
        <v>509100.0</v>
      </c>
      <c r="N65" s="4" t="s">
        <v>182</v>
      </c>
      <c r="O65" s="4" t="s">
        <v>26</v>
      </c>
    </row>
    <row r="66" ht="15.75" customHeight="1">
      <c r="A66" s="1" t="s">
        <v>177</v>
      </c>
      <c r="B66" s="1" t="s">
        <v>178</v>
      </c>
      <c r="C66" s="1" t="s">
        <v>179</v>
      </c>
      <c r="D66" s="1" t="s">
        <v>136</v>
      </c>
      <c r="E66" s="1" t="s">
        <v>137</v>
      </c>
      <c r="F66" s="1" t="s">
        <v>20</v>
      </c>
      <c r="G66" s="1" t="s">
        <v>178</v>
      </c>
      <c r="H66" s="1" t="s">
        <v>180</v>
      </c>
      <c r="I66" s="1" t="s">
        <v>181</v>
      </c>
      <c r="J66" s="1" t="s">
        <v>24</v>
      </c>
      <c r="K66" s="5">
        <v>269442.0</v>
      </c>
      <c r="L66" s="6">
        <v>44221.0</v>
      </c>
      <c r="M66" s="7">
        <v>509100.0</v>
      </c>
      <c r="N66" s="4" t="s">
        <v>182</v>
      </c>
      <c r="O66" s="4" t="s">
        <v>26</v>
      </c>
    </row>
    <row r="67" ht="15.75" customHeight="1">
      <c r="A67" s="1" t="s">
        <v>177</v>
      </c>
      <c r="B67" s="1" t="s">
        <v>178</v>
      </c>
      <c r="C67" s="1" t="s">
        <v>179</v>
      </c>
      <c r="D67" s="1" t="s">
        <v>136</v>
      </c>
      <c r="E67" s="1" t="s">
        <v>137</v>
      </c>
      <c r="F67" s="1" t="s">
        <v>20</v>
      </c>
      <c r="G67" s="1" t="s">
        <v>178</v>
      </c>
      <c r="H67" s="1" t="s">
        <v>180</v>
      </c>
      <c r="I67" s="1" t="s">
        <v>181</v>
      </c>
      <c r="J67" s="1" t="s">
        <v>24</v>
      </c>
      <c r="K67" s="5">
        <v>51622.0</v>
      </c>
      <c r="L67" s="6">
        <v>44971.0</v>
      </c>
      <c r="M67" s="7">
        <v>509100.0</v>
      </c>
      <c r="N67" s="4" t="s">
        <v>182</v>
      </c>
      <c r="O67" s="4" t="s">
        <v>26</v>
      </c>
    </row>
    <row r="68" ht="15.75" customHeight="1">
      <c r="A68" s="1" t="s">
        <v>183</v>
      </c>
      <c r="B68" s="1" t="s">
        <v>184</v>
      </c>
      <c r="C68" s="1" t="s">
        <v>185</v>
      </c>
      <c r="D68" s="1" t="s">
        <v>151</v>
      </c>
      <c r="E68" s="1" t="s">
        <v>159</v>
      </c>
      <c r="F68" s="1" t="s">
        <v>20</v>
      </c>
      <c r="G68" s="1" t="s">
        <v>184</v>
      </c>
      <c r="H68" s="1" t="s">
        <v>186</v>
      </c>
      <c r="I68" s="1" t="s">
        <v>187</v>
      </c>
      <c r="J68" s="1" t="s">
        <v>154</v>
      </c>
      <c r="K68" s="5">
        <v>131033.0</v>
      </c>
      <c r="L68" s="6">
        <v>43513.0</v>
      </c>
      <c r="M68" s="7">
        <v>501400.0</v>
      </c>
      <c r="N68" s="4" t="s">
        <v>188</v>
      </c>
      <c r="O68" s="4" t="s">
        <v>26</v>
      </c>
    </row>
    <row r="69" ht="15.75" customHeight="1">
      <c r="A69" s="1" t="s">
        <v>183</v>
      </c>
      <c r="B69" s="1" t="s">
        <v>184</v>
      </c>
      <c r="C69" s="1" t="s">
        <v>185</v>
      </c>
      <c r="D69" s="1" t="s">
        <v>151</v>
      </c>
      <c r="E69" s="1" t="s">
        <v>159</v>
      </c>
      <c r="F69" s="1" t="s">
        <v>20</v>
      </c>
      <c r="G69" s="1" t="s">
        <v>184</v>
      </c>
      <c r="H69" s="1" t="s">
        <v>186</v>
      </c>
      <c r="I69" s="1" t="s">
        <v>187</v>
      </c>
      <c r="J69" s="1" t="s">
        <v>154</v>
      </c>
      <c r="K69" s="5">
        <v>166866.0</v>
      </c>
      <c r="L69" s="6">
        <v>43574.0</v>
      </c>
      <c r="M69" s="7">
        <v>501400.0</v>
      </c>
      <c r="N69" s="4" t="s">
        <v>188</v>
      </c>
      <c r="O69" s="4" t="s">
        <v>26</v>
      </c>
    </row>
    <row r="70" ht="15.75" customHeight="1">
      <c r="A70" s="1" t="s">
        <v>183</v>
      </c>
      <c r="B70" s="1" t="s">
        <v>184</v>
      </c>
      <c r="C70" s="1" t="s">
        <v>185</v>
      </c>
      <c r="D70" s="1" t="s">
        <v>151</v>
      </c>
      <c r="E70" s="1" t="s">
        <v>159</v>
      </c>
      <c r="F70" s="1" t="s">
        <v>20</v>
      </c>
      <c r="G70" s="1" t="s">
        <v>184</v>
      </c>
      <c r="H70" s="1" t="s">
        <v>186</v>
      </c>
      <c r="I70" s="1" t="s">
        <v>187</v>
      </c>
      <c r="J70" s="1" t="s">
        <v>154</v>
      </c>
      <c r="K70" s="5">
        <v>42714.0</v>
      </c>
      <c r="L70" s="6">
        <v>44224.0</v>
      </c>
      <c r="M70" s="7">
        <v>501400.0</v>
      </c>
      <c r="N70" s="4" t="s">
        <v>188</v>
      </c>
      <c r="O70" s="4" t="s">
        <v>26</v>
      </c>
    </row>
    <row r="71" ht="15.75" customHeight="1">
      <c r="A71" s="1" t="s">
        <v>183</v>
      </c>
      <c r="B71" s="1" t="s">
        <v>184</v>
      </c>
      <c r="C71" s="1" t="s">
        <v>185</v>
      </c>
      <c r="D71" s="1" t="s">
        <v>151</v>
      </c>
      <c r="E71" s="1" t="s">
        <v>159</v>
      </c>
      <c r="F71" s="1" t="s">
        <v>20</v>
      </c>
      <c r="G71" s="1" t="s">
        <v>184</v>
      </c>
      <c r="H71" s="1" t="s">
        <v>186</v>
      </c>
      <c r="I71" s="1" t="s">
        <v>187</v>
      </c>
      <c r="J71" s="1" t="s">
        <v>154</v>
      </c>
      <c r="K71" s="5">
        <v>130133.0</v>
      </c>
      <c r="L71" s="6">
        <v>44974.0</v>
      </c>
      <c r="M71" s="7">
        <v>501400.0</v>
      </c>
      <c r="N71" s="4" t="s">
        <v>188</v>
      </c>
      <c r="O71" s="4" t="s">
        <v>26</v>
      </c>
    </row>
    <row r="72" ht="15.75" customHeight="1">
      <c r="A72" s="1" t="s">
        <v>189</v>
      </c>
      <c r="B72" s="1" t="s">
        <v>190</v>
      </c>
      <c r="C72" s="1" t="s">
        <v>191</v>
      </c>
      <c r="D72" s="1" t="s">
        <v>158</v>
      </c>
      <c r="E72" s="1" t="s">
        <v>137</v>
      </c>
      <c r="F72" s="1" t="s">
        <v>20</v>
      </c>
      <c r="G72" s="1" t="s">
        <v>190</v>
      </c>
      <c r="H72" s="1" t="s">
        <v>192</v>
      </c>
      <c r="I72" s="1" t="s">
        <v>193</v>
      </c>
      <c r="J72" s="1" t="s">
        <v>33</v>
      </c>
      <c r="K72" s="5">
        <v>152895.0</v>
      </c>
      <c r="L72" s="6">
        <v>43516.0</v>
      </c>
      <c r="M72" s="7">
        <v>502100.0</v>
      </c>
      <c r="N72" s="4" t="s">
        <v>194</v>
      </c>
      <c r="O72" s="4" t="s">
        <v>26</v>
      </c>
    </row>
    <row r="73" ht="15.75" customHeight="1">
      <c r="A73" s="1" t="s">
        <v>189</v>
      </c>
      <c r="B73" s="1" t="s">
        <v>190</v>
      </c>
      <c r="C73" s="1" t="s">
        <v>191</v>
      </c>
      <c r="D73" s="1" t="s">
        <v>158</v>
      </c>
      <c r="E73" s="1" t="s">
        <v>137</v>
      </c>
      <c r="F73" s="1" t="s">
        <v>20</v>
      </c>
      <c r="G73" s="1" t="s">
        <v>190</v>
      </c>
      <c r="H73" s="1" t="s">
        <v>192</v>
      </c>
      <c r="I73" s="1" t="s">
        <v>193</v>
      </c>
      <c r="J73" s="1" t="s">
        <v>33</v>
      </c>
      <c r="K73" s="5">
        <v>230465.0</v>
      </c>
      <c r="L73" s="6">
        <v>43577.0</v>
      </c>
      <c r="M73" s="7">
        <v>502100.0</v>
      </c>
      <c r="N73" s="4" t="s">
        <v>194</v>
      </c>
      <c r="O73" s="4" t="s">
        <v>26</v>
      </c>
    </row>
    <row r="74" ht="15.75" customHeight="1">
      <c r="A74" s="1" t="s">
        <v>189</v>
      </c>
      <c r="B74" s="1" t="s">
        <v>190</v>
      </c>
      <c r="C74" s="1" t="s">
        <v>191</v>
      </c>
      <c r="D74" s="1" t="s">
        <v>158</v>
      </c>
      <c r="E74" s="1" t="s">
        <v>137</v>
      </c>
      <c r="F74" s="1" t="s">
        <v>20</v>
      </c>
      <c r="G74" s="1" t="s">
        <v>190</v>
      </c>
      <c r="H74" s="1" t="s">
        <v>192</v>
      </c>
      <c r="I74" s="1" t="s">
        <v>193</v>
      </c>
      <c r="J74" s="1" t="s">
        <v>33</v>
      </c>
      <c r="K74" s="5">
        <v>190624.0</v>
      </c>
      <c r="L74" s="6">
        <v>44228.0</v>
      </c>
      <c r="M74" s="7">
        <v>502100.0</v>
      </c>
      <c r="N74" s="4" t="s">
        <v>194</v>
      </c>
      <c r="O74" s="4" t="s">
        <v>26</v>
      </c>
    </row>
    <row r="75" ht="15.75" customHeight="1">
      <c r="A75" s="1" t="s">
        <v>189</v>
      </c>
      <c r="B75" s="1" t="s">
        <v>190</v>
      </c>
      <c r="C75" s="1" t="s">
        <v>191</v>
      </c>
      <c r="D75" s="1" t="s">
        <v>158</v>
      </c>
      <c r="E75" s="1" t="s">
        <v>137</v>
      </c>
      <c r="F75" s="1" t="s">
        <v>20</v>
      </c>
      <c r="G75" s="1" t="s">
        <v>190</v>
      </c>
      <c r="H75" s="1" t="s">
        <v>192</v>
      </c>
      <c r="I75" s="1" t="s">
        <v>193</v>
      </c>
      <c r="J75" s="1" t="s">
        <v>33</v>
      </c>
      <c r="K75" s="5">
        <v>232698.0</v>
      </c>
      <c r="L75" s="6">
        <v>44977.0</v>
      </c>
      <c r="M75" s="7">
        <v>502100.0</v>
      </c>
      <c r="N75" s="4" t="s">
        <v>194</v>
      </c>
      <c r="O75" s="4" t="s">
        <v>26</v>
      </c>
    </row>
    <row r="76" ht="15.75" customHeight="1">
      <c r="A76" s="1" t="s">
        <v>195</v>
      </c>
      <c r="B76" s="1" t="s">
        <v>196</v>
      </c>
      <c r="C76" s="1" t="s">
        <v>197</v>
      </c>
      <c r="D76" s="1" t="s">
        <v>165</v>
      </c>
      <c r="E76" s="1" t="s">
        <v>144</v>
      </c>
      <c r="F76" s="1" t="s">
        <v>20</v>
      </c>
      <c r="G76" s="1" t="s">
        <v>196</v>
      </c>
      <c r="H76" s="1" t="s">
        <v>198</v>
      </c>
      <c r="I76" s="1" t="s">
        <v>199</v>
      </c>
      <c r="J76" s="1" t="s">
        <v>168</v>
      </c>
      <c r="K76" s="5">
        <v>192247.0</v>
      </c>
      <c r="L76" s="6">
        <v>43477.0</v>
      </c>
      <c r="M76" s="7">
        <v>516000.0</v>
      </c>
      <c r="N76" s="4" t="s">
        <v>200</v>
      </c>
      <c r="O76" s="4" t="s">
        <v>26</v>
      </c>
    </row>
    <row r="77" ht="15.75" customHeight="1">
      <c r="A77" s="1" t="s">
        <v>195</v>
      </c>
      <c r="B77" s="1" t="s">
        <v>196</v>
      </c>
      <c r="C77" s="1" t="s">
        <v>197</v>
      </c>
      <c r="D77" s="1" t="s">
        <v>165</v>
      </c>
      <c r="E77" s="1" t="s">
        <v>144</v>
      </c>
      <c r="F77" s="1" t="s">
        <v>20</v>
      </c>
      <c r="G77" s="1" t="s">
        <v>196</v>
      </c>
      <c r="H77" s="1" t="s">
        <v>198</v>
      </c>
      <c r="I77" s="1" t="s">
        <v>199</v>
      </c>
      <c r="J77" s="1" t="s">
        <v>168</v>
      </c>
      <c r="K77" s="5">
        <v>215535.0</v>
      </c>
      <c r="L77" s="6">
        <v>43519.0</v>
      </c>
      <c r="M77" s="7">
        <v>516000.0</v>
      </c>
      <c r="N77" s="4" t="s">
        <v>200</v>
      </c>
      <c r="O77" s="4" t="s">
        <v>26</v>
      </c>
    </row>
    <row r="78" ht="15.75" customHeight="1">
      <c r="A78" s="1" t="s">
        <v>195</v>
      </c>
      <c r="B78" s="1" t="s">
        <v>196</v>
      </c>
      <c r="C78" s="1" t="s">
        <v>197</v>
      </c>
      <c r="D78" s="1" t="s">
        <v>165</v>
      </c>
      <c r="E78" s="1" t="s">
        <v>144</v>
      </c>
      <c r="F78" s="1" t="s">
        <v>20</v>
      </c>
      <c r="G78" s="1" t="s">
        <v>196</v>
      </c>
      <c r="H78" s="1" t="s">
        <v>198</v>
      </c>
      <c r="I78" s="1" t="s">
        <v>199</v>
      </c>
      <c r="J78" s="1" t="s">
        <v>168</v>
      </c>
      <c r="K78" s="5">
        <v>53588.0</v>
      </c>
      <c r="L78" s="6">
        <v>43580.0</v>
      </c>
      <c r="M78" s="7">
        <v>516000.0</v>
      </c>
      <c r="N78" s="4" t="s">
        <v>200</v>
      </c>
      <c r="O78" s="4" t="s">
        <v>26</v>
      </c>
    </row>
    <row r="79" ht="15.75" customHeight="1">
      <c r="A79" s="1" t="s">
        <v>195</v>
      </c>
      <c r="B79" s="1" t="s">
        <v>196</v>
      </c>
      <c r="C79" s="1" t="s">
        <v>197</v>
      </c>
      <c r="D79" s="1" t="s">
        <v>165</v>
      </c>
      <c r="E79" s="1" t="s">
        <v>144</v>
      </c>
      <c r="F79" s="1" t="s">
        <v>20</v>
      </c>
      <c r="G79" s="1" t="s">
        <v>196</v>
      </c>
      <c r="H79" s="1" t="s">
        <v>198</v>
      </c>
      <c r="I79" s="1" t="s">
        <v>199</v>
      </c>
      <c r="J79" s="1" t="s">
        <v>168</v>
      </c>
      <c r="K79" s="5">
        <v>198463.0</v>
      </c>
      <c r="L79" s="6">
        <v>44231.0</v>
      </c>
      <c r="M79" s="7">
        <v>516000.0</v>
      </c>
      <c r="N79" s="4" t="s">
        <v>200</v>
      </c>
      <c r="O79" s="4" t="s">
        <v>26</v>
      </c>
    </row>
    <row r="80" ht="15.75" customHeight="1">
      <c r="A80" s="1" t="s">
        <v>195</v>
      </c>
      <c r="B80" s="1" t="s">
        <v>196</v>
      </c>
      <c r="C80" s="1" t="s">
        <v>197</v>
      </c>
      <c r="D80" s="1" t="s">
        <v>165</v>
      </c>
      <c r="E80" s="1" t="s">
        <v>144</v>
      </c>
      <c r="F80" s="1" t="s">
        <v>20</v>
      </c>
      <c r="G80" s="1" t="s">
        <v>196</v>
      </c>
      <c r="H80" s="1" t="s">
        <v>198</v>
      </c>
      <c r="I80" s="1" t="s">
        <v>199</v>
      </c>
      <c r="J80" s="1" t="s">
        <v>168</v>
      </c>
      <c r="K80" s="5">
        <v>193408.0</v>
      </c>
      <c r="L80" s="6">
        <v>44938.0</v>
      </c>
      <c r="M80" s="7">
        <v>516000.0</v>
      </c>
      <c r="N80" s="4" t="s">
        <v>200</v>
      </c>
      <c r="O80" s="4" t="s">
        <v>26</v>
      </c>
    </row>
    <row r="81" ht="15.75" customHeight="1">
      <c r="A81" s="1" t="s">
        <v>195</v>
      </c>
      <c r="B81" s="1" t="s">
        <v>196</v>
      </c>
      <c r="C81" s="1" t="s">
        <v>197</v>
      </c>
      <c r="D81" s="1" t="s">
        <v>165</v>
      </c>
      <c r="E81" s="1" t="s">
        <v>144</v>
      </c>
      <c r="F81" s="1" t="s">
        <v>20</v>
      </c>
      <c r="G81" s="1" t="s">
        <v>196</v>
      </c>
      <c r="H81" s="1" t="s">
        <v>198</v>
      </c>
      <c r="I81" s="1" t="s">
        <v>199</v>
      </c>
      <c r="J81" s="1" t="s">
        <v>168</v>
      </c>
      <c r="K81" s="5">
        <v>175620.0</v>
      </c>
      <c r="L81" s="6">
        <v>44980.0</v>
      </c>
      <c r="M81" s="7">
        <v>516000.0</v>
      </c>
      <c r="N81" s="4" t="s">
        <v>200</v>
      </c>
      <c r="O81" s="4" t="s">
        <v>26</v>
      </c>
    </row>
    <row r="82" ht="15.75" customHeight="1">
      <c r="A82" s="1" t="s">
        <v>201</v>
      </c>
      <c r="B82" s="1" t="s">
        <v>202</v>
      </c>
      <c r="C82" s="1" t="s">
        <v>203</v>
      </c>
      <c r="D82" s="1" t="s">
        <v>173</v>
      </c>
      <c r="E82" s="1" t="s">
        <v>137</v>
      </c>
      <c r="F82" s="1" t="s">
        <v>20</v>
      </c>
      <c r="G82" s="1" t="s">
        <v>202</v>
      </c>
      <c r="H82" s="1" t="s">
        <v>204</v>
      </c>
      <c r="I82" s="1" t="s">
        <v>205</v>
      </c>
      <c r="J82" s="1" t="s">
        <v>33</v>
      </c>
      <c r="K82" s="5">
        <v>233493.0</v>
      </c>
      <c r="L82" s="6">
        <v>43480.0</v>
      </c>
      <c r="M82" s="7">
        <v>507100.0</v>
      </c>
      <c r="N82" s="4" t="s">
        <v>25</v>
      </c>
      <c r="O82" s="4" t="s">
        <v>26</v>
      </c>
    </row>
    <row r="83" ht="15.75" customHeight="1">
      <c r="A83" s="1" t="s">
        <v>201</v>
      </c>
      <c r="B83" s="1" t="s">
        <v>202</v>
      </c>
      <c r="C83" s="1" t="s">
        <v>203</v>
      </c>
      <c r="D83" s="1" t="s">
        <v>173</v>
      </c>
      <c r="E83" s="1" t="s">
        <v>137</v>
      </c>
      <c r="F83" s="1" t="s">
        <v>20</v>
      </c>
      <c r="G83" s="1" t="s">
        <v>202</v>
      </c>
      <c r="H83" s="1" t="s">
        <v>204</v>
      </c>
      <c r="I83" s="1" t="s">
        <v>205</v>
      </c>
      <c r="J83" s="1" t="s">
        <v>33</v>
      </c>
      <c r="K83" s="5">
        <v>172873.0</v>
      </c>
      <c r="L83" s="6">
        <v>43522.0</v>
      </c>
      <c r="M83" s="7">
        <v>507100.0</v>
      </c>
      <c r="N83" s="4" t="s">
        <v>25</v>
      </c>
      <c r="O83" s="4" t="s">
        <v>26</v>
      </c>
    </row>
    <row r="84" ht="15.75" customHeight="1">
      <c r="A84" s="1" t="s">
        <v>201</v>
      </c>
      <c r="B84" s="1" t="s">
        <v>202</v>
      </c>
      <c r="C84" s="1" t="s">
        <v>203</v>
      </c>
      <c r="D84" s="1" t="s">
        <v>173</v>
      </c>
      <c r="E84" s="1" t="s">
        <v>137</v>
      </c>
      <c r="F84" s="1" t="s">
        <v>20</v>
      </c>
      <c r="G84" s="1" t="s">
        <v>202</v>
      </c>
      <c r="H84" s="1" t="s">
        <v>204</v>
      </c>
      <c r="I84" s="1" t="s">
        <v>205</v>
      </c>
      <c r="J84" s="1" t="s">
        <v>33</v>
      </c>
      <c r="K84" s="5">
        <v>134090.0</v>
      </c>
      <c r="L84" s="6">
        <v>43583.0</v>
      </c>
      <c r="M84" s="7">
        <v>507100.0</v>
      </c>
      <c r="N84" s="4" t="s">
        <v>25</v>
      </c>
      <c r="O84" s="4" t="s">
        <v>26</v>
      </c>
    </row>
    <row r="85" ht="15.75" customHeight="1">
      <c r="A85" s="1" t="s">
        <v>201</v>
      </c>
      <c r="B85" s="1" t="s">
        <v>202</v>
      </c>
      <c r="C85" s="1" t="s">
        <v>203</v>
      </c>
      <c r="D85" s="1" t="s">
        <v>173</v>
      </c>
      <c r="E85" s="1" t="s">
        <v>137</v>
      </c>
      <c r="F85" s="1" t="s">
        <v>20</v>
      </c>
      <c r="G85" s="1" t="s">
        <v>202</v>
      </c>
      <c r="H85" s="1" t="s">
        <v>204</v>
      </c>
      <c r="I85" s="1" t="s">
        <v>205</v>
      </c>
      <c r="J85" s="1" t="s">
        <v>33</v>
      </c>
      <c r="K85" s="5">
        <v>128552.0</v>
      </c>
      <c r="L85" s="6">
        <v>44234.0</v>
      </c>
      <c r="M85" s="7">
        <v>507100.0</v>
      </c>
      <c r="N85" s="4" t="s">
        <v>25</v>
      </c>
      <c r="O85" s="4" t="s">
        <v>26</v>
      </c>
    </row>
    <row r="86" ht="15.75" customHeight="1">
      <c r="A86" s="1" t="s">
        <v>201</v>
      </c>
      <c r="B86" s="1" t="s">
        <v>202</v>
      </c>
      <c r="C86" s="1" t="s">
        <v>203</v>
      </c>
      <c r="D86" s="1" t="s">
        <v>173</v>
      </c>
      <c r="E86" s="1" t="s">
        <v>137</v>
      </c>
      <c r="F86" s="1" t="s">
        <v>20</v>
      </c>
      <c r="G86" s="1" t="s">
        <v>202</v>
      </c>
      <c r="H86" s="1" t="s">
        <v>204</v>
      </c>
      <c r="I86" s="1" t="s">
        <v>205</v>
      </c>
      <c r="J86" s="1" t="s">
        <v>33</v>
      </c>
      <c r="K86" s="5">
        <v>200989.0</v>
      </c>
      <c r="L86" s="6">
        <v>44941.0</v>
      </c>
      <c r="M86" s="7">
        <v>507100.0</v>
      </c>
      <c r="N86" s="4" t="s">
        <v>25</v>
      </c>
      <c r="O86" s="4" t="s">
        <v>26</v>
      </c>
    </row>
    <row r="87" ht="15.75" customHeight="1">
      <c r="A87" s="1" t="s">
        <v>201</v>
      </c>
      <c r="B87" s="1" t="s">
        <v>202</v>
      </c>
      <c r="C87" s="1" t="s">
        <v>203</v>
      </c>
      <c r="D87" s="1" t="s">
        <v>173</v>
      </c>
      <c r="E87" s="1" t="s">
        <v>137</v>
      </c>
      <c r="F87" s="1" t="s">
        <v>20</v>
      </c>
      <c r="G87" s="1" t="s">
        <v>202</v>
      </c>
      <c r="H87" s="1" t="s">
        <v>204</v>
      </c>
      <c r="I87" s="1" t="s">
        <v>205</v>
      </c>
      <c r="J87" s="1" t="s">
        <v>33</v>
      </c>
      <c r="K87" s="5">
        <v>248690.0</v>
      </c>
      <c r="L87" s="6">
        <v>44983.0</v>
      </c>
      <c r="M87" s="7">
        <v>507100.0</v>
      </c>
      <c r="N87" s="4" t="s">
        <v>25</v>
      </c>
      <c r="O87" s="4" t="s">
        <v>26</v>
      </c>
    </row>
    <row r="88" ht="15.75" customHeight="1">
      <c r="A88" s="1" t="s">
        <v>206</v>
      </c>
      <c r="B88" s="1" t="s">
        <v>207</v>
      </c>
      <c r="C88" s="1" t="s">
        <v>208</v>
      </c>
      <c r="D88" s="1" t="s">
        <v>136</v>
      </c>
      <c r="E88" s="1" t="s">
        <v>144</v>
      </c>
      <c r="F88" s="1" t="s">
        <v>20</v>
      </c>
      <c r="G88" s="1" t="s">
        <v>207</v>
      </c>
      <c r="H88" s="1" t="s">
        <v>209</v>
      </c>
      <c r="I88" s="1" t="s">
        <v>210</v>
      </c>
      <c r="J88" s="1" t="s">
        <v>24</v>
      </c>
      <c r="K88" s="5">
        <v>39393.0</v>
      </c>
      <c r="L88" s="6">
        <v>43482.0</v>
      </c>
      <c r="M88" s="7">
        <v>509100.0</v>
      </c>
      <c r="N88" s="4" t="s">
        <v>211</v>
      </c>
      <c r="O88" s="4" t="s">
        <v>26</v>
      </c>
    </row>
    <row r="89" ht="15.75" customHeight="1">
      <c r="A89" s="1" t="s">
        <v>206</v>
      </c>
      <c r="B89" s="1" t="s">
        <v>207</v>
      </c>
      <c r="C89" s="1" t="s">
        <v>208</v>
      </c>
      <c r="D89" s="1" t="s">
        <v>136</v>
      </c>
      <c r="E89" s="1" t="s">
        <v>144</v>
      </c>
      <c r="F89" s="1" t="s">
        <v>20</v>
      </c>
      <c r="G89" s="1" t="s">
        <v>207</v>
      </c>
      <c r="H89" s="1" t="s">
        <v>209</v>
      </c>
      <c r="I89" s="1" t="s">
        <v>210</v>
      </c>
      <c r="J89" s="1" t="s">
        <v>24</v>
      </c>
      <c r="K89" s="5">
        <v>202116.0</v>
      </c>
      <c r="L89" s="6">
        <v>43525.0</v>
      </c>
      <c r="M89" s="7">
        <v>509100.0</v>
      </c>
      <c r="N89" s="4" t="s">
        <v>211</v>
      </c>
      <c r="O89" s="4" t="s">
        <v>26</v>
      </c>
    </row>
    <row r="90" ht="15.75" customHeight="1">
      <c r="A90" s="1" t="s">
        <v>206</v>
      </c>
      <c r="B90" s="1" t="s">
        <v>207</v>
      </c>
      <c r="C90" s="1" t="s">
        <v>208</v>
      </c>
      <c r="D90" s="1" t="s">
        <v>136</v>
      </c>
      <c r="E90" s="1" t="s">
        <v>144</v>
      </c>
      <c r="F90" s="1" t="s">
        <v>20</v>
      </c>
      <c r="G90" s="1" t="s">
        <v>207</v>
      </c>
      <c r="H90" s="1" t="s">
        <v>209</v>
      </c>
      <c r="I90" s="1" t="s">
        <v>210</v>
      </c>
      <c r="J90" s="1" t="s">
        <v>24</v>
      </c>
      <c r="K90" s="5">
        <v>282553.0</v>
      </c>
      <c r="L90" s="6">
        <v>43586.0</v>
      </c>
      <c r="M90" s="7">
        <v>509100.0</v>
      </c>
      <c r="N90" s="4" t="s">
        <v>211</v>
      </c>
      <c r="O90" s="4" t="s">
        <v>26</v>
      </c>
    </row>
    <row r="91" ht="15.75" customHeight="1">
      <c r="A91" s="1" t="s">
        <v>206</v>
      </c>
      <c r="B91" s="1" t="s">
        <v>207</v>
      </c>
      <c r="C91" s="1" t="s">
        <v>208</v>
      </c>
      <c r="D91" s="1" t="s">
        <v>136</v>
      </c>
      <c r="E91" s="1" t="s">
        <v>144</v>
      </c>
      <c r="F91" s="1" t="s">
        <v>20</v>
      </c>
      <c r="G91" s="1" t="s">
        <v>207</v>
      </c>
      <c r="H91" s="1" t="s">
        <v>209</v>
      </c>
      <c r="I91" s="1" t="s">
        <v>210</v>
      </c>
      <c r="J91" s="1" t="s">
        <v>24</v>
      </c>
      <c r="K91" s="5">
        <v>143848.0</v>
      </c>
      <c r="L91" s="6">
        <v>44237.0</v>
      </c>
      <c r="M91" s="7">
        <v>509100.0</v>
      </c>
      <c r="N91" s="4" t="s">
        <v>211</v>
      </c>
      <c r="O91" s="4" t="s">
        <v>26</v>
      </c>
    </row>
    <row r="92" ht="15.75" customHeight="1">
      <c r="A92" s="1" t="s">
        <v>206</v>
      </c>
      <c r="B92" s="1" t="s">
        <v>207</v>
      </c>
      <c r="C92" s="1" t="s">
        <v>208</v>
      </c>
      <c r="D92" s="1" t="s">
        <v>136</v>
      </c>
      <c r="E92" s="1" t="s">
        <v>144</v>
      </c>
      <c r="F92" s="1" t="s">
        <v>20</v>
      </c>
      <c r="G92" s="1" t="s">
        <v>207</v>
      </c>
      <c r="H92" s="1" t="s">
        <v>209</v>
      </c>
      <c r="I92" s="1" t="s">
        <v>210</v>
      </c>
      <c r="J92" s="1" t="s">
        <v>24</v>
      </c>
      <c r="K92" s="5">
        <v>172745.0</v>
      </c>
      <c r="L92" s="6">
        <v>44943.0</v>
      </c>
      <c r="M92" s="7">
        <v>509100.0</v>
      </c>
      <c r="N92" s="4" t="s">
        <v>211</v>
      </c>
      <c r="O92" s="4" t="s">
        <v>26</v>
      </c>
    </row>
    <row r="93" ht="15.75" customHeight="1">
      <c r="A93" s="1" t="s">
        <v>206</v>
      </c>
      <c r="B93" s="1" t="s">
        <v>207</v>
      </c>
      <c r="C93" s="1" t="s">
        <v>208</v>
      </c>
      <c r="D93" s="1" t="s">
        <v>136</v>
      </c>
      <c r="E93" s="1" t="s">
        <v>144</v>
      </c>
      <c r="F93" s="1" t="s">
        <v>20</v>
      </c>
      <c r="G93" s="1" t="s">
        <v>207</v>
      </c>
      <c r="H93" s="1" t="s">
        <v>209</v>
      </c>
      <c r="I93" s="1" t="s">
        <v>210</v>
      </c>
      <c r="J93" s="1" t="s">
        <v>24</v>
      </c>
      <c r="K93" s="5">
        <v>176341.0</v>
      </c>
      <c r="L93" s="6">
        <v>44986.0</v>
      </c>
      <c r="M93" s="7">
        <v>509100.0</v>
      </c>
      <c r="N93" s="4" t="s">
        <v>211</v>
      </c>
      <c r="O93" s="4" t="s">
        <v>26</v>
      </c>
    </row>
    <row r="94" ht="15.75" customHeight="1">
      <c r="A94" s="1" t="s">
        <v>212</v>
      </c>
      <c r="B94" s="1" t="s">
        <v>213</v>
      </c>
      <c r="C94" s="1" t="s">
        <v>214</v>
      </c>
      <c r="D94" s="1" t="s">
        <v>151</v>
      </c>
      <c r="E94" s="1" t="s">
        <v>159</v>
      </c>
      <c r="F94" s="1" t="s">
        <v>20</v>
      </c>
      <c r="G94" s="1" t="s">
        <v>213</v>
      </c>
      <c r="H94" s="1" t="s">
        <v>215</v>
      </c>
      <c r="I94" s="1" t="s">
        <v>216</v>
      </c>
      <c r="J94" s="1" t="s">
        <v>154</v>
      </c>
      <c r="K94" s="5">
        <v>125746.0</v>
      </c>
      <c r="L94" s="6">
        <v>43485.0</v>
      </c>
      <c r="M94" s="7">
        <v>501400.0</v>
      </c>
      <c r="N94" s="4" t="s">
        <v>217</v>
      </c>
      <c r="O94" s="4" t="s">
        <v>26</v>
      </c>
    </row>
    <row r="95" ht="15.75" customHeight="1">
      <c r="A95" s="1" t="s">
        <v>212</v>
      </c>
      <c r="B95" s="1" t="s">
        <v>213</v>
      </c>
      <c r="C95" s="1" t="s">
        <v>214</v>
      </c>
      <c r="D95" s="1" t="s">
        <v>151</v>
      </c>
      <c r="E95" s="1" t="s">
        <v>159</v>
      </c>
      <c r="F95" s="1" t="s">
        <v>20</v>
      </c>
      <c r="G95" s="1" t="s">
        <v>213</v>
      </c>
      <c r="H95" s="1" t="s">
        <v>215</v>
      </c>
      <c r="I95" s="1" t="s">
        <v>216</v>
      </c>
      <c r="J95" s="1" t="s">
        <v>154</v>
      </c>
      <c r="K95" s="5">
        <v>259600.0</v>
      </c>
      <c r="L95" s="6">
        <v>43528.0</v>
      </c>
      <c r="M95" s="7">
        <v>501400.0</v>
      </c>
      <c r="N95" s="4" t="s">
        <v>217</v>
      </c>
      <c r="O95" s="4" t="s">
        <v>26</v>
      </c>
    </row>
    <row r="96" ht="15.75" customHeight="1">
      <c r="A96" s="1" t="s">
        <v>212</v>
      </c>
      <c r="B96" s="1" t="s">
        <v>213</v>
      </c>
      <c r="C96" s="1" t="s">
        <v>214</v>
      </c>
      <c r="D96" s="1" t="s">
        <v>151</v>
      </c>
      <c r="E96" s="1" t="s">
        <v>159</v>
      </c>
      <c r="F96" s="1" t="s">
        <v>20</v>
      </c>
      <c r="G96" s="1" t="s">
        <v>213</v>
      </c>
      <c r="H96" s="1" t="s">
        <v>215</v>
      </c>
      <c r="I96" s="1" t="s">
        <v>216</v>
      </c>
      <c r="J96" s="1" t="s">
        <v>154</v>
      </c>
      <c r="K96" s="5">
        <v>232274.0</v>
      </c>
      <c r="L96" s="6">
        <v>43589.0</v>
      </c>
      <c r="M96" s="7">
        <v>501400.0</v>
      </c>
      <c r="N96" s="4" t="s">
        <v>217</v>
      </c>
      <c r="O96" s="4" t="s">
        <v>26</v>
      </c>
    </row>
    <row r="97" ht="15.75" customHeight="1">
      <c r="A97" s="1" t="s">
        <v>212</v>
      </c>
      <c r="B97" s="1" t="s">
        <v>213</v>
      </c>
      <c r="C97" s="1" t="s">
        <v>214</v>
      </c>
      <c r="D97" s="1" t="s">
        <v>151</v>
      </c>
      <c r="E97" s="1" t="s">
        <v>159</v>
      </c>
      <c r="F97" s="1" t="s">
        <v>20</v>
      </c>
      <c r="G97" s="1" t="s">
        <v>213</v>
      </c>
      <c r="H97" s="1" t="s">
        <v>215</v>
      </c>
      <c r="I97" s="1" t="s">
        <v>216</v>
      </c>
      <c r="J97" s="1" t="s">
        <v>154</v>
      </c>
      <c r="K97" s="5">
        <v>49747.0</v>
      </c>
      <c r="L97" s="6">
        <v>43623.0</v>
      </c>
      <c r="M97" s="7">
        <v>501400.0</v>
      </c>
      <c r="N97" s="4" t="s">
        <v>217</v>
      </c>
      <c r="O97" s="4" t="s">
        <v>26</v>
      </c>
    </row>
    <row r="98" ht="15.75" customHeight="1">
      <c r="A98" s="1" t="s">
        <v>212</v>
      </c>
      <c r="B98" s="1" t="s">
        <v>213</v>
      </c>
      <c r="C98" s="1" t="s">
        <v>214</v>
      </c>
      <c r="D98" s="1" t="s">
        <v>151</v>
      </c>
      <c r="E98" s="1" t="s">
        <v>159</v>
      </c>
      <c r="F98" s="1" t="s">
        <v>20</v>
      </c>
      <c r="G98" s="1" t="s">
        <v>213</v>
      </c>
      <c r="H98" s="1" t="s">
        <v>215</v>
      </c>
      <c r="I98" s="1" t="s">
        <v>216</v>
      </c>
      <c r="J98" s="1" t="s">
        <v>154</v>
      </c>
      <c r="K98" s="5">
        <v>111656.0</v>
      </c>
      <c r="L98" s="6">
        <v>44240.0</v>
      </c>
      <c r="M98" s="7">
        <v>501400.0</v>
      </c>
      <c r="N98" s="4" t="s">
        <v>217</v>
      </c>
      <c r="O98" s="4" t="s">
        <v>26</v>
      </c>
    </row>
    <row r="99" ht="15.75" customHeight="1">
      <c r="A99" s="1" t="s">
        <v>212</v>
      </c>
      <c r="B99" s="1" t="s">
        <v>213</v>
      </c>
      <c r="C99" s="1" t="s">
        <v>214</v>
      </c>
      <c r="D99" s="1" t="s">
        <v>151</v>
      </c>
      <c r="E99" s="1" t="s">
        <v>159</v>
      </c>
      <c r="F99" s="1" t="s">
        <v>20</v>
      </c>
      <c r="G99" s="1" t="s">
        <v>213</v>
      </c>
      <c r="H99" s="1" t="s">
        <v>215</v>
      </c>
      <c r="I99" s="1" t="s">
        <v>216</v>
      </c>
      <c r="J99" s="1" t="s">
        <v>154</v>
      </c>
      <c r="K99" s="5">
        <v>43202.0</v>
      </c>
      <c r="L99" s="6">
        <v>44120.0</v>
      </c>
      <c r="M99" s="7">
        <v>501400.0</v>
      </c>
      <c r="N99" s="4" t="s">
        <v>217</v>
      </c>
      <c r="O99" s="4" t="s">
        <v>26</v>
      </c>
    </row>
    <row r="100" ht="15.75" customHeight="1">
      <c r="A100" s="1" t="s">
        <v>212</v>
      </c>
      <c r="B100" s="1" t="s">
        <v>213</v>
      </c>
      <c r="C100" s="1" t="s">
        <v>214</v>
      </c>
      <c r="D100" s="1" t="s">
        <v>151</v>
      </c>
      <c r="E100" s="1" t="s">
        <v>159</v>
      </c>
      <c r="F100" s="1" t="s">
        <v>20</v>
      </c>
      <c r="G100" s="1" t="s">
        <v>213</v>
      </c>
      <c r="H100" s="1" t="s">
        <v>215</v>
      </c>
      <c r="I100" s="1" t="s">
        <v>216</v>
      </c>
      <c r="J100" s="1" t="s">
        <v>154</v>
      </c>
      <c r="K100" s="5">
        <v>129158.0</v>
      </c>
      <c r="L100" s="6">
        <v>44946.0</v>
      </c>
      <c r="M100" s="7">
        <v>501400.0</v>
      </c>
      <c r="N100" s="4" t="s">
        <v>217</v>
      </c>
      <c r="O100" s="4" t="s">
        <v>26</v>
      </c>
    </row>
    <row r="101" ht="15.75" customHeight="1">
      <c r="A101" s="1" t="s">
        <v>212</v>
      </c>
      <c r="B101" s="1" t="s">
        <v>213</v>
      </c>
      <c r="C101" s="1" t="s">
        <v>214</v>
      </c>
      <c r="D101" s="1" t="s">
        <v>151</v>
      </c>
      <c r="E101" s="1" t="s">
        <v>159</v>
      </c>
      <c r="F101" s="1" t="s">
        <v>20</v>
      </c>
      <c r="G101" s="1" t="s">
        <v>213</v>
      </c>
      <c r="H101" s="1" t="s">
        <v>215</v>
      </c>
      <c r="I101" s="1" t="s">
        <v>216</v>
      </c>
      <c r="J101" s="1" t="s">
        <v>154</v>
      </c>
      <c r="K101" s="5">
        <v>152240.0</v>
      </c>
      <c r="L101" s="6">
        <v>44989.0</v>
      </c>
      <c r="M101" s="7">
        <v>501400.0</v>
      </c>
      <c r="N101" s="4" t="s">
        <v>217</v>
      </c>
      <c r="O101" s="4" t="s">
        <v>26</v>
      </c>
    </row>
    <row r="102" ht="15.75" customHeight="1">
      <c r="A102" s="1" t="s">
        <v>212</v>
      </c>
      <c r="B102" s="1" t="s">
        <v>213</v>
      </c>
      <c r="C102" s="1" t="s">
        <v>214</v>
      </c>
      <c r="D102" s="1" t="s">
        <v>151</v>
      </c>
      <c r="E102" s="1" t="s">
        <v>159</v>
      </c>
      <c r="F102" s="1" t="s">
        <v>20</v>
      </c>
      <c r="G102" s="1" t="s">
        <v>213</v>
      </c>
      <c r="H102" s="1" t="s">
        <v>215</v>
      </c>
      <c r="I102" s="1" t="s">
        <v>216</v>
      </c>
      <c r="J102" s="1" t="s">
        <v>154</v>
      </c>
      <c r="K102" s="5">
        <v>35853.0</v>
      </c>
      <c r="L102" s="6">
        <v>45215.0</v>
      </c>
      <c r="M102" s="7">
        <v>501400.0</v>
      </c>
      <c r="N102" s="4" t="s">
        <v>217</v>
      </c>
      <c r="O102" s="4" t="s">
        <v>26</v>
      </c>
    </row>
    <row r="103" ht="15.75" customHeight="1">
      <c r="A103" s="1" t="s">
        <v>218</v>
      </c>
      <c r="B103" s="1" t="s">
        <v>219</v>
      </c>
      <c r="C103" s="1" t="s">
        <v>220</v>
      </c>
      <c r="D103" s="1" t="s">
        <v>158</v>
      </c>
      <c r="E103" s="1" t="s">
        <v>137</v>
      </c>
      <c r="F103" s="1" t="s">
        <v>20</v>
      </c>
      <c r="G103" s="1" t="s">
        <v>219</v>
      </c>
      <c r="H103" s="1" t="s">
        <v>221</v>
      </c>
      <c r="I103" s="1" t="s">
        <v>222</v>
      </c>
      <c r="J103" s="1" t="s">
        <v>33</v>
      </c>
      <c r="K103" s="5">
        <v>13869.0</v>
      </c>
      <c r="L103" s="6">
        <v>43487.0</v>
      </c>
      <c r="M103" s="7">
        <v>502100.0</v>
      </c>
      <c r="N103" s="4" t="s">
        <v>223</v>
      </c>
      <c r="O103" s="4" t="s">
        <v>26</v>
      </c>
    </row>
    <row r="104" ht="15.75" customHeight="1">
      <c r="A104" s="1" t="s">
        <v>218</v>
      </c>
      <c r="B104" s="1" t="s">
        <v>219</v>
      </c>
      <c r="C104" s="1" t="s">
        <v>220</v>
      </c>
      <c r="D104" s="1" t="s">
        <v>158</v>
      </c>
      <c r="E104" s="1" t="s">
        <v>137</v>
      </c>
      <c r="F104" s="1" t="s">
        <v>20</v>
      </c>
      <c r="G104" s="1" t="s">
        <v>219</v>
      </c>
      <c r="H104" s="1" t="s">
        <v>221</v>
      </c>
      <c r="I104" s="1" t="s">
        <v>222</v>
      </c>
      <c r="J104" s="1" t="s">
        <v>33</v>
      </c>
      <c r="K104" s="5">
        <v>157396.0</v>
      </c>
      <c r="L104" s="6">
        <v>43531.0</v>
      </c>
      <c r="M104" s="7">
        <v>502100.0</v>
      </c>
      <c r="N104" s="4" t="s">
        <v>223</v>
      </c>
      <c r="O104" s="4" t="s">
        <v>26</v>
      </c>
    </row>
    <row r="105" ht="15.75" customHeight="1">
      <c r="A105" s="1" t="s">
        <v>218</v>
      </c>
      <c r="B105" s="1" t="s">
        <v>219</v>
      </c>
      <c r="C105" s="1" t="s">
        <v>220</v>
      </c>
      <c r="D105" s="1" t="s">
        <v>158</v>
      </c>
      <c r="E105" s="1" t="s">
        <v>137</v>
      </c>
      <c r="F105" s="1" t="s">
        <v>20</v>
      </c>
      <c r="G105" s="1" t="s">
        <v>219</v>
      </c>
      <c r="H105" s="1" t="s">
        <v>221</v>
      </c>
      <c r="I105" s="1" t="s">
        <v>222</v>
      </c>
      <c r="J105" s="1" t="s">
        <v>33</v>
      </c>
      <c r="K105" s="5">
        <v>97345.0</v>
      </c>
      <c r="L105" s="6">
        <v>43592.0</v>
      </c>
      <c r="M105" s="7">
        <v>502100.0</v>
      </c>
      <c r="N105" s="4" t="s">
        <v>223</v>
      </c>
      <c r="O105" s="4" t="s">
        <v>26</v>
      </c>
    </row>
    <row r="106" ht="15.75" customHeight="1">
      <c r="A106" s="1" t="s">
        <v>218</v>
      </c>
      <c r="B106" s="1" t="s">
        <v>219</v>
      </c>
      <c r="C106" s="1" t="s">
        <v>220</v>
      </c>
      <c r="D106" s="1" t="s">
        <v>158</v>
      </c>
      <c r="E106" s="1" t="s">
        <v>137</v>
      </c>
      <c r="F106" s="1" t="s">
        <v>20</v>
      </c>
      <c r="G106" s="1" t="s">
        <v>219</v>
      </c>
      <c r="H106" s="1" t="s">
        <v>221</v>
      </c>
      <c r="I106" s="1" t="s">
        <v>222</v>
      </c>
      <c r="J106" s="1" t="s">
        <v>33</v>
      </c>
      <c r="K106" s="5">
        <v>57351.0</v>
      </c>
      <c r="L106" s="6">
        <v>43626.0</v>
      </c>
      <c r="M106" s="7">
        <v>502100.0</v>
      </c>
      <c r="N106" s="4" t="s">
        <v>223</v>
      </c>
      <c r="O106" s="4" t="s">
        <v>26</v>
      </c>
    </row>
    <row r="107" ht="15.75" customHeight="1">
      <c r="A107" s="1" t="s">
        <v>218</v>
      </c>
      <c r="B107" s="1" t="s">
        <v>219</v>
      </c>
      <c r="C107" s="1" t="s">
        <v>220</v>
      </c>
      <c r="D107" s="1" t="s">
        <v>158</v>
      </c>
      <c r="E107" s="1" t="s">
        <v>137</v>
      </c>
      <c r="F107" s="1" t="s">
        <v>20</v>
      </c>
      <c r="G107" s="1" t="s">
        <v>219</v>
      </c>
      <c r="H107" s="1" t="s">
        <v>221</v>
      </c>
      <c r="I107" s="1" t="s">
        <v>222</v>
      </c>
      <c r="J107" s="1" t="s">
        <v>33</v>
      </c>
      <c r="K107" s="5">
        <v>251228.0</v>
      </c>
      <c r="L107" s="6">
        <v>44243.0</v>
      </c>
      <c r="M107" s="7">
        <v>502100.0</v>
      </c>
      <c r="N107" s="4" t="s">
        <v>223</v>
      </c>
      <c r="O107" s="4" t="s">
        <v>26</v>
      </c>
    </row>
    <row r="108" ht="15.75" customHeight="1">
      <c r="A108" s="1" t="s">
        <v>218</v>
      </c>
      <c r="B108" s="1" t="s">
        <v>219</v>
      </c>
      <c r="C108" s="1" t="s">
        <v>220</v>
      </c>
      <c r="D108" s="1" t="s">
        <v>158</v>
      </c>
      <c r="E108" s="1" t="s">
        <v>137</v>
      </c>
      <c r="F108" s="1" t="s">
        <v>20</v>
      </c>
      <c r="G108" s="1" t="s">
        <v>219</v>
      </c>
      <c r="H108" s="1" t="s">
        <v>221</v>
      </c>
      <c r="I108" s="1" t="s">
        <v>222</v>
      </c>
      <c r="J108" s="1" t="s">
        <v>33</v>
      </c>
      <c r="K108" s="5">
        <v>257036.0</v>
      </c>
      <c r="L108" s="6">
        <v>44123.0</v>
      </c>
      <c r="M108" s="7">
        <v>502100.0</v>
      </c>
      <c r="N108" s="4" t="s">
        <v>223</v>
      </c>
      <c r="O108" s="4" t="s">
        <v>26</v>
      </c>
    </row>
    <row r="109" ht="15.75" customHeight="1">
      <c r="A109" s="1" t="s">
        <v>218</v>
      </c>
      <c r="B109" s="1" t="s">
        <v>219</v>
      </c>
      <c r="C109" s="1" t="s">
        <v>220</v>
      </c>
      <c r="D109" s="1" t="s">
        <v>158</v>
      </c>
      <c r="E109" s="1" t="s">
        <v>137</v>
      </c>
      <c r="F109" s="1" t="s">
        <v>20</v>
      </c>
      <c r="G109" s="1" t="s">
        <v>219</v>
      </c>
      <c r="H109" s="1" t="s">
        <v>221</v>
      </c>
      <c r="I109" s="1" t="s">
        <v>222</v>
      </c>
      <c r="J109" s="1" t="s">
        <v>33</v>
      </c>
      <c r="K109" s="5">
        <v>226947.0</v>
      </c>
      <c r="L109" s="6">
        <v>44948.0</v>
      </c>
      <c r="M109" s="7">
        <v>502100.0</v>
      </c>
      <c r="N109" s="4" t="s">
        <v>223</v>
      </c>
      <c r="O109" s="4" t="s">
        <v>26</v>
      </c>
    </row>
    <row r="110" ht="15.75" customHeight="1">
      <c r="A110" s="1" t="s">
        <v>218</v>
      </c>
      <c r="B110" s="1" t="s">
        <v>219</v>
      </c>
      <c r="C110" s="1" t="s">
        <v>220</v>
      </c>
      <c r="D110" s="1" t="s">
        <v>158</v>
      </c>
      <c r="E110" s="1" t="s">
        <v>137</v>
      </c>
      <c r="F110" s="1" t="s">
        <v>20</v>
      </c>
      <c r="G110" s="1" t="s">
        <v>219</v>
      </c>
      <c r="H110" s="1" t="s">
        <v>221</v>
      </c>
      <c r="I110" s="1" t="s">
        <v>222</v>
      </c>
      <c r="J110" s="1" t="s">
        <v>33</v>
      </c>
      <c r="K110" s="5">
        <v>57471.0</v>
      </c>
      <c r="L110" s="6">
        <v>45218.0</v>
      </c>
      <c r="M110" s="7">
        <v>502100.0</v>
      </c>
      <c r="N110" s="4" t="s">
        <v>223</v>
      </c>
      <c r="O110" s="4" t="s">
        <v>26</v>
      </c>
    </row>
    <row r="111" ht="15.75" customHeight="1">
      <c r="A111" s="1" t="s">
        <v>224</v>
      </c>
      <c r="B111" s="1" t="s">
        <v>225</v>
      </c>
      <c r="C111" s="1" t="s">
        <v>226</v>
      </c>
      <c r="D111" s="1" t="s">
        <v>165</v>
      </c>
      <c r="E111" s="1" t="s">
        <v>144</v>
      </c>
      <c r="F111" s="1" t="s">
        <v>20</v>
      </c>
      <c r="G111" s="1" t="s">
        <v>225</v>
      </c>
      <c r="H111" s="1" t="s">
        <v>227</v>
      </c>
      <c r="I111" s="1" t="s">
        <v>228</v>
      </c>
      <c r="J111" s="1" t="s">
        <v>168</v>
      </c>
      <c r="K111" s="5">
        <v>277243.0</v>
      </c>
      <c r="L111" s="6">
        <v>43490.0</v>
      </c>
      <c r="M111" s="7">
        <v>516000.0</v>
      </c>
      <c r="N111" s="4" t="s">
        <v>25</v>
      </c>
      <c r="O111" s="4" t="s">
        <v>26</v>
      </c>
    </row>
    <row r="112" ht="15.75" customHeight="1">
      <c r="A112" s="1" t="s">
        <v>224</v>
      </c>
      <c r="B112" s="1" t="s">
        <v>225</v>
      </c>
      <c r="C112" s="1" t="s">
        <v>226</v>
      </c>
      <c r="D112" s="1" t="s">
        <v>165</v>
      </c>
      <c r="E112" s="1" t="s">
        <v>144</v>
      </c>
      <c r="F112" s="1" t="s">
        <v>20</v>
      </c>
      <c r="G112" s="1" t="s">
        <v>225</v>
      </c>
      <c r="H112" s="1" t="s">
        <v>227</v>
      </c>
      <c r="I112" s="1" t="s">
        <v>228</v>
      </c>
      <c r="J112" s="1" t="s">
        <v>168</v>
      </c>
      <c r="K112" s="5">
        <v>184382.0</v>
      </c>
      <c r="L112" s="6">
        <v>43534.0</v>
      </c>
      <c r="M112" s="7">
        <v>516000.0</v>
      </c>
      <c r="N112" s="4" t="s">
        <v>25</v>
      </c>
      <c r="O112" s="4" t="s">
        <v>26</v>
      </c>
    </row>
    <row r="113" ht="15.75" customHeight="1">
      <c r="A113" s="1" t="s">
        <v>224</v>
      </c>
      <c r="B113" s="1" t="s">
        <v>225</v>
      </c>
      <c r="C113" s="1" t="s">
        <v>226</v>
      </c>
      <c r="D113" s="1" t="s">
        <v>165</v>
      </c>
      <c r="E113" s="1" t="s">
        <v>144</v>
      </c>
      <c r="F113" s="1" t="s">
        <v>20</v>
      </c>
      <c r="G113" s="1" t="s">
        <v>225</v>
      </c>
      <c r="H113" s="1" t="s">
        <v>227</v>
      </c>
      <c r="I113" s="1" t="s">
        <v>228</v>
      </c>
      <c r="J113" s="1" t="s">
        <v>168</v>
      </c>
      <c r="K113" s="5">
        <v>273206.0</v>
      </c>
      <c r="L113" s="6">
        <v>43595.0</v>
      </c>
      <c r="M113" s="7">
        <v>516000.0</v>
      </c>
      <c r="N113" s="4" t="s">
        <v>25</v>
      </c>
      <c r="O113" s="4" t="s">
        <v>26</v>
      </c>
    </row>
    <row r="114" ht="15.75" customHeight="1">
      <c r="A114" s="1" t="s">
        <v>224</v>
      </c>
      <c r="B114" s="1" t="s">
        <v>225</v>
      </c>
      <c r="C114" s="1" t="s">
        <v>226</v>
      </c>
      <c r="D114" s="1" t="s">
        <v>165</v>
      </c>
      <c r="E114" s="1" t="s">
        <v>144</v>
      </c>
      <c r="F114" s="1" t="s">
        <v>20</v>
      </c>
      <c r="G114" s="1" t="s">
        <v>225</v>
      </c>
      <c r="H114" s="1" t="s">
        <v>227</v>
      </c>
      <c r="I114" s="1" t="s">
        <v>228</v>
      </c>
      <c r="J114" s="1" t="s">
        <v>168</v>
      </c>
      <c r="K114" s="5">
        <v>109321.0</v>
      </c>
      <c r="L114" s="6">
        <v>43629.0</v>
      </c>
      <c r="M114" s="7">
        <v>516000.0</v>
      </c>
      <c r="N114" s="4" t="s">
        <v>25</v>
      </c>
      <c r="O114" s="4" t="s">
        <v>26</v>
      </c>
    </row>
    <row r="115" ht="15.75" customHeight="1">
      <c r="A115" s="1" t="s">
        <v>224</v>
      </c>
      <c r="B115" s="1" t="s">
        <v>225</v>
      </c>
      <c r="C115" s="1" t="s">
        <v>226</v>
      </c>
      <c r="D115" s="1" t="s">
        <v>165</v>
      </c>
      <c r="E115" s="1" t="s">
        <v>144</v>
      </c>
      <c r="F115" s="1" t="s">
        <v>20</v>
      </c>
      <c r="G115" s="1" t="s">
        <v>225</v>
      </c>
      <c r="H115" s="1" t="s">
        <v>227</v>
      </c>
      <c r="I115" s="1" t="s">
        <v>228</v>
      </c>
      <c r="J115" s="1" t="s">
        <v>168</v>
      </c>
      <c r="K115" s="5">
        <v>11195.0</v>
      </c>
      <c r="L115" s="6">
        <v>44246.0</v>
      </c>
      <c r="M115" s="7">
        <v>516000.0</v>
      </c>
      <c r="N115" s="4" t="s">
        <v>25</v>
      </c>
      <c r="O115" s="4" t="s">
        <v>26</v>
      </c>
    </row>
    <row r="116" ht="15.75" customHeight="1">
      <c r="A116" s="1" t="s">
        <v>224</v>
      </c>
      <c r="B116" s="1" t="s">
        <v>225</v>
      </c>
      <c r="C116" s="1" t="s">
        <v>226</v>
      </c>
      <c r="D116" s="1" t="s">
        <v>165</v>
      </c>
      <c r="E116" s="1" t="s">
        <v>144</v>
      </c>
      <c r="F116" s="1" t="s">
        <v>20</v>
      </c>
      <c r="G116" s="1" t="s">
        <v>225</v>
      </c>
      <c r="H116" s="1" t="s">
        <v>227</v>
      </c>
      <c r="I116" s="1" t="s">
        <v>228</v>
      </c>
      <c r="J116" s="1" t="s">
        <v>168</v>
      </c>
      <c r="K116" s="5">
        <v>218095.0</v>
      </c>
      <c r="L116" s="6">
        <v>44126.0</v>
      </c>
      <c r="M116" s="7">
        <v>516000.0</v>
      </c>
      <c r="N116" s="4" t="s">
        <v>25</v>
      </c>
      <c r="O116" s="4" t="s">
        <v>26</v>
      </c>
    </row>
    <row r="117" ht="15.75" customHeight="1">
      <c r="A117" s="1" t="s">
        <v>224</v>
      </c>
      <c r="B117" s="1" t="s">
        <v>225</v>
      </c>
      <c r="C117" s="1" t="s">
        <v>226</v>
      </c>
      <c r="D117" s="1" t="s">
        <v>165</v>
      </c>
      <c r="E117" s="1" t="s">
        <v>144</v>
      </c>
      <c r="F117" s="1" t="s">
        <v>20</v>
      </c>
      <c r="G117" s="1" t="s">
        <v>225</v>
      </c>
      <c r="H117" s="1" t="s">
        <v>227</v>
      </c>
      <c r="I117" s="1" t="s">
        <v>228</v>
      </c>
      <c r="J117" s="1" t="s">
        <v>168</v>
      </c>
      <c r="K117" s="5">
        <v>14028.0</v>
      </c>
      <c r="L117" s="6">
        <v>44951.0</v>
      </c>
      <c r="M117" s="7">
        <v>516000.0</v>
      </c>
      <c r="N117" s="4" t="s">
        <v>25</v>
      </c>
      <c r="O117" s="4" t="s">
        <v>26</v>
      </c>
    </row>
    <row r="118" ht="15.75" customHeight="1">
      <c r="A118" s="1" t="s">
        <v>224</v>
      </c>
      <c r="B118" s="1" t="s">
        <v>225</v>
      </c>
      <c r="C118" s="1" t="s">
        <v>226</v>
      </c>
      <c r="D118" s="1" t="s">
        <v>165</v>
      </c>
      <c r="E118" s="1" t="s">
        <v>144</v>
      </c>
      <c r="F118" s="1" t="s">
        <v>20</v>
      </c>
      <c r="G118" s="1" t="s">
        <v>225</v>
      </c>
      <c r="H118" s="1" t="s">
        <v>227</v>
      </c>
      <c r="I118" s="1" t="s">
        <v>228</v>
      </c>
      <c r="J118" s="1" t="s">
        <v>168</v>
      </c>
      <c r="K118" s="5">
        <v>289894.0</v>
      </c>
      <c r="L118" s="6">
        <v>45221.0</v>
      </c>
      <c r="M118" s="7">
        <v>516000.0</v>
      </c>
      <c r="N118" s="4" t="s">
        <v>25</v>
      </c>
      <c r="O118" s="4" t="s">
        <v>26</v>
      </c>
    </row>
    <row r="119" ht="15.75" customHeight="1">
      <c r="A119" s="1" t="s">
        <v>229</v>
      </c>
      <c r="B119" s="1" t="s">
        <v>230</v>
      </c>
      <c r="C119" s="1" t="s">
        <v>231</v>
      </c>
      <c r="D119" s="1" t="s">
        <v>173</v>
      </c>
      <c r="E119" s="1" t="s">
        <v>137</v>
      </c>
      <c r="F119" s="1" t="s">
        <v>20</v>
      </c>
      <c r="G119" s="1" t="s">
        <v>230</v>
      </c>
      <c r="H119" s="1" t="s">
        <v>232</v>
      </c>
      <c r="I119" s="1" t="s">
        <v>233</v>
      </c>
      <c r="J119" s="1" t="s">
        <v>33</v>
      </c>
      <c r="K119" s="5">
        <v>212213.0</v>
      </c>
      <c r="L119" s="6">
        <v>43492.0</v>
      </c>
      <c r="M119" s="7">
        <v>507100.0</v>
      </c>
      <c r="N119" s="4" t="s">
        <v>25</v>
      </c>
      <c r="O119" s="4" t="s">
        <v>26</v>
      </c>
    </row>
    <row r="120" ht="15.75" customHeight="1">
      <c r="A120" s="1" t="s">
        <v>229</v>
      </c>
      <c r="B120" s="1" t="s">
        <v>230</v>
      </c>
      <c r="C120" s="1" t="s">
        <v>231</v>
      </c>
      <c r="D120" s="1" t="s">
        <v>173</v>
      </c>
      <c r="E120" s="1" t="s">
        <v>137</v>
      </c>
      <c r="F120" s="1" t="s">
        <v>20</v>
      </c>
      <c r="G120" s="1" t="s">
        <v>230</v>
      </c>
      <c r="H120" s="1" t="s">
        <v>232</v>
      </c>
      <c r="I120" s="1" t="s">
        <v>233</v>
      </c>
      <c r="J120" s="1" t="s">
        <v>33</v>
      </c>
      <c r="K120" s="5">
        <v>189803.0</v>
      </c>
      <c r="L120" s="6">
        <v>43537.0</v>
      </c>
      <c r="M120" s="7">
        <v>507100.0</v>
      </c>
      <c r="N120" s="4" t="s">
        <v>25</v>
      </c>
      <c r="O120" s="4" t="s">
        <v>26</v>
      </c>
    </row>
    <row r="121" ht="15.75" customHeight="1">
      <c r="A121" s="1" t="s">
        <v>229</v>
      </c>
      <c r="B121" s="1" t="s">
        <v>230</v>
      </c>
      <c r="C121" s="1" t="s">
        <v>231</v>
      </c>
      <c r="D121" s="1" t="s">
        <v>173</v>
      </c>
      <c r="E121" s="1" t="s">
        <v>137</v>
      </c>
      <c r="F121" s="1" t="s">
        <v>20</v>
      </c>
      <c r="G121" s="1" t="s">
        <v>230</v>
      </c>
      <c r="H121" s="1" t="s">
        <v>232</v>
      </c>
      <c r="I121" s="1" t="s">
        <v>233</v>
      </c>
      <c r="J121" s="1" t="s">
        <v>33</v>
      </c>
      <c r="K121" s="5">
        <v>91956.0</v>
      </c>
      <c r="L121" s="6">
        <v>43598.0</v>
      </c>
      <c r="M121" s="7">
        <v>507100.0</v>
      </c>
      <c r="N121" s="4" t="s">
        <v>25</v>
      </c>
      <c r="O121" s="4" t="s">
        <v>26</v>
      </c>
    </row>
    <row r="122" ht="15.75" customHeight="1">
      <c r="A122" s="1" t="s">
        <v>229</v>
      </c>
      <c r="B122" s="1" t="s">
        <v>230</v>
      </c>
      <c r="C122" s="1" t="s">
        <v>231</v>
      </c>
      <c r="D122" s="1" t="s">
        <v>173</v>
      </c>
      <c r="E122" s="1" t="s">
        <v>137</v>
      </c>
      <c r="F122" s="1" t="s">
        <v>20</v>
      </c>
      <c r="G122" s="1" t="s">
        <v>230</v>
      </c>
      <c r="H122" s="1" t="s">
        <v>232</v>
      </c>
      <c r="I122" s="1" t="s">
        <v>233</v>
      </c>
      <c r="J122" s="1" t="s">
        <v>33</v>
      </c>
      <c r="K122" s="5">
        <v>94918.0</v>
      </c>
      <c r="L122" s="6">
        <v>43632.0</v>
      </c>
      <c r="M122" s="7">
        <v>507100.0</v>
      </c>
      <c r="N122" s="4" t="s">
        <v>25</v>
      </c>
      <c r="O122" s="4" t="s">
        <v>26</v>
      </c>
    </row>
    <row r="123" ht="15.75" customHeight="1">
      <c r="A123" s="1" t="s">
        <v>229</v>
      </c>
      <c r="B123" s="1" t="s">
        <v>230</v>
      </c>
      <c r="C123" s="1" t="s">
        <v>231</v>
      </c>
      <c r="D123" s="1" t="s">
        <v>173</v>
      </c>
      <c r="E123" s="1" t="s">
        <v>137</v>
      </c>
      <c r="F123" s="1" t="s">
        <v>20</v>
      </c>
      <c r="G123" s="1" t="s">
        <v>230</v>
      </c>
      <c r="H123" s="1" t="s">
        <v>232</v>
      </c>
      <c r="I123" s="1" t="s">
        <v>233</v>
      </c>
      <c r="J123" s="1" t="s">
        <v>33</v>
      </c>
      <c r="K123" s="5">
        <v>262781.0</v>
      </c>
      <c r="L123" s="6">
        <v>44096.0</v>
      </c>
      <c r="M123" s="7">
        <v>507100.0</v>
      </c>
      <c r="N123" s="4" t="s">
        <v>25</v>
      </c>
      <c r="O123" s="4" t="s">
        <v>26</v>
      </c>
    </row>
    <row r="124" ht="15.75" customHeight="1">
      <c r="A124" s="1" t="s">
        <v>229</v>
      </c>
      <c r="B124" s="1" t="s">
        <v>230</v>
      </c>
      <c r="C124" s="1" t="s">
        <v>231</v>
      </c>
      <c r="D124" s="1" t="s">
        <v>173</v>
      </c>
      <c r="E124" s="1" t="s">
        <v>137</v>
      </c>
      <c r="F124" s="1" t="s">
        <v>20</v>
      </c>
      <c r="G124" s="1" t="s">
        <v>230</v>
      </c>
      <c r="H124" s="1" t="s">
        <v>232</v>
      </c>
      <c r="I124" s="1" t="s">
        <v>233</v>
      </c>
      <c r="J124" s="1" t="s">
        <v>33</v>
      </c>
      <c r="K124" s="5">
        <v>113111.0</v>
      </c>
      <c r="L124" s="6">
        <v>44129.0</v>
      </c>
      <c r="M124" s="7">
        <v>507100.0</v>
      </c>
      <c r="N124" s="4" t="s">
        <v>25</v>
      </c>
      <c r="O124" s="4" t="s">
        <v>26</v>
      </c>
    </row>
    <row r="125" ht="15.75" customHeight="1">
      <c r="A125" s="1" t="s">
        <v>229</v>
      </c>
      <c r="B125" s="1" t="s">
        <v>230</v>
      </c>
      <c r="C125" s="1" t="s">
        <v>231</v>
      </c>
      <c r="D125" s="1" t="s">
        <v>173</v>
      </c>
      <c r="E125" s="1" t="s">
        <v>137</v>
      </c>
      <c r="F125" s="1" t="s">
        <v>20</v>
      </c>
      <c r="G125" s="1" t="s">
        <v>230</v>
      </c>
      <c r="H125" s="1" t="s">
        <v>232</v>
      </c>
      <c r="I125" s="1" t="s">
        <v>233</v>
      </c>
      <c r="J125" s="1" t="s">
        <v>33</v>
      </c>
      <c r="K125" s="5">
        <v>93391.0</v>
      </c>
      <c r="L125" s="6">
        <v>44953.0</v>
      </c>
      <c r="M125" s="7">
        <v>507100.0</v>
      </c>
      <c r="N125" s="4" t="s">
        <v>25</v>
      </c>
      <c r="O125" s="4" t="s">
        <v>26</v>
      </c>
    </row>
    <row r="126" ht="15.75" customHeight="1">
      <c r="A126" s="1" t="s">
        <v>229</v>
      </c>
      <c r="B126" s="1" t="s">
        <v>230</v>
      </c>
      <c r="C126" s="1" t="s">
        <v>231</v>
      </c>
      <c r="D126" s="1" t="s">
        <v>173</v>
      </c>
      <c r="E126" s="1" t="s">
        <v>137</v>
      </c>
      <c r="F126" s="1" t="s">
        <v>20</v>
      </c>
      <c r="G126" s="1" t="s">
        <v>230</v>
      </c>
      <c r="H126" s="1" t="s">
        <v>232</v>
      </c>
      <c r="I126" s="1" t="s">
        <v>233</v>
      </c>
      <c r="J126" s="1" t="s">
        <v>33</v>
      </c>
      <c r="K126" s="5">
        <v>228821.0</v>
      </c>
      <c r="L126" s="6">
        <v>45224.0</v>
      </c>
      <c r="M126" s="7">
        <v>507100.0</v>
      </c>
      <c r="N126" s="4" t="s">
        <v>25</v>
      </c>
      <c r="O126" s="4" t="s">
        <v>26</v>
      </c>
    </row>
    <row r="127" ht="15.75" customHeight="1">
      <c r="A127" s="1" t="s">
        <v>234</v>
      </c>
      <c r="B127" s="1" t="s">
        <v>235</v>
      </c>
      <c r="C127" s="1" t="s">
        <v>29</v>
      </c>
      <c r="D127" s="1" t="s">
        <v>136</v>
      </c>
      <c r="E127" s="1" t="s">
        <v>144</v>
      </c>
      <c r="F127" s="1" t="s">
        <v>20</v>
      </c>
      <c r="G127" s="1" t="s">
        <v>235</v>
      </c>
      <c r="H127" s="1" t="s">
        <v>236</v>
      </c>
      <c r="I127" s="1" t="s">
        <v>237</v>
      </c>
      <c r="J127" s="1" t="s">
        <v>24</v>
      </c>
      <c r="K127" s="5">
        <v>214933.0</v>
      </c>
      <c r="L127" s="6">
        <v>43495.0</v>
      </c>
      <c r="M127" s="7">
        <v>509100.0</v>
      </c>
      <c r="N127" s="4" t="s">
        <v>238</v>
      </c>
      <c r="O127" s="4" t="s">
        <v>26</v>
      </c>
    </row>
    <row r="128" ht="15.75" customHeight="1">
      <c r="A128" s="1" t="s">
        <v>234</v>
      </c>
      <c r="B128" s="1" t="s">
        <v>235</v>
      </c>
      <c r="C128" s="1" t="s">
        <v>29</v>
      </c>
      <c r="D128" s="1" t="s">
        <v>136</v>
      </c>
      <c r="E128" s="1" t="s">
        <v>144</v>
      </c>
      <c r="F128" s="1" t="s">
        <v>20</v>
      </c>
      <c r="G128" s="1" t="s">
        <v>235</v>
      </c>
      <c r="H128" s="1" t="s">
        <v>236</v>
      </c>
      <c r="I128" s="1" t="s">
        <v>237</v>
      </c>
      <c r="J128" s="1" t="s">
        <v>24</v>
      </c>
      <c r="K128" s="5">
        <v>121607.0</v>
      </c>
      <c r="L128" s="6">
        <v>43540.0</v>
      </c>
      <c r="M128" s="7">
        <v>509100.0</v>
      </c>
      <c r="N128" s="4" t="s">
        <v>238</v>
      </c>
      <c r="O128" s="4" t="s">
        <v>26</v>
      </c>
    </row>
    <row r="129" ht="15.75" customHeight="1">
      <c r="A129" s="1" t="s">
        <v>234</v>
      </c>
      <c r="B129" s="1" t="s">
        <v>235</v>
      </c>
      <c r="C129" s="1" t="s">
        <v>29</v>
      </c>
      <c r="D129" s="1" t="s">
        <v>136</v>
      </c>
      <c r="E129" s="1" t="s">
        <v>144</v>
      </c>
      <c r="F129" s="1" t="s">
        <v>20</v>
      </c>
      <c r="G129" s="1" t="s">
        <v>235</v>
      </c>
      <c r="H129" s="1" t="s">
        <v>236</v>
      </c>
      <c r="I129" s="1" t="s">
        <v>237</v>
      </c>
      <c r="J129" s="1" t="s">
        <v>24</v>
      </c>
      <c r="K129" s="5">
        <v>63352.0</v>
      </c>
      <c r="L129" s="6">
        <v>43601.0</v>
      </c>
      <c r="M129" s="7">
        <v>509100.0</v>
      </c>
      <c r="N129" s="4" t="s">
        <v>238</v>
      </c>
      <c r="O129" s="4" t="s">
        <v>26</v>
      </c>
    </row>
    <row r="130" ht="15.75" customHeight="1">
      <c r="A130" s="1" t="s">
        <v>234</v>
      </c>
      <c r="B130" s="1" t="s">
        <v>235</v>
      </c>
      <c r="C130" s="1" t="s">
        <v>29</v>
      </c>
      <c r="D130" s="1" t="s">
        <v>136</v>
      </c>
      <c r="E130" s="1" t="s">
        <v>144</v>
      </c>
      <c r="F130" s="1" t="s">
        <v>20</v>
      </c>
      <c r="G130" s="1" t="s">
        <v>235</v>
      </c>
      <c r="H130" s="1" t="s">
        <v>236</v>
      </c>
      <c r="I130" s="1" t="s">
        <v>237</v>
      </c>
      <c r="J130" s="1" t="s">
        <v>24</v>
      </c>
      <c r="K130" s="5">
        <v>60909.0</v>
      </c>
      <c r="L130" s="6">
        <v>43635.0</v>
      </c>
      <c r="M130" s="7">
        <v>509100.0</v>
      </c>
      <c r="N130" s="4" t="s">
        <v>238</v>
      </c>
      <c r="O130" s="4" t="s">
        <v>26</v>
      </c>
    </row>
    <row r="131" ht="15.75" customHeight="1">
      <c r="A131" s="1" t="s">
        <v>234</v>
      </c>
      <c r="B131" s="1" t="s">
        <v>235</v>
      </c>
      <c r="C131" s="1" t="s">
        <v>29</v>
      </c>
      <c r="D131" s="1" t="s">
        <v>136</v>
      </c>
      <c r="E131" s="1" t="s">
        <v>144</v>
      </c>
      <c r="F131" s="1" t="s">
        <v>20</v>
      </c>
      <c r="G131" s="1" t="s">
        <v>235</v>
      </c>
      <c r="H131" s="1" t="s">
        <v>236</v>
      </c>
      <c r="I131" s="1" t="s">
        <v>237</v>
      </c>
      <c r="J131" s="1" t="s">
        <v>24</v>
      </c>
      <c r="K131" s="5">
        <v>191131.0</v>
      </c>
      <c r="L131" s="6">
        <v>44099.0</v>
      </c>
      <c r="M131" s="7">
        <v>509100.0</v>
      </c>
      <c r="N131" s="4" t="s">
        <v>238</v>
      </c>
      <c r="O131" s="4" t="s">
        <v>26</v>
      </c>
    </row>
    <row r="132" ht="15.75" customHeight="1">
      <c r="A132" s="1" t="s">
        <v>234</v>
      </c>
      <c r="B132" s="1" t="s">
        <v>235</v>
      </c>
      <c r="C132" s="1" t="s">
        <v>29</v>
      </c>
      <c r="D132" s="1" t="s">
        <v>136</v>
      </c>
      <c r="E132" s="1" t="s">
        <v>144</v>
      </c>
      <c r="F132" s="1" t="s">
        <v>20</v>
      </c>
      <c r="G132" s="1" t="s">
        <v>235</v>
      </c>
      <c r="H132" s="1" t="s">
        <v>236</v>
      </c>
      <c r="I132" s="1" t="s">
        <v>237</v>
      </c>
      <c r="J132" s="1" t="s">
        <v>24</v>
      </c>
      <c r="K132" s="5">
        <v>30101.0</v>
      </c>
      <c r="L132" s="6">
        <v>44132.0</v>
      </c>
      <c r="M132" s="7">
        <v>509100.0</v>
      </c>
      <c r="N132" s="4" t="s">
        <v>238</v>
      </c>
      <c r="O132" s="4" t="s">
        <v>26</v>
      </c>
    </row>
    <row r="133" ht="15.75" customHeight="1">
      <c r="A133" s="1" t="s">
        <v>234</v>
      </c>
      <c r="B133" s="1" t="s">
        <v>235</v>
      </c>
      <c r="C133" s="1" t="s">
        <v>29</v>
      </c>
      <c r="D133" s="1" t="s">
        <v>136</v>
      </c>
      <c r="E133" s="1" t="s">
        <v>144</v>
      </c>
      <c r="F133" s="1" t="s">
        <v>20</v>
      </c>
      <c r="G133" s="1" t="s">
        <v>235</v>
      </c>
      <c r="H133" s="1" t="s">
        <v>236</v>
      </c>
      <c r="I133" s="1" t="s">
        <v>237</v>
      </c>
      <c r="J133" s="1" t="s">
        <v>24</v>
      </c>
      <c r="K133" s="5">
        <v>239664.0</v>
      </c>
      <c r="L133" s="6">
        <v>44956.0</v>
      </c>
      <c r="M133" s="7">
        <v>509100.0</v>
      </c>
      <c r="N133" s="4" t="s">
        <v>238</v>
      </c>
      <c r="O133" s="4" t="s">
        <v>26</v>
      </c>
    </row>
    <row r="134" ht="15.75" customHeight="1">
      <c r="A134" s="1" t="s">
        <v>234</v>
      </c>
      <c r="B134" s="1" t="s">
        <v>235</v>
      </c>
      <c r="C134" s="1" t="s">
        <v>29</v>
      </c>
      <c r="D134" s="1" t="s">
        <v>136</v>
      </c>
      <c r="E134" s="1" t="s">
        <v>144</v>
      </c>
      <c r="F134" s="1" t="s">
        <v>20</v>
      </c>
      <c r="G134" s="1" t="s">
        <v>235</v>
      </c>
      <c r="H134" s="1" t="s">
        <v>236</v>
      </c>
      <c r="I134" s="1" t="s">
        <v>237</v>
      </c>
      <c r="J134" s="1" t="s">
        <v>24</v>
      </c>
      <c r="K134" s="5">
        <v>16770.0</v>
      </c>
      <c r="L134" s="6">
        <v>45227.0</v>
      </c>
      <c r="M134" s="7">
        <v>509100.0</v>
      </c>
      <c r="N134" s="4" t="s">
        <v>238</v>
      </c>
      <c r="O134" s="4" t="s">
        <v>26</v>
      </c>
    </row>
    <row r="135" ht="15.75" customHeight="1">
      <c r="A135" s="1" t="s">
        <v>239</v>
      </c>
      <c r="B135" s="1" t="s">
        <v>240</v>
      </c>
      <c r="C135" s="1" t="s">
        <v>241</v>
      </c>
      <c r="D135" s="1" t="s">
        <v>151</v>
      </c>
      <c r="E135" s="1" t="s">
        <v>159</v>
      </c>
      <c r="F135" s="1" t="s">
        <v>20</v>
      </c>
      <c r="G135" s="1" t="s">
        <v>240</v>
      </c>
      <c r="H135" s="1" t="s">
        <v>242</v>
      </c>
      <c r="I135" s="1" t="s">
        <v>243</v>
      </c>
      <c r="J135" s="1" t="s">
        <v>154</v>
      </c>
      <c r="K135" s="5">
        <v>167832.0</v>
      </c>
      <c r="L135" s="6">
        <v>43498.0</v>
      </c>
      <c r="M135" s="7">
        <v>501400.0</v>
      </c>
      <c r="N135" s="4" t="s">
        <v>51</v>
      </c>
      <c r="O135" s="4" t="s">
        <v>26</v>
      </c>
    </row>
    <row r="136" ht="15.75" customHeight="1">
      <c r="A136" s="1" t="s">
        <v>239</v>
      </c>
      <c r="B136" s="1" t="s">
        <v>240</v>
      </c>
      <c r="C136" s="1" t="s">
        <v>241</v>
      </c>
      <c r="D136" s="1" t="s">
        <v>151</v>
      </c>
      <c r="E136" s="1" t="s">
        <v>159</v>
      </c>
      <c r="F136" s="1" t="s">
        <v>20</v>
      </c>
      <c r="G136" s="1" t="s">
        <v>240</v>
      </c>
      <c r="H136" s="1" t="s">
        <v>242</v>
      </c>
      <c r="I136" s="1" t="s">
        <v>243</v>
      </c>
      <c r="J136" s="1" t="s">
        <v>154</v>
      </c>
      <c r="K136" s="5">
        <v>247694.0</v>
      </c>
      <c r="L136" s="6">
        <v>43543.0</v>
      </c>
      <c r="M136" s="7">
        <v>501400.0</v>
      </c>
      <c r="N136" s="4" t="s">
        <v>51</v>
      </c>
      <c r="O136" s="4" t="s">
        <v>26</v>
      </c>
    </row>
    <row r="137" ht="15.75" customHeight="1">
      <c r="A137" s="1" t="s">
        <v>239</v>
      </c>
      <c r="B137" s="1" t="s">
        <v>240</v>
      </c>
      <c r="C137" s="1" t="s">
        <v>241</v>
      </c>
      <c r="D137" s="1" t="s">
        <v>151</v>
      </c>
      <c r="E137" s="1" t="s">
        <v>159</v>
      </c>
      <c r="F137" s="1" t="s">
        <v>20</v>
      </c>
      <c r="G137" s="1" t="s">
        <v>240</v>
      </c>
      <c r="H137" s="1" t="s">
        <v>242</v>
      </c>
      <c r="I137" s="1" t="s">
        <v>243</v>
      </c>
      <c r="J137" s="1" t="s">
        <v>154</v>
      </c>
      <c r="K137" s="5">
        <v>113663.0</v>
      </c>
      <c r="L137" s="6">
        <v>43604.0</v>
      </c>
      <c r="M137" s="7">
        <v>501400.0</v>
      </c>
      <c r="N137" s="4" t="s">
        <v>51</v>
      </c>
      <c r="O137" s="4" t="s">
        <v>26</v>
      </c>
    </row>
    <row r="138" ht="15.75" customHeight="1">
      <c r="A138" s="1" t="s">
        <v>239</v>
      </c>
      <c r="B138" s="1" t="s">
        <v>240</v>
      </c>
      <c r="C138" s="1" t="s">
        <v>241</v>
      </c>
      <c r="D138" s="1" t="s">
        <v>151</v>
      </c>
      <c r="E138" s="1" t="s">
        <v>159</v>
      </c>
      <c r="F138" s="1" t="s">
        <v>20</v>
      </c>
      <c r="G138" s="1" t="s">
        <v>240</v>
      </c>
      <c r="H138" s="1" t="s">
        <v>242</v>
      </c>
      <c r="I138" s="1" t="s">
        <v>243</v>
      </c>
      <c r="J138" s="1" t="s">
        <v>154</v>
      </c>
      <c r="K138" s="5">
        <v>19987.0</v>
      </c>
      <c r="L138" s="6">
        <v>43638.0</v>
      </c>
      <c r="M138" s="7">
        <v>501400.0</v>
      </c>
      <c r="N138" s="4" t="s">
        <v>51</v>
      </c>
      <c r="O138" s="4" t="s">
        <v>26</v>
      </c>
    </row>
    <row r="139" ht="15.75" customHeight="1">
      <c r="A139" s="1" t="s">
        <v>239</v>
      </c>
      <c r="B139" s="1" t="s">
        <v>240</v>
      </c>
      <c r="C139" s="1" t="s">
        <v>241</v>
      </c>
      <c r="D139" s="1" t="s">
        <v>151</v>
      </c>
      <c r="E139" s="1" t="s">
        <v>159</v>
      </c>
      <c r="F139" s="1" t="s">
        <v>20</v>
      </c>
      <c r="G139" s="1" t="s">
        <v>240</v>
      </c>
      <c r="H139" s="1" t="s">
        <v>242</v>
      </c>
      <c r="I139" s="1" t="s">
        <v>243</v>
      </c>
      <c r="J139" s="1" t="s">
        <v>154</v>
      </c>
      <c r="K139" s="5">
        <v>26855.0</v>
      </c>
      <c r="L139" s="6">
        <v>44102.0</v>
      </c>
      <c r="M139" s="7">
        <v>501400.0</v>
      </c>
      <c r="N139" s="4" t="s">
        <v>51</v>
      </c>
      <c r="O139" s="4" t="s">
        <v>26</v>
      </c>
    </row>
    <row r="140" ht="15.75" customHeight="1">
      <c r="A140" s="1" t="s">
        <v>239</v>
      </c>
      <c r="B140" s="1" t="s">
        <v>240</v>
      </c>
      <c r="C140" s="1" t="s">
        <v>241</v>
      </c>
      <c r="D140" s="1" t="s">
        <v>151</v>
      </c>
      <c r="E140" s="1" t="s">
        <v>159</v>
      </c>
      <c r="F140" s="1" t="s">
        <v>20</v>
      </c>
      <c r="G140" s="1" t="s">
        <v>240</v>
      </c>
      <c r="H140" s="1" t="s">
        <v>242</v>
      </c>
      <c r="I140" s="1" t="s">
        <v>243</v>
      </c>
      <c r="J140" s="1" t="s">
        <v>154</v>
      </c>
      <c r="K140" s="5">
        <v>299321.0</v>
      </c>
      <c r="L140" s="6">
        <v>44136.0</v>
      </c>
      <c r="M140" s="7">
        <v>501400.0</v>
      </c>
      <c r="N140" s="4" t="s">
        <v>51</v>
      </c>
      <c r="O140" s="4" t="s">
        <v>26</v>
      </c>
    </row>
    <row r="141" ht="15.75" customHeight="1">
      <c r="A141" s="1" t="s">
        <v>239</v>
      </c>
      <c r="B141" s="1" t="s">
        <v>240</v>
      </c>
      <c r="C141" s="1" t="s">
        <v>241</v>
      </c>
      <c r="D141" s="1" t="s">
        <v>151</v>
      </c>
      <c r="E141" s="1" t="s">
        <v>159</v>
      </c>
      <c r="F141" s="1" t="s">
        <v>20</v>
      </c>
      <c r="G141" s="1" t="s">
        <v>240</v>
      </c>
      <c r="H141" s="1" t="s">
        <v>242</v>
      </c>
      <c r="I141" s="1" t="s">
        <v>243</v>
      </c>
      <c r="J141" s="1" t="s">
        <v>154</v>
      </c>
      <c r="K141" s="5">
        <v>145362.0</v>
      </c>
      <c r="L141" s="6">
        <v>44959.0</v>
      </c>
      <c r="M141" s="7">
        <v>501400.0</v>
      </c>
      <c r="N141" s="4" t="s">
        <v>51</v>
      </c>
      <c r="O141" s="4" t="s">
        <v>26</v>
      </c>
    </row>
    <row r="142" ht="15.75" customHeight="1">
      <c r="A142" s="1" t="s">
        <v>239</v>
      </c>
      <c r="B142" s="1" t="s">
        <v>240</v>
      </c>
      <c r="C142" s="1" t="s">
        <v>241</v>
      </c>
      <c r="D142" s="1" t="s">
        <v>151</v>
      </c>
      <c r="E142" s="1" t="s">
        <v>159</v>
      </c>
      <c r="F142" s="1" t="s">
        <v>20</v>
      </c>
      <c r="G142" s="1" t="s">
        <v>240</v>
      </c>
      <c r="H142" s="1" t="s">
        <v>242</v>
      </c>
      <c r="I142" s="1" t="s">
        <v>243</v>
      </c>
      <c r="J142" s="1" t="s">
        <v>154</v>
      </c>
      <c r="K142" s="5">
        <v>52591.0</v>
      </c>
      <c r="L142" s="6">
        <v>45231.0</v>
      </c>
      <c r="M142" s="7">
        <v>501400.0</v>
      </c>
      <c r="N142" s="4" t="s">
        <v>51</v>
      </c>
      <c r="O142" s="4" t="s">
        <v>26</v>
      </c>
    </row>
    <row r="143" ht="15.75" customHeight="1">
      <c r="A143" s="1" t="s">
        <v>244</v>
      </c>
      <c r="B143" s="1" t="s">
        <v>245</v>
      </c>
      <c r="C143" s="1" t="s">
        <v>246</v>
      </c>
      <c r="D143" s="1" t="s">
        <v>158</v>
      </c>
      <c r="E143" s="1" t="s">
        <v>137</v>
      </c>
      <c r="F143" s="1" t="s">
        <v>20</v>
      </c>
      <c r="G143" s="1" t="s">
        <v>245</v>
      </c>
      <c r="H143" s="1" t="s">
        <v>247</v>
      </c>
      <c r="I143" s="1" t="s">
        <v>248</v>
      </c>
      <c r="J143" s="1" t="s">
        <v>33</v>
      </c>
      <c r="K143" s="5">
        <v>285851.0</v>
      </c>
      <c r="L143" s="6">
        <v>43501.0</v>
      </c>
      <c r="M143" s="7">
        <v>502100.0</v>
      </c>
      <c r="N143" s="4" t="s">
        <v>249</v>
      </c>
      <c r="O143" s="4" t="s">
        <v>26</v>
      </c>
    </row>
    <row r="144" ht="15.75" customHeight="1">
      <c r="A144" s="1" t="s">
        <v>244</v>
      </c>
      <c r="B144" s="1" t="s">
        <v>245</v>
      </c>
      <c r="C144" s="1" t="s">
        <v>246</v>
      </c>
      <c r="D144" s="1" t="s">
        <v>158</v>
      </c>
      <c r="E144" s="1" t="s">
        <v>137</v>
      </c>
      <c r="F144" s="1" t="s">
        <v>20</v>
      </c>
      <c r="G144" s="1" t="s">
        <v>245</v>
      </c>
      <c r="H144" s="1" t="s">
        <v>247</v>
      </c>
      <c r="I144" s="1" t="s">
        <v>248</v>
      </c>
      <c r="J144" s="1" t="s">
        <v>33</v>
      </c>
      <c r="K144" s="5">
        <v>266431.0</v>
      </c>
      <c r="L144" s="6">
        <v>43546.0</v>
      </c>
      <c r="M144" s="7">
        <v>502100.0</v>
      </c>
      <c r="N144" s="4" t="s">
        <v>249</v>
      </c>
      <c r="O144" s="4" t="s">
        <v>26</v>
      </c>
    </row>
    <row r="145" ht="15.75" customHeight="1">
      <c r="A145" s="1" t="s">
        <v>244</v>
      </c>
      <c r="B145" s="1" t="s">
        <v>245</v>
      </c>
      <c r="C145" s="1" t="s">
        <v>246</v>
      </c>
      <c r="D145" s="1" t="s">
        <v>158</v>
      </c>
      <c r="E145" s="1" t="s">
        <v>137</v>
      </c>
      <c r="F145" s="1" t="s">
        <v>20</v>
      </c>
      <c r="G145" s="1" t="s">
        <v>245</v>
      </c>
      <c r="H145" s="1" t="s">
        <v>247</v>
      </c>
      <c r="I145" s="1" t="s">
        <v>248</v>
      </c>
      <c r="J145" s="1" t="s">
        <v>33</v>
      </c>
      <c r="K145" s="5">
        <v>47892.0</v>
      </c>
      <c r="L145" s="6">
        <v>43607.0</v>
      </c>
      <c r="M145" s="7">
        <v>502100.0</v>
      </c>
      <c r="N145" s="4" t="s">
        <v>249</v>
      </c>
      <c r="O145" s="4" t="s">
        <v>26</v>
      </c>
    </row>
    <row r="146" ht="15.75" customHeight="1">
      <c r="A146" s="1" t="s">
        <v>244</v>
      </c>
      <c r="B146" s="1" t="s">
        <v>245</v>
      </c>
      <c r="C146" s="1" t="s">
        <v>246</v>
      </c>
      <c r="D146" s="1" t="s">
        <v>158</v>
      </c>
      <c r="E146" s="1" t="s">
        <v>137</v>
      </c>
      <c r="F146" s="1" t="s">
        <v>20</v>
      </c>
      <c r="G146" s="1" t="s">
        <v>245</v>
      </c>
      <c r="H146" s="1" t="s">
        <v>247</v>
      </c>
      <c r="I146" s="1" t="s">
        <v>248</v>
      </c>
      <c r="J146" s="1" t="s">
        <v>33</v>
      </c>
      <c r="K146" s="5">
        <v>143655.0</v>
      </c>
      <c r="L146" s="6">
        <v>43641.0</v>
      </c>
      <c r="M146" s="7">
        <v>502100.0</v>
      </c>
      <c r="N146" s="4" t="s">
        <v>249</v>
      </c>
      <c r="O146" s="4" t="s">
        <v>26</v>
      </c>
    </row>
    <row r="147" ht="15.75" customHeight="1">
      <c r="A147" s="1" t="s">
        <v>244</v>
      </c>
      <c r="B147" s="1" t="s">
        <v>245</v>
      </c>
      <c r="C147" s="1" t="s">
        <v>246</v>
      </c>
      <c r="D147" s="1" t="s">
        <v>158</v>
      </c>
      <c r="E147" s="1" t="s">
        <v>137</v>
      </c>
      <c r="F147" s="1" t="s">
        <v>20</v>
      </c>
      <c r="G147" s="1" t="s">
        <v>245</v>
      </c>
      <c r="H147" s="1" t="s">
        <v>247</v>
      </c>
      <c r="I147" s="1" t="s">
        <v>248</v>
      </c>
      <c r="J147" s="1" t="s">
        <v>33</v>
      </c>
      <c r="K147" s="5">
        <v>253069.0</v>
      </c>
      <c r="L147" s="6">
        <v>44197.0</v>
      </c>
      <c r="M147" s="7">
        <v>502100.0</v>
      </c>
      <c r="N147" s="4" t="s">
        <v>249</v>
      </c>
      <c r="O147" s="4" t="s">
        <v>26</v>
      </c>
    </row>
    <row r="148" ht="15.75" customHeight="1">
      <c r="A148" s="1" t="s">
        <v>244</v>
      </c>
      <c r="B148" s="1" t="s">
        <v>245</v>
      </c>
      <c r="C148" s="1" t="s">
        <v>246</v>
      </c>
      <c r="D148" s="1" t="s">
        <v>158</v>
      </c>
      <c r="E148" s="1" t="s">
        <v>137</v>
      </c>
      <c r="F148" s="1" t="s">
        <v>20</v>
      </c>
      <c r="G148" s="1" t="s">
        <v>245</v>
      </c>
      <c r="H148" s="1" t="s">
        <v>247</v>
      </c>
      <c r="I148" s="1" t="s">
        <v>248</v>
      </c>
      <c r="J148" s="1" t="s">
        <v>33</v>
      </c>
      <c r="K148" s="5">
        <v>124078.0</v>
      </c>
      <c r="L148" s="6">
        <v>44105.0</v>
      </c>
      <c r="M148" s="7">
        <v>502100.0</v>
      </c>
      <c r="N148" s="4" t="s">
        <v>249</v>
      </c>
      <c r="O148" s="4" t="s">
        <v>26</v>
      </c>
    </row>
    <row r="149" ht="15.75" customHeight="1">
      <c r="A149" s="1" t="s">
        <v>244</v>
      </c>
      <c r="B149" s="1" t="s">
        <v>245</v>
      </c>
      <c r="C149" s="1" t="s">
        <v>246</v>
      </c>
      <c r="D149" s="1" t="s">
        <v>158</v>
      </c>
      <c r="E149" s="1" t="s">
        <v>137</v>
      </c>
      <c r="F149" s="1" t="s">
        <v>20</v>
      </c>
      <c r="G149" s="1" t="s">
        <v>245</v>
      </c>
      <c r="H149" s="1" t="s">
        <v>247</v>
      </c>
      <c r="I149" s="1" t="s">
        <v>248</v>
      </c>
      <c r="J149" s="1" t="s">
        <v>33</v>
      </c>
      <c r="K149" s="5">
        <v>164974.0</v>
      </c>
      <c r="L149" s="6">
        <v>44139.0</v>
      </c>
      <c r="M149" s="7">
        <v>502100.0</v>
      </c>
      <c r="N149" s="4" t="s">
        <v>249</v>
      </c>
      <c r="O149" s="4" t="s">
        <v>26</v>
      </c>
    </row>
    <row r="150" ht="15.75" customHeight="1">
      <c r="A150" s="1" t="s">
        <v>244</v>
      </c>
      <c r="B150" s="1" t="s">
        <v>245</v>
      </c>
      <c r="C150" s="1" t="s">
        <v>246</v>
      </c>
      <c r="D150" s="1" t="s">
        <v>158</v>
      </c>
      <c r="E150" s="1" t="s">
        <v>137</v>
      </c>
      <c r="F150" s="1" t="s">
        <v>20</v>
      </c>
      <c r="G150" s="1" t="s">
        <v>245</v>
      </c>
      <c r="H150" s="1" t="s">
        <v>247</v>
      </c>
      <c r="I150" s="1" t="s">
        <v>248</v>
      </c>
      <c r="J150" s="1" t="s">
        <v>33</v>
      </c>
      <c r="K150" s="5">
        <v>98184.0</v>
      </c>
      <c r="L150" s="6">
        <v>44962.0</v>
      </c>
      <c r="M150" s="7">
        <v>502100.0</v>
      </c>
      <c r="N150" s="4" t="s">
        <v>249</v>
      </c>
      <c r="O150" s="4" t="s">
        <v>26</v>
      </c>
    </row>
    <row r="151" ht="15.75" customHeight="1">
      <c r="A151" s="1" t="s">
        <v>244</v>
      </c>
      <c r="B151" s="1" t="s">
        <v>245</v>
      </c>
      <c r="C151" s="1" t="s">
        <v>246</v>
      </c>
      <c r="D151" s="1" t="s">
        <v>158</v>
      </c>
      <c r="E151" s="1" t="s">
        <v>137</v>
      </c>
      <c r="F151" s="1" t="s">
        <v>20</v>
      </c>
      <c r="G151" s="1" t="s">
        <v>245</v>
      </c>
      <c r="H151" s="1" t="s">
        <v>247</v>
      </c>
      <c r="I151" s="1" t="s">
        <v>248</v>
      </c>
      <c r="J151" s="1" t="s">
        <v>33</v>
      </c>
      <c r="K151" s="5">
        <v>70237.0</v>
      </c>
      <c r="L151" s="6">
        <v>45200.0</v>
      </c>
      <c r="M151" s="7">
        <v>502100.0</v>
      </c>
      <c r="N151" s="4" t="s">
        <v>249</v>
      </c>
      <c r="O151" s="4" t="s">
        <v>26</v>
      </c>
    </row>
    <row r="152" ht="15.75" customHeight="1">
      <c r="A152" s="1" t="s">
        <v>244</v>
      </c>
      <c r="B152" s="1" t="s">
        <v>245</v>
      </c>
      <c r="C152" s="1" t="s">
        <v>246</v>
      </c>
      <c r="D152" s="1" t="s">
        <v>158</v>
      </c>
      <c r="E152" s="1" t="s">
        <v>137</v>
      </c>
      <c r="F152" s="1" t="s">
        <v>20</v>
      </c>
      <c r="G152" s="1" t="s">
        <v>245</v>
      </c>
      <c r="H152" s="1" t="s">
        <v>247</v>
      </c>
      <c r="I152" s="1" t="s">
        <v>248</v>
      </c>
      <c r="J152" s="1" t="s">
        <v>33</v>
      </c>
      <c r="K152" s="5">
        <v>249088.0</v>
      </c>
      <c r="L152" s="6">
        <v>45234.0</v>
      </c>
      <c r="M152" s="7">
        <v>502100.0</v>
      </c>
      <c r="N152" s="4" t="s">
        <v>249</v>
      </c>
      <c r="O152" s="4" t="s">
        <v>26</v>
      </c>
    </row>
    <row r="153" ht="15.75" customHeight="1">
      <c r="A153" s="1" t="s">
        <v>250</v>
      </c>
      <c r="B153" s="1" t="s">
        <v>251</v>
      </c>
      <c r="C153" s="1" t="s">
        <v>252</v>
      </c>
      <c r="D153" s="1" t="s">
        <v>165</v>
      </c>
      <c r="E153" s="1" t="s">
        <v>144</v>
      </c>
      <c r="F153" s="1" t="s">
        <v>20</v>
      </c>
      <c r="G153" s="1" t="s">
        <v>251</v>
      </c>
      <c r="H153" s="1" t="s">
        <v>253</v>
      </c>
      <c r="I153" s="1" t="s">
        <v>254</v>
      </c>
      <c r="J153" s="1" t="s">
        <v>168</v>
      </c>
      <c r="K153" s="5">
        <v>130253.0</v>
      </c>
      <c r="L153" s="6">
        <v>43504.0</v>
      </c>
      <c r="M153" s="7">
        <v>516000.0</v>
      </c>
      <c r="N153" s="4" t="s">
        <v>255</v>
      </c>
      <c r="O153" s="4" t="s">
        <v>26</v>
      </c>
    </row>
    <row r="154" ht="15.75" customHeight="1">
      <c r="A154" s="1" t="s">
        <v>250</v>
      </c>
      <c r="B154" s="1" t="s">
        <v>251</v>
      </c>
      <c r="C154" s="1" t="s">
        <v>252</v>
      </c>
      <c r="D154" s="1" t="s">
        <v>165</v>
      </c>
      <c r="E154" s="1" t="s">
        <v>144</v>
      </c>
      <c r="F154" s="1" t="s">
        <v>20</v>
      </c>
      <c r="G154" s="1" t="s">
        <v>251</v>
      </c>
      <c r="H154" s="1" t="s">
        <v>253</v>
      </c>
      <c r="I154" s="1" t="s">
        <v>254</v>
      </c>
      <c r="J154" s="1" t="s">
        <v>168</v>
      </c>
      <c r="K154" s="5">
        <v>201168.0</v>
      </c>
      <c r="L154" s="6">
        <v>43549.0</v>
      </c>
      <c r="M154" s="7">
        <v>516000.0</v>
      </c>
      <c r="N154" s="4" t="s">
        <v>255</v>
      </c>
      <c r="O154" s="4" t="s">
        <v>26</v>
      </c>
    </row>
    <row r="155" ht="15.75" customHeight="1">
      <c r="A155" s="1" t="s">
        <v>250</v>
      </c>
      <c r="B155" s="1" t="s">
        <v>251</v>
      </c>
      <c r="C155" s="1" t="s">
        <v>252</v>
      </c>
      <c r="D155" s="1" t="s">
        <v>165</v>
      </c>
      <c r="E155" s="1" t="s">
        <v>144</v>
      </c>
      <c r="F155" s="1" t="s">
        <v>20</v>
      </c>
      <c r="G155" s="1" t="s">
        <v>251</v>
      </c>
      <c r="H155" s="1" t="s">
        <v>253</v>
      </c>
      <c r="I155" s="1" t="s">
        <v>254</v>
      </c>
      <c r="J155" s="1" t="s">
        <v>168</v>
      </c>
      <c r="K155" s="5">
        <v>182791.0</v>
      </c>
      <c r="L155" s="6">
        <v>43610.0</v>
      </c>
      <c r="M155" s="7">
        <v>516000.0</v>
      </c>
      <c r="N155" s="4" t="s">
        <v>255</v>
      </c>
      <c r="O155" s="4" t="s">
        <v>26</v>
      </c>
    </row>
    <row r="156" ht="15.75" customHeight="1">
      <c r="A156" s="1" t="s">
        <v>250</v>
      </c>
      <c r="B156" s="1" t="s">
        <v>251</v>
      </c>
      <c r="C156" s="1" t="s">
        <v>252</v>
      </c>
      <c r="D156" s="1" t="s">
        <v>165</v>
      </c>
      <c r="E156" s="1" t="s">
        <v>144</v>
      </c>
      <c r="F156" s="1" t="s">
        <v>20</v>
      </c>
      <c r="G156" s="1" t="s">
        <v>251</v>
      </c>
      <c r="H156" s="1" t="s">
        <v>253</v>
      </c>
      <c r="I156" s="1" t="s">
        <v>254</v>
      </c>
      <c r="J156" s="1" t="s">
        <v>168</v>
      </c>
      <c r="K156" s="5">
        <v>100941.0</v>
      </c>
      <c r="L156" s="6">
        <v>43644.0</v>
      </c>
      <c r="M156" s="7">
        <v>516000.0</v>
      </c>
      <c r="N156" s="4" t="s">
        <v>255</v>
      </c>
      <c r="O156" s="4" t="s">
        <v>26</v>
      </c>
    </row>
    <row r="157" ht="15.75" customHeight="1">
      <c r="A157" s="1" t="s">
        <v>250</v>
      </c>
      <c r="B157" s="1" t="s">
        <v>251</v>
      </c>
      <c r="C157" s="1" t="s">
        <v>252</v>
      </c>
      <c r="D157" s="1" t="s">
        <v>165</v>
      </c>
      <c r="E157" s="1" t="s">
        <v>144</v>
      </c>
      <c r="F157" s="1" t="s">
        <v>20</v>
      </c>
      <c r="G157" s="1" t="s">
        <v>251</v>
      </c>
      <c r="H157" s="1" t="s">
        <v>253</v>
      </c>
      <c r="I157" s="1" t="s">
        <v>254</v>
      </c>
      <c r="J157" s="1" t="s">
        <v>168</v>
      </c>
      <c r="K157" s="5">
        <v>74480.0</v>
      </c>
      <c r="L157" s="6">
        <v>43647.0</v>
      </c>
      <c r="M157" s="7">
        <v>516000.0</v>
      </c>
      <c r="N157" s="4" t="s">
        <v>255</v>
      </c>
      <c r="O157" s="4" t="s">
        <v>26</v>
      </c>
    </row>
    <row r="158" ht="15.75" customHeight="1">
      <c r="A158" s="1" t="s">
        <v>250</v>
      </c>
      <c r="B158" s="1" t="s">
        <v>251</v>
      </c>
      <c r="C158" s="1" t="s">
        <v>252</v>
      </c>
      <c r="D158" s="1" t="s">
        <v>165</v>
      </c>
      <c r="E158" s="1" t="s">
        <v>144</v>
      </c>
      <c r="F158" s="1" t="s">
        <v>20</v>
      </c>
      <c r="G158" s="1" t="s">
        <v>251</v>
      </c>
      <c r="H158" s="1" t="s">
        <v>253</v>
      </c>
      <c r="I158" s="1" t="s">
        <v>254</v>
      </c>
      <c r="J158" s="1" t="s">
        <v>168</v>
      </c>
      <c r="K158" s="5">
        <v>50006.0</v>
      </c>
      <c r="L158" s="6">
        <v>43650.0</v>
      </c>
      <c r="M158" s="7">
        <v>516000.0</v>
      </c>
      <c r="N158" s="4" t="s">
        <v>255</v>
      </c>
      <c r="O158" s="4" t="s">
        <v>26</v>
      </c>
    </row>
    <row r="159" ht="15.75" customHeight="1">
      <c r="A159" s="1" t="s">
        <v>250</v>
      </c>
      <c r="B159" s="1" t="s">
        <v>251</v>
      </c>
      <c r="C159" s="1" t="s">
        <v>252</v>
      </c>
      <c r="D159" s="1" t="s">
        <v>165</v>
      </c>
      <c r="E159" s="1" t="s">
        <v>144</v>
      </c>
      <c r="F159" s="1" t="s">
        <v>20</v>
      </c>
      <c r="G159" s="1" t="s">
        <v>251</v>
      </c>
      <c r="H159" s="1" t="s">
        <v>253</v>
      </c>
      <c r="I159" s="1" t="s">
        <v>254</v>
      </c>
      <c r="J159" s="1" t="s">
        <v>168</v>
      </c>
      <c r="K159" s="5">
        <v>70453.0</v>
      </c>
      <c r="L159" s="6">
        <v>44200.0</v>
      </c>
      <c r="M159" s="7">
        <v>516000.0</v>
      </c>
      <c r="N159" s="4" t="s">
        <v>255</v>
      </c>
      <c r="O159" s="4" t="s">
        <v>26</v>
      </c>
    </row>
    <row r="160" ht="15.75" customHeight="1">
      <c r="A160" s="1" t="s">
        <v>250</v>
      </c>
      <c r="B160" s="1" t="s">
        <v>251</v>
      </c>
      <c r="C160" s="1" t="s">
        <v>252</v>
      </c>
      <c r="D160" s="1" t="s">
        <v>165</v>
      </c>
      <c r="E160" s="1" t="s">
        <v>144</v>
      </c>
      <c r="F160" s="1" t="s">
        <v>20</v>
      </c>
      <c r="G160" s="1" t="s">
        <v>251</v>
      </c>
      <c r="H160" s="1" t="s">
        <v>253</v>
      </c>
      <c r="I160" s="1" t="s">
        <v>254</v>
      </c>
      <c r="J160" s="1" t="s">
        <v>168</v>
      </c>
      <c r="K160" s="5">
        <v>16006.0</v>
      </c>
      <c r="L160" s="6">
        <v>44108.0</v>
      </c>
      <c r="M160" s="7">
        <v>516000.0</v>
      </c>
      <c r="N160" s="4" t="s">
        <v>255</v>
      </c>
      <c r="O160" s="4" t="s">
        <v>26</v>
      </c>
    </row>
    <row r="161" ht="15.75" customHeight="1">
      <c r="A161" s="1" t="s">
        <v>250</v>
      </c>
      <c r="B161" s="1" t="s">
        <v>251</v>
      </c>
      <c r="C161" s="1" t="s">
        <v>252</v>
      </c>
      <c r="D161" s="1" t="s">
        <v>165</v>
      </c>
      <c r="E161" s="1" t="s">
        <v>144</v>
      </c>
      <c r="F161" s="1" t="s">
        <v>20</v>
      </c>
      <c r="G161" s="1" t="s">
        <v>251</v>
      </c>
      <c r="H161" s="1" t="s">
        <v>253</v>
      </c>
      <c r="I161" s="1" t="s">
        <v>254</v>
      </c>
      <c r="J161" s="1" t="s">
        <v>168</v>
      </c>
      <c r="K161" s="5">
        <v>168444.0</v>
      </c>
      <c r="L161" s="6">
        <v>44142.0</v>
      </c>
      <c r="M161" s="7">
        <v>516000.0</v>
      </c>
      <c r="N161" s="4" t="s">
        <v>255</v>
      </c>
      <c r="O161" s="4" t="s">
        <v>26</v>
      </c>
    </row>
    <row r="162" ht="15.75" customHeight="1">
      <c r="A162" s="1" t="s">
        <v>250</v>
      </c>
      <c r="B162" s="1" t="s">
        <v>251</v>
      </c>
      <c r="C162" s="1" t="s">
        <v>252</v>
      </c>
      <c r="D162" s="1" t="s">
        <v>165</v>
      </c>
      <c r="E162" s="1" t="s">
        <v>144</v>
      </c>
      <c r="F162" s="1" t="s">
        <v>20</v>
      </c>
      <c r="G162" s="1" t="s">
        <v>251</v>
      </c>
      <c r="H162" s="1" t="s">
        <v>253</v>
      </c>
      <c r="I162" s="1" t="s">
        <v>254</v>
      </c>
      <c r="J162" s="1" t="s">
        <v>168</v>
      </c>
      <c r="K162" s="5">
        <v>285123.0</v>
      </c>
      <c r="L162" s="6">
        <v>44145.0</v>
      </c>
      <c r="M162" s="7">
        <v>516000.0</v>
      </c>
      <c r="N162" s="4" t="s">
        <v>255</v>
      </c>
      <c r="O162" s="4" t="s">
        <v>26</v>
      </c>
    </row>
    <row r="163" ht="15.75" customHeight="1">
      <c r="A163" s="1" t="s">
        <v>250</v>
      </c>
      <c r="B163" s="1" t="s">
        <v>251</v>
      </c>
      <c r="C163" s="1" t="s">
        <v>252</v>
      </c>
      <c r="D163" s="1" t="s">
        <v>165</v>
      </c>
      <c r="E163" s="1" t="s">
        <v>144</v>
      </c>
      <c r="F163" s="1" t="s">
        <v>20</v>
      </c>
      <c r="G163" s="1" t="s">
        <v>251</v>
      </c>
      <c r="H163" s="1" t="s">
        <v>253</v>
      </c>
      <c r="I163" s="1" t="s">
        <v>254</v>
      </c>
      <c r="J163" s="1" t="s">
        <v>168</v>
      </c>
      <c r="K163" s="5">
        <v>118002.0</v>
      </c>
      <c r="L163" s="6">
        <v>44148.0</v>
      </c>
      <c r="M163" s="7">
        <v>516000.0</v>
      </c>
      <c r="N163" s="4" t="s">
        <v>255</v>
      </c>
      <c r="O163" s="4" t="s">
        <v>26</v>
      </c>
    </row>
    <row r="164" ht="15.75" customHeight="1">
      <c r="A164" s="1" t="s">
        <v>250</v>
      </c>
      <c r="B164" s="1" t="s">
        <v>251</v>
      </c>
      <c r="C164" s="1" t="s">
        <v>252</v>
      </c>
      <c r="D164" s="1" t="s">
        <v>165</v>
      </c>
      <c r="E164" s="1" t="s">
        <v>144</v>
      </c>
      <c r="F164" s="1" t="s">
        <v>20</v>
      </c>
      <c r="G164" s="1" t="s">
        <v>251</v>
      </c>
      <c r="H164" s="1" t="s">
        <v>253</v>
      </c>
      <c r="I164" s="1" t="s">
        <v>254</v>
      </c>
      <c r="J164" s="1" t="s">
        <v>168</v>
      </c>
      <c r="K164" s="5">
        <v>262998.0</v>
      </c>
      <c r="L164" s="6">
        <v>44965.0</v>
      </c>
      <c r="M164" s="7">
        <v>516000.0</v>
      </c>
      <c r="N164" s="4" t="s">
        <v>255</v>
      </c>
      <c r="O164" s="4" t="s">
        <v>26</v>
      </c>
    </row>
    <row r="165" ht="15.75" customHeight="1">
      <c r="A165" s="1" t="s">
        <v>250</v>
      </c>
      <c r="B165" s="1" t="s">
        <v>251</v>
      </c>
      <c r="C165" s="1" t="s">
        <v>252</v>
      </c>
      <c r="D165" s="1" t="s">
        <v>165</v>
      </c>
      <c r="E165" s="1" t="s">
        <v>144</v>
      </c>
      <c r="F165" s="1" t="s">
        <v>20</v>
      </c>
      <c r="G165" s="1" t="s">
        <v>251</v>
      </c>
      <c r="H165" s="1" t="s">
        <v>253</v>
      </c>
      <c r="I165" s="1" t="s">
        <v>254</v>
      </c>
      <c r="J165" s="1" t="s">
        <v>168</v>
      </c>
      <c r="K165" s="5">
        <v>71101.0</v>
      </c>
      <c r="L165" s="6">
        <v>45203.0</v>
      </c>
      <c r="M165" s="7">
        <v>516000.0</v>
      </c>
      <c r="N165" s="4" t="s">
        <v>255</v>
      </c>
      <c r="O165" s="4" t="s">
        <v>26</v>
      </c>
    </row>
    <row r="166" ht="15.75" customHeight="1">
      <c r="A166" s="1" t="s">
        <v>250</v>
      </c>
      <c r="B166" s="1" t="s">
        <v>251</v>
      </c>
      <c r="C166" s="1" t="s">
        <v>252</v>
      </c>
      <c r="D166" s="1" t="s">
        <v>165</v>
      </c>
      <c r="E166" s="1" t="s">
        <v>144</v>
      </c>
      <c r="F166" s="1" t="s">
        <v>20</v>
      </c>
      <c r="G166" s="1" t="s">
        <v>251</v>
      </c>
      <c r="H166" s="1" t="s">
        <v>253</v>
      </c>
      <c r="I166" s="1" t="s">
        <v>254</v>
      </c>
      <c r="J166" s="1" t="s">
        <v>168</v>
      </c>
      <c r="K166" s="5">
        <v>132812.0</v>
      </c>
      <c r="L166" s="6">
        <v>45237.0</v>
      </c>
      <c r="M166" s="7">
        <v>516000.0</v>
      </c>
      <c r="N166" s="4" t="s">
        <v>255</v>
      </c>
      <c r="O166" s="4" t="s">
        <v>26</v>
      </c>
    </row>
    <row r="167" ht="15.75" customHeight="1">
      <c r="A167" s="1" t="s">
        <v>250</v>
      </c>
      <c r="B167" s="1" t="s">
        <v>251</v>
      </c>
      <c r="C167" s="1" t="s">
        <v>252</v>
      </c>
      <c r="D167" s="1" t="s">
        <v>165</v>
      </c>
      <c r="E167" s="1" t="s">
        <v>144</v>
      </c>
      <c r="F167" s="1" t="s">
        <v>20</v>
      </c>
      <c r="G167" s="1" t="s">
        <v>251</v>
      </c>
      <c r="H167" s="1" t="s">
        <v>253</v>
      </c>
      <c r="I167" s="1" t="s">
        <v>254</v>
      </c>
      <c r="J167" s="1" t="s">
        <v>168</v>
      </c>
      <c r="K167" s="5">
        <v>193225.0</v>
      </c>
      <c r="L167" s="6">
        <v>45240.0</v>
      </c>
      <c r="M167" s="7">
        <v>516000.0</v>
      </c>
      <c r="N167" s="4" t="s">
        <v>255</v>
      </c>
      <c r="O167" s="4" t="s">
        <v>26</v>
      </c>
    </row>
    <row r="168" ht="15.75" customHeight="1">
      <c r="A168" s="1" t="s">
        <v>250</v>
      </c>
      <c r="B168" s="1" t="s">
        <v>251</v>
      </c>
      <c r="C168" s="1" t="s">
        <v>252</v>
      </c>
      <c r="D168" s="1" t="s">
        <v>165</v>
      </c>
      <c r="E168" s="1" t="s">
        <v>144</v>
      </c>
      <c r="F168" s="1" t="s">
        <v>20</v>
      </c>
      <c r="G168" s="1" t="s">
        <v>251</v>
      </c>
      <c r="H168" s="1" t="s">
        <v>253</v>
      </c>
      <c r="I168" s="1" t="s">
        <v>254</v>
      </c>
      <c r="J168" s="1" t="s">
        <v>168</v>
      </c>
      <c r="K168" s="5">
        <v>198619.0</v>
      </c>
      <c r="L168" s="6">
        <v>45243.0</v>
      </c>
      <c r="M168" s="7">
        <v>516000.0</v>
      </c>
      <c r="N168" s="4" t="s">
        <v>255</v>
      </c>
      <c r="O168" s="4" t="s">
        <v>26</v>
      </c>
    </row>
    <row r="169" ht="15.75" customHeight="1">
      <c r="A169" s="1" t="s">
        <v>256</v>
      </c>
      <c r="B169" s="1" t="s">
        <v>257</v>
      </c>
      <c r="C169" s="1" t="s">
        <v>258</v>
      </c>
      <c r="D169" s="1" t="s">
        <v>259</v>
      </c>
      <c r="E169" s="1" t="s">
        <v>137</v>
      </c>
      <c r="F169" s="1" t="s">
        <v>20</v>
      </c>
      <c r="G169" s="1" t="s">
        <v>257</v>
      </c>
      <c r="H169" s="1" t="s">
        <v>260</v>
      </c>
      <c r="I169" s="1" t="s">
        <v>261</v>
      </c>
      <c r="J169" s="1" t="s">
        <v>33</v>
      </c>
      <c r="K169" s="5">
        <v>222631.0</v>
      </c>
      <c r="L169" s="6">
        <v>43832.0</v>
      </c>
      <c r="M169" s="7">
        <v>509100.0</v>
      </c>
      <c r="N169" s="4" t="s">
        <v>262</v>
      </c>
      <c r="O169" s="4" t="s">
        <v>26</v>
      </c>
    </row>
    <row r="170" ht="15.75" customHeight="1">
      <c r="A170" s="1" t="s">
        <v>256</v>
      </c>
      <c r="B170" s="1" t="s">
        <v>257</v>
      </c>
      <c r="C170" s="1" t="s">
        <v>258</v>
      </c>
      <c r="D170" s="1" t="s">
        <v>259</v>
      </c>
      <c r="E170" s="1" t="s">
        <v>137</v>
      </c>
      <c r="F170" s="1" t="s">
        <v>20</v>
      </c>
      <c r="G170" s="1" t="s">
        <v>257</v>
      </c>
      <c r="H170" s="1" t="s">
        <v>260</v>
      </c>
      <c r="I170" s="1" t="s">
        <v>261</v>
      </c>
      <c r="J170" s="1" t="s">
        <v>33</v>
      </c>
      <c r="K170" s="5">
        <v>61912.0</v>
      </c>
      <c r="L170" s="6">
        <v>43922.0</v>
      </c>
      <c r="M170" s="7">
        <v>509100.0</v>
      </c>
      <c r="N170" s="4" t="s">
        <v>262</v>
      </c>
      <c r="O170" s="4" t="s">
        <v>26</v>
      </c>
    </row>
    <row r="171" ht="15.75" customHeight="1">
      <c r="A171" s="1" t="s">
        <v>256</v>
      </c>
      <c r="B171" s="1" t="s">
        <v>257</v>
      </c>
      <c r="C171" s="1" t="s">
        <v>258</v>
      </c>
      <c r="D171" s="1" t="s">
        <v>259</v>
      </c>
      <c r="E171" s="1" t="s">
        <v>137</v>
      </c>
      <c r="F171" s="1" t="s">
        <v>20</v>
      </c>
      <c r="G171" s="1" t="s">
        <v>257</v>
      </c>
      <c r="H171" s="1" t="s">
        <v>260</v>
      </c>
      <c r="I171" s="1" t="s">
        <v>261</v>
      </c>
      <c r="J171" s="1" t="s">
        <v>33</v>
      </c>
      <c r="K171" s="5">
        <v>235544.0</v>
      </c>
      <c r="L171" s="6">
        <v>44013.0</v>
      </c>
      <c r="M171" s="7">
        <v>509100.0</v>
      </c>
      <c r="N171" s="4" t="s">
        <v>262</v>
      </c>
      <c r="O171" s="4" t="s">
        <v>26</v>
      </c>
    </row>
    <row r="172" ht="15.75" customHeight="1">
      <c r="A172" s="1" t="s">
        <v>256</v>
      </c>
      <c r="B172" s="1" t="s">
        <v>257</v>
      </c>
      <c r="C172" s="1" t="s">
        <v>258</v>
      </c>
      <c r="D172" s="1" t="s">
        <v>259</v>
      </c>
      <c r="E172" s="1" t="s">
        <v>137</v>
      </c>
      <c r="F172" s="1" t="s">
        <v>20</v>
      </c>
      <c r="G172" s="1" t="s">
        <v>257</v>
      </c>
      <c r="H172" s="1" t="s">
        <v>260</v>
      </c>
      <c r="I172" s="1" t="s">
        <v>261</v>
      </c>
      <c r="J172" s="1" t="s">
        <v>33</v>
      </c>
      <c r="K172" s="5">
        <v>153467.0</v>
      </c>
      <c r="L172" s="6">
        <v>44157.0</v>
      </c>
      <c r="M172" s="7">
        <v>509100.0</v>
      </c>
      <c r="N172" s="4" t="s">
        <v>262</v>
      </c>
      <c r="O172" s="4" t="s">
        <v>26</v>
      </c>
    </row>
    <row r="173" ht="15.75" customHeight="1">
      <c r="A173" s="1" t="s">
        <v>256</v>
      </c>
      <c r="B173" s="1" t="s">
        <v>257</v>
      </c>
      <c r="C173" s="1" t="s">
        <v>258</v>
      </c>
      <c r="D173" s="1" t="s">
        <v>259</v>
      </c>
      <c r="E173" s="1" t="s">
        <v>137</v>
      </c>
      <c r="F173" s="1" t="s">
        <v>20</v>
      </c>
      <c r="G173" s="1" t="s">
        <v>257</v>
      </c>
      <c r="H173" s="1" t="s">
        <v>260</v>
      </c>
      <c r="I173" s="1" t="s">
        <v>261</v>
      </c>
      <c r="J173" s="1" t="s">
        <v>33</v>
      </c>
      <c r="K173" s="5">
        <v>229698.0</v>
      </c>
      <c r="L173" s="6">
        <v>44259.0</v>
      </c>
      <c r="M173" s="7">
        <v>509100.0</v>
      </c>
      <c r="N173" s="4" t="s">
        <v>262</v>
      </c>
      <c r="O173" s="4" t="s">
        <v>26</v>
      </c>
    </row>
    <row r="174" ht="15.75" customHeight="1">
      <c r="A174" s="1" t="s">
        <v>256</v>
      </c>
      <c r="B174" s="1" t="s">
        <v>257</v>
      </c>
      <c r="C174" s="1" t="s">
        <v>258</v>
      </c>
      <c r="D174" s="1" t="s">
        <v>259</v>
      </c>
      <c r="E174" s="1" t="s">
        <v>137</v>
      </c>
      <c r="F174" s="1" t="s">
        <v>20</v>
      </c>
      <c r="G174" s="1" t="s">
        <v>257</v>
      </c>
      <c r="H174" s="1" t="s">
        <v>260</v>
      </c>
      <c r="I174" s="1" t="s">
        <v>261</v>
      </c>
      <c r="J174" s="1" t="s">
        <v>33</v>
      </c>
      <c r="K174" s="5">
        <v>66132.0</v>
      </c>
      <c r="L174" s="6">
        <v>44151.0</v>
      </c>
      <c r="M174" s="7">
        <v>509100.0</v>
      </c>
      <c r="N174" s="4" t="s">
        <v>262</v>
      </c>
      <c r="O174" s="4" t="s">
        <v>26</v>
      </c>
    </row>
    <row r="175" ht="15.75" customHeight="1">
      <c r="A175" s="1" t="s">
        <v>256</v>
      </c>
      <c r="B175" s="1" t="s">
        <v>257</v>
      </c>
      <c r="C175" s="1" t="s">
        <v>258</v>
      </c>
      <c r="D175" s="1" t="s">
        <v>259</v>
      </c>
      <c r="E175" s="1" t="s">
        <v>137</v>
      </c>
      <c r="F175" s="1" t="s">
        <v>20</v>
      </c>
      <c r="G175" s="1" t="s">
        <v>257</v>
      </c>
      <c r="H175" s="1" t="s">
        <v>260</v>
      </c>
      <c r="I175" s="1" t="s">
        <v>261</v>
      </c>
      <c r="J175" s="1" t="s">
        <v>33</v>
      </c>
      <c r="K175" s="5">
        <v>296580.0</v>
      </c>
      <c r="L175" s="6">
        <v>44246.0</v>
      </c>
      <c r="M175" s="7">
        <v>509100.0</v>
      </c>
      <c r="N175" s="4" t="s">
        <v>262</v>
      </c>
      <c r="O175" s="4" t="s">
        <v>26</v>
      </c>
    </row>
    <row r="176" ht="15.75" customHeight="1">
      <c r="A176" s="1" t="s">
        <v>256</v>
      </c>
      <c r="B176" s="1" t="s">
        <v>257</v>
      </c>
      <c r="C176" s="1" t="s">
        <v>258</v>
      </c>
      <c r="D176" s="1" t="s">
        <v>259</v>
      </c>
      <c r="E176" s="1" t="s">
        <v>137</v>
      </c>
      <c r="F176" s="1" t="s">
        <v>20</v>
      </c>
      <c r="G176" s="1" t="s">
        <v>257</v>
      </c>
      <c r="H176" s="1" t="s">
        <v>260</v>
      </c>
      <c r="I176" s="1" t="s">
        <v>261</v>
      </c>
      <c r="J176" s="1" t="s">
        <v>33</v>
      </c>
      <c r="K176" s="5">
        <v>228513.0</v>
      </c>
      <c r="L176" s="6">
        <v>44853.0</v>
      </c>
      <c r="M176" s="7">
        <v>509100.0</v>
      </c>
      <c r="N176" s="4" t="s">
        <v>262</v>
      </c>
      <c r="O176" s="4" t="s">
        <v>26</v>
      </c>
    </row>
    <row r="177" ht="15.75" customHeight="1">
      <c r="A177" s="1" t="s">
        <v>263</v>
      </c>
      <c r="B177" s="1" t="s">
        <v>264</v>
      </c>
      <c r="C177" s="1" t="s">
        <v>265</v>
      </c>
      <c r="D177" s="1" t="s">
        <v>266</v>
      </c>
      <c r="E177" s="1" t="s">
        <v>144</v>
      </c>
      <c r="F177" s="1" t="s">
        <v>20</v>
      </c>
      <c r="G177" s="1" t="s">
        <v>264</v>
      </c>
      <c r="H177" s="1" t="s">
        <v>267</v>
      </c>
      <c r="I177" s="1" t="s">
        <v>153</v>
      </c>
      <c r="J177" s="1" t="s">
        <v>24</v>
      </c>
      <c r="K177" s="5">
        <v>183419.0</v>
      </c>
      <c r="L177" s="6">
        <v>43835.0</v>
      </c>
      <c r="M177" s="7">
        <v>501400.0</v>
      </c>
      <c r="N177" s="4" t="s">
        <v>268</v>
      </c>
      <c r="O177" s="4" t="s">
        <v>26</v>
      </c>
    </row>
    <row r="178" ht="15.75" customHeight="1">
      <c r="A178" s="1" t="s">
        <v>263</v>
      </c>
      <c r="B178" s="1" t="s">
        <v>264</v>
      </c>
      <c r="C178" s="1" t="s">
        <v>265</v>
      </c>
      <c r="D178" s="1" t="s">
        <v>266</v>
      </c>
      <c r="E178" s="1" t="s">
        <v>144</v>
      </c>
      <c r="F178" s="1" t="s">
        <v>20</v>
      </c>
      <c r="G178" s="1" t="s">
        <v>264</v>
      </c>
      <c r="H178" s="1" t="s">
        <v>267</v>
      </c>
      <c r="I178" s="1" t="s">
        <v>153</v>
      </c>
      <c r="J178" s="1" t="s">
        <v>24</v>
      </c>
      <c r="K178" s="5">
        <v>218194.0</v>
      </c>
      <c r="L178" s="6">
        <v>43925.0</v>
      </c>
      <c r="M178" s="7">
        <v>501400.0</v>
      </c>
      <c r="N178" s="4" t="s">
        <v>268</v>
      </c>
      <c r="O178" s="4" t="s">
        <v>26</v>
      </c>
    </row>
    <row r="179" ht="15.75" customHeight="1">
      <c r="A179" s="1" t="s">
        <v>263</v>
      </c>
      <c r="B179" s="1" t="s">
        <v>264</v>
      </c>
      <c r="C179" s="1" t="s">
        <v>265</v>
      </c>
      <c r="D179" s="1" t="s">
        <v>266</v>
      </c>
      <c r="E179" s="1" t="s">
        <v>144</v>
      </c>
      <c r="F179" s="1" t="s">
        <v>20</v>
      </c>
      <c r="G179" s="1" t="s">
        <v>264</v>
      </c>
      <c r="H179" s="1" t="s">
        <v>267</v>
      </c>
      <c r="I179" s="1" t="s">
        <v>153</v>
      </c>
      <c r="J179" s="1" t="s">
        <v>24</v>
      </c>
      <c r="K179" s="5">
        <v>175383.0</v>
      </c>
      <c r="L179" s="6">
        <v>44016.0</v>
      </c>
      <c r="M179" s="7">
        <v>501400.0</v>
      </c>
      <c r="N179" s="4" t="s">
        <v>268</v>
      </c>
      <c r="O179" s="4" t="s">
        <v>26</v>
      </c>
    </row>
    <row r="180" ht="15.75" customHeight="1">
      <c r="A180" s="1" t="s">
        <v>263</v>
      </c>
      <c r="B180" s="1" t="s">
        <v>264</v>
      </c>
      <c r="C180" s="1" t="s">
        <v>265</v>
      </c>
      <c r="D180" s="1" t="s">
        <v>266</v>
      </c>
      <c r="E180" s="1" t="s">
        <v>144</v>
      </c>
      <c r="F180" s="1" t="s">
        <v>20</v>
      </c>
      <c r="G180" s="1" t="s">
        <v>264</v>
      </c>
      <c r="H180" s="1" t="s">
        <v>267</v>
      </c>
      <c r="I180" s="1" t="s">
        <v>153</v>
      </c>
      <c r="J180" s="1" t="s">
        <v>24</v>
      </c>
      <c r="K180" s="5">
        <v>216757.0</v>
      </c>
      <c r="L180" s="6">
        <v>44160.0</v>
      </c>
      <c r="M180" s="7">
        <v>501400.0</v>
      </c>
      <c r="N180" s="4" t="s">
        <v>268</v>
      </c>
      <c r="O180" s="4" t="s">
        <v>26</v>
      </c>
    </row>
    <row r="181" ht="15.75" customHeight="1">
      <c r="A181" s="1" t="s">
        <v>263</v>
      </c>
      <c r="B181" s="1" t="s">
        <v>264</v>
      </c>
      <c r="C181" s="1" t="s">
        <v>265</v>
      </c>
      <c r="D181" s="1" t="s">
        <v>266</v>
      </c>
      <c r="E181" s="1" t="s">
        <v>144</v>
      </c>
      <c r="F181" s="1" t="s">
        <v>20</v>
      </c>
      <c r="G181" s="1" t="s">
        <v>264</v>
      </c>
      <c r="H181" s="1" t="s">
        <v>267</v>
      </c>
      <c r="I181" s="1" t="s">
        <v>153</v>
      </c>
      <c r="J181" s="1" t="s">
        <v>24</v>
      </c>
      <c r="K181" s="5">
        <v>102297.0</v>
      </c>
      <c r="L181" s="6">
        <v>44262.0</v>
      </c>
      <c r="M181" s="7">
        <v>501400.0</v>
      </c>
      <c r="N181" s="4" t="s">
        <v>268</v>
      </c>
      <c r="O181" s="4" t="s">
        <v>26</v>
      </c>
    </row>
    <row r="182" ht="15.75" customHeight="1">
      <c r="A182" s="1" t="s">
        <v>263</v>
      </c>
      <c r="B182" s="1" t="s">
        <v>264</v>
      </c>
      <c r="C182" s="1" t="s">
        <v>265</v>
      </c>
      <c r="D182" s="1" t="s">
        <v>266</v>
      </c>
      <c r="E182" s="1" t="s">
        <v>144</v>
      </c>
      <c r="F182" s="1" t="s">
        <v>20</v>
      </c>
      <c r="G182" s="1" t="s">
        <v>264</v>
      </c>
      <c r="H182" s="1" t="s">
        <v>267</v>
      </c>
      <c r="I182" s="1" t="s">
        <v>153</v>
      </c>
      <c r="J182" s="1" t="s">
        <v>24</v>
      </c>
      <c r="K182" s="5">
        <v>24251.0</v>
      </c>
      <c r="L182" s="6">
        <v>44882.0</v>
      </c>
      <c r="M182" s="7">
        <v>501400.0</v>
      </c>
      <c r="N182" s="4" t="s">
        <v>268</v>
      </c>
      <c r="O182" s="4" t="s">
        <v>26</v>
      </c>
    </row>
    <row r="183" ht="15.75" customHeight="1">
      <c r="A183" s="1" t="s">
        <v>263</v>
      </c>
      <c r="B183" s="1" t="s">
        <v>264</v>
      </c>
      <c r="C183" s="1" t="s">
        <v>265</v>
      </c>
      <c r="D183" s="1" t="s">
        <v>266</v>
      </c>
      <c r="E183" s="1" t="s">
        <v>144</v>
      </c>
      <c r="F183" s="1" t="s">
        <v>20</v>
      </c>
      <c r="G183" s="1" t="s">
        <v>264</v>
      </c>
      <c r="H183" s="1" t="s">
        <v>267</v>
      </c>
      <c r="I183" s="1" t="s">
        <v>153</v>
      </c>
      <c r="J183" s="1" t="s">
        <v>24</v>
      </c>
      <c r="K183" s="5">
        <v>149161.0</v>
      </c>
      <c r="L183" s="6">
        <v>44826.0</v>
      </c>
      <c r="M183" s="7">
        <v>501400.0</v>
      </c>
      <c r="N183" s="4" t="s">
        <v>268</v>
      </c>
      <c r="O183" s="4" t="s">
        <v>26</v>
      </c>
    </row>
    <row r="184" ht="15.75" customHeight="1">
      <c r="A184" s="1" t="s">
        <v>263</v>
      </c>
      <c r="B184" s="1" t="s">
        <v>264</v>
      </c>
      <c r="C184" s="1" t="s">
        <v>265</v>
      </c>
      <c r="D184" s="1" t="s">
        <v>266</v>
      </c>
      <c r="E184" s="1" t="s">
        <v>144</v>
      </c>
      <c r="F184" s="1" t="s">
        <v>20</v>
      </c>
      <c r="G184" s="1" t="s">
        <v>264</v>
      </c>
      <c r="H184" s="1" t="s">
        <v>267</v>
      </c>
      <c r="I184" s="1" t="s">
        <v>153</v>
      </c>
      <c r="J184" s="1" t="s">
        <v>24</v>
      </c>
      <c r="K184" s="5">
        <v>91564.0</v>
      </c>
      <c r="L184" s="6">
        <v>44856.0</v>
      </c>
      <c r="M184" s="7">
        <v>501400.0</v>
      </c>
      <c r="N184" s="4" t="s">
        <v>268</v>
      </c>
      <c r="O184" s="4" t="s">
        <v>26</v>
      </c>
    </row>
    <row r="185" ht="15.75" customHeight="1">
      <c r="A185" s="1" t="s">
        <v>269</v>
      </c>
      <c r="B185" s="1" t="s">
        <v>270</v>
      </c>
      <c r="C185" s="1" t="s">
        <v>271</v>
      </c>
      <c r="D185" s="1" t="s">
        <v>272</v>
      </c>
      <c r="E185" s="1" t="s">
        <v>137</v>
      </c>
      <c r="F185" s="1" t="s">
        <v>20</v>
      </c>
      <c r="G185" s="1" t="s">
        <v>270</v>
      </c>
      <c r="H185" s="1" t="s">
        <v>273</v>
      </c>
      <c r="I185" s="1" t="s">
        <v>274</v>
      </c>
      <c r="J185" s="1" t="s">
        <v>168</v>
      </c>
      <c r="K185" s="5">
        <v>296190.0</v>
      </c>
      <c r="L185" s="6">
        <v>43838.0</v>
      </c>
      <c r="M185" s="7">
        <v>501400.0</v>
      </c>
      <c r="N185" s="4" t="s">
        <v>275</v>
      </c>
      <c r="O185" s="4" t="s">
        <v>26</v>
      </c>
    </row>
    <row r="186" ht="15.75" customHeight="1">
      <c r="A186" s="1" t="s">
        <v>269</v>
      </c>
      <c r="B186" s="1" t="s">
        <v>270</v>
      </c>
      <c r="C186" s="1" t="s">
        <v>271</v>
      </c>
      <c r="D186" s="1" t="s">
        <v>272</v>
      </c>
      <c r="E186" s="1" t="s">
        <v>137</v>
      </c>
      <c r="F186" s="1" t="s">
        <v>20</v>
      </c>
      <c r="G186" s="1" t="s">
        <v>270</v>
      </c>
      <c r="H186" s="1" t="s">
        <v>273</v>
      </c>
      <c r="I186" s="1" t="s">
        <v>274</v>
      </c>
      <c r="J186" s="1" t="s">
        <v>168</v>
      </c>
      <c r="K186" s="5">
        <v>251963.0</v>
      </c>
      <c r="L186" s="6">
        <v>43928.0</v>
      </c>
      <c r="M186" s="7">
        <v>501400.0</v>
      </c>
      <c r="N186" s="4" t="s">
        <v>275</v>
      </c>
      <c r="O186" s="4" t="s">
        <v>26</v>
      </c>
    </row>
    <row r="187" ht="15.75" customHeight="1">
      <c r="A187" s="1" t="s">
        <v>269</v>
      </c>
      <c r="B187" s="1" t="s">
        <v>270</v>
      </c>
      <c r="C187" s="1" t="s">
        <v>271</v>
      </c>
      <c r="D187" s="1" t="s">
        <v>272</v>
      </c>
      <c r="E187" s="1" t="s">
        <v>137</v>
      </c>
      <c r="F187" s="1" t="s">
        <v>20</v>
      </c>
      <c r="G187" s="1" t="s">
        <v>270</v>
      </c>
      <c r="H187" s="1" t="s">
        <v>273</v>
      </c>
      <c r="I187" s="1" t="s">
        <v>274</v>
      </c>
      <c r="J187" s="1" t="s">
        <v>168</v>
      </c>
      <c r="K187" s="5">
        <v>119340.0</v>
      </c>
      <c r="L187" s="6">
        <v>44019.0</v>
      </c>
      <c r="M187" s="7">
        <v>501400.0</v>
      </c>
      <c r="N187" s="4" t="s">
        <v>275</v>
      </c>
      <c r="O187" s="4" t="s">
        <v>26</v>
      </c>
    </row>
    <row r="188" ht="15.75" customHeight="1">
      <c r="A188" s="1" t="s">
        <v>269</v>
      </c>
      <c r="B188" s="1" t="s">
        <v>270</v>
      </c>
      <c r="C188" s="1" t="s">
        <v>271</v>
      </c>
      <c r="D188" s="1" t="s">
        <v>272</v>
      </c>
      <c r="E188" s="1" t="s">
        <v>137</v>
      </c>
      <c r="F188" s="1" t="s">
        <v>20</v>
      </c>
      <c r="G188" s="1" t="s">
        <v>270</v>
      </c>
      <c r="H188" s="1" t="s">
        <v>273</v>
      </c>
      <c r="I188" s="1" t="s">
        <v>274</v>
      </c>
      <c r="J188" s="1" t="s">
        <v>168</v>
      </c>
      <c r="K188" s="5">
        <v>248673.0</v>
      </c>
      <c r="L188" s="6">
        <v>44163.0</v>
      </c>
      <c r="M188" s="7">
        <v>501400.0</v>
      </c>
      <c r="N188" s="4" t="s">
        <v>275</v>
      </c>
      <c r="O188" s="4" t="s">
        <v>26</v>
      </c>
    </row>
    <row r="189" ht="15.75" customHeight="1">
      <c r="A189" s="1" t="s">
        <v>269</v>
      </c>
      <c r="B189" s="1" t="s">
        <v>270</v>
      </c>
      <c r="C189" s="1" t="s">
        <v>271</v>
      </c>
      <c r="D189" s="1" t="s">
        <v>272</v>
      </c>
      <c r="E189" s="1" t="s">
        <v>137</v>
      </c>
      <c r="F189" s="1" t="s">
        <v>20</v>
      </c>
      <c r="G189" s="1" t="s">
        <v>270</v>
      </c>
      <c r="H189" s="1" t="s">
        <v>273</v>
      </c>
      <c r="I189" s="1" t="s">
        <v>274</v>
      </c>
      <c r="J189" s="1" t="s">
        <v>168</v>
      </c>
      <c r="K189" s="5">
        <v>75137.0</v>
      </c>
      <c r="L189" s="6">
        <v>44883.0</v>
      </c>
      <c r="M189" s="7">
        <v>501400.0</v>
      </c>
      <c r="N189" s="4" t="s">
        <v>275</v>
      </c>
      <c r="O189" s="4" t="s">
        <v>26</v>
      </c>
    </row>
    <row r="190" ht="15.75" customHeight="1">
      <c r="A190" s="1" t="s">
        <v>269</v>
      </c>
      <c r="B190" s="1" t="s">
        <v>270</v>
      </c>
      <c r="C190" s="1" t="s">
        <v>271</v>
      </c>
      <c r="D190" s="1" t="s">
        <v>272</v>
      </c>
      <c r="E190" s="1" t="s">
        <v>137</v>
      </c>
      <c r="F190" s="1" t="s">
        <v>20</v>
      </c>
      <c r="G190" s="1" t="s">
        <v>270</v>
      </c>
      <c r="H190" s="1" t="s">
        <v>273</v>
      </c>
      <c r="I190" s="1" t="s">
        <v>274</v>
      </c>
      <c r="J190" s="1" t="s">
        <v>168</v>
      </c>
      <c r="K190" s="5">
        <v>85257.0</v>
      </c>
      <c r="L190" s="6">
        <v>44829.0</v>
      </c>
      <c r="M190" s="7">
        <v>501400.0</v>
      </c>
      <c r="N190" s="4" t="s">
        <v>275</v>
      </c>
      <c r="O190" s="4" t="s">
        <v>26</v>
      </c>
    </row>
    <row r="191" ht="15.75" customHeight="1">
      <c r="A191" s="1" t="s">
        <v>269</v>
      </c>
      <c r="B191" s="1" t="s">
        <v>270</v>
      </c>
      <c r="C191" s="1" t="s">
        <v>271</v>
      </c>
      <c r="D191" s="1" t="s">
        <v>272</v>
      </c>
      <c r="E191" s="1" t="s">
        <v>137</v>
      </c>
      <c r="F191" s="1" t="s">
        <v>20</v>
      </c>
      <c r="G191" s="1" t="s">
        <v>270</v>
      </c>
      <c r="H191" s="1" t="s">
        <v>273</v>
      </c>
      <c r="I191" s="1" t="s">
        <v>274</v>
      </c>
      <c r="J191" s="1" t="s">
        <v>168</v>
      </c>
      <c r="K191" s="5">
        <v>91564.0</v>
      </c>
      <c r="L191" s="6">
        <v>44859.0</v>
      </c>
      <c r="M191" s="7">
        <v>501400.0</v>
      </c>
      <c r="N191" s="4" t="s">
        <v>275</v>
      </c>
      <c r="O191" s="4" t="s">
        <v>26</v>
      </c>
    </row>
    <row r="192" ht="15.75" customHeight="1">
      <c r="A192" s="1" t="s">
        <v>276</v>
      </c>
      <c r="B192" s="1" t="s">
        <v>277</v>
      </c>
      <c r="C192" s="1" t="s">
        <v>278</v>
      </c>
      <c r="D192" s="1" t="s">
        <v>165</v>
      </c>
      <c r="E192" s="1" t="s">
        <v>144</v>
      </c>
      <c r="F192" s="1" t="s">
        <v>20</v>
      </c>
      <c r="G192" s="1" t="s">
        <v>277</v>
      </c>
      <c r="H192" s="1" t="s">
        <v>279</v>
      </c>
      <c r="I192" s="1" t="s">
        <v>280</v>
      </c>
      <c r="J192" s="1" t="s">
        <v>33</v>
      </c>
      <c r="K192" s="5">
        <v>88564.0</v>
      </c>
      <c r="L192" s="6">
        <v>43841.0</v>
      </c>
      <c r="M192" s="7">
        <v>516000.0</v>
      </c>
      <c r="N192" s="4" t="s">
        <v>281</v>
      </c>
      <c r="O192" s="4" t="s">
        <v>26</v>
      </c>
    </row>
    <row r="193" ht="15.75" customHeight="1">
      <c r="A193" s="1" t="s">
        <v>276</v>
      </c>
      <c r="B193" s="1" t="s">
        <v>277</v>
      </c>
      <c r="C193" s="1" t="s">
        <v>278</v>
      </c>
      <c r="D193" s="1" t="s">
        <v>165</v>
      </c>
      <c r="E193" s="1" t="s">
        <v>144</v>
      </c>
      <c r="F193" s="1" t="s">
        <v>20</v>
      </c>
      <c r="G193" s="1" t="s">
        <v>277</v>
      </c>
      <c r="H193" s="1" t="s">
        <v>279</v>
      </c>
      <c r="I193" s="1" t="s">
        <v>280</v>
      </c>
      <c r="J193" s="1" t="s">
        <v>33</v>
      </c>
      <c r="K193" s="5">
        <v>109710.0</v>
      </c>
      <c r="L193" s="6">
        <v>43931.0</v>
      </c>
      <c r="M193" s="7">
        <v>516000.0</v>
      </c>
      <c r="N193" s="4" t="s">
        <v>281</v>
      </c>
      <c r="O193" s="4" t="s">
        <v>26</v>
      </c>
    </row>
    <row r="194" ht="15.75" customHeight="1">
      <c r="A194" s="1" t="s">
        <v>276</v>
      </c>
      <c r="B194" s="1" t="s">
        <v>277</v>
      </c>
      <c r="C194" s="1" t="s">
        <v>278</v>
      </c>
      <c r="D194" s="1" t="s">
        <v>165</v>
      </c>
      <c r="E194" s="1" t="s">
        <v>144</v>
      </c>
      <c r="F194" s="1" t="s">
        <v>20</v>
      </c>
      <c r="G194" s="1" t="s">
        <v>277</v>
      </c>
      <c r="H194" s="1" t="s">
        <v>279</v>
      </c>
      <c r="I194" s="1" t="s">
        <v>280</v>
      </c>
      <c r="J194" s="1" t="s">
        <v>33</v>
      </c>
      <c r="K194" s="5">
        <v>129304.0</v>
      </c>
      <c r="L194" s="6">
        <v>44022.0</v>
      </c>
      <c r="M194" s="7">
        <v>516000.0</v>
      </c>
      <c r="N194" s="4" t="s">
        <v>281</v>
      </c>
      <c r="O194" s="4" t="s">
        <v>26</v>
      </c>
    </row>
    <row r="195" ht="15.75" customHeight="1">
      <c r="A195" s="1" t="s">
        <v>276</v>
      </c>
      <c r="B195" s="1" t="s">
        <v>277</v>
      </c>
      <c r="C195" s="1" t="s">
        <v>278</v>
      </c>
      <c r="D195" s="1" t="s">
        <v>165</v>
      </c>
      <c r="E195" s="1" t="s">
        <v>144</v>
      </c>
      <c r="F195" s="1" t="s">
        <v>20</v>
      </c>
      <c r="G195" s="1" t="s">
        <v>277</v>
      </c>
      <c r="H195" s="1" t="s">
        <v>279</v>
      </c>
      <c r="I195" s="1" t="s">
        <v>280</v>
      </c>
      <c r="J195" s="1" t="s">
        <v>33</v>
      </c>
      <c r="K195" s="5">
        <v>233659.0</v>
      </c>
      <c r="L195" s="6">
        <v>44166.0</v>
      </c>
      <c r="M195" s="7">
        <v>516000.0</v>
      </c>
      <c r="N195" s="4" t="s">
        <v>281</v>
      </c>
      <c r="O195" s="4" t="s">
        <v>26</v>
      </c>
    </row>
    <row r="196" ht="15.75" customHeight="1">
      <c r="A196" s="1" t="s">
        <v>276</v>
      </c>
      <c r="B196" s="1" t="s">
        <v>277</v>
      </c>
      <c r="C196" s="1" t="s">
        <v>278</v>
      </c>
      <c r="D196" s="1" t="s">
        <v>165</v>
      </c>
      <c r="E196" s="1" t="s">
        <v>144</v>
      </c>
      <c r="F196" s="1" t="s">
        <v>20</v>
      </c>
      <c r="G196" s="1" t="s">
        <v>277</v>
      </c>
      <c r="H196" s="1" t="s">
        <v>279</v>
      </c>
      <c r="I196" s="1" t="s">
        <v>280</v>
      </c>
      <c r="J196" s="1" t="s">
        <v>33</v>
      </c>
      <c r="K196" s="5">
        <v>30337.0</v>
      </c>
      <c r="L196" s="6">
        <v>44224.0</v>
      </c>
      <c r="M196" s="7">
        <v>516000.0</v>
      </c>
      <c r="N196" s="4" t="s">
        <v>281</v>
      </c>
      <c r="O196" s="4" t="s">
        <v>26</v>
      </c>
    </row>
    <row r="197" ht="15.75" customHeight="1">
      <c r="A197" s="1" t="s">
        <v>276</v>
      </c>
      <c r="B197" s="1" t="s">
        <v>277</v>
      </c>
      <c r="C197" s="1" t="s">
        <v>278</v>
      </c>
      <c r="D197" s="1" t="s">
        <v>165</v>
      </c>
      <c r="E197" s="1" t="s">
        <v>144</v>
      </c>
      <c r="F197" s="1" t="s">
        <v>20</v>
      </c>
      <c r="G197" s="1" t="s">
        <v>277</v>
      </c>
      <c r="H197" s="1" t="s">
        <v>279</v>
      </c>
      <c r="I197" s="1" t="s">
        <v>280</v>
      </c>
      <c r="J197" s="1" t="s">
        <v>33</v>
      </c>
      <c r="K197" s="5">
        <v>246839.0</v>
      </c>
      <c r="L197" s="6">
        <v>44832.0</v>
      </c>
      <c r="M197" s="7">
        <v>516000.0</v>
      </c>
      <c r="N197" s="4" t="s">
        <v>281</v>
      </c>
      <c r="O197" s="4" t="s">
        <v>26</v>
      </c>
    </row>
    <row r="198" ht="15.75" customHeight="1">
      <c r="A198" s="1" t="s">
        <v>282</v>
      </c>
      <c r="B198" s="1" t="s">
        <v>283</v>
      </c>
      <c r="C198" s="1" t="s">
        <v>284</v>
      </c>
      <c r="D198" s="1" t="s">
        <v>173</v>
      </c>
      <c r="E198" s="1" t="s">
        <v>137</v>
      </c>
      <c r="F198" s="1" t="s">
        <v>20</v>
      </c>
      <c r="G198" s="1" t="s">
        <v>283</v>
      </c>
      <c r="H198" s="1" t="s">
        <v>285</v>
      </c>
      <c r="I198" s="1" t="s">
        <v>286</v>
      </c>
      <c r="J198" s="1" t="s">
        <v>154</v>
      </c>
      <c r="K198" s="5">
        <v>22903.0</v>
      </c>
      <c r="L198" s="6">
        <v>43844.0</v>
      </c>
      <c r="M198" s="7">
        <v>507100.0</v>
      </c>
      <c r="N198" s="4" t="s">
        <v>287</v>
      </c>
      <c r="O198" s="4" t="s">
        <v>26</v>
      </c>
    </row>
    <row r="199" ht="15.75" customHeight="1">
      <c r="A199" s="1" t="s">
        <v>282</v>
      </c>
      <c r="B199" s="1" t="s">
        <v>283</v>
      </c>
      <c r="C199" s="1" t="s">
        <v>284</v>
      </c>
      <c r="D199" s="1" t="s">
        <v>173</v>
      </c>
      <c r="E199" s="1" t="s">
        <v>137</v>
      </c>
      <c r="F199" s="1" t="s">
        <v>20</v>
      </c>
      <c r="G199" s="1" t="s">
        <v>283</v>
      </c>
      <c r="H199" s="1" t="s">
        <v>285</v>
      </c>
      <c r="I199" s="1" t="s">
        <v>286</v>
      </c>
      <c r="J199" s="1" t="s">
        <v>154</v>
      </c>
      <c r="K199" s="5">
        <v>247663.0</v>
      </c>
      <c r="L199" s="6">
        <v>43934.0</v>
      </c>
      <c r="M199" s="7">
        <v>507100.0</v>
      </c>
      <c r="N199" s="4" t="s">
        <v>287</v>
      </c>
      <c r="O199" s="4" t="s">
        <v>26</v>
      </c>
    </row>
    <row r="200" ht="15.75" customHeight="1">
      <c r="A200" s="1" t="s">
        <v>282</v>
      </c>
      <c r="B200" s="1" t="s">
        <v>283</v>
      </c>
      <c r="C200" s="1" t="s">
        <v>284</v>
      </c>
      <c r="D200" s="1" t="s">
        <v>173</v>
      </c>
      <c r="E200" s="1" t="s">
        <v>137</v>
      </c>
      <c r="F200" s="1" t="s">
        <v>20</v>
      </c>
      <c r="G200" s="1" t="s">
        <v>283</v>
      </c>
      <c r="H200" s="1" t="s">
        <v>285</v>
      </c>
      <c r="I200" s="1" t="s">
        <v>286</v>
      </c>
      <c r="J200" s="1" t="s">
        <v>154</v>
      </c>
      <c r="K200" s="5">
        <v>90516.0</v>
      </c>
      <c r="L200" s="6">
        <v>44025.0</v>
      </c>
      <c r="M200" s="7">
        <v>507100.0</v>
      </c>
      <c r="N200" s="4" t="s">
        <v>287</v>
      </c>
      <c r="O200" s="4" t="s">
        <v>26</v>
      </c>
    </row>
    <row r="201" ht="15.75" customHeight="1">
      <c r="A201" s="1" t="s">
        <v>282</v>
      </c>
      <c r="B201" s="1" t="s">
        <v>283</v>
      </c>
      <c r="C201" s="1" t="s">
        <v>284</v>
      </c>
      <c r="D201" s="1" t="s">
        <v>173</v>
      </c>
      <c r="E201" s="1" t="s">
        <v>137</v>
      </c>
      <c r="F201" s="1" t="s">
        <v>20</v>
      </c>
      <c r="G201" s="1" t="s">
        <v>283</v>
      </c>
      <c r="H201" s="1" t="s">
        <v>285</v>
      </c>
      <c r="I201" s="1" t="s">
        <v>286</v>
      </c>
      <c r="J201" s="1" t="s">
        <v>154</v>
      </c>
      <c r="K201" s="5">
        <v>139242.0</v>
      </c>
      <c r="L201" s="6">
        <v>44169.0</v>
      </c>
      <c r="M201" s="7">
        <v>507100.0</v>
      </c>
      <c r="N201" s="4" t="s">
        <v>287</v>
      </c>
      <c r="O201" s="4" t="s">
        <v>26</v>
      </c>
    </row>
    <row r="202" ht="15.75" customHeight="1">
      <c r="A202" s="1" t="s">
        <v>282</v>
      </c>
      <c r="B202" s="1" t="s">
        <v>283</v>
      </c>
      <c r="C202" s="1" t="s">
        <v>284</v>
      </c>
      <c r="D202" s="1" t="s">
        <v>173</v>
      </c>
      <c r="E202" s="1" t="s">
        <v>137</v>
      </c>
      <c r="F202" s="1" t="s">
        <v>20</v>
      </c>
      <c r="G202" s="1" t="s">
        <v>283</v>
      </c>
      <c r="H202" s="1" t="s">
        <v>285</v>
      </c>
      <c r="I202" s="1" t="s">
        <v>286</v>
      </c>
      <c r="J202" s="1" t="s">
        <v>154</v>
      </c>
      <c r="K202" s="5">
        <v>88185.0</v>
      </c>
      <c r="L202" s="6">
        <v>44228.0</v>
      </c>
      <c r="M202" s="7">
        <v>507100.0</v>
      </c>
      <c r="N202" s="4" t="s">
        <v>287</v>
      </c>
      <c r="O202" s="4" t="s">
        <v>26</v>
      </c>
    </row>
    <row r="203" ht="15.75" customHeight="1">
      <c r="A203" s="1" t="s">
        <v>282</v>
      </c>
      <c r="B203" s="1" t="s">
        <v>283</v>
      </c>
      <c r="C203" s="1" t="s">
        <v>284</v>
      </c>
      <c r="D203" s="1" t="s">
        <v>173</v>
      </c>
      <c r="E203" s="1" t="s">
        <v>137</v>
      </c>
      <c r="F203" s="1" t="s">
        <v>20</v>
      </c>
      <c r="G203" s="1" t="s">
        <v>283</v>
      </c>
      <c r="H203" s="1" t="s">
        <v>285</v>
      </c>
      <c r="I203" s="1" t="s">
        <v>286</v>
      </c>
      <c r="J203" s="1" t="s">
        <v>154</v>
      </c>
      <c r="K203" s="5">
        <v>244816.0</v>
      </c>
      <c r="L203" s="6">
        <v>44835.0</v>
      </c>
      <c r="M203" s="7">
        <v>507100.0</v>
      </c>
      <c r="N203" s="4" t="s">
        <v>287</v>
      </c>
      <c r="O203" s="4" t="s">
        <v>26</v>
      </c>
    </row>
    <row r="204" ht="15.75" customHeight="1">
      <c r="A204" s="1" t="s">
        <v>288</v>
      </c>
      <c r="B204" s="1" t="s">
        <v>289</v>
      </c>
      <c r="C204" s="1" t="s">
        <v>290</v>
      </c>
      <c r="D204" s="1" t="s">
        <v>136</v>
      </c>
      <c r="E204" s="1" t="s">
        <v>144</v>
      </c>
      <c r="F204" s="1" t="s">
        <v>20</v>
      </c>
      <c r="G204" s="1" t="s">
        <v>289</v>
      </c>
      <c r="H204" s="1" t="s">
        <v>291</v>
      </c>
      <c r="I204" s="1" t="s">
        <v>292</v>
      </c>
      <c r="J204" s="1" t="s">
        <v>24</v>
      </c>
      <c r="K204" s="5">
        <v>74389.0</v>
      </c>
      <c r="L204" s="6">
        <v>43847.0</v>
      </c>
      <c r="M204" s="7">
        <v>509100.0</v>
      </c>
      <c r="N204" s="4" t="s">
        <v>293</v>
      </c>
      <c r="O204" s="4" t="s">
        <v>26</v>
      </c>
    </row>
    <row r="205" ht="15.75" customHeight="1">
      <c r="A205" s="1" t="s">
        <v>288</v>
      </c>
      <c r="B205" s="1" t="s">
        <v>289</v>
      </c>
      <c r="C205" s="1" t="s">
        <v>290</v>
      </c>
      <c r="D205" s="1" t="s">
        <v>136</v>
      </c>
      <c r="E205" s="1" t="s">
        <v>144</v>
      </c>
      <c r="F205" s="1" t="s">
        <v>20</v>
      </c>
      <c r="G205" s="1" t="s">
        <v>289</v>
      </c>
      <c r="H205" s="1" t="s">
        <v>291</v>
      </c>
      <c r="I205" s="1" t="s">
        <v>292</v>
      </c>
      <c r="J205" s="1" t="s">
        <v>24</v>
      </c>
      <c r="K205" s="5">
        <v>117043.0</v>
      </c>
      <c r="L205" s="6">
        <v>43937.0</v>
      </c>
      <c r="M205" s="7">
        <v>509100.0</v>
      </c>
      <c r="N205" s="4" t="s">
        <v>293</v>
      </c>
      <c r="O205" s="4" t="s">
        <v>26</v>
      </c>
    </row>
    <row r="206" ht="15.75" customHeight="1">
      <c r="A206" s="1" t="s">
        <v>288</v>
      </c>
      <c r="B206" s="1" t="s">
        <v>289</v>
      </c>
      <c r="C206" s="1" t="s">
        <v>290</v>
      </c>
      <c r="D206" s="1" t="s">
        <v>136</v>
      </c>
      <c r="E206" s="1" t="s">
        <v>144</v>
      </c>
      <c r="F206" s="1" t="s">
        <v>20</v>
      </c>
      <c r="G206" s="1" t="s">
        <v>289</v>
      </c>
      <c r="H206" s="1" t="s">
        <v>291</v>
      </c>
      <c r="I206" s="1" t="s">
        <v>292</v>
      </c>
      <c r="J206" s="1" t="s">
        <v>24</v>
      </c>
      <c r="K206" s="5">
        <v>97376.0</v>
      </c>
      <c r="L206" s="6">
        <v>44028.0</v>
      </c>
      <c r="M206" s="7">
        <v>509100.0</v>
      </c>
      <c r="N206" s="4" t="s">
        <v>293</v>
      </c>
      <c r="O206" s="4" t="s">
        <v>26</v>
      </c>
    </row>
    <row r="207" ht="15.75" customHeight="1">
      <c r="A207" s="1" t="s">
        <v>288</v>
      </c>
      <c r="B207" s="1" t="s">
        <v>289</v>
      </c>
      <c r="C207" s="1" t="s">
        <v>290</v>
      </c>
      <c r="D207" s="1" t="s">
        <v>136</v>
      </c>
      <c r="E207" s="1" t="s">
        <v>144</v>
      </c>
      <c r="F207" s="1" t="s">
        <v>20</v>
      </c>
      <c r="G207" s="1" t="s">
        <v>289</v>
      </c>
      <c r="H207" s="1" t="s">
        <v>291</v>
      </c>
      <c r="I207" s="1" t="s">
        <v>292</v>
      </c>
      <c r="J207" s="1" t="s">
        <v>24</v>
      </c>
      <c r="K207" s="5">
        <v>231968.0</v>
      </c>
      <c r="L207" s="6">
        <v>44172.0</v>
      </c>
      <c r="M207" s="7">
        <v>509100.0</v>
      </c>
      <c r="N207" s="4" t="s">
        <v>293</v>
      </c>
      <c r="O207" s="4" t="s">
        <v>26</v>
      </c>
    </row>
    <row r="208" ht="15.75" customHeight="1">
      <c r="A208" s="1" t="s">
        <v>288</v>
      </c>
      <c r="B208" s="1" t="s">
        <v>289</v>
      </c>
      <c r="C208" s="1" t="s">
        <v>290</v>
      </c>
      <c r="D208" s="1" t="s">
        <v>136</v>
      </c>
      <c r="E208" s="1" t="s">
        <v>144</v>
      </c>
      <c r="F208" s="1" t="s">
        <v>20</v>
      </c>
      <c r="G208" s="1" t="s">
        <v>289</v>
      </c>
      <c r="H208" s="1" t="s">
        <v>291</v>
      </c>
      <c r="I208" s="1" t="s">
        <v>292</v>
      </c>
      <c r="J208" s="1" t="s">
        <v>24</v>
      </c>
      <c r="K208" s="5">
        <v>146818.0</v>
      </c>
      <c r="L208" s="6">
        <v>44231.0</v>
      </c>
      <c r="M208" s="7">
        <v>509100.0</v>
      </c>
      <c r="N208" s="4" t="s">
        <v>293</v>
      </c>
      <c r="O208" s="4" t="s">
        <v>26</v>
      </c>
    </row>
    <row r="209" ht="15.75" customHeight="1">
      <c r="A209" s="1" t="s">
        <v>288</v>
      </c>
      <c r="B209" s="1" t="s">
        <v>289</v>
      </c>
      <c r="C209" s="1" t="s">
        <v>290</v>
      </c>
      <c r="D209" s="1" t="s">
        <v>136</v>
      </c>
      <c r="E209" s="1" t="s">
        <v>144</v>
      </c>
      <c r="F209" s="1" t="s">
        <v>20</v>
      </c>
      <c r="G209" s="1" t="s">
        <v>289</v>
      </c>
      <c r="H209" s="1" t="s">
        <v>291</v>
      </c>
      <c r="I209" s="1" t="s">
        <v>292</v>
      </c>
      <c r="J209" s="1" t="s">
        <v>24</v>
      </c>
      <c r="K209" s="5">
        <v>14222.0</v>
      </c>
      <c r="L209" s="6">
        <v>44838.0</v>
      </c>
      <c r="M209" s="7">
        <v>509100.0</v>
      </c>
      <c r="N209" s="4" t="s">
        <v>293</v>
      </c>
      <c r="O209" s="4" t="s">
        <v>26</v>
      </c>
    </row>
    <row r="210" ht="15.75" customHeight="1">
      <c r="A210" s="1" t="s">
        <v>294</v>
      </c>
      <c r="B210" s="1" t="s">
        <v>295</v>
      </c>
      <c r="C210" s="1" t="s">
        <v>296</v>
      </c>
      <c r="D210" s="1" t="s">
        <v>297</v>
      </c>
      <c r="E210" s="1" t="s">
        <v>137</v>
      </c>
      <c r="F210" s="1" t="s">
        <v>20</v>
      </c>
      <c r="G210" s="1" t="s">
        <v>295</v>
      </c>
      <c r="H210" s="1" t="s">
        <v>298</v>
      </c>
      <c r="I210" s="1" t="s">
        <v>299</v>
      </c>
      <c r="J210" s="1" t="s">
        <v>33</v>
      </c>
      <c r="K210" s="5">
        <v>37706.0</v>
      </c>
      <c r="L210" s="6">
        <v>43850.0</v>
      </c>
      <c r="M210" s="7">
        <v>501400.0</v>
      </c>
      <c r="N210" s="4" t="s">
        <v>300</v>
      </c>
      <c r="O210" s="4" t="s">
        <v>26</v>
      </c>
    </row>
    <row r="211" ht="15.75" customHeight="1">
      <c r="A211" s="1" t="s">
        <v>294</v>
      </c>
      <c r="B211" s="1" t="s">
        <v>295</v>
      </c>
      <c r="C211" s="1" t="s">
        <v>296</v>
      </c>
      <c r="D211" s="1" t="s">
        <v>297</v>
      </c>
      <c r="E211" s="1" t="s">
        <v>137</v>
      </c>
      <c r="F211" s="1" t="s">
        <v>20</v>
      </c>
      <c r="G211" s="1" t="s">
        <v>295</v>
      </c>
      <c r="H211" s="1" t="s">
        <v>298</v>
      </c>
      <c r="I211" s="1" t="s">
        <v>299</v>
      </c>
      <c r="J211" s="1" t="s">
        <v>33</v>
      </c>
      <c r="K211" s="5">
        <v>11442.0</v>
      </c>
      <c r="L211" s="6">
        <v>43940.0</v>
      </c>
      <c r="M211" s="7">
        <v>501400.0</v>
      </c>
      <c r="N211" s="4" t="s">
        <v>300</v>
      </c>
      <c r="O211" s="4" t="s">
        <v>26</v>
      </c>
    </row>
    <row r="212" ht="15.75" customHeight="1">
      <c r="A212" s="1" t="s">
        <v>294</v>
      </c>
      <c r="B212" s="1" t="s">
        <v>295</v>
      </c>
      <c r="C212" s="1" t="s">
        <v>296</v>
      </c>
      <c r="D212" s="1" t="s">
        <v>297</v>
      </c>
      <c r="E212" s="1" t="s">
        <v>137</v>
      </c>
      <c r="F212" s="1" t="s">
        <v>20</v>
      </c>
      <c r="G212" s="1" t="s">
        <v>295</v>
      </c>
      <c r="H212" s="1" t="s">
        <v>298</v>
      </c>
      <c r="I212" s="1" t="s">
        <v>299</v>
      </c>
      <c r="J212" s="1" t="s">
        <v>33</v>
      </c>
      <c r="K212" s="5">
        <v>179093.0</v>
      </c>
      <c r="L212" s="6">
        <v>44031.0</v>
      </c>
      <c r="M212" s="7">
        <v>501400.0</v>
      </c>
      <c r="N212" s="4" t="s">
        <v>300</v>
      </c>
      <c r="O212" s="4" t="s">
        <v>26</v>
      </c>
    </row>
    <row r="213" ht="15.75" customHeight="1">
      <c r="A213" s="1" t="s">
        <v>294</v>
      </c>
      <c r="B213" s="1" t="s">
        <v>295</v>
      </c>
      <c r="C213" s="1" t="s">
        <v>296</v>
      </c>
      <c r="D213" s="1" t="s">
        <v>297</v>
      </c>
      <c r="E213" s="1" t="s">
        <v>137</v>
      </c>
      <c r="F213" s="1" t="s">
        <v>20</v>
      </c>
      <c r="G213" s="1" t="s">
        <v>295</v>
      </c>
      <c r="H213" s="1" t="s">
        <v>298</v>
      </c>
      <c r="I213" s="1" t="s">
        <v>299</v>
      </c>
      <c r="J213" s="1" t="s">
        <v>33</v>
      </c>
      <c r="K213" s="5">
        <v>173998.0</v>
      </c>
      <c r="L213" s="6">
        <v>44175.0</v>
      </c>
      <c r="M213" s="7">
        <v>501400.0</v>
      </c>
      <c r="N213" s="4" t="s">
        <v>300</v>
      </c>
      <c r="O213" s="4" t="s">
        <v>26</v>
      </c>
    </row>
    <row r="214" ht="15.75" customHeight="1">
      <c r="A214" s="1" t="s">
        <v>294</v>
      </c>
      <c r="B214" s="1" t="s">
        <v>295</v>
      </c>
      <c r="C214" s="1" t="s">
        <v>296</v>
      </c>
      <c r="D214" s="1" t="s">
        <v>297</v>
      </c>
      <c r="E214" s="1" t="s">
        <v>137</v>
      </c>
      <c r="F214" s="1" t="s">
        <v>20</v>
      </c>
      <c r="G214" s="1" t="s">
        <v>295</v>
      </c>
      <c r="H214" s="1" t="s">
        <v>298</v>
      </c>
      <c r="I214" s="1" t="s">
        <v>299</v>
      </c>
      <c r="J214" s="1" t="s">
        <v>33</v>
      </c>
      <c r="K214" s="5">
        <v>283665.0</v>
      </c>
      <c r="L214" s="6">
        <v>44234.0</v>
      </c>
      <c r="M214" s="7">
        <v>501400.0</v>
      </c>
      <c r="N214" s="4" t="s">
        <v>300</v>
      </c>
      <c r="O214" s="4" t="s">
        <v>26</v>
      </c>
    </row>
    <row r="215" ht="15.75" customHeight="1">
      <c r="A215" s="1" t="s">
        <v>294</v>
      </c>
      <c r="B215" s="1" t="s">
        <v>295</v>
      </c>
      <c r="C215" s="1" t="s">
        <v>296</v>
      </c>
      <c r="D215" s="1" t="s">
        <v>297</v>
      </c>
      <c r="E215" s="1" t="s">
        <v>137</v>
      </c>
      <c r="F215" s="1" t="s">
        <v>20</v>
      </c>
      <c r="G215" s="1" t="s">
        <v>295</v>
      </c>
      <c r="H215" s="1" t="s">
        <v>298</v>
      </c>
      <c r="I215" s="1" t="s">
        <v>299</v>
      </c>
      <c r="J215" s="1" t="s">
        <v>33</v>
      </c>
      <c r="K215" s="5">
        <v>212134.0</v>
      </c>
      <c r="L215" s="6">
        <v>44841.0</v>
      </c>
      <c r="M215" s="7">
        <v>501400.0</v>
      </c>
      <c r="N215" s="4" t="s">
        <v>300</v>
      </c>
      <c r="O215" s="4" t="s">
        <v>26</v>
      </c>
    </row>
    <row r="216" ht="15.75" customHeight="1">
      <c r="A216" s="1" t="s">
        <v>301</v>
      </c>
      <c r="B216" s="1" t="s">
        <v>302</v>
      </c>
      <c r="C216" s="1" t="s">
        <v>303</v>
      </c>
      <c r="D216" s="1" t="s">
        <v>158</v>
      </c>
      <c r="E216" s="1" t="s">
        <v>144</v>
      </c>
      <c r="F216" s="1" t="s">
        <v>20</v>
      </c>
      <c r="G216" s="1" t="s">
        <v>302</v>
      </c>
      <c r="H216" s="1" t="s">
        <v>304</v>
      </c>
      <c r="I216" s="1" t="s">
        <v>305</v>
      </c>
      <c r="J216" s="1" t="s">
        <v>168</v>
      </c>
      <c r="K216" s="5">
        <v>198341.0</v>
      </c>
      <c r="L216" s="6">
        <v>43853.0</v>
      </c>
      <c r="M216" s="7">
        <v>502100.0</v>
      </c>
      <c r="N216" s="4" t="s">
        <v>25</v>
      </c>
      <c r="O216" s="4" t="s">
        <v>26</v>
      </c>
    </row>
    <row r="217" ht="15.75" customHeight="1">
      <c r="A217" s="1" t="s">
        <v>301</v>
      </c>
      <c r="B217" s="1" t="s">
        <v>302</v>
      </c>
      <c r="C217" s="1" t="s">
        <v>303</v>
      </c>
      <c r="D217" s="1" t="s">
        <v>158</v>
      </c>
      <c r="E217" s="1" t="s">
        <v>144</v>
      </c>
      <c r="F217" s="1" t="s">
        <v>20</v>
      </c>
      <c r="G217" s="1" t="s">
        <v>302</v>
      </c>
      <c r="H217" s="1" t="s">
        <v>304</v>
      </c>
      <c r="I217" s="1" t="s">
        <v>305</v>
      </c>
      <c r="J217" s="1" t="s">
        <v>168</v>
      </c>
      <c r="K217" s="5">
        <v>10587.0</v>
      </c>
      <c r="L217" s="6">
        <v>43943.0</v>
      </c>
      <c r="M217" s="7">
        <v>502100.0</v>
      </c>
      <c r="N217" s="4" t="s">
        <v>25</v>
      </c>
      <c r="O217" s="4" t="s">
        <v>26</v>
      </c>
    </row>
    <row r="218" ht="15.75" customHeight="1">
      <c r="A218" s="1" t="s">
        <v>301</v>
      </c>
      <c r="B218" s="1" t="s">
        <v>302</v>
      </c>
      <c r="C218" s="1" t="s">
        <v>303</v>
      </c>
      <c r="D218" s="1" t="s">
        <v>158</v>
      </c>
      <c r="E218" s="1" t="s">
        <v>144</v>
      </c>
      <c r="F218" s="1" t="s">
        <v>20</v>
      </c>
      <c r="G218" s="1" t="s">
        <v>302</v>
      </c>
      <c r="H218" s="1" t="s">
        <v>304</v>
      </c>
      <c r="I218" s="1" t="s">
        <v>305</v>
      </c>
      <c r="J218" s="1" t="s">
        <v>168</v>
      </c>
      <c r="K218" s="5">
        <v>179746.0</v>
      </c>
      <c r="L218" s="6">
        <v>44034.0</v>
      </c>
      <c r="M218" s="7">
        <v>502100.0</v>
      </c>
      <c r="N218" s="4" t="s">
        <v>25</v>
      </c>
      <c r="O218" s="4" t="s">
        <v>26</v>
      </c>
    </row>
    <row r="219" ht="15.75" customHeight="1">
      <c r="A219" s="1" t="s">
        <v>301</v>
      </c>
      <c r="B219" s="1" t="s">
        <v>302</v>
      </c>
      <c r="C219" s="1" t="s">
        <v>303</v>
      </c>
      <c r="D219" s="1" t="s">
        <v>158</v>
      </c>
      <c r="E219" s="1" t="s">
        <v>144</v>
      </c>
      <c r="F219" s="1" t="s">
        <v>20</v>
      </c>
      <c r="G219" s="1" t="s">
        <v>302</v>
      </c>
      <c r="H219" s="1" t="s">
        <v>304</v>
      </c>
      <c r="I219" s="1" t="s">
        <v>305</v>
      </c>
      <c r="J219" s="1" t="s">
        <v>168</v>
      </c>
      <c r="K219" s="5">
        <v>83142.0</v>
      </c>
      <c r="L219" s="6">
        <v>44178.0</v>
      </c>
      <c r="M219" s="7">
        <v>502100.0</v>
      </c>
      <c r="N219" s="4" t="s">
        <v>25</v>
      </c>
      <c r="O219" s="4" t="s">
        <v>26</v>
      </c>
    </row>
    <row r="220" ht="15.75" customHeight="1">
      <c r="A220" s="1" t="s">
        <v>301</v>
      </c>
      <c r="B220" s="1" t="s">
        <v>302</v>
      </c>
      <c r="C220" s="1" t="s">
        <v>303</v>
      </c>
      <c r="D220" s="1" t="s">
        <v>158</v>
      </c>
      <c r="E220" s="1" t="s">
        <v>144</v>
      </c>
      <c r="F220" s="1" t="s">
        <v>20</v>
      </c>
      <c r="G220" s="1" t="s">
        <v>302</v>
      </c>
      <c r="H220" s="1" t="s">
        <v>304</v>
      </c>
      <c r="I220" s="1" t="s">
        <v>305</v>
      </c>
      <c r="J220" s="1" t="s">
        <v>168</v>
      </c>
      <c r="K220" s="5">
        <v>59591.0</v>
      </c>
      <c r="L220" s="6">
        <v>44237.0</v>
      </c>
      <c r="M220" s="7">
        <v>502100.0</v>
      </c>
      <c r="N220" s="4" t="s">
        <v>25</v>
      </c>
      <c r="O220" s="4" t="s">
        <v>26</v>
      </c>
    </row>
    <row r="221" ht="15.75" customHeight="1">
      <c r="A221" s="1" t="s">
        <v>301</v>
      </c>
      <c r="B221" s="1" t="s">
        <v>302</v>
      </c>
      <c r="C221" s="1" t="s">
        <v>303</v>
      </c>
      <c r="D221" s="1" t="s">
        <v>158</v>
      </c>
      <c r="E221" s="1" t="s">
        <v>144</v>
      </c>
      <c r="F221" s="1" t="s">
        <v>20</v>
      </c>
      <c r="G221" s="1" t="s">
        <v>302</v>
      </c>
      <c r="H221" s="1" t="s">
        <v>304</v>
      </c>
      <c r="I221" s="1" t="s">
        <v>305</v>
      </c>
      <c r="J221" s="1" t="s">
        <v>168</v>
      </c>
      <c r="K221" s="5">
        <v>280267.0</v>
      </c>
      <c r="L221" s="6">
        <v>44844.0</v>
      </c>
      <c r="M221" s="7">
        <v>502100.0</v>
      </c>
      <c r="N221" s="4" t="s">
        <v>25</v>
      </c>
      <c r="O221" s="4" t="s">
        <v>26</v>
      </c>
    </row>
    <row r="222" ht="15.75" customHeight="1">
      <c r="A222" s="1" t="s">
        <v>306</v>
      </c>
      <c r="B222" s="1" t="s">
        <v>307</v>
      </c>
      <c r="C222" s="1" t="s">
        <v>308</v>
      </c>
      <c r="D222" s="1" t="s">
        <v>165</v>
      </c>
      <c r="E222" s="1" t="s">
        <v>137</v>
      </c>
      <c r="F222" s="1" t="s">
        <v>20</v>
      </c>
      <c r="G222" s="1" t="s">
        <v>307</v>
      </c>
      <c r="H222" s="1" t="s">
        <v>309</v>
      </c>
      <c r="I222" s="1" t="s">
        <v>88</v>
      </c>
      <c r="J222" s="1" t="s">
        <v>33</v>
      </c>
      <c r="K222" s="5">
        <v>237422.0</v>
      </c>
      <c r="L222" s="6">
        <v>43856.0</v>
      </c>
      <c r="M222" s="7">
        <v>516000.0</v>
      </c>
      <c r="N222" s="4" t="s">
        <v>310</v>
      </c>
      <c r="O222" s="4" t="s">
        <v>26</v>
      </c>
    </row>
    <row r="223" ht="15.75" customHeight="1">
      <c r="A223" s="1" t="s">
        <v>306</v>
      </c>
      <c r="B223" s="1" t="s">
        <v>307</v>
      </c>
      <c r="C223" s="1" t="s">
        <v>308</v>
      </c>
      <c r="D223" s="1" t="s">
        <v>165</v>
      </c>
      <c r="E223" s="1" t="s">
        <v>137</v>
      </c>
      <c r="F223" s="1" t="s">
        <v>20</v>
      </c>
      <c r="G223" s="1" t="s">
        <v>307</v>
      </c>
      <c r="H223" s="1" t="s">
        <v>309</v>
      </c>
      <c r="I223" s="1" t="s">
        <v>88</v>
      </c>
      <c r="J223" s="1" t="s">
        <v>33</v>
      </c>
      <c r="K223" s="5">
        <v>13020.0</v>
      </c>
      <c r="L223" s="6">
        <v>43946.0</v>
      </c>
      <c r="M223" s="7">
        <v>516000.0</v>
      </c>
      <c r="N223" s="4" t="s">
        <v>310</v>
      </c>
      <c r="O223" s="4" t="s">
        <v>26</v>
      </c>
    </row>
    <row r="224" ht="15.75" customHeight="1">
      <c r="A224" s="1" t="s">
        <v>306</v>
      </c>
      <c r="B224" s="1" t="s">
        <v>307</v>
      </c>
      <c r="C224" s="1" t="s">
        <v>308</v>
      </c>
      <c r="D224" s="1" t="s">
        <v>165</v>
      </c>
      <c r="E224" s="1" t="s">
        <v>137</v>
      </c>
      <c r="F224" s="1" t="s">
        <v>20</v>
      </c>
      <c r="G224" s="1" t="s">
        <v>307</v>
      </c>
      <c r="H224" s="1" t="s">
        <v>309</v>
      </c>
      <c r="I224" s="1" t="s">
        <v>88</v>
      </c>
      <c r="J224" s="1" t="s">
        <v>33</v>
      </c>
      <c r="K224" s="5">
        <v>94240.0</v>
      </c>
      <c r="L224" s="6">
        <v>44037.0</v>
      </c>
      <c r="M224" s="7">
        <v>516000.0</v>
      </c>
      <c r="N224" s="4" t="s">
        <v>310</v>
      </c>
      <c r="O224" s="4" t="s">
        <v>26</v>
      </c>
    </row>
    <row r="225" ht="15.75" customHeight="1">
      <c r="A225" s="1" t="s">
        <v>306</v>
      </c>
      <c r="B225" s="1" t="s">
        <v>307</v>
      </c>
      <c r="C225" s="1" t="s">
        <v>308</v>
      </c>
      <c r="D225" s="1" t="s">
        <v>165</v>
      </c>
      <c r="E225" s="1" t="s">
        <v>137</v>
      </c>
      <c r="F225" s="1" t="s">
        <v>20</v>
      </c>
      <c r="G225" s="1" t="s">
        <v>307</v>
      </c>
      <c r="H225" s="1" t="s">
        <v>309</v>
      </c>
      <c r="I225" s="1" t="s">
        <v>88</v>
      </c>
      <c r="J225" s="1" t="s">
        <v>33</v>
      </c>
      <c r="K225" s="5">
        <v>64138.0</v>
      </c>
      <c r="L225" s="6">
        <v>44181.0</v>
      </c>
      <c r="M225" s="7">
        <v>516000.0</v>
      </c>
      <c r="N225" s="4" t="s">
        <v>310</v>
      </c>
      <c r="O225" s="4" t="s">
        <v>26</v>
      </c>
    </row>
    <row r="226" ht="15.75" customHeight="1">
      <c r="A226" s="1" t="s">
        <v>306</v>
      </c>
      <c r="B226" s="1" t="s">
        <v>307</v>
      </c>
      <c r="C226" s="1" t="s">
        <v>308</v>
      </c>
      <c r="D226" s="1" t="s">
        <v>165</v>
      </c>
      <c r="E226" s="1" t="s">
        <v>137</v>
      </c>
      <c r="F226" s="1" t="s">
        <v>20</v>
      </c>
      <c r="G226" s="1" t="s">
        <v>307</v>
      </c>
      <c r="H226" s="1" t="s">
        <v>309</v>
      </c>
      <c r="I226" s="1" t="s">
        <v>88</v>
      </c>
      <c r="J226" s="1" t="s">
        <v>33</v>
      </c>
      <c r="K226" s="5">
        <v>209335.0</v>
      </c>
      <c r="L226" s="6">
        <v>44240.0</v>
      </c>
      <c r="M226" s="7">
        <v>516000.0</v>
      </c>
      <c r="N226" s="4" t="s">
        <v>310</v>
      </c>
      <c r="O226" s="4" t="s">
        <v>26</v>
      </c>
    </row>
    <row r="227" ht="15.75" customHeight="1">
      <c r="A227" s="1" t="s">
        <v>306</v>
      </c>
      <c r="B227" s="1" t="s">
        <v>307</v>
      </c>
      <c r="C227" s="1" t="s">
        <v>308</v>
      </c>
      <c r="D227" s="1" t="s">
        <v>165</v>
      </c>
      <c r="E227" s="1" t="s">
        <v>137</v>
      </c>
      <c r="F227" s="1" t="s">
        <v>20</v>
      </c>
      <c r="G227" s="1" t="s">
        <v>307</v>
      </c>
      <c r="H227" s="1" t="s">
        <v>309</v>
      </c>
      <c r="I227" s="1" t="s">
        <v>88</v>
      </c>
      <c r="J227" s="1" t="s">
        <v>33</v>
      </c>
      <c r="K227" s="5">
        <v>211622.0</v>
      </c>
      <c r="L227" s="6">
        <v>44847.0</v>
      </c>
      <c r="M227" s="7">
        <v>516000.0</v>
      </c>
      <c r="N227" s="4" t="s">
        <v>310</v>
      </c>
      <c r="O227" s="4" t="s">
        <v>26</v>
      </c>
    </row>
    <row r="228" ht="15.75" customHeight="1">
      <c r="A228" s="1" t="s">
        <v>311</v>
      </c>
      <c r="B228" s="1" t="s">
        <v>312</v>
      </c>
      <c r="C228" s="1" t="s">
        <v>313</v>
      </c>
      <c r="D228" s="1" t="s">
        <v>173</v>
      </c>
      <c r="E228" s="1" t="s">
        <v>144</v>
      </c>
      <c r="F228" s="1" t="s">
        <v>20</v>
      </c>
      <c r="G228" s="1" t="s">
        <v>312</v>
      </c>
      <c r="H228" s="1" t="s">
        <v>314</v>
      </c>
      <c r="I228" s="1" t="s">
        <v>153</v>
      </c>
      <c r="J228" s="1" t="s">
        <v>154</v>
      </c>
      <c r="K228" s="5">
        <v>79707.0</v>
      </c>
      <c r="L228" s="6">
        <v>43859.0</v>
      </c>
      <c r="M228" s="7">
        <v>507100.0</v>
      </c>
      <c r="N228" s="4" t="s">
        <v>315</v>
      </c>
      <c r="O228" s="4" t="s">
        <v>26</v>
      </c>
    </row>
    <row r="229" ht="15.75" customHeight="1">
      <c r="A229" s="1" t="s">
        <v>311</v>
      </c>
      <c r="B229" s="1" t="s">
        <v>312</v>
      </c>
      <c r="C229" s="1" t="s">
        <v>313</v>
      </c>
      <c r="D229" s="1" t="s">
        <v>173</v>
      </c>
      <c r="E229" s="1" t="s">
        <v>144</v>
      </c>
      <c r="F229" s="1" t="s">
        <v>20</v>
      </c>
      <c r="G229" s="1" t="s">
        <v>312</v>
      </c>
      <c r="H229" s="1" t="s">
        <v>314</v>
      </c>
      <c r="I229" s="1" t="s">
        <v>153</v>
      </c>
      <c r="J229" s="1" t="s">
        <v>154</v>
      </c>
      <c r="K229" s="5">
        <v>217800.0</v>
      </c>
      <c r="L229" s="6">
        <v>43949.0</v>
      </c>
      <c r="M229" s="7">
        <v>507100.0</v>
      </c>
      <c r="N229" s="4" t="s">
        <v>315</v>
      </c>
      <c r="O229" s="4" t="s">
        <v>26</v>
      </c>
    </row>
    <row r="230" ht="15.75" customHeight="1">
      <c r="A230" s="1" t="s">
        <v>311</v>
      </c>
      <c r="B230" s="1" t="s">
        <v>312</v>
      </c>
      <c r="C230" s="1" t="s">
        <v>313</v>
      </c>
      <c r="D230" s="1" t="s">
        <v>173</v>
      </c>
      <c r="E230" s="1" t="s">
        <v>144</v>
      </c>
      <c r="F230" s="1" t="s">
        <v>20</v>
      </c>
      <c r="G230" s="1" t="s">
        <v>312</v>
      </c>
      <c r="H230" s="1" t="s">
        <v>314</v>
      </c>
      <c r="I230" s="1" t="s">
        <v>153</v>
      </c>
      <c r="J230" s="1" t="s">
        <v>154</v>
      </c>
      <c r="K230" s="5">
        <v>26298.0</v>
      </c>
      <c r="L230" s="6">
        <v>44040.0</v>
      </c>
      <c r="M230" s="7">
        <v>507100.0</v>
      </c>
      <c r="N230" s="4" t="s">
        <v>315</v>
      </c>
      <c r="O230" s="4" t="s">
        <v>26</v>
      </c>
    </row>
    <row r="231" ht="15.75" customHeight="1">
      <c r="A231" s="1" t="s">
        <v>311</v>
      </c>
      <c r="B231" s="1" t="s">
        <v>312</v>
      </c>
      <c r="C231" s="1" t="s">
        <v>313</v>
      </c>
      <c r="D231" s="1" t="s">
        <v>173</v>
      </c>
      <c r="E231" s="1" t="s">
        <v>144</v>
      </c>
      <c r="F231" s="1" t="s">
        <v>20</v>
      </c>
      <c r="G231" s="1" t="s">
        <v>312</v>
      </c>
      <c r="H231" s="1" t="s">
        <v>314</v>
      </c>
      <c r="I231" s="1" t="s">
        <v>153</v>
      </c>
      <c r="J231" s="1" t="s">
        <v>154</v>
      </c>
      <c r="K231" s="5">
        <v>147083.0</v>
      </c>
      <c r="L231" s="6">
        <v>44184.0</v>
      </c>
      <c r="M231" s="7">
        <v>507100.0</v>
      </c>
      <c r="N231" s="4" t="s">
        <v>315</v>
      </c>
      <c r="O231" s="4" t="s">
        <v>26</v>
      </c>
    </row>
    <row r="232" ht="15.75" customHeight="1">
      <c r="A232" s="1" t="s">
        <v>311</v>
      </c>
      <c r="B232" s="1" t="s">
        <v>312</v>
      </c>
      <c r="C232" s="1" t="s">
        <v>313</v>
      </c>
      <c r="D232" s="1" t="s">
        <v>173</v>
      </c>
      <c r="E232" s="1" t="s">
        <v>144</v>
      </c>
      <c r="F232" s="1" t="s">
        <v>20</v>
      </c>
      <c r="G232" s="1" t="s">
        <v>312</v>
      </c>
      <c r="H232" s="1" t="s">
        <v>314</v>
      </c>
      <c r="I232" s="1" t="s">
        <v>153</v>
      </c>
      <c r="J232" s="1" t="s">
        <v>154</v>
      </c>
      <c r="K232" s="5">
        <v>241869.0</v>
      </c>
      <c r="L232" s="6">
        <v>44243.0</v>
      </c>
      <c r="M232" s="7">
        <v>507100.0</v>
      </c>
      <c r="N232" s="4" t="s">
        <v>315</v>
      </c>
      <c r="O232" s="4" t="s">
        <v>26</v>
      </c>
    </row>
    <row r="233" ht="15.75" customHeight="1">
      <c r="A233" s="1" t="s">
        <v>311</v>
      </c>
      <c r="B233" s="1" t="s">
        <v>312</v>
      </c>
      <c r="C233" s="1" t="s">
        <v>313</v>
      </c>
      <c r="D233" s="1" t="s">
        <v>173</v>
      </c>
      <c r="E233" s="1" t="s">
        <v>144</v>
      </c>
      <c r="F233" s="1" t="s">
        <v>20</v>
      </c>
      <c r="G233" s="1" t="s">
        <v>312</v>
      </c>
      <c r="H233" s="1" t="s">
        <v>314</v>
      </c>
      <c r="I233" s="1" t="s">
        <v>153</v>
      </c>
      <c r="J233" s="1" t="s">
        <v>154</v>
      </c>
      <c r="K233" s="5">
        <v>140463.0</v>
      </c>
      <c r="L233" s="6">
        <v>44850.0</v>
      </c>
      <c r="M233" s="7">
        <v>507100.0</v>
      </c>
      <c r="N233" s="4" t="s">
        <v>315</v>
      </c>
      <c r="O233" s="4" t="s">
        <v>26</v>
      </c>
    </row>
    <row r="234" ht="15.75" customHeight="1">
      <c r="A234" s="1" t="s">
        <v>316</v>
      </c>
      <c r="B234" s="1" t="s">
        <v>317</v>
      </c>
      <c r="C234" s="1" t="s">
        <v>172</v>
      </c>
      <c r="D234" s="1" t="s">
        <v>143</v>
      </c>
      <c r="E234" s="1" t="s">
        <v>137</v>
      </c>
      <c r="F234" s="1" t="s">
        <v>20</v>
      </c>
      <c r="G234" s="1" t="s">
        <v>317</v>
      </c>
      <c r="H234" s="1" t="s">
        <v>318</v>
      </c>
      <c r="I234" s="1" t="s">
        <v>274</v>
      </c>
      <c r="J234" s="1" t="s">
        <v>33</v>
      </c>
      <c r="K234" s="5">
        <v>12989.0</v>
      </c>
      <c r="L234" s="6">
        <v>43862.0</v>
      </c>
      <c r="M234" s="7">
        <v>501400.0</v>
      </c>
      <c r="N234" s="4" t="s">
        <v>319</v>
      </c>
      <c r="O234" s="4" t="s">
        <v>26</v>
      </c>
    </row>
    <row r="235" ht="15.75" customHeight="1">
      <c r="A235" s="1" t="s">
        <v>316</v>
      </c>
      <c r="B235" s="1" t="s">
        <v>317</v>
      </c>
      <c r="C235" s="1" t="s">
        <v>172</v>
      </c>
      <c r="D235" s="1" t="s">
        <v>143</v>
      </c>
      <c r="E235" s="1" t="s">
        <v>137</v>
      </c>
      <c r="F235" s="1" t="s">
        <v>20</v>
      </c>
      <c r="G235" s="1" t="s">
        <v>317</v>
      </c>
      <c r="H235" s="1" t="s">
        <v>318</v>
      </c>
      <c r="I235" s="1" t="s">
        <v>274</v>
      </c>
      <c r="J235" s="1" t="s">
        <v>33</v>
      </c>
      <c r="K235" s="5">
        <v>268049.0</v>
      </c>
      <c r="L235" s="6">
        <v>43952.0</v>
      </c>
      <c r="M235" s="7">
        <v>501400.0</v>
      </c>
      <c r="N235" s="4" t="s">
        <v>319</v>
      </c>
      <c r="O235" s="4" t="s">
        <v>26</v>
      </c>
    </row>
    <row r="236" ht="15.75" customHeight="1">
      <c r="A236" s="1" t="s">
        <v>316</v>
      </c>
      <c r="B236" s="1" t="s">
        <v>317</v>
      </c>
      <c r="C236" s="1" t="s">
        <v>172</v>
      </c>
      <c r="D236" s="1" t="s">
        <v>143</v>
      </c>
      <c r="E236" s="1" t="s">
        <v>137</v>
      </c>
      <c r="F236" s="1" t="s">
        <v>20</v>
      </c>
      <c r="G236" s="1" t="s">
        <v>317</v>
      </c>
      <c r="H236" s="1" t="s">
        <v>318</v>
      </c>
      <c r="I236" s="1" t="s">
        <v>274</v>
      </c>
      <c r="J236" s="1" t="s">
        <v>33</v>
      </c>
      <c r="K236" s="5">
        <v>222635.0</v>
      </c>
      <c r="L236" s="6">
        <v>44044.0</v>
      </c>
      <c r="M236" s="7">
        <v>501400.0</v>
      </c>
      <c r="N236" s="4" t="s">
        <v>319</v>
      </c>
      <c r="O236" s="4" t="s">
        <v>26</v>
      </c>
    </row>
    <row r="237" ht="15.75" customHeight="1">
      <c r="A237" s="1" t="s">
        <v>316</v>
      </c>
      <c r="B237" s="1" t="s">
        <v>317</v>
      </c>
      <c r="C237" s="1" t="s">
        <v>172</v>
      </c>
      <c r="D237" s="1" t="s">
        <v>143</v>
      </c>
      <c r="E237" s="1" t="s">
        <v>137</v>
      </c>
      <c r="F237" s="1" t="s">
        <v>20</v>
      </c>
      <c r="G237" s="1" t="s">
        <v>317</v>
      </c>
      <c r="H237" s="1" t="s">
        <v>318</v>
      </c>
      <c r="I237" s="1" t="s">
        <v>274</v>
      </c>
      <c r="J237" s="1" t="s">
        <v>33</v>
      </c>
      <c r="K237" s="5">
        <v>256449.0</v>
      </c>
      <c r="L237" s="6">
        <v>44187.0</v>
      </c>
      <c r="M237" s="7">
        <v>501400.0</v>
      </c>
      <c r="N237" s="4" t="s">
        <v>319</v>
      </c>
      <c r="O237" s="4" t="s">
        <v>26</v>
      </c>
    </row>
    <row r="238" ht="15.75" customHeight="1">
      <c r="A238" s="1" t="s">
        <v>316</v>
      </c>
      <c r="B238" s="1" t="s">
        <v>317</v>
      </c>
      <c r="C238" s="1" t="s">
        <v>172</v>
      </c>
      <c r="D238" s="1" t="s">
        <v>143</v>
      </c>
      <c r="E238" s="1" t="s">
        <v>137</v>
      </c>
      <c r="F238" s="1" t="s">
        <v>20</v>
      </c>
      <c r="G238" s="1" t="s">
        <v>317</v>
      </c>
      <c r="H238" s="1" t="s">
        <v>318</v>
      </c>
      <c r="I238" s="1" t="s">
        <v>274</v>
      </c>
      <c r="J238" s="1" t="s">
        <v>33</v>
      </c>
      <c r="K238" s="5">
        <v>141315.0</v>
      </c>
      <c r="L238" s="6">
        <v>44246.0</v>
      </c>
      <c r="M238" s="7">
        <v>501400.0</v>
      </c>
      <c r="N238" s="4" t="s">
        <v>319</v>
      </c>
      <c r="O238" s="4" t="s">
        <v>26</v>
      </c>
    </row>
    <row r="239" ht="15.75" customHeight="1">
      <c r="A239" s="1" t="s">
        <v>316</v>
      </c>
      <c r="B239" s="1" t="s">
        <v>317</v>
      </c>
      <c r="C239" s="1" t="s">
        <v>172</v>
      </c>
      <c r="D239" s="1" t="s">
        <v>143</v>
      </c>
      <c r="E239" s="1" t="s">
        <v>137</v>
      </c>
      <c r="F239" s="1" t="s">
        <v>20</v>
      </c>
      <c r="G239" s="1" t="s">
        <v>317</v>
      </c>
      <c r="H239" s="1" t="s">
        <v>318</v>
      </c>
      <c r="I239" s="1" t="s">
        <v>274</v>
      </c>
      <c r="J239" s="1" t="s">
        <v>33</v>
      </c>
      <c r="K239" s="5">
        <v>186346.0</v>
      </c>
      <c r="L239" s="6">
        <v>44853.0</v>
      </c>
      <c r="M239" s="7">
        <v>501400.0</v>
      </c>
      <c r="N239" s="4" t="s">
        <v>319</v>
      </c>
      <c r="O239" s="4" t="s">
        <v>26</v>
      </c>
    </row>
    <row r="240" ht="15.75" customHeight="1">
      <c r="A240" s="1" t="s">
        <v>320</v>
      </c>
      <c r="B240" s="1" t="s">
        <v>321</v>
      </c>
      <c r="C240" s="1" t="s">
        <v>17</v>
      </c>
      <c r="D240" s="1" t="s">
        <v>136</v>
      </c>
      <c r="E240" s="1" t="s">
        <v>144</v>
      </c>
      <c r="F240" s="1" t="s">
        <v>20</v>
      </c>
      <c r="G240" s="1" t="s">
        <v>321</v>
      </c>
      <c r="H240" s="1" t="s">
        <v>322</v>
      </c>
      <c r="I240" s="1" t="s">
        <v>280</v>
      </c>
      <c r="J240" s="1" t="s">
        <v>24</v>
      </c>
      <c r="K240" s="5">
        <v>249854.0</v>
      </c>
      <c r="L240" s="6">
        <v>43865.0</v>
      </c>
      <c r="M240" s="7">
        <v>509100.0</v>
      </c>
      <c r="N240" s="4" t="s">
        <v>323</v>
      </c>
      <c r="O240" s="4" t="s">
        <v>26</v>
      </c>
    </row>
    <row r="241" ht="15.75" customHeight="1">
      <c r="A241" s="1" t="s">
        <v>320</v>
      </c>
      <c r="B241" s="1" t="s">
        <v>321</v>
      </c>
      <c r="C241" s="1" t="s">
        <v>17</v>
      </c>
      <c r="D241" s="1" t="s">
        <v>136</v>
      </c>
      <c r="E241" s="1" t="s">
        <v>144</v>
      </c>
      <c r="F241" s="1" t="s">
        <v>20</v>
      </c>
      <c r="G241" s="1" t="s">
        <v>321</v>
      </c>
      <c r="H241" s="1" t="s">
        <v>322</v>
      </c>
      <c r="I241" s="1" t="s">
        <v>280</v>
      </c>
      <c r="J241" s="1" t="s">
        <v>24</v>
      </c>
      <c r="K241" s="5">
        <v>229698.0</v>
      </c>
      <c r="L241" s="6">
        <v>43955.0</v>
      </c>
      <c r="M241" s="7">
        <v>509100.0</v>
      </c>
      <c r="N241" s="4" t="s">
        <v>323</v>
      </c>
      <c r="O241" s="4" t="s">
        <v>26</v>
      </c>
    </row>
    <row r="242" ht="15.75" customHeight="1">
      <c r="A242" s="1" t="s">
        <v>320</v>
      </c>
      <c r="B242" s="1" t="s">
        <v>321</v>
      </c>
      <c r="C242" s="1" t="s">
        <v>17</v>
      </c>
      <c r="D242" s="1" t="s">
        <v>136</v>
      </c>
      <c r="E242" s="1" t="s">
        <v>144</v>
      </c>
      <c r="F242" s="1" t="s">
        <v>20</v>
      </c>
      <c r="G242" s="1" t="s">
        <v>321</v>
      </c>
      <c r="H242" s="1" t="s">
        <v>322</v>
      </c>
      <c r="I242" s="1" t="s">
        <v>280</v>
      </c>
      <c r="J242" s="1" t="s">
        <v>24</v>
      </c>
      <c r="K242" s="5">
        <v>192599.0</v>
      </c>
      <c r="L242" s="6">
        <v>44047.0</v>
      </c>
      <c r="M242" s="7">
        <v>509100.0</v>
      </c>
      <c r="N242" s="4" t="s">
        <v>323</v>
      </c>
      <c r="O242" s="4" t="s">
        <v>26</v>
      </c>
    </row>
    <row r="243" ht="15.75" customHeight="1">
      <c r="A243" s="1" t="s">
        <v>320</v>
      </c>
      <c r="B243" s="1" t="s">
        <v>321</v>
      </c>
      <c r="C243" s="1" t="s">
        <v>17</v>
      </c>
      <c r="D243" s="1" t="s">
        <v>136</v>
      </c>
      <c r="E243" s="1" t="s">
        <v>144</v>
      </c>
      <c r="F243" s="1" t="s">
        <v>20</v>
      </c>
      <c r="G243" s="1" t="s">
        <v>321</v>
      </c>
      <c r="H243" s="1" t="s">
        <v>322</v>
      </c>
      <c r="I243" s="1" t="s">
        <v>280</v>
      </c>
      <c r="J243" s="1" t="s">
        <v>24</v>
      </c>
      <c r="K243" s="5">
        <v>152846.0</v>
      </c>
      <c r="L243" s="6">
        <v>44190.0</v>
      </c>
      <c r="M243" s="7">
        <v>509100.0</v>
      </c>
      <c r="N243" s="4" t="s">
        <v>323</v>
      </c>
      <c r="O243" s="4" t="s">
        <v>26</v>
      </c>
    </row>
    <row r="244" ht="15.75" customHeight="1">
      <c r="A244" s="1" t="s">
        <v>320</v>
      </c>
      <c r="B244" s="1" t="s">
        <v>321</v>
      </c>
      <c r="C244" s="1" t="s">
        <v>17</v>
      </c>
      <c r="D244" s="1" t="s">
        <v>136</v>
      </c>
      <c r="E244" s="1" t="s">
        <v>144</v>
      </c>
      <c r="F244" s="1" t="s">
        <v>20</v>
      </c>
      <c r="G244" s="1" t="s">
        <v>321</v>
      </c>
      <c r="H244" s="1" t="s">
        <v>322</v>
      </c>
      <c r="I244" s="1" t="s">
        <v>280</v>
      </c>
      <c r="J244" s="1" t="s">
        <v>24</v>
      </c>
      <c r="K244" s="5">
        <v>110878.0</v>
      </c>
      <c r="L244" s="6">
        <v>44203.0</v>
      </c>
      <c r="M244" s="7">
        <v>509100.0</v>
      </c>
      <c r="N244" s="4" t="s">
        <v>323</v>
      </c>
      <c r="O244" s="4" t="s">
        <v>26</v>
      </c>
    </row>
    <row r="245" ht="15.75" customHeight="1">
      <c r="A245" s="1" t="s">
        <v>320</v>
      </c>
      <c r="B245" s="1" t="s">
        <v>321</v>
      </c>
      <c r="C245" s="1" t="s">
        <v>17</v>
      </c>
      <c r="D245" s="1" t="s">
        <v>136</v>
      </c>
      <c r="E245" s="1" t="s">
        <v>144</v>
      </c>
      <c r="F245" s="1" t="s">
        <v>20</v>
      </c>
      <c r="G245" s="1" t="s">
        <v>321</v>
      </c>
      <c r="H245" s="1" t="s">
        <v>322</v>
      </c>
      <c r="I245" s="1" t="s">
        <v>280</v>
      </c>
      <c r="J245" s="1" t="s">
        <v>24</v>
      </c>
      <c r="K245" s="5">
        <v>48679.0</v>
      </c>
      <c r="L245" s="6">
        <v>44826.0</v>
      </c>
      <c r="M245" s="7">
        <v>509100.0</v>
      </c>
      <c r="N245" s="4" t="s">
        <v>323</v>
      </c>
      <c r="O245" s="4" t="s">
        <v>26</v>
      </c>
    </row>
    <row r="246" ht="15.75" customHeight="1">
      <c r="A246" s="1" t="s">
        <v>320</v>
      </c>
      <c r="B246" s="1" t="s">
        <v>321</v>
      </c>
      <c r="C246" s="1" t="s">
        <v>17</v>
      </c>
      <c r="D246" s="1" t="s">
        <v>136</v>
      </c>
      <c r="E246" s="1" t="s">
        <v>144</v>
      </c>
      <c r="F246" s="1" t="s">
        <v>20</v>
      </c>
      <c r="G246" s="1" t="s">
        <v>321</v>
      </c>
      <c r="H246" s="1" t="s">
        <v>322</v>
      </c>
      <c r="I246" s="1" t="s">
        <v>280</v>
      </c>
      <c r="J246" s="1" t="s">
        <v>24</v>
      </c>
      <c r="K246" s="5">
        <v>50488.0</v>
      </c>
      <c r="L246" s="6">
        <v>44856.0</v>
      </c>
      <c r="M246" s="7">
        <v>509100.0</v>
      </c>
      <c r="N246" s="4" t="s">
        <v>323</v>
      </c>
      <c r="O246" s="4" t="s">
        <v>26</v>
      </c>
    </row>
    <row r="247" ht="15.75" customHeight="1">
      <c r="A247" s="1" t="s">
        <v>324</v>
      </c>
      <c r="B247" s="1" t="s">
        <v>325</v>
      </c>
      <c r="C247" s="1" t="s">
        <v>326</v>
      </c>
      <c r="D247" s="1" t="s">
        <v>272</v>
      </c>
      <c r="E247" s="1" t="s">
        <v>137</v>
      </c>
      <c r="F247" s="1" t="s">
        <v>20</v>
      </c>
      <c r="G247" s="1" t="s">
        <v>325</v>
      </c>
      <c r="H247" s="1" t="s">
        <v>327</v>
      </c>
      <c r="I247" s="1" t="s">
        <v>286</v>
      </c>
      <c r="J247" s="1" t="s">
        <v>168</v>
      </c>
      <c r="K247" s="5">
        <v>127726.0</v>
      </c>
      <c r="L247" s="6">
        <v>43868.0</v>
      </c>
      <c r="M247" s="7">
        <v>501400.0</v>
      </c>
      <c r="N247" s="4" t="s">
        <v>328</v>
      </c>
      <c r="O247" s="4" t="s">
        <v>26</v>
      </c>
    </row>
    <row r="248" ht="15.75" customHeight="1">
      <c r="A248" s="1" t="s">
        <v>324</v>
      </c>
      <c r="B248" s="1" t="s">
        <v>325</v>
      </c>
      <c r="C248" s="1" t="s">
        <v>326</v>
      </c>
      <c r="D248" s="1" t="s">
        <v>272</v>
      </c>
      <c r="E248" s="1" t="s">
        <v>137</v>
      </c>
      <c r="F248" s="1" t="s">
        <v>20</v>
      </c>
      <c r="G248" s="1" t="s">
        <v>325</v>
      </c>
      <c r="H248" s="1" t="s">
        <v>327</v>
      </c>
      <c r="I248" s="1" t="s">
        <v>286</v>
      </c>
      <c r="J248" s="1" t="s">
        <v>168</v>
      </c>
      <c r="K248" s="5">
        <v>102297.0</v>
      </c>
      <c r="L248" s="6">
        <v>43958.0</v>
      </c>
      <c r="M248" s="7">
        <v>501400.0</v>
      </c>
      <c r="N248" s="4" t="s">
        <v>328</v>
      </c>
      <c r="O248" s="4" t="s">
        <v>26</v>
      </c>
    </row>
    <row r="249" ht="15.75" customHeight="1">
      <c r="A249" s="1" t="s">
        <v>324</v>
      </c>
      <c r="B249" s="1" t="s">
        <v>325</v>
      </c>
      <c r="C249" s="1" t="s">
        <v>326</v>
      </c>
      <c r="D249" s="1" t="s">
        <v>272</v>
      </c>
      <c r="E249" s="1" t="s">
        <v>137</v>
      </c>
      <c r="F249" s="1" t="s">
        <v>20</v>
      </c>
      <c r="G249" s="1" t="s">
        <v>325</v>
      </c>
      <c r="H249" s="1" t="s">
        <v>327</v>
      </c>
      <c r="I249" s="1" t="s">
        <v>286</v>
      </c>
      <c r="J249" s="1" t="s">
        <v>168</v>
      </c>
      <c r="K249" s="5">
        <v>150974.0</v>
      </c>
      <c r="L249" s="6">
        <v>44050.0</v>
      </c>
      <c r="M249" s="7">
        <v>501400.0</v>
      </c>
      <c r="N249" s="4" t="s">
        <v>328</v>
      </c>
      <c r="O249" s="4" t="s">
        <v>26</v>
      </c>
    </row>
    <row r="250" ht="15.75" customHeight="1">
      <c r="A250" s="1" t="s">
        <v>324</v>
      </c>
      <c r="B250" s="1" t="s">
        <v>325</v>
      </c>
      <c r="C250" s="1" t="s">
        <v>326</v>
      </c>
      <c r="D250" s="1" t="s">
        <v>272</v>
      </c>
      <c r="E250" s="1" t="s">
        <v>137</v>
      </c>
      <c r="F250" s="1" t="s">
        <v>20</v>
      </c>
      <c r="G250" s="1" t="s">
        <v>325</v>
      </c>
      <c r="H250" s="1" t="s">
        <v>327</v>
      </c>
      <c r="I250" s="1" t="s">
        <v>286</v>
      </c>
      <c r="J250" s="1" t="s">
        <v>168</v>
      </c>
      <c r="K250" s="5">
        <v>256144.0</v>
      </c>
      <c r="L250" s="6">
        <v>44193.0</v>
      </c>
      <c r="M250" s="7">
        <v>501400.0</v>
      </c>
      <c r="N250" s="4" t="s">
        <v>328</v>
      </c>
      <c r="O250" s="4" t="s">
        <v>26</v>
      </c>
    </row>
    <row r="251" ht="15.75" customHeight="1">
      <c r="A251" s="1" t="s">
        <v>324</v>
      </c>
      <c r="B251" s="1" t="s">
        <v>325</v>
      </c>
      <c r="C251" s="1" t="s">
        <v>326</v>
      </c>
      <c r="D251" s="1" t="s">
        <v>272</v>
      </c>
      <c r="E251" s="1" t="s">
        <v>137</v>
      </c>
      <c r="F251" s="1" t="s">
        <v>20</v>
      </c>
      <c r="G251" s="1" t="s">
        <v>325</v>
      </c>
      <c r="H251" s="1" t="s">
        <v>327</v>
      </c>
      <c r="I251" s="1" t="s">
        <v>286</v>
      </c>
      <c r="J251" s="1" t="s">
        <v>168</v>
      </c>
      <c r="K251" s="5">
        <v>31099.0</v>
      </c>
      <c r="L251" s="6">
        <v>44206.0</v>
      </c>
      <c r="M251" s="7">
        <v>501400.0</v>
      </c>
      <c r="N251" s="4" t="s">
        <v>328</v>
      </c>
      <c r="O251" s="4" t="s">
        <v>26</v>
      </c>
    </row>
    <row r="252" ht="15.75" customHeight="1">
      <c r="A252" s="1" t="s">
        <v>324</v>
      </c>
      <c r="B252" s="1" t="s">
        <v>325</v>
      </c>
      <c r="C252" s="1" t="s">
        <v>326</v>
      </c>
      <c r="D252" s="1" t="s">
        <v>272</v>
      </c>
      <c r="E252" s="1" t="s">
        <v>137</v>
      </c>
      <c r="F252" s="1" t="s">
        <v>20</v>
      </c>
      <c r="G252" s="1" t="s">
        <v>325</v>
      </c>
      <c r="H252" s="1" t="s">
        <v>327</v>
      </c>
      <c r="I252" s="1" t="s">
        <v>286</v>
      </c>
      <c r="J252" s="1" t="s">
        <v>168</v>
      </c>
      <c r="K252" s="5">
        <v>194151.0</v>
      </c>
      <c r="L252" s="6">
        <v>44829.0</v>
      </c>
      <c r="M252" s="7">
        <v>501400.0</v>
      </c>
      <c r="N252" s="4" t="s">
        <v>328</v>
      </c>
      <c r="O252" s="4" t="s">
        <v>26</v>
      </c>
    </row>
    <row r="253" ht="15.75" customHeight="1">
      <c r="A253" s="1" t="s">
        <v>324</v>
      </c>
      <c r="B253" s="1" t="s">
        <v>325</v>
      </c>
      <c r="C253" s="1" t="s">
        <v>326</v>
      </c>
      <c r="D253" s="1" t="s">
        <v>272</v>
      </c>
      <c r="E253" s="1" t="s">
        <v>137</v>
      </c>
      <c r="F253" s="1" t="s">
        <v>20</v>
      </c>
      <c r="G253" s="1" t="s">
        <v>325</v>
      </c>
      <c r="H253" s="1" t="s">
        <v>327</v>
      </c>
      <c r="I253" s="1" t="s">
        <v>286</v>
      </c>
      <c r="J253" s="1" t="s">
        <v>168</v>
      </c>
      <c r="K253" s="5">
        <v>126804.0</v>
      </c>
      <c r="L253" s="6">
        <v>44859.0</v>
      </c>
      <c r="M253" s="7">
        <v>501400.0</v>
      </c>
      <c r="N253" s="4" t="s">
        <v>328</v>
      </c>
      <c r="O253" s="4" t="s">
        <v>26</v>
      </c>
    </row>
    <row r="254" ht="15.75" customHeight="1">
      <c r="A254" s="1" t="s">
        <v>329</v>
      </c>
      <c r="B254" s="1" t="s">
        <v>330</v>
      </c>
      <c r="C254" s="1" t="s">
        <v>331</v>
      </c>
      <c r="D254" s="1" t="s">
        <v>165</v>
      </c>
      <c r="E254" s="1" t="s">
        <v>144</v>
      </c>
      <c r="F254" s="1" t="s">
        <v>20</v>
      </c>
      <c r="G254" s="1" t="s">
        <v>330</v>
      </c>
      <c r="H254" s="1" t="s">
        <v>332</v>
      </c>
      <c r="I254" s="1" t="s">
        <v>292</v>
      </c>
      <c r="J254" s="1" t="s">
        <v>33</v>
      </c>
      <c r="K254" s="5">
        <v>243396.0</v>
      </c>
      <c r="L254" s="6">
        <v>43871.0</v>
      </c>
      <c r="M254" s="7">
        <v>516000.0</v>
      </c>
      <c r="N254" s="4" t="s">
        <v>25</v>
      </c>
      <c r="O254" s="4" t="s">
        <v>26</v>
      </c>
    </row>
    <row r="255" ht="15.75" customHeight="1">
      <c r="A255" s="1" t="s">
        <v>329</v>
      </c>
      <c r="B255" s="1" t="s">
        <v>330</v>
      </c>
      <c r="C255" s="1" t="s">
        <v>331</v>
      </c>
      <c r="D255" s="1" t="s">
        <v>165</v>
      </c>
      <c r="E255" s="1" t="s">
        <v>144</v>
      </c>
      <c r="F255" s="1" t="s">
        <v>20</v>
      </c>
      <c r="G255" s="1" t="s">
        <v>330</v>
      </c>
      <c r="H255" s="1" t="s">
        <v>332</v>
      </c>
      <c r="I255" s="1" t="s">
        <v>292</v>
      </c>
      <c r="J255" s="1" t="s">
        <v>33</v>
      </c>
      <c r="K255" s="5">
        <v>24358.0</v>
      </c>
      <c r="L255" s="6">
        <v>43961.0</v>
      </c>
      <c r="M255" s="7">
        <v>516000.0</v>
      </c>
      <c r="N255" s="4" t="s">
        <v>25</v>
      </c>
      <c r="O255" s="4" t="s">
        <v>26</v>
      </c>
    </row>
    <row r="256" ht="15.75" customHeight="1">
      <c r="A256" s="1" t="s">
        <v>329</v>
      </c>
      <c r="B256" s="1" t="s">
        <v>330</v>
      </c>
      <c r="C256" s="1" t="s">
        <v>331</v>
      </c>
      <c r="D256" s="1" t="s">
        <v>165</v>
      </c>
      <c r="E256" s="1" t="s">
        <v>144</v>
      </c>
      <c r="F256" s="1" t="s">
        <v>20</v>
      </c>
      <c r="G256" s="1" t="s">
        <v>330</v>
      </c>
      <c r="H256" s="1" t="s">
        <v>332</v>
      </c>
      <c r="I256" s="1" t="s">
        <v>292</v>
      </c>
      <c r="J256" s="1" t="s">
        <v>33</v>
      </c>
      <c r="K256" s="5">
        <v>60625.0</v>
      </c>
      <c r="L256" s="6">
        <v>44053.0</v>
      </c>
      <c r="M256" s="7">
        <v>516000.0</v>
      </c>
      <c r="N256" s="4" t="s">
        <v>25</v>
      </c>
      <c r="O256" s="4" t="s">
        <v>26</v>
      </c>
    </row>
    <row r="257" ht="15.75" customHeight="1">
      <c r="A257" s="1" t="s">
        <v>329</v>
      </c>
      <c r="B257" s="1" t="s">
        <v>330</v>
      </c>
      <c r="C257" s="1" t="s">
        <v>331</v>
      </c>
      <c r="D257" s="1" t="s">
        <v>165</v>
      </c>
      <c r="E257" s="1" t="s">
        <v>144</v>
      </c>
      <c r="F257" s="1" t="s">
        <v>20</v>
      </c>
      <c r="G257" s="1" t="s">
        <v>330</v>
      </c>
      <c r="H257" s="1" t="s">
        <v>332</v>
      </c>
      <c r="I257" s="1" t="s">
        <v>292</v>
      </c>
      <c r="J257" s="1" t="s">
        <v>33</v>
      </c>
      <c r="K257" s="5">
        <v>161646.0</v>
      </c>
      <c r="L257" s="6">
        <v>44105.0</v>
      </c>
      <c r="M257" s="7">
        <v>516000.0</v>
      </c>
      <c r="N257" s="4" t="s">
        <v>25</v>
      </c>
      <c r="O257" s="4" t="s">
        <v>26</v>
      </c>
    </row>
    <row r="258" ht="15.75" customHeight="1">
      <c r="A258" s="1" t="s">
        <v>329</v>
      </c>
      <c r="B258" s="1" t="s">
        <v>330</v>
      </c>
      <c r="C258" s="1" t="s">
        <v>331</v>
      </c>
      <c r="D258" s="1" t="s">
        <v>165</v>
      </c>
      <c r="E258" s="1" t="s">
        <v>144</v>
      </c>
      <c r="F258" s="1" t="s">
        <v>20</v>
      </c>
      <c r="G258" s="1" t="s">
        <v>330</v>
      </c>
      <c r="H258" s="1" t="s">
        <v>332</v>
      </c>
      <c r="I258" s="1" t="s">
        <v>292</v>
      </c>
      <c r="J258" s="1" t="s">
        <v>33</v>
      </c>
      <c r="K258" s="5">
        <v>135225.0</v>
      </c>
      <c r="L258" s="6">
        <v>44197.0</v>
      </c>
      <c r="M258" s="7">
        <v>516000.0</v>
      </c>
      <c r="N258" s="4" t="s">
        <v>25</v>
      </c>
      <c r="O258" s="4" t="s">
        <v>26</v>
      </c>
    </row>
    <row r="259" ht="15.75" customHeight="1">
      <c r="A259" s="1" t="s">
        <v>329</v>
      </c>
      <c r="B259" s="1" t="s">
        <v>330</v>
      </c>
      <c r="C259" s="1" t="s">
        <v>331</v>
      </c>
      <c r="D259" s="1" t="s">
        <v>165</v>
      </c>
      <c r="E259" s="1" t="s">
        <v>144</v>
      </c>
      <c r="F259" s="1" t="s">
        <v>20</v>
      </c>
      <c r="G259" s="1" t="s">
        <v>330</v>
      </c>
      <c r="H259" s="1" t="s">
        <v>332</v>
      </c>
      <c r="I259" s="1" t="s">
        <v>292</v>
      </c>
      <c r="J259" s="1" t="s">
        <v>33</v>
      </c>
      <c r="K259" s="5">
        <v>249165.0</v>
      </c>
      <c r="L259" s="6">
        <v>44209.0</v>
      </c>
      <c r="M259" s="7">
        <v>516000.0</v>
      </c>
      <c r="N259" s="4" t="s">
        <v>25</v>
      </c>
      <c r="O259" s="4" t="s">
        <v>26</v>
      </c>
    </row>
    <row r="260" ht="15.75" customHeight="1">
      <c r="A260" s="1" t="s">
        <v>329</v>
      </c>
      <c r="B260" s="1" t="s">
        <v>330</v>
      </c>
      <c r="C260" s="1" t="s">
        <v>331</v>
      </c>
      <c r="D260" s="1" t="s">
        <v>165</v>
      </c>
      <c r="E260" s="1" t="s">
        <v>144</v>
      </c>
      <c r="F260" s="1" t="s">
        <v>20</v>
      </c>
      <c r="G260" s="1" t="s">
        <v>330</v>
      </c>
      <c r="H260" s="1" t="s">
        <v>332</v>
      </c>
      <c r="I260" s="1" t="s">
        <v>292</v>
      </c>
      <c r="J260" s="1" t="s">
        <v>33</v>
      </c>
      <c r="K260" s="5">
        <v>219837.0</v>
      </c>
      <c r="L260" s="6">
        <v>44832.0</v>
      </c>
      <c r="M260" s="7">
        <v>516000.0</v>
      </c>
      <c r="N260" s="4" t="s">
        <v>25</v>
      </c>
      <c r="O260" s="4" t="s">
        <v>26</v>
      </c>
    </row>
    <row r="261" ht="15.75" customHeight="1">
      <c r="A261" s="1" t="s">
        <v>329</v>
      </c>
      <c r="B261" s="1" t="s">
        <v>330</v>
      </c>
      <c r="C261" s="1" t="s">
        <v>331</v>
      </c>
      <c r="D261" s="1" t="s">
        <v>165</v>
      </c>
      <c r="E261" s="1" t="s">
        <v>144</v>
      </c>
      <c r="F261" s="1" t="s">
        <v>20</v>
      </c>
      <c r="G261" s="1" t="s">
        <v>330</v>
      </c>
      <c r="H261" s="1" t="s">
        <v>332</v>
      </c>
      <c r="I261" s="1" t="s">
        <v>292</v>
      </c>
      <c r="J261" s="1" t="s">
        <v>33</v>
      </c>
      <c r="K261" s="5">
        <v>173152.0</v>
      </c>
      <c r="L261" s="6">
        <v>44224.0</v>
      </c>
      <c r="M261" s="7">
        <v>516000.0</v>
      </c>
      <c r="N261" s="4" t="s">
        <v>25</v>
      </c>
      <c r="O261" s="4" t="s">
        <v>26</v>
      </c>
    </row>
    <row r="262" ht="15.75" customHeight="1">
      <c r="A262" s="1" t="s">
        <v>333</v>
      </c>
      <c r="B262" s="1" t="s">
        <v>334</v>
      </c>
      <c r="C262" s="1" t="s">
        <v>335</v>
      </c>
      <c r="D262" s="1" t="s">
        <v>173</v>
      </c>
      <c r="E262" s="1" t="s">
        <v>137</v>
      </c>
      <c r="F262" s="1" t="s">
        <v>20</v>
      </c>
      <c r="G262" s="1" t="s">
        <v>334</v>
      </c>
      <c r="H262" s="1" t="s">
        <v>336</v>
      </c>
      <c r="I262" s="1" t="s">
        <v>299</v>
      </c>
      <c r="J262" s="1" t="s">
        <v>154</v>
      </c>
      <c r="K262" s="5">
        <v>46325.0</v>
      </c>
      <c r="L262" s="6">
        <v>43874.0</v>
      </c>
      <c r="M262" s="7">
        <v>507100.0</v>
      </c>
      <c r="N262" s="4" t="s">
        <v>337</v>
      </c>
      <c r="O262" s="4" t="s">
        <v>26</v>
      </c>
    </row>
    <row r="263" ht="15.75" customHeight="1">
      <c r="A263" s="1" t="s">
        <v>333</v>
      </c>
      <c r="B263" s="1" t="s">
        <v>334</v>
      </c>
      <c r="C263" s="1" t="s">
        <v>335</v>
      </c>
      <c r="D263" s="1" t="s">
        <v>173</v>
      </c>
      <c r="E263" s="1" t="s">
        <v>137</v>
      </c>
      <c r="F263" s="1" t="s">
        <v>20</v>
      </c>
      <c r="G263" s="1" t="s">
        <v>334</v>
      </c>
      <c r="H263" s="1" t="s">
        <v>336</v>
      </c>
      <c r="I263" s="1" t="s">
        <v>299</v>
      </c>
      <c r="J263" s="1" t="s">
        <v>154</v>
      </c>
      <c r="K263" s="5">
        <v>165797.0</v>
      </c>
      <c r="L263" s="6">
        <v>43964.0</v>
      </c>
      <c r="M263" s="7">
        <v>507100.0</v>
      </c>
      <c r="N263" s="4" t="s">
        <v>337</v>
      </c>
      <c r="O263" s="4" t="s">
        <v>26</v>
      </c>
    </row>
    <row r="264" ht="15.75" customHeight="1">
      <c r="A264" s="1" t="s">
        <v>333</v>
      </c>
      <c r="B264" s="1" t="s">
        <v>334</v>
      </c>
      <c r="C264" s="1" t="s">
        <v>335</v>
      </c>
      <c r="D264" s="1" t="s">
        <v>173</v>
      </c>
      <c r="E264" s="1" t="s">
        <v>137</v>
      </c>
      <c r="F264" s="1" t="s">
        <v>20</v>
      </c>
      <c r="G264" s="1" t="s">
        <v>334</v>
      </c>
      <c r="H264" s="1" t="s">
        <v>336</v>
      </c>
      <c r="I264" s="1" t="s">
        <v>299</v>
      </c>
      <c r="J264" s="1" t="s">
        <v>154</v>
      </c>
      <c r="K264" s="5">
        <v>294815.0</v>
      </c>
      <c r="L264" s="6">
        <v>44056.0</v>
      </c>
      <c r="M264" s="7">
        <v>507100.0</v>
      </c>
      <c r="N264" s="4" t="s">
        <v>337</v>
      </c>
      <c r="O264" s="4" t="s">
        <v>26</v>
      </c>
    </row>
    <row r="265" ht="15.75" customHeight="1">
      <c r="A265" s="1" t="s">
        <v>333</v>
      </c>
      <c r="B265" s="1" t="s">
        <v>334</v>
      </c>
      <c r="C265" s="1" t="s">
        <v>335</v>
      </c>
      <c r="D265" s="1" t="s">
        <v>173</v>
      </c>
      <c r="E265" s="1" t="s">
        <v>137</v>
      </c>
      <c r="F265" s="1" t="s">
        <v>20</v>
      </c>
      <c r="G265" s="1" t="s">
        <v>334</v>
      </c>
      <c r="H265" s="1" t="s">
        <v>336</v>
      </c>
      <c r="I265" s="1" t="s">
        <v>299</v>
      </c>
      <c r="J265" s="1" t="s">
        <v>154</v>
      </c>
      <c r="K265" s="5">
        <v>57988.0</v>
      </c>
      <c r="L265" s="6">
        <v>44108.0</v>
      </c>
      <c r="M265" s="7">
        <v>507100.0</v>
      </c>
      <c r="N265" s="4" t="s">
        <v>337</v>
      </c>
      <c r="O265" s="4" t="s">
        <v>26</v>
      </c>
    </row>
    <row r="266" ht="15.75" customHeight="1">
      <c r="A266" s="1" t="s">
        <v>333</v>
      </c>
      <c r="B266" s="1" t="s">
        <v>334</v>
      </c>
      <c r="C266" s="1" t="s">
        <v>335</v>
      </c>
      <c r="D266" s="1" t="s">
        <v>173</v>
      </c>
      <c r="E266" s="1" t="s">
        <v>137</v>
      </c>
      <c r="F266" s="1" t="s">
        <v>20</v>
      </c>
      <c r="G266" s="1" t="s">
        <v>334</v>
      </c>
      <c r="H266" s="1" t="s">
        <v>336</v>
      </c>
      <c r="I266" s="1" t="s">
        <v>299</v>
      </c>
      <c r="J266" s="1" t="s">
        <v>154</v>
      </c>
      <c r="K266" s="5">
        <v>89516.0</v>
      </c>
      <c r="L266" s="6">
        <v>44200.0</v>
      </c>
      <c r="M266" s="7">
        <v>507100.0</v>
      </c>
      <c r="N266" s="4" t="s">
        <v>337</v>
      </c>
      <c r="O266" s="4" t="s">
        <v>26</v>
      </c>
    </row>
    <row r="267" ht="15.75" customHeight="1">
      <c r="A267" s="1" t="s">
        <v>333</v>
      </c>
      <c r="B267" s="1" t="s">
        <v>334</v>
      </c>
      <c r="C267" s="1" t="s">
        <v>335</v>
      </c>
      <c r="D267" s="1" t="s">
        <v>173</v>
      </c>
      <c r="E267" s="1" t="s">
        <v>137</v>
      </c>
      <c r="F267" s="1" t="s">
        <v>20</v>
      </c>
      <c r="G267" s="1" t="s">
        <v>334</v>
      </c>
      <c r="H267" s="1" t="s">
        <v>336</v>
      </c>
      <c r="I267" s="1" t="s">
        <v>299</v>
      </c>
      <c r="J267" s="1" t="s">
        <v>154</v>
      </c>
      <c r="K267" s="5">
        <v>281214.0</v>
      </c>
      <c r="L267" s="6">
        <v>44212.0</v>
      </c>
      <c r="M267" s="7">
        <v>507100.0</v>
      </c>
      <c r="N267" s="4" t="s">
        <v>337</v>
      </c>
      <c r="O267" s="4" t="s">
        <v>26</v>
      </c>
    </row>
    <row r="268" ht="15.75" customHeight="1">
      <c r="A268" s="1" t="s">
        <v>333</v>
      </c>
      <c r="B268" s="1" t="s">
        <v>334</v>
      </c>
      <c r="C268" s="1" t="s">
        <v>335</v>
      </c>
      <c r="D268" s="1" t="s">
        <v>173</v>
      </c>
      <c r="E268" s="1" t="s">
        <v>137</v>
      </c>
      <c r="F268" s="1" t="s">
        <v>20</v>
      </c>
      <c r="G268" s="1" t="s">
        <v>334</v>
      </c>
      <c r="H268" s="1" t="s">
        <v>336</v>
      </c>
      <c r="I268" s="1" t="s">
        <v>299</v>
      </c>
      <c r="J268" s="1" t="s">
        <v>154</v>
      </c>
      <c r="K268" s="5">
        <v>225311.0</v>
      </c>
      <c r="L268" s="6">
        <v>44835.0</v>
      </c>
      <c r="M268" s="7">
        <v>507100.0</v>
      </c>
      <c r="N268" s="4" t="s">
        <v>337</v>
      </c>
      <c r="O268" s="4" t="s">
        <v>26</v>
      </c>
    </row>
    <row r="269" ht="15.75" customHeight="1">
      <c r="A269" s="1" t="s">
        <v>333</v>
      </c>
      <c r="B269" s="1" t="s">
        <v>334</v>
      </c>
      <c r="C269" s="1" t="s">
        <v>335</v>
      </c>
      <c r="D269" s="1" t="s">
        <v>173</v>
      </c>
      <c r="E269" s="1" t="s">
        <v>137</v>
      </c>
      <c r="F269" s="1" t="s">
        <v>20</v>
      </c>
      <c r="G269" s="1" t="s">
        <v>334</v>
      </c>
      <c r="H269" s="1" t="s">
        <v>336</v>
      </c>
      <c r="I269" s="1" t="s">
        <v>299</v>
      </c>
      <c r="J269" s="1" t="s">
        <v>154</v>
      </c>
      <c r="K269" s="5">
        <v>170553.0</v>
      </c>
      <c r="L269" s="6">
        <v>44228.0</v>
      </c>
      <c r="M269" s="7">
        <v>507100.0</v>
      </c>
      <c r="N269" s="4" t="s">
        <v>337</v>
      </c>
      <c r="O269" s="4" t="s">
        <v>26</v>
      </c>
    </row>
    <row r="270" ht="15.75" customHeight="1">
      <c r="A270" s="1" t="s">
        <v>338</v>
      </c>
      <c r="B270" s="1" t="s">
        <v>339</v>
      </c>
      <c r="C270" s="1" t="s">
        <v>340</v>
      </c>
      <c r="D270" s="1" t="s">
        <v>136</v>
      </c>
      <c r="E270" s="1" t="s">
        <v>144</v>
      </c>
      <c r="F270" s="1" t="s">
        <v>20</v>
      </c>
      <c r="G270" s="1" t="s">
        <v>339</v>
      </c>
      <c r="H270" s="1" t="s">
        <v>341</v>
      </c>
      <c r="I270" s="1" t="s">
        <v>305</v>
      </c>
      <c r="J270" s="1" t="s">
        <v>24</v>
      </c>
      <c r="K270" s="5">
        <v>220987.0</v>
      </c>
      <c r="L270" s="6">
        <v>43877.0</v>
      </c>
      <c r="M270" s="7">
        <v>509100.0</v>
      </c>
      <c r="N270" s="4" t="s">
        <v>126</v>
      </c>
      <c r="O270" s="4" t="s">
        <v>26</v>
      </c>
    </row>
    <row r="271" ht="15.75" customHeight="1">
      <c r="A271" s="1" t="s">
        <v>338</v>
      </c>
      <c r="B271" s="1" t="s">
        <v>339</v>
      </c>
      <c r="C271" s="1" t="s">
        <v>340</v>
      </c>
      <c r="D271" s="1" t="s">
        <v>136</v>
      </c>
      <c r="E271" s="1" t="s">
        <v>144</v>
      </c>
      <c r="F271" s="1" t="s">
        <v>20</v>
      </c>
      <c r="G271" s="1" t="s">
        <v>339</v>
      </c>
      <c r="H271" s="1" t="s">
        <v>341</v>
      </c>
      <c r="I271" s="1" t="s">
        <v>305</v>
      </c>
      <c r="J271" s="1" t="s">
        <v>24</v>
      </c>
      <c r="K271" s="5">
        <v>260964.0</v>
      </c>
      <c r="L271" s="6">
        <v>43967.0</v>
      </c>
      <c r="M271" s="7">
        <v>509100.0</v>
      </c>
      <c r="N271" s="4" t="s">
        <v>126</v>
      </c>
      <c r="O271" s="4" t="s">
        <v>26</v>
      </c>
    </row>
    <row r="272" ht="15.75" customHeight="1">
      <c r="A272" s="1" t="s">
        <v>338</v>
      </c>
      <c r="B272" s="1" t="s">
        <v>339</v>
      </c>
      <c r="C272" s="1" t="s">
        <v>340</v>
      </c>
      <c r="D272" s="1" t="s">
        <v>136</v>
      </c>
      <c r="E272" s="1" t="s">
        <v>144</v>
      </c>
      <c r="F272" s="1" t="s">
        <v>20</v>
      </c>
      <c r="G272" s="1" t="s">
        <v>339</v>
      </c>
      <c r="H272" s="1" t="s">
        <v>341</v>
      </c>
      <c r="I272" s="1" t="s">
        <v>305</v>
      </c>
      <c r="J272" s="1" t="s">
        <v>24</v>
      </c>
      <c r="K272" s="5">
        <v>45468.0</v>
      </c>
      <c r="L272" s="6">
        <v>44059.0</v>
      </c>
      <c r="M272" s="7">
        <v>509100.0</v>
      </c>
      <c r="N272" s="4" t="s">
        <v>126</v>
      </c>
      <c r="O272" s="4" t="s">
        <v>26</v>
      </c>
    </row>
    <row r="273" ht="15.75" customHeight="1">
      <c r="A273" s="1" t="s">
        <v>338</v>
      </c>
      <c r="B273" s="1" t="s">
        <v>339</v>
      </c>
      <c r="C273" s="1" t="s">
        <v>340</v>
      </c>
      <c r="D273" s="1" t="s">
        <v>136</v>
      </c>
      <c r="E273" s="1" t="s">
        <v>144</v>
      </c>
      <c r="F273" s="1" t="s">
        <v>20</v>
      </c>
      <c r="G273" s="1" t="s">
        <v>339</v>
      </c>
      <c r="H273" s="1" t="s">
        <v>341</v>
      </c>
      <c r="I273" s="1" t="s">
        <v>305</v>
      </c>
      <c r="J273" s="1" t="s">
        <v>24</v>
      </c>
      <c r="K273" s="5">
        <v>135113.0</v>
      </c>
      <c r="L273" s="6">
        <v>44111.0</v>
      </c>
      <c r="M273" s="7">
        <v>509100.0</v>
      </c>
      <c r="N273" s="4" t="s">
        <v>126</v>
      </c>
      <c r="O273" s="4" t="s">
        <v>26</v>
      </c>
    </row>
    <row r="274" ht="15.75" customHeight="1">
      <c r="A274" s="1" t="s">
        <v>338</v>
      </c>
      <c r="B274" s="1" t="s">
        <v>339</v>
      </c>
      <c r="C274" s="1" t="s">
        <v>340</v>
      </c>
      <c r="D274" s="1" t="s">
        <v>136</v>
      </c>
      <c r="E274" s="1" t="s">
        <v>144</v>
      </c>
      <c r="F274" s="1" t="s">
        <v>20</v>
      </c>
      <c r="G274" s="1" t="s">
        <v>339</v>
      </c>
      <c r="H274" s="1" t="s">
        <v>341</v>
      </c>
      <c r="I274" s="1" t="s">
        <v>305</v>
      </c>
      <c r="J274" s="1" t="s">
        <v>24</v>
      </c>
      <c r="K274" s="5">
        <v>148154.0</v>
      </c>
      <c r="L274" s="6">
        <v>44215.0</v>
      </c>
      <c r="M274" s="7">
        <v>509100.0</v>
      </c>
      <c r="N274" s="4" t="s">
        <v>126</v>
      </c>
      <c r="O274" s="4" t="s">
        <v>26</v>
      </c>
    </row>
    <row r="275" ht="15.75" customHeight="1">
      <c r="A275" s="1" t="s">
        <v>338</v>
      </c>
      <c r="B275" s="1" t="s">
        <v>339</v>
      </c>
      <c r="C275" s="1" t="s">
        <v>340</v>
      </c>
      <c r="D275" s="1" t="s">
        <v>136</v>
      </c>
      <c r="E275" s="1" t="s">
        <v>144</v>
      </c>
      <c r="F275" s="1" t="s">
        <v>20</v>
      </c>
      <c r="G275" s="1" t="s">
        <v>339</v>
      </c>
      <c r="H275" s="1" t="s">
        <v>341</v>
      </c>
      <c r="I275" s="1" t="s">
        <v>305</v>
      </c>
      <c r="J275" s="1" t="s">
        <v>24</v>
      </c>
      <c r="K275" s="5">
        <v>247527.0</v>
      </c>
      <c r="L275" s="6">
        <v>44838.0</v>
      </c>
      <c r="M275" s="7">
        <v>509100.0</v>
      </c>
      <c r="N275" s="4" t="s">
        <v>126</v>
      </c>
      <c r="O275" s="4" t="s">
        <v>26</v>
      </c>
    </row>
    <row r="276" ht="15.75" customHeight="1">
      <c r="A276" s="1" t="s">
        <v>338</v>
      </c>
      <c r="B276" s="1" t="s">
        <v>339</v>
      </c>
      <c r="C276" s="1" t="s">
        <v>340</v>
      </c>
      <c r="D276" s="1" t="s">
        <v>136</v>
      </c>
      <c r="E276" s="1" t="s">
        <v>144</v>
      </c>
      <c r="F276" s="1" t="s">
        <v>20</v>
      </c>
      <c r="G276" s="1" t="s">
        <v>339</v>
      </c>
      <c r="H276" s="1" t="s">
        <v>341</v>
      </c>
      <c r="I276" s="1" t="s">
        <v>305</v>
      </c>
      <c r="J276" s="1" t="s">
        <v>24</v>
      </c>
      <c r="K276" s="5">
        <v>212736.0</v>
      </c>
      <c r="L276" s="6">
        <v>44231.0</v>
      </c>
      <c r="M276" s="7">
        <v>509100.0</v>
      </c>
      <c r="N276" s="4" t="s">
        <v>126</v>
      </c>
      <c r="O276" s="4" t="s">
        <v>26</v>
      </c>
    </row>
    <row r="277" ht="15.75" customHeight="1">
      <c r="A277" s="1" t="s">
        <v>342</v>
      </c>
      <c r="B277" s="1" t="s">
        <v>343</v>
      </c>
      <c r="C277" s="1" t="s">
        <v>344</v>
      </c>
      <c r="D277" s="1" t="s">
        <v>297</v>
      </c>
      <c r="E277" s="1" t="s">
        <v>137</v>
      </c>
      <c r="F277" s="1" t="s">
        <v>20</v>
      </c>
      <c r="G277" s="1" t="s">
        <v>343</v>
      </c>
      <c r="H277" s="1" t="s">
        <v>345</v>
      </c>
      <c r="I277" s="1" t="s">
        <v>88</v>
      </c>
      <c r="J277" s="1" t="s">
        <v>33</v>
      </c>
      <c r="K277" s="5">
        <v>221445.0</v>
      </c>
      <c r="L277" s="6">
        <v>43880.0</v>
      </c>
      <c r="M277" s="7">
        <v>501400.0</v>
      </c>
      <c r="N277" s="4" t="s">
        <v>25</v>
      </c>
      <c r="O277" s="4" t="s">
        <v>26</v>
      </c>
    </row>
    <row r="278" ht="15.75" customHeight="1">
      <c r="A278" s="1" t="s">
        <v>342</v>
      </c>
      <c r="B278" s="1" t="s">
        <v>343</v>
      </c>
      <c r="C278" s="1" t="s">
        <v>344</v>
      </c>
      <c r="D278" s="1" t="s">
        <v>297</v>
      </c>
      <c r="E278" s="1" t="s">
        <v>137</v>
      </c>
      <c r="F278" s="1" t="s">
        <v>20</v>
      </c>
      <c r="G278" s="1" t="s">
        <v>343</v>
      </c>
      <c r="H278" s="1" t="s">
        <v>345</v>
      </c>
      <c r="I278" s="1" t="s">
        <v>88</v>
      </c>
      <c r="J278" s="1" t="s">
        <v>33</v>
      </c>
      <c r="K278" s="5">
        <v>228513.0</v>
      </c>
      <c r="L278" s="6">
        <v>43970.0</v>
      </c>
      <c r="M278" s="7">
        <v>501400.0</v>
      </c>
      <c r="N278" s="4" t="s">
        <v>25</v>
      </c>
      <c r="O278" s="4" t="s">
        <v>26</v>
      </c>
    </row>
    <row r="279" ht="15.75" customHeight="1">
      <c r="A279" s="1" t="s">
        <v>342</v>
      </c>
      <c r="B279" s="1" t="s">
        <v>343</v>
      </c>
      <c r="C279" s="1" t="s">
        <v>344</v>
      </c>
      <c r="D279" s="1" t="s">
        <v>297</v>
      </c>
      <c r="E279" s="1" t="s">
        <v>137</v>
      </c>
      <c r="F279" s="1" t="s">
        <v>20</v>
      </c>
      <c r="G279" s="1" t="s">
        <v>343</v>
      </c>
      <c r="H279" s="1" t="s">
        <v>345</v>
      </c>
      <c r="I279" s="1" t="s">
        <v>88</v>
      </c>
      <c r="J279" s="1" t="s">
        <v>33</v>
      </c>
      <c r="K279" s="5">
        <v>247726.0</v>
      </c>
      <c r="L279" s="6">
        <v>44062.0</v>
      </c>
      <c r="M279" s="7">
        <v>501400.0</v>
      </c>
      <c r="N279" s="4" t="s">
        <v>25</v>
      </c>
      <c r="O279" s="4" t="s">
        <v>26</v>
      </c>
    </row>
    <row r="280" ht="15.75" customHeight="1">
      <c r="A280" s="1" t="s">
        <v>342</v>
      </c>
      <c r="B280" s="1" t="s">
        <v>343</v>
      </c>
      <c r="C280" s="1" t="s">
        <v>344</v>
      </c>
      <c r="D280" s="1" t="s">
        <v>297</v>
      </c>
      <c r="E280" s="1" t="s">
        <v>137</v>
      </c>
      <c r="F280" s="1" t="s">
        <v>20</v>
      </c>
      <c r="G280" s="1" t="s">
        <v>343</v>
      </c>
      <c r="H280" s="1" t="s">
        <v>345</v>
      </c>
      <c r="I280" s="1" t="s">
        <v>88</v>
      </c>
      <c r="J280" s="1" t="s">
        <v>33</v>
      </c>
      <c r="K280" s="5">
        <v>295302.0</v>
      </c>
      <c r="L280" s="6">
        <v>44114.0</v>
      </c>
      <c r="M280" s="7">
        <v>501400.0</v>
      </c>
      <c r="N280" s="4" t="s">
        <v>25</v>
      </c>
      <c r="O280" s="4" t="s">
        <v>26</v>
      </c>
    </row>
    <row r="281" ht="15.75" customHeight="1">
      <c r="A281" s="1" t="s">
        <v>342</v>
      </c>
      <c r="B281" s="1" t="s">
        <v>343</v>
      </c>
      <c r="C281" s="1" t="s">
        <v>344</v>
      </c>
      <c r="D281" s="1" t="s">
        <v>297</v>
      </c>
      <c r="E281" s="1" t="s">
        <v>137</v>
      </c>
      <c r="F281" s="1" t="s">
        <v>20</v>
      </c>
      <c r="G281" s="1" t="s">
        <v>343</v>
      </c>
      <c r="H281" s="1" t="s">
        <v>345</v>
      </c>
      <c r="I281" s="1" t="s">
        <v>88</v>
      </c>
      <c r="J281" s="1" t="s">
        <v>33</v>
      </c>
      <c r="K281" s="5">
        <v>217867.0</v>
      </c>
      <c r="L281" s="6">
        <v>44218.0</v>
      </c>
      <c r="M281" s="7">
        <v>501400.0</v>
      </c>
      <c r="N281" s="4" t="s">
        <v>25</v>
      </c>
      <c r="O281" s="4" t="s">
        <v>26</v>
      </c>
    </row>
    <row r="282" ht="15.75" customHeight="1">
      <c r="A282" s="1" t="s">
        <v>342</v>
      </c>
      <c r="B282" s="1" t="s">
        <v>343</v>
      </c>
      <c r="C282" s="1" t="s">
        <v>344</v>
      </c>
      <c r="D282" s="1" t="s">
        <v>297</v>
      </c>
      <c r="E282" s="1" t="s">
        <v>137</v>
      </c>
      <c r="F282" s="1" t="s">
        <v>20</v>
      </c>
      <c r="G282" s="1" t="s">
        <v>343</v>
      </c>
      <c r="H282" s="1" t="s">
        <v>345</v>
      </c>
      <c r="I282" s="1" t="s">
        <v>88</v>
      </c>
      <c r="J282" s="1" t="s">
        <v>33</v>
      </c>
      <c r="K282" s="5">
        <v>223875.0</v>
      </c>
      <c r="L282" s="6">
        <v>44841.0</v>
      </c>
      <c r="M282" s="7">
        <v>501400.0</v>
      </c>
      <c r="N282" s="4" t="s">
        <v>25</v>
      </c>
      <c r="O282" s="4" t="s">
        <v>26</v>
      </c>
    </row>
    <row r="283" ht="15.75" customHeight="1">
      <c r="A283" s="1" t="s">
        <v>342</v>
      </c>
      <c r="B283" s="1" t="s">
        <v>343</v>
      </c>
      <c r="C283" s="1" t="s">
        <v>344</v>
      </c>
      <c r="D283" s="1" t="s">
        <v>297</v>
      </c>
      <c r="E283" s="1" t="s">
        <v>137</v>
      </c>
      <c r="F283" s="1" t="s">
        <v>20</v>
      </c>
      <c r="G283" s="1" t="s">
        <v>343</v>
      </c>
      <c r="H283" s="1" t="s">
        <v>345</v>
      </c>
      <c r="I283" s="1" t="s">
        <v>88</v>
      </c>
      <c r="J283" s="1" t="s">
        <v>33</v>
      </c>
      <c r="K283" s="5">
        <v>151708.0</v>
      </c>
      <c r="L283" s="6">
        <v>44234.0</v>
      </c>
      <c r="M283" s="7">
        <v>501400.0</v>
      </c>
      <c r="N283" s="4" t="s">
        <v>25</v>
      </c>
      <c r="O283" s="4" t="s">
        <v>26</v>
      </c>
    </row>
    <row r="284" ht="15.75" customHeight="1">
      <c r="A284" s="1" t="s">
        <v>346</v>
      </c>
      <c r="B284" s="1" t="s">
        <v>347</v>
      </c>
      <c r="C284" s="1" t="s">
        <v>348</v>
      </c>
      <c r="D284" s="1" t="s">
        <v>158</v>
      </c>
      <c r="E284" s="1" t="s">
        <v>144</v>
      </c>
      <c r="F284" s="1" t="s">
        <v>20</v>
      </c>
      <c r="G284" s="1" t="s">
        <v>347</v>
      </c>
      <c r="H284" s="1" t="s">
        <v>349</v>
      </c>
      <c r="I284" s="1" t="s">
        <v>153</v>
      </c>
      <c r="J284" s="1" t="s">
        <v>168</v>
      </c>
      <c r="K284" s="5">
        <v>94895.0</v>
      </c>
      <c r="L284" s="6">
        <v>43883.0</v>
      </c>
      <c r="M284" s="7">
        <v>502100.0</v>
      </c>
      <c r="N284" s="4" t="s">
        <v>51</v>
      </c>
      <c r="O284" s="4" t="s">
        <v>26</v>
      </c>
    </row>
    <row r="285" ht="15.75" customHeight="1">
      <c r="A285" s="1" t="s">
        <v>346</v>
      </c>
      <c r="B285" s="1" t="s">
        <v>347</v>
      </c>
      <c r="C285" s="1" t="s">
        <v>348</v>
      </c>
      <c r="D285" s="1" t="s">
        <v>158</v>
      </c>
      <c r="E285" s="1" t="s">
        <v>144</v>
      </c>
      <c r="F285" s="1" t="s">
        <v>20</v>
      </c>
      <c r="G285" s="1" t="s">
        <v>347</v>
      </c>
      <c r="H285" s="1" t="s">
        <v>349</v>
      </c>
      <c r="I285" s="1" t="s">
        <v>153</v>
      </c>
      <c r="J285" s="1" t="s">
        <v>168</v>
      </c>
      <c r="K285" s="5">
        <v>91564.0</v>
      </c>
      <c r="L285" s="6">
        <v>43973.0</v>
      </c>
      <c r="M285" s="7">
        <v>502100.0</v>
      </c>
      <c r="N285" s="4" t="s">
        <v>51</v>
      </c>
      <c r="O285" s="4" t="s">
        <v>26</v>
      </c>
    </row>
    <row r="286" ht="15.75" customHeight="1">
      <c r="A286" s="1" t="s">
        <v>346</v>
      </c>
      <c r="B286" s="1" t="s">
        <v>347</v>
      </c>
      <c r="C286" s="1" t="s">
        <v>348</v>
      </c>
      <c r="D286" s="1" t="s">
        <v>158</v>
      </c>
      <c r="E286" s="1" t="s">
        <v>144</v>
      </c>
      <c r="F286" s="1" t="s">
        <v>20</v>
      </c>
      <c r="G286" s="1" t="s">
        <v>347</v>
      </c>
      <c r="H286" s="1" t="s">
        <v>349</v>
      </c>
      <c r="I286" s="1" t="s">
        <v>153</v>
      </c>
      <c r="J286" s="1" t="s">
        <v>168</v>
      </c>
      <c r="K286" s="5">
        <v>175561.0</v>
      </c>
      <c r="L286" s="6">
        <v>44065.0</v>
      </c>
      <c r="M286" s="7">
        <v>502100.0</v>
      </c>
      <c r="N286" s="4" t="s">
        <v>51</v>
      </c>
      <c r="O286" s="4" t="s">
        <v>26</v>
      </c>
    </row>
    <row r="287" ht="15.75" customHeight="1">
      <c r="A287" s="1" t="s">
        <v>346</v>
      </c>
      <c r="B287" s="1" t="s">
        <v>347</v>
      </c>
      <c r="C287" s="1" t="s">
        <v>348</v>
      </c>
      <c r="D287" s="1" t="s">
        <v>158</v>
      </c>
      <c r="E287" s="1" t="s">
        <v>144</v>
      </c>
      <c r="F287" s="1" t="s">
        <v>20</v>
      </c>
      <c r="G287" s="1" t="s">
        <v>347</v>
      </c>
      <c r="H287" s="1" t="s">
        <v>349</v>
      </c>
      <c r="I287" s="1" t="s">
        <v>153</v>
      </c>
      <c r="J287" s="1" t="s">
        <v>168</v>
      </c>
      <c r="K287" s="5">
        <v>73794.0</v>
      </c>
      <c r="L287" s="6">
        <v>44117.0</v>
      </c>
      <c r="M287" s="7">
        <v>502100.0</v>
      </c>
      <c r="N287" s="4" t="s">
        <v>51</v>
      </c>
      <c r="O287" s="4" t="s">
        <v>26</v>
      </c>
    </row>
    <row r="288" ht="15.75" customHeight="1">
      <c r="A288" s="1" t="s">
        <v>346</v>
      </c>
      <c r="B288" s="1" t="s">
        <v>347</v>
      </c>
      <c r="C288" s="1" t="s">
        <v>348</v>
      </c>
      <c r="D288" s="1" t="s">
        <v>158</v>
      </c>
      <c r="E288" s="1" t="s">
        <v>144</v>
      </c>
      <c r="F288" s="1" t="s">
        <v>20</v>
      </c>
      <c r="G288" s="1" t="s">
        <v>347</v>
      </c>
      <c r="H288" s="1" t="s">
        <v>349</v>
      </c>
      <c r="I288" s="1" t="s">
        <v>153</v>
      </c>
      <c r="J288" s="1" t="s">
        <v>168</v>
      </c>
      <c r="K288" s="5">
        <v>73794.0</v>
      </c>
      <c r="L288" s="6">
        <v>44221.0</v>
      </c>
      <c r="M288" s="7">
        <v>502100.0</v>
      </c>
      <c r="N288" s="4" t="s">
        <v>51</v>
      </c>
      <c r="O288" s="4" t="s">
        <v>26</v>
      </c>
    </row>
    <row r="289" ht="15.75" customHeight="1">
      <c r="A289" s="1" t="s">
        <v>346</v>
      </c>
      <c r="B289" s="1" t="s">
        <v>347</v>
      </c>
      <c r="C289" s="1" t="s">
        <v>348</v>
      </c>
      <c r="D289" s="1" t="s">
        <v>158</v>
      </c>
      <c r="E289" s="1" t="s">
        <v>144</v>
      </c>
      <c r="F289" s="1" t="s">
        <v>20</v>
      </c>
      <c r="G289" s="1" t="s">
        <v>347</v>
      </c>
      <c r="H289" s="1" t="s">
        <v>349</v>
      </c>
      <c r="I289" s="1" t="s">
        <v>153</v>
      </c>
      <c r="J289" s="1" t="s">
        <v>168</v>
      </c>
      <c r="K289" s="5">
        <v>148032.0</v>
      </c>
      <c r="L289" s="6">
        <v>44844.0</v>
      </c>
      <c r="M289" s="7">
        <v>502100.0</v>
      </c>
      <c r="N289" s="4" t="s">
        <v>51</v>
      </c>
      <c r="O289" s="4" t="s">
        <v>26</v>
      </c>
    </row>
    <row r="290" ht="15.75" customHeight="1">
      <c r="A290" s="1" t="s">
        <v>346</v>
      </c>
      <c r="B290" s="1" t="s">
        <v>347</v>
      </c>
      <c r="C290" s="1" t="s">
        <v>348</v>
      </c>
      <c r="D290" s="1" t="s">
        <v>158</v>
      </c>
      <c r="E290" s="1" t="s">
        <v>144</v>
      </c>
      <c r="F290" s="1" t="s">
        <v>20</v>
      </c>
      <c r="G290" s="1" t="s">
        <v>347</v>
      </c>
      <c r="H290" s="1" t="s">
        <v>349</v>
      </c>
      <c r="I290" s="1" t="s">
        <v>153</v>
      </c>
      <c r="J290" s="1" t="s">
        <v>168</v>
      </c>
      <c r="K290" s="5">
        <v>279688.0</v>
      </c>
      <c r="L290" s="6">
        <v>44237.0</v>
      </c>
      <c r="M290" s="7">
        <v>502100.0</v>
      </c>
      <c r="N290" s="4" t="s">
        <v>51</v>
      </c>
      <c r="O290" s="4" t="s">
        <v>26</v>
      </c>
    </row>
    <row r="291" ht="15.75" customHeight="1">
      <c r="A291" s="1" t="s">
        <v>350</v>
      </c>
      <c r="B291" s="1" t="s">
        <v>351</v>
      </c>
      <c r="C291" s="1" t="s">
        <v>352</v>
      </c>
      <c r="D291" s="1" t="s">
        <v>165</v>
      </c>
      <c r="E291" s="1" t="s">
        <v>137</v>
      </c>
      <c r="F291" s="1" t="s">
        <v>20</v>
      </c>
      <c r="G291" s="1" t="s">
        <v>351</v>
      </c>
      <c r="H291" s="1" t="s">
        <v>353</v>
      </c>
      <c r="I291" s="1" t="s">
        <v>274</v>
      </c>
      <c r="J291" s="1" t="s">
        <v>33</v>
      </c>
      <c r="K291" s="5">
        <v>139765.0</v>
      </c>
      <c r="L291" s="6">
        <v>43886.0</v>
      </c>
      <c r="M291" s="7">
        <v>516000.0</v>
      </c>
      <c r="N291" s="4" t="s">
        <v>34</v>
      </c>
      <c r="O291" s="4" t="s">
        <v>26</v>
      </c>
    </row>
    <row r="292" ht="15.75" customHeight="1">
      <c r="A292" s="1" t="s">
        <v>350</v>
      </c>
      <c r="B292" s="1" t="s">
        <v>351</v>
      </c>
      <c r="C292" s="1" t="s">
        <v>352</v>
      </c>
      <c r="D292" s="1" t="s">
        <v>165</v>
      </c>
      <c r="E292" s="1" t="s">
        <v>137</v>
      </c>
      <c r="F292" s="1" t="s">
        <v>20</v>
      </c>
      <c r="G292" s="1" t="s">
        <v>351</v>
      </c>
      <c r="H292" s="1" t="s">
        <v>353</v>
      </c>
      <c r="I292" s="1" t="s">
        <v>274</v>
      </c>
      <c r="J292" s="1" t="s">
        <v>33</v>
      </c>
      <c r="K292" s="5">
        <v>143944.0</v>
      </c>
      <c r="L292" s="6">
        <v>43976.0</v>
      </c>
      <c r="M292" s="7">
        <v>516000.0</v>
      </c>
      <c r="N292" s="4" t="s">
        <v>34</v>
      </c>
      <c r="O292" s="4" t="s">
        <v>26</v>
      </c>
    </row>
    <row r="293" ht="15.75" customHeight="1">
      <c r="A293" s="1" t="s">
        <v>350</v>
      </c>
      <c r="B293" s="1" t="s">
        <v>351</v>
      </c>
      <c r="C293" s="1" t="s">
        <v>352</v>
      </c>
      <c r="D293" s="1" t="s">
        <v>165</v>
      </c>
      <c r="E293" s="1" t="s">
        <v>137</v>
      </c>
      <c r="F293" s="1" t="s">
        <v>20</v>
      </c>
      <c r="G293" s="1" t="s">
        <v>351</v>
      </c>
      <c r="H293" s="1" t="s">
        <v>353</v>
      </c>
      <c r="I293" s="1" t="s">
        <v>274</v>
      </c>
      <c r="J293" s="1" t="s">
        <v>33</v>
      </c>
      <c r="K293" s="5">
        <v>158384.0</v>
      </c>
      <c r="L293" s="6">
        <v>44068.0</v>
      </c>
      <c r="M293" s="7">
        <v>516000.0</v>
      </c>
      <c r="N293" s="4" t="s">
        <v>34</v>
      </c>
      <c r="O293" s="4" t="s">
        <v>26</v>
      </c>
    </row>
    <row r="294" ht="15.75" customHeight="1">
      <c r="A294" s="1" t="s">
        <v>350</v>
      </c>
      <c r="B294" s="1" t="s">
        <v>351</v>
      </c>
      <c r="C294" s="1" t="s">
        <v>352</v>
      </c>
      <c r="D294" s="1" t="s">
        <v>165</v>
      </c>
      <c r="E294" s="1" t="s">
        <v>137</v>
      </c>
      <c r="F294" s="1" t="s">
        <v>20</v>
      </c>
      <c r="G294" s="1" t="s">
        <v>351</v>
      </c>
      <c r="H294" s="1" t="s">
        <v>353</v>
      </c>
      <c r="I294" s="1" t="s">
        <v>274</v>
      </c>
      <c r="J294" s="1" t="s">
        <v>33</v>
      </c>
      <c r="K294" s="5">
        <v>106432.0</v>
      </c>
      <c r="L294" s="6">
        <v>44120.0</v>
      </c>
      <c r="M294" s="7">
        <v>516000.0</v>
      </c>
      <c r="N294" s="4" t="s">
        <v>34</v>
      </c>
      <c r="O294" s="4" t="s">
        <v>26</v>
      </c>
    </row>
    <row r="295" ht="15.75" customHeight="1">
      <c r="A295" s="1" t="s">
        <v>350</v>
      </c>
      <c r="B295" s="1" t="s">
        <v>351</v>
      </c>
      <c r="C295" s="1" t="s">
        <v>352</v>
      </c>
      <c r="D295" s="1" t="s">
        <v>165</v>
      </c>
      <c r="E295" s="1" t="s">
        <v>137</v>
      </c>
      <c r="F295" s="1" t="s">
        <v>20</v>
      </c>
      <c r="G295" s="1" t="s">
        <v>351</v>
      </c>
      <c r="H295" s="1" t="s">
        <v>353</v>
      </c>
      <c r="I295" s="1" t="s">
        <v>274</v>
      </c>
      <c r="J295" s="1" t="s">
        <v>33</v>
      </c>
      <c r="K295" s="5">
        <v>106432.0</v>
      </c>
      <c r="L295" s="6">
        <v>44224.0</v>
      </c>
      <c r="M295" s="7">
        <v>516000.0</v>
      </c>
      <c r="N295" s="4" t="s">
        <v>34</v>
      </c>
      <c r="O295" s="4" t="s">
        <v>26</v>
      </c>
    </row>
    <row r="296" ht="15.75" customHeight="1">
      <c r="A296" s="1" t="s">
        <v>350</v>
      </c>
      <c r="B296" s="1" t="s">
        <v>351</v>
      </c>
      <c r="C296" s="1" t="s">
        <v>352</v>
      </c>
      <c r="D296" s="1" t="s">
        <v>165</v>
      </c>
      <c r="E296" s="1" t="s">
        <v>137</v>
      </c>
      <c r="F296" s="1" t="s">
        <v>20</v>
      </c>
      <c r="G296" s="1" t="s">
        <v>351</v>
      </c>
      <c r="H296" s="1" t="s">
        <v>353</v>
      </c>
      <c r="I296" s="1" t="s">
        <v>274</v>
      </c>
      <c r="J296" s="1" t="s">
        <v>33</v>
      </c>
      <c r="K296" s="5">
        <v>42668.0</v>
      </c>
      <c r="L296" s="6">
        <v>44847.0</v>
      </c>
      <c r="M296" s="7">
        <v>516000.0</v>
      </c>
      <c r="N296" s="4" t="s">
        <v>34</v>
      </c>
      <c r="O296" s="4" t="s">
        <v>26</v>
      </c>
    </row>
    <row r="297" ht="15.75" customHeight="1">
      <c r="A297" s="1" t="s">
        <v>350</v>
      </c>
      <c r="B297" s="1" t="s">
        <v>351</v>
      </c>
      <c r="C297" s="1" t="s">
        <v>352</v>
      </c>
      <c r="D297" s="1" t="s">
        <v>165</v>
      </c>
      <c r="E297" s="1" t="s">
        <v>137</v>
      </c>
      <c r="F297" s="1" t="s">
        <v>20</v>
      </c>
      <c r="G297" s="1" t="s">
        <v>351</v>
      </c>
      <c r="H297" s="1" t="s">
        <v>353</v>
      </c>
      <c r="I297" s="1" t="s">
        <v>274</v>
      </c>
      <c r="J297" s="1" t="s">
        <v>33</v>
      </c>
      <c r="K297" s="5">
        <v>72059.0</v>
      </c>
      <c r="L297" s="6">
        <v>44240.0</v>
      </c>
      <c r="M297" s="7">
        <v>516000.0</v>
      </c>
      <c r="N297" s="4" t="s">
        <v>34</v>
      </c>
      <c r="O297" s="4" t="s">
        <v>26</v>
      </c>
    </row>
    <row r="298" ht="15.75" customHeight="1">
      <c r="A298" s="1" t="s">
        <v>354</v>
      </c>
      <c r="B298" s="1" t="s">
        <v>355</v>
      </c>
      <c r="C298" s="1" t="s">
        <v>356</v>
      </c>
      <c r="D298" s="1" t="s">
        <v>173</v>
      </c>
      <c r="E298" s="1" t="s">
        <v>144</v>
      </c>
      <c r="F298" s="1" t="s">
        <v>20</v>
      </c>
      <c r="G298" s="1" t="s">
        <v>355</v>
      </c>
      <c r="H298" s="1" t="s">
        <v>357</v>
      </c>
      <c r="I298" s="1" t="s">
        <v>280</v>
      </c>
      <c r="J298" s="1" t="s">
        <v>154</v>
      </c>
      <c r="K298" s="5">
        <v>248599.0</v>
      </c>
      <c r="L298" s="6">
        <v>43889.0</v>
      </c>
      <c r="M298" s="7">
        <v>507100.0</v>
      </c>
      <c r="N298" s="4" t="s">
        <v>42</v>
      </c>
      <c r="O298" s="4" t="s">
        <v>26</v>
      </c>
    </row>
    <row r="299" ht="15.75" customHeight="1">
      <c r="A299" s="1" t="s">
        <v>354</v>
      </c>
      <c r="B299" s="1" t="s">
        <v>355</v>
      </c>
      <c r="C299" s="1" t="s">
        <v>356</v>
      </c>
      <c r="D299" s="1" t="s">
        <v>173</v>
      </c>
      <c r="E299" s="1" t="s">
        <v>144</v>
      </c>
      <c r="F299" s="1" t="s">
        <v>20</v>
      </c>
      <c r="G299" s="1" t="s">
        <v>355</v>
      </c>
      <c r="H299" s="1" t="s">
        <v>357</v>
      </c>
      <c r="I299" s="1" t="s">
        <v>280</v>
      </c>
      <c r="J299" s="1" t="s">
        <v>154</v>
      </c>
      <c r="K299" s="5">
        <v>159738.0</v>
      </c>
      <c r="L299" s="6">
        <v>43979.0</v>
      </c>
      <c r="M299" s="7">
        <v>507100.0</v>
      </c>
      <c r="N299" s="4" t="s">
        <v>42</v>
      </c>
      <c r="O299" s="4" t="s">
        <v>26</v>
      </c>
    </row>
    <row r="300" ht="15.75" customHeight="1">
      <c r="A300" s="1" t="s">
        <v>354</v>
      </c>
      <c r="B300" s="1" t="s">
        <v>355</v>
      </c>
      <c r="C300" s="1" t="s">
        <v>356</v>
      </c>
      <c r="D300" s="1" t="s">
        <v>173</v>
      </c>
      <c r="E300" s="1" t="s">
        <v>144</v>
      </c>
      <c r="F300" s="1" t="s">
        <v>20</v>
      </c>
      <c r="G300" s="1" t="s">
        <v>355</v>
      </c>
      <c r="H300" s="1" t="s">
        <v>357</v>
      </c>
      <c r="I300" s="1" t="s">
        <v>280</v>
      </c>
      <c r="J300" s="1" t="s">
        <v>154</v>
      </c>
      <c r="K300" s="5">
        <v>122240.0</v>
      </c>
      <c r="L300" s="6">
        <v>44071.0</v>
      </c>
      <c r="M300" s="7">
        <v>507100.0</v>
      </c>
      <c r="N300" s="4" t="s">
        <v>42</v>
      </c>
      <c r="O300" s="4" t="s">
        <v>26</v>
      </c>
    </row>
    <row r="301" ht="15.75" customHeight="1">
      <c r="A301" s="1" t="s">
        <v>354</v>
      </c>
      <c r="B301" s="1" t="s">
        <v>355</v>
      </c>
      <c r="C301" s="1" t="s">
        <v>356</v>
      </c>
      <c r="D301" s="1" t="s">
        <v>173</v>
      </c>
      <c r="E301" s="1" t="s">
        <v>144</v>
      </c>
      <c r="F301" s="1" t="s">
        <v>20</v>
      </c>
      <c r="G301" s="1" t="s">
        <v>355</v>
      </c>
      <c r="H301" s="1" t="s">
        <v>357</v>
      </c>
      <c r="I301" s="1" t="s">
        <v>280</v>
      </c>
      <c r="J301" s="1" t="s">
        <v>154</v>
      </c>
      <c r="K301" s="5">
        <v>90675.0</v>
      </c>
      <c r="L301" s="6">
        <v>44123.0</v>
      </c>
      <c r="M301" s="7">
        <v>507100.0</v>
      </c>
      <c r="N301" s="4" t="s">
        <v>42</v>
      </c>
      <c r="O301" s="4" t="s">
        <v>26</v>
      </c>
    </row>
    <row r="302" ht="15.75" customHeight="1">
      <c r="A302" s="1" t="s">
        <v>354</v>
      </c>
      <c r="B302" s="1" t="s">
        <v>355</v>
      </c>
      <c r="C302" s="1" t="s">
        <v>356</v>
      </c>
      <c r="D302" s="1" t="s">
        <v>173</v>
      </c>
      <c r="E302" s="1" t="s">
        <v>144</v>
      </c>
      <c r="F302" s="1" t="s">
        <v>20</v>
      </c>
      <c r="G302" s="1" t="s">
        <v>355</v>
      </c>
      <c r="H302" s="1" t="s">
        <v>357</v>
      </c>
      <c r="I302" s="1" t="s">
        <v>280</v>
      </c>
      <c r="J302" s="1" t="s">
        <v>154</v>
      </c>
      <c r="K302" s="5">
        <v>90675.0</v>
      </c>
      <c r="L302" s="6">
        <v>44228.0</v>
      </c>
      <c r="M302" s="7">
        <v>507100.0</v>
      </c>
      <c r="N302" s="4" t="s">
        <v>42</v>
      </c>
      <c r="O302" s="4" t="s">
        <v>26</v>
      </c>
    </row>
    <row r="303" ht="15.75" customHeight="1">
      <c r="A303" s="1" t="s">
        <v>354</v>
      </c>
      <c r="B303" s="1" t="s">
        <v>355</v>
      </c>
      <c r="C303" s="1" t="s">
        <v>356</v>
      </c>
      <c r="D303" s="1" t="s">
        <v>173</v>
      </c>
      <c r="E303" s="1" t="s">
        <v>144</v>
      </c>
      <c r="F303" s="1" t="s">
        <v>20</v>
      </c>
      <c r="G303" s="1" t="s">
        <v>355</v>
      </c>
      <c r="H303" s="1" t="s">
        <v>357</v>
      </c>
      <c r="I303" s="1" t="s">
        <v>280</v>
      </c>
      <c r="J303" s="1" t="s">
        <v>154</v>
      </c>
      <c r="K303" s="5">
        <v>81679.0</v>
      </c>
      <c r="L303" s="6">
        <v>44850.0</v>
      </c>
      <c r="M303" s="7">
        <v>507100.0</v>
      </c>
      <c r="N303" s="4" t="s">
        <v>42</v>
      </c>
      <c r="O303" s="4" t="s">
        <v>26</v>
      </c>
    </row>
    <row r="304" ht="15.75" customHeight="1">
      <c r="A304" s="1" t="s">
        <v>354</v>
      </c>
      <c r="B304" s="1" t="s">
        <v>355</v>
      </c>
      <c r="C304" s="1" t="s">
        <v>356</v>
      </c>
      <c r="D304" s="1" t="s">
        <v>173</v>
      </c>
      <c r="E304" s="1" t="s">
        <v>144</v>
      </c>
      <c r="F304" s="1" t="s">
        <v>20</v>
      </c>
      <c r="G304" s="1" t="s">
        <v>355</v>
      </c>
      <c r="H304" s="1" t="s">
        <v>357</v>
      </c>
      <c r="I304" s="1" t="s">
        <v>280</v>
      </c>
      <c r="J304" s="1" t="s">
        <v>154</v>
      </c>
      <c r="K304" s="5">
        <v>117043.0</v>
      </c>
      <c r="L304" s="6">
        <v>44243.0</v>
      </c>
      <c r="M304" s="7">
        <v>507100.0</v>
      </c>
      <c r="N304" s="4" t="s">
        <v>42</v>
      </c>
      <c r="O304" s="4" t="s">
        <v>26</v>
      </c>
    </row>
    <row r="305" ht="15.75" customHeight="1">
      <c r="A305" s="1" t="s">
        <v>358</v>
      </c>
      <c r="B305" s="1" t="s">
        <v>359</v>
      </c>
      <c r="C305" s="1" t="s">
        <v>360</v>
      </c>
      <c r="D305" s="1" t="s">
        <v>143</v>
      </c>
      <c r="E305" s="1" t="s">
        <v>137</v>
      </c>
      <c r="F305" s="1" t="s">
        <v>20</v>
      </c>
      <c r="G305" s="1" t="s">
        <v>359</v>
      </c>
      <c r="H305" s="1" t="s">
        <v>361</v>
      </c>
      <c r="I305" s="1" t="s">
        <v>286</v>
      </c>
      <c r="J305" s="1" t="s">
        <v>33</v>
      </c>
      <c r="K305" s="5">
        <v>130696.0</v>
      </c>
      <c r="L305" s="6">
        <v>43892.0</v>
      </c>
      <c r="M305" s="7">
        <v>501400.0</v>
      </c>
      <c r="N305" s="4" t="s">
        <v>110</v>
      </c>
      <c r="O305" s="4" t="s">
        <v>26</v>
      </c>
    </row>
    <row r="306" ht="15.75" customHeight="1">
      <c r="A306" s="1" t="s">
        <v>358</v>
      </c>
      <c r="B306" s="1" t="s">
        <v>359</v>
      </c>
      <c r="C306" s="1" t="s">
        <v>360</v>
      </c>
      <c r="D306" s="1" t="s">
        <v>143</v>
      </c>
      <c r="E306" s="1" t="s">
        <v>137</v>
      </c>
      <c r="F306" s="1" t="s">
        <v>20</v>
      </c>
      <c r="G306" s="1" t="s">
        <v>359</v>
      </c>
      <c r="H306" s="1" t="s">
        <v>361</v>
      </c>
      <c r="I306" s="1" t="s">
        <v>286</v>
      </c>
      <c r="J306" s="1" t="s">
        <v>33</v>
      </c>
      <c r="K306" s="5">
        <v>207725.0</v>
      </c>
      <c r="L306" s="6">
        <v>43983.0</v>
      </c>
      <c r="M306" s="7">
        <v>501400.0</v>
      </c>
      <c r="N306" s="4" t="s">
        <v>110</v>
      </c>
      <c r="O306" s="4" t="s">
        <v>26</v>
      </c>
    </row>
    <row r="307" ht="15.75" customHeight="1">
      <c r="A307" s="1" t="s">
        <v>358</v>
      </c>
      <c r="B307" s="1" t="s">
        <v>359</v>
      </c>
      <c r="C307" s="1" t="s">
        <v>360</v>
      </c>
      <c r="D307" s="1" t="s">
        <v>143</v>
      </c>
      <c r="E307" s="1" t="s">
        <v>137</v>
      </c>
      <c r="F307" s="1" t="s">
        <v>20</v>
      </c>
      <c r="G307" s="1" t="s">
        <v>359</v>
      </c>
      <c r="H307" s="1" t="s">
        <v>361</v>
      </c>
      <c r="I307" s="1" t="s">
        <v>286</v>
      </c>
      <c r="J307" s="1" t="s">
        <v>33</v>
      </c>
      <c r="K307" s="5">
        <v>121055.0</v>
      </c>
      <c r="L307" s="6">
        <v>44075.0</v>
      </c>
      <c r="M307" s="7">
        <v>501400.0</v>
      </c>
      <c r="N307" s="4" t="s">
        <v>110</v>
      </c>
      <c r="O307" s="4" t="s">
        <v>26</v>
      </c>
    </row>
    <row r="308" ht="15.75" customHeight="1">
      <c r="A308" s="1" t="s">
        <v>358</v>
      </c>
      <c r="B308" s="1" t="s">
        <v>359</v>
      </c>
      <c r="C308" s="1" t="s">
        <v>360</v>
      </c>
      <c r="D308" s="1" t="s">
        <v>143</v>
      </c>
      <c r="E308" s="1" t="s">
        <v>137</v>
      </c>
      <c r="F308" s="1" t="s">
        <v>20</v>
      </c>
      <c r="G308" s="1" t="s">
        <v>359</v>
      </c>
      <c r="H308" s="1" t="s">
        <v>361</v>
      </c>
      <c r="I308" s="1" t="s">
        <v>286</v>
      </c>
      <c r="J308" s="1" t="s">
        <v>33</v>
      </c>
      <c r="K308" s="5">
        <v>252093.0</v>
      </c>
      <c r="L308" s="6">
        <v>44126.0</v>
      </c>
      <c r="M308" s="7">
        <v>501400.0</v>
      </c>
      <c r="N308" s="4" t="s">
        <v>110</v>
      </c>
      <c r="O308" s="4" t="s">
        <v>26</v>
      </c>
    </row>
    <row r="309" ht="15.75" customHeight="1">
      <c r="A309" s="1" t="s">
        <v>358</v>
      </c>
      <c r="B309" s="1" t="s">
        <v>359</v>
      </c>
      <c r="C309" s="1" t="s">
        <v>360</v>
      </c>
      <c r="D309" s="1" t="s">
        <v>143</v>
      </c>
      <c r="E309" s="1" t="s">
        <v>137</v>
      </c>
      <c r="F309" s="1" t="s">
        <v>20</v>
      </c>
      <c r="G309" s="1" t="s">
        <v>359</v>
      </c>
      <c r="H309" s="1" t="s">
        <v>361</v>
      </c>
      <c r="I309" s="1" t="s">
        <v>286</v>
      </c>
      <c r="J309" s="1" t="s">
        <v>33</v>
      </c>
      <c r="K309" s="5">
        <v>252093.0</v>
      </c>
      <c r="L309" s="6">
        <v>44231.0</v>
      </c>
      <c r="M309" s="7">
        <v>501400.0</v>
      </c>
      <c r="N309" s="4" t="s">
        <v>110</v>
      </c>
      <c r="O309" s="4" t="s">
        <v>26</v>
      </c>
    </row>
    <row r="310" ht="15.75" customHeight="1">
      <c r="A310" s="1" t="s">
        <v>358</v>
      </c>
      <c r="B310" s="1" t="s">
        <v>359</v>
      </c>
      <c r="C310" s="1" t="s">
        <v>360</v>
      </c>
      <c r="D310" s="1" t="s">
        <v>143</v>
      </c>
      <c r="E310" s="1" t="s">
        <v>137</v>
      </c>
      <c r="F310" s="1" t="s">
        <v>20</v>
      </c>
      <c r="G310" s="1" t="s">
        <v>359</v>
      </c>
      <c r="H310" s="1" t="s">
        <v>361</v>
      </c>
      <c r="I310" s="1" t="s">
        <v>286</v>
      </c>
      <c r="J310" s="1" t="s">
        <v>33</v>
      </c>
      <c r="K310" s="5">
        <v>280320.0</v>
      </c>
      <c r="L310" s="6">
        <v>44853.0</v>
      </c>
      <c r="M310" s="7">
        <v>501400.0</v>
      </c>
      <c r="N310" s="4" t="s">
        <v>110</v>
      </c>
      <c r="O310" s="4" t="s">
        <v>26</v>
      </c>
    </row>
    <row r="311" ht="15.75" customHeight="1">
      <c r="A311" s="1" t="s">
        <v>358</v>
      </c>
      <c r="B311" s="1" t="s">
        <v>359</v>
      </c>
      <c r="C311" s="1" t="s">
        <v>360</v>
      </c>
      <c r="D311" s="1" t="s">
        <v>143</v>
      </c>
      <c r="E311" s="1" t="s">
        <v>137</v>
      </c>
      <c r="F311" s="1" t="s">
        <v>20</v>
      </c>
      <c r="G311" s="1" t="s">
        <v>359</v>
      </c>
      <c r="H311" s="1" t="s">
        <v>361</v>
      </c>
      <c r="I311" s="1" t="s">
        <v>286</v>
      </c>
      <c r="J311" s="1" t="s">
        <v>33</v>
      </c>
      <c r="K311" s="5">
        <v>11442.0</v>
      </c>
      <c r="L311" s="6">
        <v>44246.0</v>
      </c>
      <c r="M311" s="7">
        <v>501400.0</v>
      </c>
      <c r="N311" s="4" t="s">
        <v>110</v>
      </c>
      <c r="O311" s="4" t="s">
        <v>26</v>
      </c>
    </row>
    <row r="312" ht="15.75" customHeight="1">
      <c r="A312" s="1" t="s">
        <v>362</v>
      </c>
      <c r="B312" s="1" t="s">
        <v>363</v>
      </c>
      <c r="C312" s="1" t="s">
        <v>364</v>
      </c>
      <c r="D312" s="1" t="s">
        <v>136</v>
      </c>
      <c r="E312" s="1" t="s">
        <v>144</v>
      </c>
      <c r="F312" s="1" t="s">
        <v>20</v>
      </c>
      <c r="G312" s="1" t="s">
        <v>363</v>
      </c>
      <c r="H312" s="1" t="s">
        <v>365</v>
      </c>
      <c r="I312" s="1" t="s">
        <v>292</v>
      </c>
      <c r="J312" s="1" t="s">
        <v>24</v>
      </c>
      <c r="K312" s="5">
        <v>88206.0</v>
      </c>
      <c r="L312" s="6">
        <v>43895.0</v>
      </c>
      <c r="M312" s="7">
        <v>509100.0</v>
      </c>
      <c r="N312" s="4" t="s">
        <v>132</v>
      </c>
      <c r="O312" s="4" t="s">
        <v>26</v>
      </c>
    </row>
    <row r="313" ht="15.75" customHeight="1">
      <c r="A313" s="1" t="s">
        <v>362</v>
      </c>
      <c r="B313" s="1" t="s">
        <v>363</v>
      </c>
      <c r="C313" s="1" t="s">
        <v>364</v>
      </c>
      <c r="D313" s="1" t="s">
        <v>136</v>
      </c>
      <c r="E313" s="1" t="s">
        <v>144</v>
      </c>
      <c r="F313" s="1" t="s">
        <v>20</v>
      </c>
      <c r="G313" s="1" t="s">
        <v>363</v>
      </c>
      <c r="H313" s="1" t="s">
        <v>365</v>
      </c>
      <c r="I313" s="1" t="s">
        <v>292</v>
      </c>
      <c r="J313" s="1" t="s">
        <v>24</v>
      </c>
      <c r="K313" s="5">
        <v>103821.0</v>
      </c>
      <c r="L313" s="6">
        <v>43986.0</v>
      </c>
      <c r="M313" s="7">
        <v>509100.0</v>
      </c>
      <c r="N313" s="4" t="s">
        <v>132</v>
      </c>
      <c r="O313" s="4" t="s">
        <v>26</v>
      </c>
    </row>
    <row r="314" ht="15.75" customHeight="1">
      <c r="A314" s="1" t="s">
        <v>362</v>
      </c>
      <c r="B314" s="1" t="s">
        <v>363</v>
      </c>
      <c r="C314" s="1" t="s">
        <v>364</v>
      </c>
      <c r="D314" s="1" t="s">
        <v>136</v>
      </c>
      <c r="E314" s="1" t="s">
        <v>144</v>
      </c>
      <c r="F314" s="1" t="s">
        <v>20</v>
      </c>
      <c r="G314" s="1" t="s">
        <v>363</v>
      </c>
      <c r="H314" s="1" t="s">
        <v>365</v>
      </c>
      <c r="I314" s="1" t="s">
        <v>292</v>
      </c>
      <c r="J314" s="1" t="s">
        <v>24</v>
      </c>
      <c r="K314" s="5">
        <v>52184.0</v>
      </c>
      <c r="L314" s="6">
        <v>44078.0</v>
      </c>
      <c r="M314" s="7">
        <v>509100.0</v>
      </c>
      <c r="N314" s="4" t="s">
        <v>132</v>
      </c>
      <c r="O314" s="4" t="s">
        <v>26</v>
      </c>
    </row>
    <row r="315" ht="15.75" customHeight="1">
      <c r="A315" s="1" t="s">
        <v>362</v>
      </c>
      <c r="B315" s="1" t="s">
        <v>363</v>
      </c>
      <c r="C315" s="1" t="s">
        <v>364</v>
      </c>
      <c r="D315" s="1" t="s">
        <v>136</v>
      </c>
      <c r="E315" s="1" t="s">
        <v>144</v>
      </c>
      <c r="F315" s="1" t="s">
        <v>20</v>
      </c>
      <c r="G315" s="1" t="s">
        <v>363</v>
      </c>
      <c r="H315" s="1" t="s">
        <v>365</v>
      </c>
      <c r="I315" s="1" t="s">
        <v>292</v>
      </c>
      <c r="J315" s="1" t="s">
        <v>24</v>
      </c>
      <c r="K315" s="5">
        <v>85168.0</v>
      </c>
      <c r="L315" s="6">
        <v>44129.0</v>
      </c>
      <c r="M315" s="7">
        <v>509100.0</v>
      </c>
      <c r="N315" s="4" t="s">
        <v>132</v>
      </c>
      <c r="O315" s="4" t="s">
        <v>26</v>
      </c>
    </row>
    <row r="316" ht="15.75" customHeight="1">
      <c r="A316" s="1" t="s">
        <v>362</v>
      </c>
      <c r="B316" s="1" t="s">
        <v>363</v>
      </c>
      <c r="C316" s="1" t="s">
        <v>364</v>
      </c>
      <c r="D316" s="1" t="s">
        <v>136</v>
      </c>
      <c r="E316" s="1" t="s">
        <v>144</v>
      </c>
      <c r="F316" s="1" t="s">
        <v>20</v>
      </c>
      <c r="G316" s="1" t="s">
        <v>363</v>
      </c>
      <c r="H316" s="1" t="s">
        <v>365</v>
      </c>
      <c r="I316" s="1" t="s">
        <v>292</v>
      </c>
      <c r="J316" s="1" t="s">
        <v>24</v>
      </c>
      <c r="K316" s="5">
        <v>85168.0</v>
      </c>
      <c r="L316" s="6">
        <v>44234.0</v>
      </c>
      <c r="M316" s="7">
        <v>509100.0</v>
      </c>
      <c r="N316" s="4" t="s">
        <v>132</v>
      </c>
      <c r="O316" s="4" t="s">
        <v>26</v>
      </c>
    </row>
    <row r="317" ht="15.75" customHeight="1">
      <c r="A317" s="1" t="s">
        <v>362</v>
      </c>
      <c r="B317" s="1" t="s">
        <v>363</v>
      </c>
      <c r="C317" s="1" t="s">
        <v>364</v>
      </c>
      <c r="D317" s="1" t="s">
        <v>136</v>
      </c>
      <c r="E317" s="1" t="s">
        <v>144</v>
      </c>
      <c r="F317" s="1" t="s">
        <v>20</v>
      </c>
      <c r="G317" s="1" t="s">
        <v>363</v>
      </c>
      <c r="H317" s="1" t="s">
        <v>365</v>
      </c>
      <c r="I317" s="1" t="s">
        <v>292</v>
      </c>
      <c r="J317" s="1" t="s">
        <v>24</v>
      </c>
      <c r="K317" s="5">
        <v>34695.0</v>
      </c>
      <c r="L317" s="6">
        <v>44856.0</v>
      </c>
      <c r="M317" s="7">
        <v>509100.0</v>
      </c>
      <c r="N317" s="4" t="s">
        <v>132</v>
      </c>
      <c r="O317" s="4" t="s">
        <v>26</v>
      </c>
    </row>
    <row r="318" ht="15.75" customHeight="1">
      <c r="A318" s="1" t="s">
        <v>362</v>
      </c>
      <c r="B318" s="1" t="s">
        <v>363</v>
      </c>
      <c r="C318" s="1" t="s">
        <v>364</v>
      </c>
      <c r="D318" s="1" t="s">
        <v>136</v>
      </c>
      <c r="E318" s="1" t="s">
        <v>144</v>
      </c>
      <c r="F318" s="1" t="s">
        <v>20</v>
      </c>
      <c r="G318" s="1" t="s">
        <v>363</v>
      </c>
      <c r="H318" s="1" t="s">
        <v>365</v>
      </c>
      <c r="I318" s="1" t="s">
        <v>292</v>
      </c>
      <c r="J318" s="1" t="s">
        <v>24</v>
      </c>
      <c r="K318" s="5">
        <v>10587.0</v>
      </c>
      <c r="L318" s="6">
        <v>44826.0</v>
      </c>
      <c r="M318" s="7">
        <v>509100.0</v>
      </c>
      <c r="N318" s="4" t="s">
        <v>132</v>
      </c>
      <c r="O318" s="4" t="s">
        <v>26</v>
      </c>
    </row>
    <row r="319" ht="15.75" customHeight="1">
      <c r="A319" s="1" t="s">
        <v>366</v>
      </c>
      <c r="B319" s="1" t="s">
        <v>367</v>
      </c>
      <c r="C319" s="1" t="s">
        <v>368</v>
      </c>
      <c r="D319" s="1" t="s">
        <v>272</v>
      </c>
      <c r="E319" s="1" t="s">
        <v>137</v>
      </c>
      <c r="F319" s="1" t="s">
        <v>20</v>
      </c>
      <c r="G319" s="1" t="s">
        <v>367</v>
      </c>
      <c r="H319" s="1" t="s">
        <v>369</v>
      </c>
      <c r="I319" s="1" t="s">
        <v>299</v>
      </c>
      <c r="J319" s="1" t="s">
        <v>168</v>
      </c>
      <c r="K319" s="5">
        <v>255727.0</v>
      </c>
      <c r="L319" s="6">
        <v>43898.0</v>
      </c>
      <c r="M319" s="7">
        <v>501400.0</v>
      </c>
      <c r="N319" s="4" t="s">
        <v>370</v>
      </c>
      <c r="O319" s="4" t="s">
        <v>26</v>
      </c>
    </row>
    <row r="320" ht="15.75" customHeight="1">
      <c r="A320" s="1" t="s">
        <v>366</v>
      </c>
      <c r="B320" s="1" t="s">
        <v>367</v>
      </c>
      <c r="C320" s="1" t="s">
        <v>368</v>
      </c>
      <c r="D320" s="1" t="s">
        <v>272</v>
      </c>
      <c r="E320" s="1" t="s">
        <v>137</v>
      </c>
      <c r="F320" s="1" t="s">
        <v>20</v>
      </c>
      <c r="G320" s="1" t="s">
        <v>367</v>
      </c>
      <c r="H320" s="1" t="s">
        <v>369</v>
      </c>
      <c r="I320" s="1" t="s">
        <v>299</v>
      </c>
      <c r="J320" s="1" t="s">
        <v>168</v>
      </c>
      <c r="K320" s="5">
        <v>253296.0</v>
      </c>
      <c r="L320" s="6">
        <v>43989.0</v>
      </c>
      <c r="M320" s="7">
        <v>501400.0</v>
      </c>
      <c r="N320" s="4" t="s">
        <v>370</v>
      </c>
      <c r="O320" s="4" t="s">
        <v>26</v>
      </c>
    </row>
    <row r="321" ht="15.75" customHeight="1">
      <c r="A321" s="1" t="s">
        <v>366</v>
      </c>
      <c r="B321" s="1" t="s">
        <v>367</v>
      </c>
      <c r="C321" s="1" t="s">
        <v>368</v>
      </c>
      <c r="D321" s="1" t="s">
        <v>272</v>
      </c>
      <c r="E321" s="1" t="s">
        <v>137</v>
      </c>
      <c r="F321" s="1" t="s">
        <v>20</v>
      </c>
      <c r="G321" s="1" t="s">
        <v>367</v>
      </c>
      <c r="H321" s="1" t="s">
        <v>369</v>
      </c>
      <c r="I321" s="1" t="s">
        <v>299</v>
      </c>
      <c r="J321" s="1" t="s">
        <v>168</v>
      </c>
      <c r="K321" s="5">
        <v>200021.0</v>
      </c>
      <c r="L321" s="6">
        <v>44081.0</v>
      </c>
      <c r="M321" s="7">
        <v>501400.0</v>
      </c>
      <c r="N321" s="4" t="s">
        <v>370</v>
      </c>
      <c r="O321" s="4" t="s">
        <v>26</v>
      </c>
    </row>
    <row r="322" ht="15.75" customHeight="1">
      <c r="A322" s="1" t="s">
        <v>366</v>
      </c>
      <c r="B322" s="1" t="s">
        <v>367</v>
      </c>
      <c r="C322" s="1" t="s">
        <v>368</v>
      </c>
      <c r="D322" s="1" t="s">
        <v>272</v>
      </c>
      <c r="E322" s="1" t="s">
        <v>137</v>
      </c>
      <c r="F322" s="1" t="s">
        <v>20</v>
      </c>
      <c r="G322" s="1" t="s">
        <v>367</v>
      </c>
      <c r="H322" s="1" t="s">
        <v>369</v>
      </c>
      <c r="I322" s="1" t="s">
        <v>299</v>
      </c>
      <c r="J322" s="1" t="s">
        <v>168</v>
      </c>
      <c r="K322" s="5">
        <v>278387.0</v>
      </c>
      <c r="L322" s="6">
        <v>44132.0</v>
      </c>
      <c r="M322" s="7">
        <v>501400.0</v>
      </c>
      <c r="N322" s="4" t="s">
        <v>370</v>
      </c>
      <c r="O322" s="4" t="s">
        <v>26</v>
      </c>
    </row>
    <row r="323" ht="15.75" customHeight="1">
      <c r="A323" s="1" t="s">
        <v>366</v>
      </c>
      <c r="B323" s="1" t="s">
        <v>367</v>
      </c>
      <c r="C323" s="1" t="s">
        <v>368</v>
      </c>
      <c r="D323" s="1" t="s">
        <v>272</v>
      </c>
      <c r="E323" s="1" t="s">
        <v>137</v>
      </c>
      <c r="F323" s="1" t="s">
        <v>20</v>
      </c>
      <c r="G323" s="1" t="s">
        <v>367</v>
      </c>
      <c r="H323" s="1" t="s">
        <v>369</v>
      </c>
      <c r="I323" s="1" t="s">
        <v>299</v>
      </c>
      <c r="J323" s="1" t="s">
        <v>168</v>
      </c>
      <c r="K323" s="5">
        <v>278387.0</v>
      </c>
      <c r="L323" s="6">
        <v>44237.0</v>
      </c>
      <c r="M323" s="7">
        <v>501400.0</v>
      </c>
      <c r="N323" s="4" t="s">
        <v>370</v>
      </c>
      <c r="O323" s="4" t="s">
        <v>26</v>
      </c>
    </row>
    <row r="324" ht="15.75" customHeight="1">
      <c r="A324" s="1" t="s">
        <v>366</v>
      </c>
      <c r="B324" s="1" t="s">
        <v>367</v>
      </c>
      <c r="C324" s="1" t="s">
        <v>368</v>
      </c>
      <c r="D324" s="1" t="s">
        <v>272</v>
      </c>
      <c r="E324" s="1" t="s">
        <v>137</v>
      </c>
      <c r="F324" s="1" t="s">
        <v>20</v>
      </c>
      <c r="G324" s="1" t="s">
        <v>367</v>
      </c>
      <c r="H324" s="1" t="s">
        <v>369</v>
      </c>
      <c r="I324" s="1" t="s">
        <v>299</v>
      </c>
      <c r="J324" s="1" t="s">
        <v>168</v>
      </c>
      <c r="K324" s="5">
        <v>82635.0</v>
      </c>
      <c r="L324" s="6">
        <v>44859.0</v>
      </c>
      <c r="M324" s="7">
        <v>501400.0</v>
      </c>
      <c r="N324" s="4" t="s">
        <v>370</v>
      </c>
      <c r="O324" s="4" t="s">
        <v>26</v>
      </c>
    </row>
    <row r="325" ht="15.75" customHeight="1">
      <c r="A325" s="1" t="s">
        <v>366</v>
      </c>
      <c r="B325" s="1" t="s">
        <v>367</v>
      </c>
      <c r="C325" s="1" t="s">
        <v>368</v>
      </c>
      <c r="D325" s="1" t="s">
        <v>272</v>
      </c>
      <c r="E325" s="1" t="s">
        <v>137</v>
      </c>
      <c r="F325" s="1" t="s">
        <v>20</v>
      </c>
      <c r="G325" s="1" t="s">
        <v>367</v>
      </c>
      <c r="H325" s="1" t="s">
        <v>369</v>
      </c>
      <c r="I325" s="1" t="s">
        <v>299</v>
      </c>
      <c r="J325" s="1" t="s">
        <v>168</v>
      </c>
      <c r="K325" s="5">
        <v>13020.0</v>
      </c>
      <c r="L325" s="6">
        <v>44829.0</v>
      </c>
      <c r="M325" s="7">
        <v>501400.0</v>
      </c>
      <c r="N325" s="4" t="s">
        <v>370</v>
      </c>
      <c r="O325" s="4" t="s">
        <v>26</v>
      </c>
    </row>
    <row r="326" ht="15.75" customHeight="1">
      <c r="A326" s="1" t="s">
        <v>371</v>
      </c>
      <c r="B326" s="1" t="s">
        <v>372</v>
      </c>
      <c r="C326" s="1" t="s">
        <v>373</v>
      </c>
      <c r="D326" s="1" t="s">
        <v>165</v>
      </c>
      <c r="E326" s="1" t="s">
        <v>144</v>
      </c>
      <c r="F326" s="1" t="s">
        <v>20</v>
      </c>
      <c r="G326" s="1" t="s">
        <v>372</v>
      </c>
      <c r="H326" s="1" t="s">
        <v>374</v>
      </c>
      <c r="I326" s="1" t="s">
        <v>305</v>
      </c>
      <c r="J326" s="1" t="s">
        <v>33</v>
      </c>
      <c r="K326" s="5">
        <v>295728.0</v>
      </c>
      <c r="L326" s="6">
        <v>43901.0</v>
      </c>
      <c r="M326" s="7">
        <v>516000.0</v>
      </c>
      <c r="N326" s="4" t="s">
        <v>147</v>
      </c>
      <c r="O326" s="4" t="s">
        <v>26</v>
      </c>
    </row>
    <row r="327" ht="15.75" customHeight="1">
      <c r="A327" s="1" t="s">
        <v>371</v>
      </c>
      <c r="B327" s="1" t="s">
        <v>372</v>
      </c>
      <c r="C327" s="1" t="s">
        <v>373</v>
      </c>
      <c r="D327" s="1" t="s">
        <v>165</v>
      </c>
      <c r="E327" s="1" t="s">
        <v>144</v>
      </c>
      <c r="F327" s="1" t="s">
        <v>20</v>
      </c>
      <c r="G327" s="1" t="s">
        <v>372</v>
      </c>
      <c r="H327" s="1" t="s">
        <v>374</v>
      </c>
      <c r="I327" s="1" t="s">
        <v>305</v>
      </c>
      <c r="J327" s="1" t="s">
        <v>33</v>
      </c>
      <c r="K327" s="5">
        <v>201749.0</v>
      </c>
      <c r="L327" s="6">
        <v>43992.0</v>
      </c>
      <c r="M327" s="7">
        <v>516000.0</v>
      </c>
      <c r="N327" s="4" t="s">
        <v>147</v>
      </c>
      <c r="O327" s="4" t="s">
        <v>26</v>
      </c>
    </row>
    <row r="328" ht="15.75" customHeight="1">
      <c r="A328" s="1" t="s">
        <v>371</v>
      </c>
      <c r="B328" s="1" t="s">
        <v>372</v>
      </c>
      <c r="C328" s="1" t="s">
        <v>373</v>
      </c>
      <c r="D328" s="1" t="s">
        <v>165</v>
      </c>
      <c r="E328" s="1" t="s">
        <v>144</v>
      </c>
      <c r="F328" s="1" t="s">
        <v>20</v>
      </c>
      <c r="G328" s="1" t="s">
        <v>372</v>
      </c>
      <c r="H328" s="1" t="s">
        <v>374</v>
      </c>
      <c r="I328" s="1" t="s">
        <v>305</v>
      </c>
      <c r="J328" s="1" t="s">
        <v>33</v>
      </c>
      <c r="K328" s="5">
        <v>269410.0</v>
      </c>
      <c r="L328" s="6">
        <v>44084.0</v>
      </c>
      <c r="M328" s="7">
        <v>516000.0</v>
      </c>
      <c r="N328" s="4" t="s">
        <v>147</v>
      </c>
      <c r="O328" s="4" t="s">
        <v>26</v>
      </c>
    </row>
    <row r="329" ht="15.75" customHeight="1">
      <c r="A329" s="1" t="s">
        <v>371</v>
      </c>
      <c r="B329" s="1" t="s">
        <v>372</v>
      </c>
      <c r="C329" s="1" t="s">
        <v>373</v>
      </c>
      <c r="D329" s="1" t="s">
        <v>165</v>
      </c>
      <c r="E329" s="1" t="s">
        <v>144</v>
      </c>
      <c r="F329" s="1" t="s">
        <v>20</v>
      </c>
      <c r="G329" s="1" t="s">
        <v>372</v>
      </c>
      <c r="H329" s="1" t="s">
        <v>374</v>
      </c>
      <c r="I329" s="1" t="s">
        <v>305</v>
      </c>
      <c r="J329" s="1" t="s">
        <v>33</v>
      </c>
      <c r="K329" s="5">
        <v>156276.0</v>
      </c>
      <c r="L329" s="6">
        <v>44136.0</v>
      </c>
      <c r="M329" s="7">
        <v>516000.0</v>
      </c>
      <c r="N329" s="4" t="s">
        <v>147</v>
      </c>
      <c r="O329" s="4" t="s">
        <v>26</v>
      </c>
    </row>
    <row r="330" ht="15.75" customHeight="1">
      <c r="A330" s="1" t="s">
        <v>371</v>
      </c>
      <c r="B330" s="1" t="s">
        <v>372</v>
      </c>
      <c r="C330" s="1" t="s">
        <v>373</v>
      </c>
      <c r="D330" s="1" t="s">
        <v>165</v>
      </c>
      <c r="E330" s="1" t="s">
        <v>144</v>
      </c>
      <c r="F330" s="1" t="s">
        <v>20</v>
      </c>
      <c r="G330" s="1" t="s">
        <v>372</v>
      </c>
      <c r="H330" s="1" t="s">
        <v>374</v>
      </c>
      <c r="I330" s="1" t="s">
        <v>305</v>
      </c>
      <c r="J330" s="1" t="s">
        <v>33</v>
      </c>
      <c r="K330" s="5">
        <v>156276.0</v>
      </c>
      <c r="L330" s="6">
        <v>44240.0</v>
      </c>
      <c r="M330" s="7">
        <v>516000.0</v>
      </c>
      <c r="N330" s="4" t="s">
        <v>147</v>
      </c>
      <c r="O330" s="4" t="s">
        <v>26</v>
      </c>
    </row>
    <row r="331" ht="15.75" customHeight="1">
      <c r="A331" s="1" t="s">
        <v>371</v>
      </c>
      <c r="B331" s="1" t="s">
        <v>372</v>
      </c>
      <c r="C331" s="1" t="s">
        <v>373</v>
      </c>
      <c r="D331" s="1" t="s">
        <v>165</v>
      </c>
      <c r="E331" s="1" t="s">
        <v>144</v>
      </c>
      <c r="F331" s="1" t="s">
        <v>20</v>
      </c>
      <c r="G331" s="1" t="s">
        <v>372</v>
      </c>
      <c r="H331" s="1" t="s">
        <v>374</v>
      </c>
      <c r="I331" s="1" t="s">
        <v>305</v>
      </c>
      <c r="J331" s="1" t="s">
        <v>33</v>
      </c>
      <c r="K331" s="5">
        <v>124428.0</v>
      </c>
      <c r="L331" s="6">
        <v>44224.0</v>
      </c>
      <c r="M331" s="7">
        <v>516000.0</v>
      </c>
      <c r="N331" s="4" t="s">
        <v>147</v>
      </c>
      <c r="O331" s="4" t="s">
        <v>26</v>
      </c>
    </row>
    <row r="332" ht="15.75" customHeight="1">
      <c r="A332" s="1" t="s">
        <v>371</v>
      </c>
      <c r="B332" s="1" t="s">
        <v>372</v>
      </c>
      <c r="C332" s="1" t="s">
        <v>373</v>
      </c>
      <c r="D332" s="1" t="s">
        <v>165</v>
      </c>
      <c r="E332" s="1" t="s">
        <v>144</v>
      </c>
      <c r="F332" s="1" t="s">
        <v>20</v>
      </c>
      <c r="G332" s="1" t="s">
        <v>372</v>
      </c>
      <c r="H332" s="1" t="s">
        <v>374</v>
      </c>
      <c r="I332" s="1" t="s">
        <v>305</v>
      </c>
      <c r="J332" s="1" t="s">
        <v>33</v>
      </c>
      <c r="K332" s="5">
        <v>217800.0</v>
      </c>
      <c r="L332" s="6">
        <v>44832.0</v>
      </c>
      <c r="M332" s="7">
        <v>516000.0</v>
      </c>
      <c r="N332" s="4" t="s">
        <v>147</v>
      </c>
      <c r="O332" s="4" t="s">
        <v>26</v>
      </c>
    </row>
    <row r="333" ht="15.75" customHeight="1">
      <c r="A333" s="1" t="s">
        <v>375</v>
      </c>
      <c r="B333" s="1" t="s">
        <v>376</v>
      </c>
      <c r="C333" s="1" t="s">
        <v>377</v>
      </c>
      <c r="D333" s="1" t="s">
        <v>173</v>
      </c>
      <c r="E333" s="1" t="s">
        <v>137</v>
      </c>
      <c r="F333" s="1" t="s">
        <v>20</v>
      </c>
      <c r="G333" s="1" t="s">
        <v>376</v>
      </c>
      <c r="H333" s="1" t="s">
        <v>378</v>
      </c>
      <c r="I333" s="1" t="s">
        <v>261</v>
      </c>
      <c r="J333" s="1" t="s">
        <v>154</v>
      </c>
      <c r="K333" s="5">
        <v>59893.0</v>
      </c>
      <c r="L333" s="6">
        <v>43904.0</v>
      </c>
      <c r="M333" s="7">
        <v>507100.0</v>
      </c>
      <c r="N333" s="4" t="s">
        <v>379</v>
      </c>
      <c r="O333" s="4" t="s">
        <v>26</v>
      </c>
    </row>
    <row r="334" ht="15.75" customHeight="1">
      <c r="A334" s="1" t="s">
        <v>375</v>
      </c>
      <c r="B334" s="1" t="s">
        <v>376</v>
      </c>
      <c r="C334" s="1" t="s">
        <v>377</v>
      </c>
      <c r="D334" s="1" t="s">
        <v>173</v>
      </c>
      <c r="E334" s="1" t="s">
        <v>137</v>
      </c>
      <c r="F334" s="1" t="s">
        <v>20</v>
      </c>
      <c r="G334" s="1" t="s">
        <v>376</v>
      </c>
      <c r="H334" s="1" t="s">
        <v>378</v>
      </c>
      <c r="I334" s="1" t="s">
        <v>261</v>
      </c>
      <c r="J334" s="1" t="s">
        <v>154</v>
      </c>
      <c r="K334" s="5">
        <v>43682.0</v>
      </c>
      <c r="L334" s="6">
        <v>43995.0</v>
      </c>
      <c r="M334" s="7">
        <v>507100.0</v>
      </c>
      <c r="N334" s="4" t="s">
        <v>379</v>
      </c>
      <c r="O334" s="4" t="s">
        <v>26</v>
      </c>
    </row>
    <row r="335" ht="15.75" customHeight="1">
      <c r="A335" s="1" t="s">
        <v>375</v>
      </c>
      <c r="B335" s="1" t="s">
        <v>376</v>
      </c>
      <c r="C335" s="1" t="s">
        <v>377</v>
      </c>
      <c r="D335" s="1" t="s">
        <v>173</v>
      </c>
      <c r="E335" s="1" t="s">
        <v>137</v>
      </c>
      <c r="F335" s="1" t="s">
        <v>20</v>
      </c>
      <c r="G335" s="1" t="s">
        <v>376</v>
      </c>
      <c r="H335" s="1" t="s">
        <v>378</v>
      </c>
      <c r="I335" s="1" t="s">
        <v>261</v>
      </c>
      <c r="J335" s="1" t="s">
        <v>154</v>
      </c>
      <c r="K335" s="5">
        <v>228649.0</v>
      </c>
      <c r="L335" s="6">
        <v>44087.0</v>
      </c>
      <c r="M335" s="7">
        <v>507100.0</v>
      </c>
      <c r="N335" s="4" t="s">
        <v>379</v>
      </c>
      <c r="O335" s="4" t="s">
        <v>26</v>
      </c>
    </row>
    <row r="336" ht="15.75" customHeight="1">
      <c r="A336" s="1" t="s">
        <v>375</v>
      </c>
      <c r="B336" s="1" t="s">
        <v>376</v>
      </c>
      <c r="C336" s="1" t="s">
        <v>377</v>
      </c>
      <c r="D336" s="1" t="s">
        <v>173</v>
      </c>
      <c r="E336" s="1" t="s">
        <v>137</v>
      </c>
      <c r="F336" s="1" t="s">
        <v>20</v>
      </c>
      <c r="G336" s="1" t="s">
        <v>376</v>
      </c>
      <c r="H336" s="1" t="s">
        <v>378</v>
      </c>
      <c r="I336" s="1" t="s">
        <v>261</v>
      </c>
      <c r="J336" s="1" t="s">
        <v>154</v>
      </c>
      <c r="K336" s="5">
        <v>28845.0</v>
      </c>
      <c r="L336" s="6">
        <v>44139.0</v>
      </c>
      <c r="M336" s="7">
        <v>507100.0</v>
      </c>
      <c r="N336" s="4" t="s">
        <v>379</v>
      </c>
      <c r="O336" s="4" t="s">
        <v>26</v>
      </c>
    </row>
    <row r="337" ht="15.75" customHeight="1">
      <c r="A337" s="1" t="s">
        <v>375</v>
      </c>
      <c r="B337" s="1" t="s">
        <v>376</v>
      </c>
      <c r="C337" s="1" t="s">
        <v>377</v>
      </c>
      <c r="D337" s="1" t="s">
        <v>173</v>
      </c>
      <c r="E337" s="1" t="s">
        <v>137</v>
      </c>
      <c r="F337" s="1" t="s">
        <v>20</v>
      </c>
      <c r="G337" s="1" t="s">
        <v>376</v>
      </c>
      <c r="H337" s="1" t="s">
        <v>378</v>
      </c>
      <c r="I337" s="1" t="s">
        <v>261</v>
      </c>
      <c r="J337" s="1" t="s">
        <v>154</v>
      </c>
      <c r="K337" s="5">
        <v>28845.0</v>
      </c>
      <c r="L337" s="6">
        <v>44243.0</v>
      </c>
      <c r="M337" s="7">
        <v>507100.0</v>
      </c>
      <c r="N337" s="4" t="s">
        <v>379</v>
      </c>
      <c r="O337" s="4" t="s">
        <v>26</v>
      </c>
    </row>
    <row r="338" ht="15.75" customHeight="1">
      <c r="A338" s="1" t="s">
        <v>375</v>
      </c>
      <c r="B338" s="1" t="s">
        <v>376</v>
      </c>
      <c r="C338" s="1" t="s">
        <v>377</v>
      </c>
      <c r="D338" s="1" t="s">
        <v>173</v>
      </c>
      <c r="E338" s="1" t="s">
        <v>137</v>
      </c>
      <c r="F338" s="1" t="s">
        <v>20</v>
      </c>
      <c r="G338" s="1" t="s">
        <v>376</v>
      </c>
      <c r="H338" s="1" t="s">
        <v>378</v>
      </c>
      <c r="I338" s="1" t="s">
        <v>261</v>
      </c>
      <c r="J338" s="1" t="s">
        <v>154</v>
      </c>
      <c r="K338" s="5">
        <v>61059.0</v>
      </c>
      <c r="L338" s="6">
        <v>44228.0</v>
      </c>
      <c r="M338" s="7">
        <v>507100.0</v>
      </c>
      <c r="N338" s="4" t="s">
        <v>379</v>
      </c>
      <c r="O338" s="4" t="s">
        <v>26</v>
      </c>
    </row>
    <row r="339" ht="15.75" customHeight="1">
      <c r="A339" s="1" t="s">
        <v>375</v>
      </c>
      <c r="B339" s="1" t="s">
        <v>376</v>
      </c>
      <c r="C339" s="1" t="s">
        <v>377</v>
      </c>
      <c r="D339" s="1" t="s">
        <v>173</v>
      </c>
      <c r="E339" s="1" t="s">
        <v>137</v>
      </c>
      <c r="F339" s="1" t="s">
        <v>20</v>
      </c>
      <c r="G339" s="1" t="s">
        <v>376</v>
      </c>
      <c r="H339" s="1" t="s">
        <v>378</v>
      </c>
      <c r="I339" s="1" t="s">
        <v>261</v>
      </c>
      <c r="J339" s="1" t="s">
        <v>154</v>
      </c>
      <c r="K339" s="5">
        <v>268049.0</v>
      </c>
      <c r="L339" s="6">
        <v>44835.0</v>
      </c>
      <c r="M339" s="7">
        <v>507100.0</v>
      </c>
      <c r="N339" s="4" t="s">
        <v>379</v>
      </c>
      <c r="O339" s="4" t="s">
        <v>26</v>
      </c>
    </row>
    <row r="340" ht="15.75" customHeight="1">
      <c r="A340" s="1" t="s">
        <v>380</v>
      </c>
      <c r="B340" s="1" t="s">
        <v>381</v>
      </c>
      <c r="C340" s="1" t="s">
        <v>382</v>
      </c>
      <c r="D340" s="1" t="s">
        <v>136</v>
      </c>
      <c r="E340" s="1" t="s">
        <v>144</v>
      </c>
      <c r="F340" s="1" t="s">
        <v>20</v>
      </c>
      <c r="G340" s="1" t="s">
        <v>381</v>
      </c>
      <c r="H340" s="1" t="s">
        <v>383</v>
      </c>
      <c r="I340" s="1" t="s">
        <v>153</v>
      </c>
      <c r="J340" s="1" t="s">
        <v>24</v>
      </c>
      <c r="K340" s="5">
        <v>44782.0</v>
      </c>
      <c r="L340" s="6">
        <v>43907.0</v>
      </c>
      <c r="M340" s="7">
        <v>509100.0</v>
      </c>
      <c r="N340" s="4" t="s">
        <v>384</v>
      </c>
      <c r="O340" s="4" t="s">
        <v>26</v>
      </c>
    </row>
    <row r="341" ht="15.75" customHeight="1">
      <c r="A341" s="1" t="s">
        <v>380</v>
      </c>
      <c r="B341" s="1" t="s">
        <v>381</v>
      </c>
      <c r="C341" s="1" t="s">
        <v>382</v>
      </c>
      <c r="D341" s="1" t="s">
        <v>136</v>
      </c>
      <c r="E341" s="1" t="s">
        <v>144</v>
      </c>
      <c r="F341" s="1" t="s">
        <v>20</v>
      </c>
      <c r="G341" s="1" t="s">
        <v>381</v>
      </c>
      <c r="H341" s="1" t="s">
        <v>383</v>
      </c>
      <c r="I341" s="1" t="s">
        <v>153</v>
      </c>
      <c r="J341" s="1" t="s">
        <v>24</v>
      </c>
      <c r="K341" s="5">
        <v>36878.0</v>
      </c>
      <c r="L341" s="6">
        <v>43998.0</v>
      </c>
      <c r="M341" s="7">
        <v>509100.0</v>
      </c>
      <c r="N341" s="4" t="s">
        <v>384</v>
      </c>
      <c r="O341" s="4" t="s">
        <v>26</v>
      </c>
    </row>
    <row r="342" ht="15.75" customHeight="1">
      <c r="A342" s="1" t="s">
        <v>380</v>
      </c>
      <c r="B342" s="1" t="s">
        <v>381</v>
      </c>
      <c r="C342" s="1" t="s">
        <v>382</v>
      </c>
      <c r="D342" s="1" t="s">
        <v>136</v>
      </c>
      <c r="E342" s="1" t="s">
        <v>144</v>
      </c>
      <c r="F342" s="1" t="s">
        <v>20</v>
      </c>
      <c r="G342" s="1" t="s">
        <v>381</v>
      </c>
      <c r="H342" s="1" t="s">
        <v>383</v>
      </c>
      <c r="I342" s="1" t="s">
        <v>153</v>
      </c>
      <c r="J342" s="1" t="s">
        <v>24</v>
      </c>
      <c r="K342" s="5">
        <v>47698.0</v>
      </c>
      <c r="L342" s="6">
        <v>44090.0</v>
      </c>
      <c r="M342" s="7">
        <v>509100.0</v>
      </c>
      <c r="N342" s="4" t="s">
        <v>384</v>
      </c>
      <c r="O342" s="4" t="s">
        <v>26</v>
      </c>
    </row>
    <row r="343" ht="15.75" customHeight="1">
      <c r="A343" s="1" t="s">
        <v>380</v>
      </c>
      <c r="B343" s="1" t="s">
        <v>381</v>
      </c>
      <c r="C343" s="1" t="s">
        <v>382</v>
      </c>
      <c r="D343" s="1" t="s">
        <v>136</v>
      </c>
      <c r="E343" s="1" t="s">
        <v>144</v>
      </c>
      <c r="F343" s="1" t="s">
        <v>20</v>
      </c>
      <c r="G343" s="1" t="s">
        <v>381</v>
      </c>
      <c r="H343" s="1" t="s">
        <v>383</v>
      </c>
      <c r="I343" s="1" t="s">
        <v>153</v>
      </c>
      <c r="J343" s="1" t="s">
        <v>24</v>
      </c>
      <c r="K343" s="5">
        <v>298913.0</v>
      </c>
      <c r="L343" s="6">
        <v>44142.0</v>
      </c>
      <c r="M343" s="7">
        <v>509100.0</v>
      </c>
      <c r="N343" s="4" t="s">
        <v>384</v>
      </c>
      <c r="O343" s="4" t="s">
        <v>26</v>
      </c>
    </row>
    <row r="344" ht="15.75" customHeight="1">
      <c r="A344" s="1" t="s">
        <v>380</v>
      </c>
      <c r="B344" s="1" t="s">
        <v>381</v>
      </c>
      <c r="C344" s="1" t="s">
        <v>382</v>
      </c>
      <c r="D344" s="1" t="s">
        <v>136</v>
      </c>
      <c r="E344" s="1" t="s">
        <v>144</v>
      </c>
      <c r="F344" s="1" t="s">
        <v>20</v>
      </c>
      <c r="G344" s="1" t="s">
        <v>381</v>
      </c>
      <c r="H344" s="1" t="s">
        <v>383</v>
      </c>
      <c r="I344" s="1" t="s">
        <v>153</v>
      </c>
      <c r="J344" s="1" t="s">
        <v>24</v>
      </c>
      <c r="K344" s="5">
        <v>11442.0</v>
      </c>
      <c r="L344" s="6">
        <v>44246.0</v>
      </c>
      <c r="M344" s="7">
        <v>509100.0</v>
      </c>
      <c r="N344" s="4" t="s">
        <v>384</v>
      </c>
      <c r="O344" s="4" t="s">
        <v>26</v>
      </c>
    </row>
    <row r="345" ht="15.75" customHeight="1">
      <c r="A345" s="1" t="s">
        <v>380</v>
      </c>
      <c r="B345" s="1" t="s">
        <v>381</v>
      </c>
      <c r="C345" s="1" t="s">
        <v>382</v>
      </c>
      <c r="D345" s="1" t="s">
        <v>136</v>
      </c>
      <c r="E345" s="1" t="s">
        <v>144</v>
      </c>
      <c r="F345" s="1" t="s">
        <v>20</v>
      </c>
      <c r="G345" s="1" t="s">
        <v>381</v>
      </c>
      <c r="H345" s="1" t="s">
        <v>383</v>
      </c>
      <c r="I345" s="1" t="s">
        <v>153</v>
      </c>
      <c r="J345" s="1" t="s">
        <v>24</v>
      </c>
      <c r="K345" s="5">
        <v>183119.0</v>
      </c>
      <c r="L345" s="6">
        <v>44231.0</v>
      </c>
      <c r="M345" s="7">
        <v>509100.0</v>
      </c>
      <c r="N345" s="4" t="s">
        <v>384</v>
      </c>
      <c r="O345" s="4" t="s">
        <v>26</v>
      </c>
    </row>
    <row r="346" ht="15.75" customHeight="1">
      <c r="A346" s="1" t="s">
        <v>380</v>
      </c>
      <c r="B346" s="1" t="s">
        <v>381</v>
      </c>
      <c r="C346" s="1" t="s">
        <v>382</v>
      </c>
      <c r="D346" s="1" t="s">
        <v>136</v>
      </c>
      <c r="E346" s="1" t="s">
        <v>144</v>
      </c>
      <c r="F346" s="1" t="s">
        <v>20</v>
      </c>
      <c r="G346" s="1" t="s">
        <v>381</v>
      </c>
      <c r="H346" s="1" t="s">
        <v>383</v>
      </c>
      <c r="I346" s="1" t="s">
        <v>153</v>
      </c>
      <c r="J346" s="1" t="s">
        <v>24</v>
      </c>
      <c r="K346" s="5">
        <v>229698.0</v>
      </c>
      <c r="L346" s="6">
        <v>44838.0</v>
      </c>
      <c r="M346" s="7">
        <v>509100.0</v>
      </c>
      <c r="N346" s="4" t="s">
        <v>384</v>
      </c>
      <c r="O346" s="4" t="s">
        <v>26</v>
      </c>
    </row>
    <row r="347" ht="15.75" customHeight="1">
      <c r="A347" s="1" t="s">
        <v>385</v>
      </c>
      <c r="B347" s="1" t="s">
        <v>386</v>
      </c>
      <c r="C347" s="1" t="s">
        <v>387</v>
      </c>
      <c r="D347" s="1" t="s">
        <v>297</v>
      </c>
      <c r="E347" s="1" t="s">
        <v>137</v>
      </c>
      <c r="F347" s="1" t="s">
        <v>20</v>
      </c>
      <c r="G347" s="1" t="s">
        <v>386</v>
      </c>
      <c r="H347" s="1" t="s">
        <v>388</v>
      </c>
      <c r="I347" s="1" t="s">
        <v>274</v>
      </c>
      <c r="J347" s="1" t="s">
        <v>33</v>
      </c>
      <c r="K347" s="5">
        <v>195892.0</v>
      </c>
      <c r="L347" s="6">
        <v>43910.0</v>
      </c>
      <c r="M347" s="7">
        <v>501400.0</v>
      </c>
      <c r="N347" s="4" t="s">
        <v>169</v>
      </c>
      <c r="O347" s="4" t="s">
        <v>26</v>
      </c>
    </row>
    <row r="348" ht="15.75" customHeight="1">
      <c r="A348" s="1" t="s">
        <v>385</v>
      </c>
      <c r="B348" s="1" t="s">
        <v>386</v>
      </c>
      <c r="C348" s="1" t="s">
        <v>387</v>
      </c>
      <c r="D348" s="1" t="s">
        <v>297</v>
      </c>
      <c r="E348" s="1" t="s">
        <v>137</v>
      </c>
      <c r="F348" s="1" t="s">
        <v>20</v>
      </c>
      <c r="G348" s="1" t="s">
        <v>386</v>
      </c>
      <c r="H348" s="1" t="s">
        <v>388</v>
      </c>
      <c r="I348" s="1" t="s">
        <v>274</v>
      </c>
      <c r="J348" s="1" t="s">
        <v>33</v>
      </c>
      <c r="K348" s="5">
        <v>113452.0</v>
      </c>
      <c r="L348" s="6">
        <v>44001.0</v>
      </c>
      <c r="M348" s="7">
        <v>501400.0</v>
      </c>
      <c r="N348" s="4" t="s">
        <v>169</v>
      </c>
      <c r="O348" s="4" t="s">
        <v>26</v>
      </c>
    </row>
    <row r="349" ht="15.75" customHeight="1">
      <c r="A349" s="1" t="s">
        <v>385</v>
      </c>
      <c r="B349" s="1" t="s">
        <v>386</v>
      </c>
      <c r="C349" s="1" t="s">
        <v>387</v>
      </c>
      <c r="D349" s="1" t="s">
        <v>297</v>
      </c>
      <c r="E349" s="1" t="s">
        <v>137</v>
      </c>
      <c r="F349" s="1" t="s">
        <v>20</v>
      </c>
      <c r="G349" s="1" t="s">
        <v>386</v>
      </c>
      <c r="H349" s="1" t="s">
        <v>388</v>
      </c>
      <c r="I349" s="1" t="s">
        <v>274</v>
      </c>
      <c r="J349" s="1" t="s">
        <v>33</v>
      </c>
      <c r="K349" s="5">
        <v>20782.0</v>
      </c>
      <c r="L349" s="6">
        <v>44093.0</v>
      </c>
      <c r="M349" s="7">
        <v>501400.0</v>
      </c>
      <c r="N349" s="4" t="s">
        <v>169</v>
      </c>
      <c r="O349" s="4" t="s">
        <v>26</v>
      </c>
    </row>
    <row r="350" ht="15.75" customHeight="1">
      <c r="A350" s="1" t="s">
        <v>385</v>
      </c>
      <c r="B350" s="1" t="s">
        <v>386</v>
      </c>
      <c r="C350" s="1" t="s">
        <v>387</v>
      </c>
      <c r="D350" s="1" t="s">
        <v>297</v>
      </c>
      <c r="E350" s="1" t="s">
        <v>137</v>
      </c>
      <c r="F350" s="1" t="s">
        <v>20</v>
      </c>
      <c r="G350" s="1" t="s">
        <v>386</v>
      </c>
      <c r="H350" s="1" t="s">
        <v>388</v>
      </c>
      <c r="I350" s="1" t="s">
        <v>274</v>
      </c>
      <c r="J350" s="1" t="s">
        <v>33</v>
      </c>
      <c r="K350" s="5">
        <v>10509.0</v>
      </c>
      <c r="L350" s="6">
        <v>44145.0</v>
      </c>
      <c r="M350" s="7">
        <v>501400.0</v>
      </c>
      <c r="N350" s="4" t="s">
        <v>169</v>
      </c>
      <c r="O350" s="4" t="s">
        <v>26</v>
      </c>
    </row>
    <row r="351" ht="15.75" customHeight="1">
      <c r="A351" s="1" t="s">
        <v>385</v>
      </c>
      <c r="B351" s="1" t="s">
        <v>386</v>
      </c>
      <c r="C351" s="1" t="s">
        <v>387</v>
      </c>
      <c r="D351" s="1" t="s">
        <v>297</v>
      </c>
      <c r="E351" s="1" t="s">
        <v>137</v>
      </c>
      <c r="F351" s="1" t="s">
        <v>20</v>
      </c>
      <c r="G351" s="1" t="s">
        <v>386</v>
      </c>
      <c r="H351" s="1" t="s">
        <v>388</v>
      </c>
      <c r="I351" s="1" t="s">
        <v>274</v>
      </c>
      <c r="J351" s="1" t="s">
        <v>33</v>
      </c>
      <c r="K351" s="5">
        <v>10587.0</v>
      </c>
      <c r="L351" s="6">
        <v>44249.0</v>
      </c>
      <c r="M351" s="7">
        <v>501400.0</v>
      </c>
      <c r="N351" s="4" t="s">
        <v>169</v>
      </c>
      <c r="O351" s="4" t="s">
        <v>26</v>
      </c>
    </row>
    <row r="352" ht="15.75" customHeight="1">
      <c r="A352" s="1" t="s">
        <v>385</v>
      </c>
      <c r="B352" s="1" t="s">
        <v>386</v>
      </c>
      <c r="C352" s="1" t="s">
        <v>387</v>
      </c>
      <c r="D352" s="1" t="s">
        <v>297</v>
      </c>
      <c r="E352" s="1" t="s">
        <v>137</v>
      </c>
      <c r="F352" s="1" t="s">
        <v>20</v>
      </c>
      <c r="G352" s="1" t="s">
        <v>386</v>
      </c>
      <c r="H352" s="1" t="s">
        <v>388</v>
      </c>
      <c r="I352" s="1" t="s">
        <v>274</v>
      </c>
      <c r="J352" s="1" t="s">
        <v>33</v>
      </c>
      <c r="K352" s="5">
        <v>202693.0</v>
      </c>
      <c r="L352" s="6">
        <v>44234.0</v>
      </c>
      <c r="M352" s="7">
        <v>501400.0</v>
      </c>
      <c r="N352" s="4" t="s">
        <v>169</v>
      </c>
      <c r="O352" s="4" t="s">
        <v>26</v>
      </c>
    </row>
    <row r="353" ht="15.75" customHeight="1">
      <c r="A353" s="1" t="s">
        <v>385</v>
      </c>
      <c r="B353" s="1" t="s">
        <v>386</v>
      </c>
      <c r="C353" s="1" t="s">
        <v>387</v>
      </c>
      <c r="D353" s="1" t="s">
        <v>297</v>
      </c>
      <c r="E353" s="1" t="s">
        <v>137</v>
      </c>
      <c r="F353" s="1" t="s">
        <v>20</v>
      </c>
      <c r="G353" s="1" t="s">
        <v>386</v>
      </c>
      <c r="H353" s="1" t="s">
        <v>388</v>
      </c>
      <c r="I353" s="1" t="s">
        <v>274</v>
      </c>
      <c r="J353" s="1" t="s">
        <v>33</v>
      </c>
      <c r="K353" s="5">
        <v>102297.0</v>
      </c>
      <c r="L353" s="6">
        <v>44841.0</v>
      </c>
      <c r="M353" s="7">
        <v>501400.0</v>
      </c>
      <c r="N353" s="4" t="s">
        <v>169</v>
      </c>
      <c r="O353" s="4" t="s">
        <v>26</v>
      </c>
    </row>
    <row r="354" ht="15.75" customHeight="1">
      <c r="A354" s="1" t="s">
        <v>389</v>
      </c>
      <c r="B354" s="1" t="s">
        <v>390</v>
      </c>
      <c r="C354" s="1" t="s">
        <v>391</v>
      </c>
      <c r="D354" s="1" t="s">
        <v>158</v>
      </c>
      <c r="E354" s="1" t="s">
        <v>144</v>
      </c>
      <c r="F354" s="1" t="s">
        <v>20</v>
      </c>
      <c r="G354" s="1" t="s">
        <v>390</v>
      </c>
      <c r="H354" s="1" t="s">
        <v>392</v>
      </c>
      <c r="I354" s="1" t="s">
        <v>280</v>
      </c>
      <c r="J354" s="1" t="s">
        <v>168</v>
      </c>
      <c r="K354" s="5">
        <v>108357.0</v>
      </c>
      <c r="L354" s="6">
        <v>43913.0</v>
      </c>
      <c r="M354" s="7">
        <v>502100.0</v>
      </c>
      <c r="N354" s="4" t="s">
        <v>176</v>
      </c>
      <c r="O354" s="4" t="s">
        <v>26</v>
      </c>
    </row>
    <row r="355" ht="15.75" customHeight="1">
      <c r="A355" s="1" t="s">
        <v>389</v>
      </c>
      <c r="B355" s="1" t="s">
        <v>390</v>
      </c>
      <c r="C355" s="1" t="s">
        <v>391</v>
      </c>
      <c r="D355" s="1" t="s">
        <v>158</v>
      </c>
      <c r="E355" s="1" t="s">
        <v>144</v>
      </c>
      <c r="F355" s="1" t="s">
        <v>20</v>
      </c>
      <c r="G355" s="1" t="s">
        <v>390</v>
      </c>
      <c r="H355" s="1" t="s">
        <v>392</v>
      </c>
      <c r="I355" s="1" t="s">
        <v>280</v>
      </c>
      <c r="J355" s="1" t="s">
        <v>168</v>
      </c>
      <c r="K355" s="5">
        <v>280161.0</v>
      </c>
      <c r="L355" s="6">
        <v>44004.0</v>
      </c>
      <c r="M355" s="7">
        <v>502100.0</v>
      </c>
      <c r="N355" s="4" t="s">
        <v>176</v>
      </c>
      <c r="O355" s="4" t="s">
        <v>26</v>
      </c>
    </row>
    <row r="356" ht="15.75" customHeight="1">
      <c r="A356" s="1" t="s">
        <v>389</v>
      </c>
      <c r="B356" s="1" t="s">
        <v>390</v>
      </c>
      <c r="C356" s="1" t="s">
        <v>391</v>
      </c>
      <c r="D356" s="1" t="s">
        <v>158</v>
      </c>
      <c r="E356" s="1" t="s">
        <v>144</v>
      </c>
      <c r="F356" s="1" t="s">
        <v>20</v>
      </c>
      <c r="G356" s="1" t="s">
        <v>390</v>
      </c>
      <c r="H356" s="1" t="s">
        <v>392</v>
      </c>
      <c r="I356" s="1" t="s">
        <v>280</v>
      </c>
      <c r="J356" s="1" t="s">
        <v>168</v>
      </c>
      <c r="K356" s="5">
        <v>138216.0</v>
      </c>
      <c r="L356" s="6">
        <v>44096.0</v>
      </c>
      <c r="M356" s="7">
        <v>502100.0</v>
      </c>
      <c r="N356" s="4" t="s">
        <v>176</v>
      </c>
      <c r="O356" s="4" t="s">
        <v>26</v>
      </c>
    </row>
    <row r="357" ht="15.75" customHeight="1">
      <c r="A357" s="1" t="s">
        <v>389</v>
      </c>
      <c r="B357" s="1" t="s">
        <v>390</v>
      </c>
      <c r="C357" s="1" t="s">
        <v>391</v>
      </c>
      <c r="D357" s="1" t="s">
        <v>158</v>
      </c>
      <c r="E357" s="1" t="s">
        <v>144</v>
      </c>
      <c r="F357" s="1" t="s">
        <v>20</v>
      </c>
      <c r="G357" s="1" t="s">
        <v>390</v>
      </c>
      <c r="H357" s="1" t="s">
        <v>392</v>
      </c>
      <c r="I357" s="1" t="s">
        <v>280</v>
      </c>
      <c r="J357" s="1" t="s">
        <v>168</v>
      </c>
      <c r="K357" s="5">
        <v>239084.0</v>
      </c>
      <c r="L357" s="6">
        <v>44148.0</v>
      </c>
      <c r="M357" s="7">
        <v>502100.0</v>
      </c>
      <c r="N357" s="4" t="s">
        <v>176</v>
      </c>
      <c r="O357" s="4" t="s">
        <v>26</v>
      </c>
    </row>
    <row r="358" ht="15.75" customHeight="1">
      <c r="A358" s="1" t="s">
        <v>389</v>
      </c>
      <c r="B358" s="1" t="s">
        <v>390</v>
      </c>
      <c r="C358" s="1" t="s">
        <v>391</v>
      </c>
      <c r="D358" s="1" t="s">
        <v>158</v>
      </c>
      <c r="E358" s="1" t="s">
        <v>144</v>
      </c>
      <c r="F358" s="1" t="s">
        <v>20</v>
      </c>
      <c r="G358" s="1" t="s">
        <v>390</v>
      </c>
      <c r="H358" s="1" t="s">
        <v>392</v>
      </c>
      <c r="I358" s="1" t="s">
        <v>280</v>
      </c>
      <c r="J358" s="1" t="s">
        <v>168</v>
      </c>
      <c r="K358" s="5">
        <v>13020.0</v>
      </c>
      <c r="L358" s="6">
        <v>44252.0</v>
      </c>
      <c r="M358" s="7">
        <v>502100.0</v>
      </c>
      <c r="N358" s="4" t="s">
        <v>176</v>
      </c>
      <c r="O358" s="4" t="s">
        <v>26</v>
      </c>
    </row>
    <row r="359" ht="15.75" customHeight="1">
      <c r="A359" s="1" t="s">
        <v>389</v>
      </c>
      <c r="B359" s="1" t="s">
        <v>390</v>
      </c>
      <c r="C359" s="1" t="s">
        <v>391</v>
      </c>
      <c r="D359" s="1" t="s">
        <v>158</v>
      </c>
      <c r="E359" s="1" t="s">
        <v>144</v>
      </c>
      <c r="F359" s="1" t="s">
        <v>20</v>
      </c>
      <c r="G359" s="1" t="s">
        <v>390</v>
      </c>
      <c r="H359" s="1" t="s">
        <v>392</v>
      </c>
      <c r="I359" s="1" t="s">
        <v>280</v>
      </c>
      <c r="J359" s="1" t="s">
        <v>168</v>
      </c>
      <c r="K359" s="5">
        <v>26156.0</v>
      </c>
      <c r="L359" s="6">
        <v>44237.0</v>
      </c>
      <c r="M359" s="7">
        <v>502100.0</v>
      </c>
      <c r="N359" s="4" t="s">
        <v>176</v>
      </c>
      <c r="O359" s="4" t="s">
        <v>26</v>
      </c>
    </row>
    <row r="360" ht="15.75" customHeight="1">
      <c r="A360" s="1" t="s">
        <v>389</v>
      </c>
      <c r="B360" s="1" t="s">
        <v>390</v>
      </c>
      <c r="C360" s="1" t="s">
        <v>391</v>
      </c>
      <c r="D360" s="1" t="s">
        <v>158</v>
      </c>
      <c r="E360" s="1" t="s">
        <v>144</v>
      </c>
      <c r="F360" s="1" t="s">
        <v>20</v>
      </c>
      <c r="G360" s="1" t="s">
        <v>390</v>
      </c>
      <c r="H360" s="1" t="s">
        <v>392</v>
      </c>
      <c r="I360" s="1" t="s">
        <v>280</v>
      </c>
      <c r="J360" s="1" t="s">
        <v>168</v>
      </c>
      <c r="K360" s="5">
        <v>24358.0</v>
      </c>
      <c r="L360" s="6">
        <v>44844.0</v>
      </c>
      <c r="M360" s="7">
        <v>502100.0</v>
      </c>
      <c r="N360" s="4" t="s">
        <v>176</v>
      </c>
      <c r="O360" s="4" t="s">
        <v>26</v>
      </c>
    </row>
    <row r="361" ht="15.75" customHeight="1">
      <c r="A361" s="1" t="s">
        <v>393</v>
      </c>
      <c r="B361" s="1" t="s">
        <v>394</v>
      </c>
      <c r="C361" s="1" t="s">
        <v>395</v>
      </c>
      <c r="D361" s="1" t="s">
        <v>165</v>
      </c>
      <c r="E361" s="1" t="s">
        <v>137</v>
      </c>
      <c r="F361" s="1" t="s">
        <v>20</v>
      </c>
      <c r="G361" s="1" t="s">
        <v>394</v>
      </c>
      <c r="H361" s="1" t="s">
        <v>396</v>
      </c>
      <c r="I361" s="1" t="s">
        <v>286</v>
      </c>
      <c r="J361" s="1" t="s">
        <v>33</v>
      </c>
      <c r="K361" s="5">
        <v>221537.0</v>
      </c>
      <c r="L361" s="6">
        <v>43916.0</v>
      </c>
      <c r="M361" s="7">
        <v>516000.0</v>
      </c>
      <c r="N361" s="4" t="s">
        <v>25</v>
      </c>
      <c r="O361" s="4" t="s">
        <v>26</v>
      </c>
    </row>
    <row r="362" ht="15.75" customHeight="1">
      <c r="A362" s="1" t="s">
        <v>393</v>
      </c>
      <c r="B362" s="1" t="s">
        <v>394</v>
      </c>
      <c r="C362" s="1" t="s">
        <v>395</v>
      </c>
      <c r="D362" s="1" t="s">
        <v>165</v>
      </c>
      <c r="E362" s="1" t="s">
        <v>137</v>
      </c>
      <c r="F362" s="1" t="s">
        <v>20</v>
      </c>
      <c r="G362" s="1" t="s">
        <v>394</v>
      </c>
      <c r="H362" s="1" t="s">
        <v>396</v>
      </c>
      <c r="I362" s="1" t="s">
        <v>286</v>
      </c>
      <c r="J362" s="1" t="s">
        <v>33</v>
      </c>
      <c r="K362" s="5">
        <v>164567.0</v>
      </c>
      <c r="L362" s="6">
        <v>44007.0</v>
      </c>
      <c r="M362" s="7">
        <v>516000.0</v>
      </c>
      <c r="N362" s="4" t="s">
        <v>25</v>
      </c>
      <c r="O362" s="4" t="s">
        <v>26</v>
      </c>
    </row>
    <row r="363" ht="15.75" customHeight="1">
      <c r="A363" s="1" t="s">
        <v>393</v>
      </c>
      <c r="B363" s="1" t="s">
        <v>394</v>
      </c>
      <c r="C363" s="1" t="s">
        <v>395</v>
      </c>
      <c r="D363" s="1" t="s">
        <v>165</v>
      </c>
      <c r="E363" s="1" t="s">
        <v>137</v>
      </c>
      <c r="F363" s="1" t="s">
        <v>20</v>
      </c>
      <c r="G363" s="1" t="s">
        <v>394</v>
      </c>
      <c r="H363" s="1" t="s">
        <v>396</v>
      </c>
      <c r="I363" s="1" t="s">
        <v>286</v>
      </c>
      <c r="J363" s="1" t="s">
        <v>33</v>
      </c>
      <c r="K363" s="5">
        <v>91071.0</v>
      </c>
      <c r="L363" s="6">
        <v>44099.0</v>
      </c>
      <c r="M363" s="7">
        <v>516000.0</v>
      </c>
      <c r="N363" s="4" t="s">
        <v>25</v>
      </c>
      <c r="O363" s="4" t="s">
        <v>26</v>
      </c>
    </row>
    <row r="364" ht="15.75" customHeight="1">
      <c r="A364" s="1" t="s">
        <v>393</v>
      </c>
      <c r="B364" s="1" t="s">
        <v>394</v>
      </c>
      <c r="C364" s="1" t="s">
        <v>395</v>
      </c>
      <c r="D364" s="1" t="s">
        <v>165</v>
      </c>
      <c r="E364" s="1" t="s">
        <v>137</v>
      </c>
      <c r="F364" s="1" t="s">
        <v>20</v>
      </c>
      <c r="G364" s="1" t="s">
        <v>394</v>
      </c>
      <c r="H364" s="1" t="s">
        <v>396</v>
      </c>
      <c r="I364" s="1" t="s">
        <v>286</v>
      </c>
      <c r="J364" s="1" t="s">
        <v>33</v>
      </c>
      <c r="K364" s="5">
        <v>98759.0</v>
      </c>
      <c r="L364" s="6">
        <v>44151.0</v>
      </c>
      <c r="M364" s="7">
        <v>516000.0</v>
      </c>
      <c r="N364" s="4" t="s">
        <v>25</v>
      </c>
      <c r="O364" s="4" t="s">
        <v>26</v>
      </c>
    </row>
    <row r="365" ht="15.75" customHeight="1">
      <c r="A365" s="1" t="s">
        <v>393</v>
      </c>
      <c r="B365" s="1" t="s">
        <v>394</v>
      </c>
      <c r="C365" s="1" t="s">
        <v>395</v>
      </c>
      <c r="D365" s="1" t="s">
        <v>165</v>
      </c>
      <c r="E365" s="1" t="s">
        <v>137</v>
      </c>
      <c r="F365" s="1" t="s">
        <v>20</v>
      </c>
      <c r="G365" s="1" t="s">
        <v>394</v>
      </c>
      <c r="H365" s="1" t="s">
        <v>396</v>
      </c>
      <c r="I365" s="1" t="s">
        <v>286</v>
      </c>
      <c r="J365" s="1" t="s">
        <v>33</v>
      </c>
      <c r="K365" s="5">
        <v>217800.0</v>
      </c>
      <c r="L365" s="6">
        <v>44255.0</v>
      </c>
      <c r="M365" s="7">
        <v>516000.0</v>
      </c>
      <c r="N365" s="4" t="s">
        <v>25</v>
      </c>
      <c r="O365" s="4" t="s">
        <v>26</v>
      </c>
    </row>
    <row r="366" ht="15.75" customHeight="1">
      <c r="A366" s="1" t="s">
        <v>393</v>
      </c>
      <c r="B366" s="1" t="s">
        <v>394</v>
      </c>
      <c r="C366" s="1" t="s">
        <v>395</v>
      </c>
      <c r="D366" s="1" t="s">
        <v>165</v>
      </c>
      <c r="E366" s="1" t="s">
        <v>137</v>
      </c>
      <c r="F366" s="1" t="s">
        <v>20</v>
      </c>
      <c r="G366" s="1" t="s">
        <v>394</v>
      </c>
      <c r="H366" s="1" t="s">
        <v>396</v>
      </c>
      <c r="I366" s="1" t="s">
        <v>286</v>
      </c>
      <c r="J366" s="1" t="s">
        <v>33</v>
      </c>
      <c r="K366" s="5">
        <v>295351.0</v>
      </c>
      <c r="L366" s="6">
        <v>44240.0</v>
      </c>
      <c r="M366" s="7">
        <v>516000.0</v>
      </c>
      <c r="N366" s="4" t="s">
        <v>25</v>
      </c>
      <c r="O366" s="4" t="s">
        <v>26</v>
      </c>
    </row>
    <row r="367" ht="15.75" customHeight="1">
      <c r="A367" s="1" t="s">
        <v>393</v>
      </c>
      <c r="B367" s="1" t="s">
        <v>394</v>
      </c>
      <c r="C367" s="1" t="s">
        <v>395</v>
      </c>
      <c r="D367" s="1" t="s">
        <v>165</v>
      </c>
      <c r="E367" s="1" t="s">
        <v>137</v>
      </c>
      <c r="F367" s="1" t="s">
        <v>20</v>
      </c>
      <c r="G367" s="1" t="s">
        <v>394</v>
      </c>
      <c r="H367" s="1" t="s">
        <v>396</v>
      </c>
      <c r="I367" s="1" t="s">
        <v>286</v>
      </c>
      <c r="J367" s="1" t="s">
        <v>33</v>
      </c>
      <c r="K367" s="5">
        <v>165797.0</v>
      </c>
      <c r="L367" s="6">
        <v>44847.0</v>
      </c>
      <c r="M367" s="7">
        <v>516000.0</v>
      </c>
      <c r="N367" s="4" t="s">
        <v>25</v>
      </c>
      <c r="O367" s="4" t="s">
        <v>26</v>
      </c>
    </row>
    <row r="368" ht="15.75" customHeight="1">
      <c r="A368" s="1" t="s">
        <v>397</v>
      </c>
      <c r="B368" s="1" t="s">
        <v>398</v>
      </c>
      <c r="C368" s="1" t="s">
        <v>399</v>
      </c>
      <c r="D368" s="1" t="s">
        <v>173</v>
      </c>
      <c r="E368" s="1" t="s">
        <v>144</v>
      </c>
      <c r="F368" s="1" t="s">
        <v>20</v>
      </c>
      <c r="G368" s="1" t="s">
        <v>398</v>
      </c>
      <c r="H368" s="1" t="s">
        <v>400</v>
      </c>
      <c r="I368" s="1" t="s">
        <v>292</v>
      </c>
      <c r="J368" s="1" t="s">
        <v>154</v>
      </c>
      <c r="K368" s="5">
        <v>277194.0</v>
      </c>
      <c r="L368" s="6">
        <v>43919.0</v>
      </c>
      <c r="M368" s="7">
        <v>507100.0</v>
      </c>
      <c r="N368" s="4" t="s">
        <v>188</v>
      </c>
      <c r="O368" s="4" t="s">
        <v>26</v>
      </c>
    </row>
    <row r="369" ht="15.75" customHeight="1">
      <c r="A369" s="1" t="s">
        <v>397</v>
      </c>
      <c r="B369" s="1" t="s">
        <v>398</v>
      </c>
      <c r="C369" s="1" t="s">
        <v>399</v>
      </c>
      <c r="D369" s="1" t="s">
        <v>173</v>
      </c>
      <c r="E369" s="1" t="s">
        <v>144</v>
      </c>
      <c r="F369" s="1" t="s">
        <v>20</v>
      </c>
      <c r="G369" s="1" t="s">
        <v>398</v>
      </c>
      <c r="H369" s="1" t="s">
        <v>400</v>
      </c>
      <c r="I369" s="1" t="s">
        <v>292</v>
      </c>
      <c r="J369" s="1" t="s">
        <v>154</v>
      </c>
      <c r="K369" s="5">
        <v>137527.0</v>
      </c>
      <c r="L369" s="6">
        <v>44010.0</v>
      </c>
      <c r="M369" s="7">
        <v>507100.0</v>
      </c>
      <c r="N369" s="4" t="s">
        <v>188</v>
      </c>
      <c r="O369" s="4" t="s">
        <v>26</v>
      </c>
    </row>
    <row r="370" ht="15.75" customHeight="1">
      <c r="A370" s="1" t="s">
        <v>397</v>
      </c>
      <c r="B370" s="1" t="s">
        <v>398</v>
      </c>
      <c r="C370" s="1" t="s">
        <v>399</v>
      </c>
      <c r="D370" s="1" t="s">
        <v>173</v>
      </c>
      <c r="E370" s="1" t="s">
        <v>144</v>
      </c>
      <c r="F370" s="1" t="s">
        <v>20</v>
      </c>
      <c r="G370" s="1" t="s">
        <v>398</v>
      </c>
      <c r="H370" s="1" t="s">
        <v>400</v>
      </c>
      <c r="I370" s="1" t="s">
        <v>292</v>
      </c>
      <c r="J370" s="1" t="s">
        <v>154</v>
      </c>
      <c r="K370" s="5">
        <v>157821.0</v>
      </c>
      <c r="L370" s="6">
        <v>44102.0</v>
      </c>
      <c r="M370" s="7">
        <v>507100.0</v>
      </c>
      <c r="N370" s="4" t="s">
        <v>188</v>
      </c>
      <c r="O370" s="4" t="s">
        <v>26</v>
      </c>
    </row>
    <row r="371" ht="15.75" customHeight="1">
      <c r="A371" s="1" t="s">
        <v>397</v>
      </c>
      <c r="B371" s="1" t="s">
        <v>398</v>
      </c>
      <c r="C371" s="1" t="s">
        <v>399</v>
      </c>
      <c r="D371" s="1" t="s">
        <v>173</v>
      </c>
      <c r="E371" s="1" t="s">
        <v>144</v>
      </c>
      <c r="F371" s="1" t="s">
        <v>20</v>
      </c>
      <c r="G371" s="1" t="s">
        <v>398</v>
      </c>
      <c r="H371" s="1" t="s">
        <v>400</v>
      </c>
      <c r="I371" s="1" t="s">
        <v>292</v>
      </c>
      <c r="J371" s="1" t="s">
        <v>154</v>
      </c>
      <c r="K371" s="5">
        <v>22735.0</v>
      </c>
      <c r="L371" s="6">
        <v>44154.0</v>
      </c>
      <c r="M371" s="7">
        <v>507100.0</v>
      </c>
      <c r="N371" s="4" t="s">
        <v>188</v>
      </c>
      <c r="O371" s="4" t="s">
        <v>26</v>
      </c>
    </row>
    <row r="372" ht="15.75" customHeight="1">
      <c r="A372" s="1" t="s">
        <v>397</v>
      </c>
      <c r="B372" s="1" t="s">
        <v>398</v>
      </c>
      <c r="C372" s="1" t="s">
        <v>399</v>
      </c>
      <c r="D372" s="1" t="s">
        <v>173</v>
      </c>
      <c r="E372" s="1" t="s">
        <v>144</v>
      </c>
      <c r="F372" s="1" t="s">
        <v>20</v>
      </c>
      <c r="G372" s="1" t="s">
        <v>398</v>
      </c>
      <c r="H372" s="1" t="s">
        <v>400</v>
      </c>
      <c r="I372" s="1" t="s">
        <v>292</v>
      </c>
      <c r="J372" s="1" t="s">
        <v>154</v>
      </c>
      <c r="K372" s="5">
        <v>268049.0</v>
      </c>
      <c r="L372" s="6">
        <v>44256.0</v>
      </c>
      <c r="M372" s="7">
        <v>507100.0</v>
      </c>
      <c r="N372" s="4" t="s">
        <v>188</v>
      </c>
      <c r="O372" s="4" t="s">
        <v>26</v>
      </c>
    </row>
    <row r="373" ht="15.75" customHeight="1">
      <c r="A373" s="1" t="s">
        <v>397</v>
      </c>
      <c r="B373" s="1" t="s">
        <v>398</v>
      </c>
      <c r="C373" s="1" t="s">
        <v>399</v>
      </c>
      <c r="D373" s="1" t="s">
        <v>173</v>
      </c>
      <c r="E373" s="1" t="s">
        <v>144</v>
      </c>
      <c r="F373" s="1" t="s">
        <v>20</v>
      </c>
      <c r="G373" s="1" t="s">
        <v>398</v>
      </c>
      <c r="H373" s="1" t="s">
        <v>400</v>
      </c>
      <c r="I373" s="1" t="s">
        <v>292</v>
      </c>
      <c r="J373" s="1" t="s">
        <v>154</v>
      </c>
      <c r="K373" s="5">
        <v>195051.0</v>
      </c>
      <c r="L373" s="6">
        <v>44243.0</v>
      </c>
      <c r="M373" s="7">
        <v>507100.0</v>
      </c>
      <c r="N373" s="4" t="s">
        <v>188</v>
      </c>
      <c r="O373" s="4" t="s">
        <v>26</v>
      </c>
    </row>
    <row r="374" ht="15.75" customHeight="1">
      <c r="A374" s="1" t="s">
        <v>397</v>
      </c>
      <c r="B374" s="1" t="s">
        <v>398</v>
      </c>
      <c r="C374" s="1" t="s">
        <v>399</v>
      </c>
      <c r="D374" s="1" t="s">
        <v>173</v>
      </c>
      <c r="E374" s="1" t="s">
        <v>144</v>
      </c>
      <c r="F374" s="1" t="s">
        <v>20</v>
      </c>
      <c r="G374" s="1" t="s">
        <v>398</v>
      </c>
      <c r="H374" s="1" t="s">
        <v>400</v>
      </c>
      <c r="I374" s="1" t="s">
        <v>292</v>
      </c>
      <c r="J374" s="1" t="s">
        <v>154</v>
      </c>
      <c r="K374" s="5">
        <v>260964.0</v>
      </c>
      <c r="L374" s="6">
        <v>44850.0</v>
      </c>
      <c r="M374" s="7">
        <v>507100.0</v>
      </c>
      <c r="N374" s="4" t="s">
        <v>188</v>
      </c>
      <c r="O374" s="4" t="s">
        <v>26</v>
      </c>
    </row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O$374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25"/>
    <col customWidth="1" min="2" max="2" width="14.75"/>
    <col customWidth="1" min="3" max="3" width="17.63"/>
    <col customWidth="1" min="4" max="4" width="13.5"/>
    <col customWidth="1" min="5" max="5" width="16.88"/>
    <col customWidth="1" min="6" max="6" width="18.38"/>
    <col customWidth="1" min="7" max="7" width="15.25"/>
    <col customWidth="1" min="8" max="8" width="14.0"/>
  </cols>
  <sheetData>
    <row r="1">
      <c r="A1" s="66" t="s">
        <v>737</v>
      </c>
      <c r="B1" s="26" t="s">
        <v>889</v>
      </c>
      <c r="C1" s="26" t="s">
        <v>890</v>
      </c>
      <c r="D1" s="26" t="s">
        <v>891</v>
      </c>
      <c r="E1" s="26" t="s">
        <v>892</v>
      </c>
      <c r="F1" s="26" t="s">
        <v>893</v>
      </c>
      <c r="G1" s="26" t="s">
        <v>894</v>
      </c>
      <c r="H1" s="67" t="s">
        <v>895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>
      <c r="A2" s="29" t="s">
        <v>742</v>
      </c>
      <c r="B2" s="69" t="s">
        <v>15</v>
      </c>
      <c r="C2" s="69" t="s">
        <v>16</v>
      </c>
      <c r="D2" s="69" t="s">
        <v>17</v>
      </c>
      <c r="E2" s="70" t="s">
        <v>744</v>
      </c>
      <c r="F2" s="30" t="s">
        <v>744</v>
      </c>
      <c r="G2" s="30" t="s">
        <v>742</v>
      </c>
      <c r="H2" s="71" t="s">
        <v>742</v>
      </c>
    </row>
    <row r="3">
      <c r="A3" s="35" t="s">
        <v>744</v>
      </c>
      <c r="B3" s="72" t="s">
        <v>27</v>
      </c>
      <c r="C3" s="73" t="s">
        <v>896</v>
      </c>
      <c r="D3" s="72" t="s">
        <v>29</v>
      </c>
      <c r="E3" s="74" t="s">
        <v>744</v>
      </c>
      <c r="F3" s="36" t="s">
        <v>746</v>
      </c>
      <c r="G3" s="36" t="s">
        <v>744</v>
      </c>
      <c r="H3" s="75" t="s">
        <v>742</v>
      </c>
    </row>
    <row r="4">
      <c r="A4" s="29" t="s">
        <v>746</v>
      </c>
      <c r="B4" s="69" t="s">
        <v>35</v>
      </c>
      <c r="C4" s="69" t="s">
        <v>36</v>
      </c>
      <c r="D4" s="69" t="s">
        <v>37</v>
      </c>
      <c r="E4" s="70" t="s">
        <v>744</v>
      </c>
      <c r="F4" s="30" t="s">
        <v>744</v>
      </c>
      <c r="G4" s="30" t="s">
        <v>742</v>
      </c>
      <c r="H4" s="71" t="s">
        <v>742</v>
      </c>
    </row>
    <row r="5">
      <c r="A5" s="35" t="s">
        <v>748</v>
      </c>
      <c r="B5" s="72" t="s">
        <v>43</v>
      </c>
      <c r="C5" s="72" t="s">
        <v>44</v>
      </c>
      <c r="D5" s="72" t="s">
        <v>45</v>
      </c>
      <c r="E5" s="74" t="s">
        <v>744</v>
      </c>
      <c r="F5" s="36" t="s">
        <v>746</v>
      </c>
      <c r="G5" s="36" t="s">
        <v>742</v>
      </c>
      <c r="H5" s="75" t="s">
        <v>742</v>
      </c>
    </row>
    <row r="6">
      <c r="A6" s="29" t="s">
        <v>750</v>
      </c>
      <c r="B6" s="69" t="s">
        <v>52</v>
      </c>
      <c r="C6" s="76" t="s">
        <v>897</v>
      </c>
      <c r="D6" s="69" t="s">
        <v>17</v>
      </c>
      <c r="E6" s="70" t="s">
        <v>744</v>
      </c>
      <c r="F6" s="30" t="s">
        <v>744</v>
      </c>
      <c r="G6" s="30" t="s">
        <v>744</v>
      </c>
      <c r="H6" s="71" t="s">
        <v>742</v>
      </c>
    </row>
    <row r="7">
      <c r="A7" s="35" t="s">
        <v>752</v>
      </c>
      <c r="B7" s="72" t="s">
        <v>57</v>
      </c>
      <c r="C7" s="72" t="s">
        <v>58</v>
      </c>
      <c r="D7" s="72" t="s">
        <v>59</v>
      </c>
      <c r="E7" s="74" t="s">
        <v>744</v>
      </c>
      <c r="F7" s="36" t="s">
        <v>746</v>
      </c>
      <c r="G7" s="36" t="s">
        <v>742</v>
      </c>
      <c r="H7" s="75" t="s">
        <v>742</v>
      </c>
    </row>
    <row r="8">
      <c r="A8" s="29" t="s">
        <v>753</v>
      </c>
      <c r="B8" s="69" t="s">
        <v>64</v>
      </c>
      <c r="C8" s="76" t="s">
        <v>898</v>
      </c>
      <c r="D8" s="69" t="s">
        <v>66</v>
      </c>
      <c r="E8" s="70" t="s">
        <v>744</v>
      </c>
      <c r="F8" s="30" t="s">
        <v>744</v>
      </c>
      <c r="G8" s="30" t="s">
        <v>742</v>
      </c>
      <c r="H8" s="71" t="s">
        <v>742</v>
      </c>
    </row>
    <row r="9">
      <c r="A9" s="35" t="s">
        <v>754</v>
      </c>
      <c r="B9" s="72" t="s">
        <v>70</v>
      </c>
      <c r="C9" s="73" t="s">
        <v>899</v>
      </c>
      <c r="D9" s="72" t="s">
        <v>72</v>
      </c>
      <c r="E9" s="74" t="s">
        <v>744</v>
      </c>
      <c r="F9" s="36" t="s">
        <v>746</v>
      </c>
      <c r="G9" s="36" t="s">
        <v>744</v>
      </c>
      <c r="H9" s="75" t="s">
        <v>742</v>
      </c>
    </row>
    <row r="10">
      <c r="A10" s="29" t="s">
        <v>755</v>
      </c>
      <c r="B10" s="69" t="s">
        <v>77</v>
      </c>
      <c r="C10" s="76" t="s">
        <v>900</v>
      </c>
      <c r="D10" s="69" t="s">
        <v>79</v>
      </c>
      <c r="E10" s="70" t="s">
        <v>744</v>
      </c>
      <c r="F10" s="30" t="s">
        <v>744</v>
      </c>
      <c r="G10" s="30" t="s">
        <v>742</v>
      </c>
      <c r="H10" s="71" t="s">
        <v>742</v>
      </c>
    </row>
    <row r="11">
      <c r="A11" s="35" t="s">
        <v>756</v>
      </c>
      <c r="B11" s="72" t="s">
        <v>83</v>
      </c>
      <c r="C11" s="72" t="s">
        <v>84</v>
      </c>
      <c r="D11" s="72" t="s">
        <v>85</v>
      </c>
      <c r="E11" s="74" t="s">
        <v>744</v>
      </c>
      <c r="F11" s="36" t="s">
        <v>746</v>
      </c>
      <c r="G11" s="36" t="s">
        <v>742</v>
      </c>
      <c r="H11" s="75" t="s">
        <v>742</v>
      </c>
    </row>
    <row r="12">
      <c r="A12" s="29" t="s">
        <v>758</v>
      </c>
      <c r="B12" s="69" t="s">
        <v>89</v>
      </c>
      <c r="C12" s="76" t="s">
        <v>901</v>
      </c>
      <c r="D12" s="69" t="s">
        <v>91</v>
      </c>
      <c r="E12" s="70" t="s">
        <v>744</v>
      </c>
      <c r="F12" s="30" t="s">
        <v>744</v>
      </c>
      <c r="G12" s="30" t="s">
        <v>744</v>
      </c>
      <c r="H12" s="71" t="s">
        <v>742</v>
      </c>
    </row>
    <row r="13">
      <c r="A13" s="35" t="s">
        <v>759</v>
      </c>
      <c r="B13" s="72" t="s">
        <v>93</v>
      </c>
      <c r="C13" s="72" t="s">
        <v>94</v>
      </c>
      <c r="D13" s="72" t="s">
        <v>95</v>
      </c>
      <c r="E13" s="74" t="s">
        <v>744</v>
      </c>
      <c r="F13" s="36" t="s">
        <v>746</v>
      </c>
      <c r="G13" s="36" t="s">
        <v>742</v>
      </c>
      <c r="H13" s="75" t="s">
        <v>742</v>
      </c>
    </row>
    <row r="14">
      <c r="A14" s="29" t="s">
        <v>760</v>
      </c>
      <c r="B14" s="69" t="s">
        <v>99</v>
      </c>
      <c r="C14" s="69" t="s">
        <v>100</v>
      </c>
      <c r="D14" s="69" t="s">
        <v>101</v>
      </c>
      <c r="E14" s="70" t="s">
        <v>744</v>
      </c>
      <c r="F14" s="30" t="s">
        <v>744</v>
      </c>
      <c r="G14" s="30" t="s">
        <v>744</v>
      </c>
      <c r="H14" s="71" t="s">
        <v>742</v>
      </c>
    </row>
    <row r="15">
      <c r="A15" s="35" t="s">
        <v>761</v>
      </c>
      <c r="B15" s="72" t="s">
        <v>105</v>
      </c>
      <c r="C15" s="73" t="s">
        <v>902</v>
      </c>
      <c r="D15" s="73" t="s">
        <v>903</v>
      </c>
      <c r="E15" s="74" t="s">
        <v>744</v>
      </c>
      <c r="F15" s="36" t="s">
        <v>746</v>
      </c>
      <c r="G15" s="36" t="s">
        <v>742</v>
      </c>
      <c r="H15" s="75" t="s">
        <v>742</v>
      </c>
    </row>
    <row r="16">
      <c r="A16" s="29" t="s">
        <v>762</v>
      </c>
      <c r="B16" s="69" t="s">
        <v>111</v>
      </c>
      <c r="C16" s="76" t="s">
        <v>904</v>
      </c>
      <c r="D16" s="69" t="s">
        <v>113</v>
      </c>
      <c r="E16" s="70" t="s">
        <v>744</v>
      </c>
      <c r="F16" s="30" t="s">
        <v>744</v>
      </c>
      <c r="G16" s="30" t="s">
        <v>742</v>
      </c>
      <c r="H16" s="71" t="s">
        <v>742</v>
      </c>
    </row>
    <row r="17">
      <c r="A17" s="35" t="s">
        <v>763</v>
      </c>
      <c r="B17" s="72" t="s">
        <v>115</v>
      </c>
      <c r="C17" s="72" t="s">
        <v>116</v>
      </c>
      <c r="D17" s="72" t="s">
        <v>117</v>
      </c>
      <c r="E17" s="74" t="s">
        <v>744</v>
      </c>
      <c r="F17" s="36" t="s">
        <v>746</v>
      </c>
      <c r="G17" s="36" t="s">
        <v>742</v>
      </c>
      <c r="H17" s="75" t="s">
        <v>742</v>
      </c>
    </row>
    <row r="18">
      <c r="A18" s="29" t="s">
        <v>764</v>
      </c>
      <c r="B18" s="69" t="s">
        <v>122</v>
      </c>
      <c r="C18" s="76" t="s">
        <v>905</v>
      </c>
      <c r="D18" s="69" t="s">
        <v>124</v>
      </c>
      <c r="E18" s="70" t="s">
        <v>744</v>
      </c>
      <c r="F18" s="30" t="s">
        <v>744</v>
      </c>
      <c r="G18" s="30" t="s">
        <v>744</v>
      </c>
      <c r="H18" s="71" t="s">
        <v>742</v>
      </c>
    </row>
    <row r="19">
      <c r="A19" s="35" t="s">
        <v>765</v>
      </c>
      <c r="B19" s="72" t="s">
        <v>127</v>
      </c>
      <c r="C19" s="72" t="s">
        <v>128</v>
      </c>
      <c r="D19" s="72" t="s">
        <v>129</v>
      </c>
      <c r="E19" s="74" t="s">
        <v>744</v>
      </c>
      <c r="F19" s="36" t="s">
        <v>746</v>
      </c>
      <c r="G19" s="36" t="s">
        <v>742</v>
      </c>
      <c r="H19" s="75" t="s">
        <v>742</v>
      </c>
    </row>
    <row r="20">
      <c r="A20" s="29" t="s">
        <v>743</v>
      </c>
      <c r="B20" s="69" t="s">
        <v>133</v>
      </c>
      <c r="C20" s="76" t="s">
        <v>906</v>
      </c>
      <c r="D20" s="69" t="s">
        <v>135</v>
      </c>
      <c r="E20" s="70" t="s">
        <v>744</v>
      </c>
      <c r="F20" s="30" t="s">
        <v>746</v>
      </c>
      <c r="G20" s="30" t="s">
        <v>744</v>
      </c>
      <c r="H20" s="71" t="s">
        <v>742</v>
      </c>
    </row>
    <row r="21">
      <c r="A21" s="35" t="s">
        <v>766</v>
      </c>
      <c r="B21" s="72" t="s">
        <v>140</v>
      </c>
      <c r="C21" s="73" t="s">
        <v>907</v>
      </c>
      <c r="D21" s="72" t="s">
        <v>142</v>
      </c>
      <c r="E21" s="74" t="s">
        <v>744</v>
      </c>
      <c r="F21" s="36" t="s">
        <v>744</v>
      </c>
      <c r="G21" s="36" t="s">
        <v>746</v>
      </c>
      <c r="H21" s="75" t="s">
        <v>742</v>
      </c>
    </row>
    <row r="22">
      <c r="A22" s="29" t="s">
        <v>745</v>
      </c>
      <c r="B22" s="69" t="s">
        <v>148</v>
      </c>
      <c r="C22" s="76" t="s">
        <v>908</v>
      </c>
      <c r="D22" s="69" t="s">
        <v>150</v>
      </c>
      <c r="E22" s="70" t="s">
        <v>744</v>
      </c>
      <c r="F22" s="30" t="s">
        <v>750</v>
      </c>
      <c r="G22" s="30" t="s">
        <v>744</v>
      </c>
      <c r="H22" s="71" t="s">
        <v>742</v>
      </c>
    </row>
    <row r="23">
      <c r="A23" s="35" t="s">
        <v>767</v>
      </c>
      <c r="B23" s="72" t="s">
        <v>155</v>
      </c>
      <c r="C23" s="73" t="s">
        <v>909</v>
      </c>
      <c r="D23" s="72" t="s">
        <v>157</v>
      </c>
      <c r="E23" s="74" t="s">
        <v>744</v>
      </c>
      <c r="F23" s="36" t="s">
        <v>746</v>
      </c>
      <c r="G23" s="36" t="s">
        <v>742</v>
      </c>
      <c r="H23" s="75" t="s">
        <v>742</v>
      </c>
    </row>
    <row r="24">
      <c r="A24" s="29" t="s">
        <v>768</v>
      </c>
      <c r="B24" s="69" t="s">
        <v>162</v>
      </c>
      <c r="C24" s="76" t="s">
        <v>910</v>
      </c>
      <c r="D24" s="69" t="s">
        <v>164</v>
      </c>
      <c r="E24" s="70" t="s">
        <v>744</v>
      </c>
      <c r="F24" s="70" t="s">
        <v>744</v>
      </c>
      <c r="G24" s="30" t="s">
        <v>744</v>
      </c>
      <c r="H24" s="71" t="s">
        <v>742</v>
      </c>
    </row>
    <row r="25">
      <c r="A25" s="35" t="s">
        <v>747</v>
      </c>
      <c r="B25" s="72" t="s">
        <v>170</v>
      </c>
      <c r="C25" s="73" t="s">
        <v>911</v>
      </c>
      <c r="D25" s="72" t="s">
        <v>172</v>
      </c>
      <c r="E25" s="74" t="s">
        <v>744</v>
      </c>
      <c r="F25" s="36" t="s">
        <v>746</v>
      </c>
      <c r="G25" s="36" t="s">
        <v>746</v>
      </c>
      <c r="H25" s="75" t="s">
        <v>742</v>
      </c>
    </row>
    <row r="26">
      <c r="A26" s="29" t="s">
        <v>769</v>
      </c>
      <c r="B26" s="69" t="s">
        <v>177</v>
      </c>
      <c r="C26" s="76" t="s">
        <v>912</v>
      </c>
      <c r="D26" s="69" t="s">
        <v>179</v>
      </c>
      <c r="E26" s="70" t="s">
        <v>744</v>
      </c>
      <c r="F26" s="30" t="s">
        <v>744</v>
      </c>
      <c r="G26" s="30" t="s">
        <v>744</v>
      </c>
      <c r="H26" s="71" t="s">
        <v>742</v>
      </c>
    </row>
    <row r="27">
      <c r="A27" s="35" t="s">
        <v>770</v>
      </c>
      <c r="B27" s="72" t="s">
        <v>183</v>
      </c>
      <c r="C27" s="73" t="s">
        <v>913</v>
      </c>
      <c r="D27" s="72" t="s">
        <v>185</v>
      </c>
      <c r="E27" s="74" t="s">
        <v>744</v>
      </c>
      <c r="F27" s="36" t="s">
        <v>750</v>
      </c>
      <c r="G27" s="36" t="s">
        <v>742</v>
      </c>
      <c r="H27" s="75" t="s">
        <v>742</v>
      </c>
    </row>
    <row r="28">
      <c r="A28" s="29" t="s">
        <v>749</v>
      </c>
      <c r="B28" s="69" t="s">
        <v>189</v>
      </c>
      <c r="C28" s="69" t="s">
        <v>190</v>
      </c>
      <c r="D28" s="69" t="s">
        <v>191</v>
      </c>
      <c r="E28" s="70" t="s">
        <v>744</v>
      </c>
      <c r="F28" s="30" t="s">
        <v>746</v>
      </c>
      <c r="G28" s="30" t="s">
        <v>744</v>
      </c>
      <c r="H28" s="71" t="s">
        <v>742</v>
      </c>
    </row>
    <row r="29">
      <c r="A29" s="35" t="s">
        <v>771</v>
      </c>
      <c r="B29" s="72" t="s">
        <v>195</v>
      </c>
      <c r="C29" s="72" t="s">
        <v>196</v>
      </c>
      <c r="D29" s="72" t="s">
        <v>197</v>
      </c>
      <c r="E29" s="74" t="s">
        <v>744</v>
      </c>
      <c r="F29" s="74" t="s">
        <v>744</v>
      </c>
      <c r="G29" s="36" t="s">
        <v>746</v>
      </c>
      <c r="H29" s="75" t="s">
        <v>742</v>
      </c>
    </row>
    <row r="30">
      <c r="A30" s="29" t="s">
        <v>772</v>
      </c>
      <c r="B30" s="69" t="s">
        <v>201</v>
      </c>
      <c r="C30" s="69" t="s">
        <v>202</v>
      </c>
      <c r="D30" s="69" t="s">
        <v>203</v>
      </c>
      <c r="E30" s="70" t="s">
        <v>744</v>
      </c>
      <c r="F30" s="30" t="s">
        <v>746</v>
      </c>
      <c r="G30" s="30" t="s">
        <v>744</v>
      </c>
      <c r="H30" s="71" t="s">
        <v>742</v>
      </c>
    </row>
    <row r="31">
      <c r="A31" s="35" t="s">
        <v>773</v>
      </c>
      <c r="B31" s="72" t="s">
        <v>206</v>
      </c>
      <c r="C31" s="73" t="s">
        <v>914</v>
      </c>
      <c r="D31" s="72" t="s">
        <v>208</v>
      </c>
      <c r="E31" s="74" t="s">
        <v>744</v>
      </c>
      <c r="F31" s="36" t="s">
        <v>744</v>
      </c>
      <c r="G31" s="36" t="s">
        <v>746</v>
      </c>
      <c r="H31" s="75" t="s">
        <v>742</v>
      </c>
    </row>
    <row r="32">
      <c r="A32" s="29" t="s">
        <v>774</v>
      </c>
      <c r="B32" s="69" t="s">
        <v>212</v>
      </c>
      <c r="C32" s="69" t="s">
        <v>213</v>
      </c>
      <c r="D32" s="69" t="s">
        <v>214</v>
      </c>
      <c r="E32" s="70" t="s">
        <v>744</v>
      </c>
      <c r="F32" s="30" t="s">
        <v>750</v>
      </c>
      <c r="G32" s="30" t="s">
        <v>742</v>
      </c>
      <c r="H32" s="71" t="s">
        <v>742</v>
      </c>
    </row>
    <row r="33">
      <c r="A33" s="35" t="s">
        <v>775</v>
      </c>
      <c r="B33" s="77" t="s">
        <v>218</v>
      </c>
      <c r="C33" s="78" t="s">
        <v>915</v>
      </c>
      <c r="D33" s="77" t="s">
        <v>220</v>
      </c>
      <c r="E33" s="74" t="s">
        <v>744</v>
      </c>
      <c r="F33" s="36" t="s">
        <v>746</v>
      </c>
      <c r="G33" s="36" t="s">
        <v>744</v>
      </c>
      <c r="H33" s="75" t="s">
        <v>742</v>
      </c>
    </row>
    <row r="34">
      <c r="A34" s="29" t="s">
        <v>776</v>
      </c>
      <c r="B34" s="79" t="s">
        <v>224</v>
      </c>
      <c r="C34" s="79" t="s">
        <v>225</v>
      </c>
      <c r="D34" s="79" t="s">
        <v>226</v>
      </c>
      <c r="E34" s="70" t="s">
        <v>744</v>
      </c>
      <c r="F34" s="70" t="s">
        <v>744</v>
      </c>
      <c r="G34" s="30" t="s">
        <v>746</v>
      </c>
      <c r="H34" s="71" t="s">
        <v>742</v>
      </c>
    </row>
    <row r="35">
      <c r="A35" s="35" t="s">
        <v>777</v>
      </c>
      <c r="B35" s="77" t="s">
        <v>229</v>
      </c>
      <c r="C35" s="77" t="s">
        <v>230</v>
      </c>
      <c r="D35" s="77" t="s">
        <v>231</v>
      </c>
      <c r="E35" s="74" t="s">
        <v>744</v>
      </c>
      <c r="F35" s="36" t="s">
        <v>746</v>
      </c>
      <c r="G35" s="36" t="s">
        <v>744</v>
      </c>
      <c r="H35" s="75" t="s">
        <v>742</v>
      </c>
    </row>
    <row r="36">
      <c r="A36" s="29" t="s">
        <v>778</v>
      </c>
      <c r="B36" s="79" t="s">
        <v>234</v>
      </c>
      <c r="C36" s="79" t="s">
        <v>235</v>
      </c>
      <c r="D36" s="79" t="s">
        <v>29</v>
      </c>
      <c r="E36" s="70" t="s">
        <v>744</v>
      </c>
      <c r="F36" s="30" t="s">
        <v>744</v>
      </c>
      <c r="G36" s="30" t="s">
        <v>746</v>
      </c>
      <c r="H36" s="71" t="s">
        <v>742</v>
      </c>
    </row>
    <row r="37">
      <c r="A37" s="35" t="s">
        <v>757</v>
      </c>
      <c r="B37" s="77" t="s">
        <v>239</v>
      </c>
      <c r="C37" s="78" t="s">
        <v>916</v>
      </c>
      <c r="D37" s="77" t="s">
        <v>241</v>
      </c>
      <c r="E37" s="74" t="s">
        <v>744</v>
      </c>
      <c r="F37" s="36" t="s">
        <v>750</v>
      </c>
      <c r="G37" s="36" t="s">
        <v>742</v>
      </c>
      <c r="H37" s="75" t="s">
        <v>742</v>
      </c>
    </row>
    <row r="38">
      <c r="A38" s="29" t="s">
        <v>779</v>
      </c>
      <c r="B38" s="79" t="s">
        <v>244</v>
      </c>
      <c r="C38" s="80" t="s">
        <v>917</v>
      </c>
      <c r="D38" s="79" t="s">
        <v>246</v>
      </c>
      <c r="E38" s="70" t="s">
        <v>744</v>
      </c>
      <c r="F38" s="30" t="s">
        <v>746</v>
      </c>
      <c r="G38" s="30" t="s">
        <v>744</v>
      </c>
      <c r="H38" s="71" t="s">
        <v>742</v>
      </c>
    </row>
    <row r="39">
      <c r="A39" s="35" t="s">
        <v>751</v>
      </c>
      <c r="B39" s="77" t="s">
        <v>250</v>
      </c>
      <c r="C39" s="78" t="s">
        <v>918</v>
      </c>
      <c r="D39" s="77" t="s">
        <v>252</v>
      </c>
      <c r="E39" s="74" t="s">
        <v>744</v>
      </c>
      <c r="F39" s="74" t="s">
        <v>744</v>
      </c>
      <c r="G39" s="36" t="s">
        <v>746</v>
      </c>
      <c r="H39" s="75" t="s">
        <v>742</v>
      </c>
    </row>
    <row r="40">
      <c r="A40" s="29" t="s">
        <v>780</v>
      </c>
      <c r="B40" s="79" t="s">
        <v>256</v>
      </c>
      <c r="C40" s="79" t="s">
        <v>257</v>
      </c>
      <c r="D40" s="79" t="s">
        <v>258</v>
      </c>
      <c r="E40" s="70" t="s">
        <v>744</v>
      </c>
      <c r="F40" s="30" t="s">
        <v>746</v>
      </c>
      <c r="G40" s="30" t="s">
        <v>744</v>
      </c>
      <c r="H40" s="71" t="s">
        <v>742</v>
      </c>
    </row>
    <row r="41">
      <c r="A41" s="35" t="s">
        <v>781</v>
      </c>
      <c r="B41" s="77" t="s">
        <v>263</v>
      </c>
      <c r="C41" s="78" t="s">
        <v>919</v>
      </c>
      <c r="D41" s="77" t="s">
        <v>265</v>
      </c>
      <c r="E41" s="74" t="s">
        <v>744</v>
      </c>
      <c r="F41" s="36" t="s">
        <v>744</v>
      </c>
      <c r="G41" s="36" t="s">
        <v>746</v>
      </c>
      <c r="H41" s="75" t="s">
        <v>742</v>
      </c>
    </row>
    <row r="42">
      <c r="A42" s="29" t="s">
        <v>782</v>
      </c>
      <c r="B42" s="79" t="s">
        <v>269</v>
      </c>
      <c r="C42" s="80" t="s">
        <v>920</v>
      </c>
      <c r="D42" s="79" t="s">
        <v>271</v>
      </c>
      <c r="E42" s="70" t="s">
        <v>744</v>
      </c>
      <c r="F42" s="70" t="s">
        <v>744</v>
      </c>
      <c r="G42" s="30" t="s">
        <v>744</v>
      </c>
      <c r="H42" s="71" t="s">
        <v>742</v>
      </c>
    </row>
    <row r="43">
      <c r="A43" s="35" t="s">
        <v>783</v>
      </c>
      <c r="B43" s="77" t="s">
        <v>276</v>
      </c>
      <c r="C43" s="78" t="s">
        <v>921</v>
      </c>
      <c r="D43" s="77" t="s">
        <v>278</v>
      </c>
      <c r="E43" s="74" t="s">
        <v>744</v>
      </c>
      <c r="F43" s="36" t="s">
        <v>746</v>
      </c>
      <c r="G43" s="36" t="s">
        <v>746</v>
      </c>
      <c r="H43" s="75" t="s">
        <v>742</v>
      </c>
    </row>
    <row r="44">
      <c r="A44" s="29" t="s">
        <v>784</v>
      </c>
      <c r="B44" s="79" t="s">
        <v>282</v>
      </c>
      <c r="C44" s="80" t="s">
        <v>922</v>
      </c>
      <c r="D44" s="79" t="s">
        <v>284</v>
      </c>
      <c r="E44" s="70" t="s">
        <v>744</v>
      </c>
      <c r="F44" s="30" t="s">
        <v>750</v>
      </c>
      <c r="G44" s="30" t="s">
        <v>744</v>
      </c>
      <c r="H44" s="71" t="s">
        <v>742</v>
      </c>
    </row>
    <row r="45">
      <c r="A45" s="35" t="s">
        <v>785</v>
      </c>
      <c r="B45" s="77" t="s">
        <v>288</v>
      </c>
      <c r="C45" s="77" t="s">
        <v>289</v>
      </c>
      <c r="D45" s="77" t="s">
        <v>290</v>
      </c>
      <c r="E45" s="74" t="s">
        <v>744</v>
      </c>
      <c r="F45" s="36" t="s">
        <v>744</v>
      </c>
      <c r="G45" s="36" t="s">
        <v>746</v>
      </c>
      <c r="H45" s="75" t="s">
        <v>742</v>
      </c>
    </row>
    <row r="46">
      <c r="A46" s="29" t="s">
        <v>786</v>
      </c>
      <c r="B46" s="79" t="s">
        <v>294</v>
      </c>
      <c r="C46" s="80" t="s">
        <v>923</v>
      </c>
      <c r="D46" s="79" t="s">
        <v>296</v>
      </c>
      <c r="E46" s="70" t="s">
        <v>744</v>
      </c>
      <c r="F46" s="30" t="s">
        <v>746</v>
      </c>
      <c r="G46" s="30" t="s">
        <v>744</v>
      </c>
      <c r="H46" s="71" t="s">
        <v>742</v>
      </c>
    </row>
    <row r="47">
      <c r="A47" s="35" t="s">
        <v>787</v>
      </c>
      <c r="B47" s="77" t="s">
        <v>301</v>
      </c>
      <c r="C47" s="78" t="s">
        <v>924</v>
      </c>
      <c r="D47" s="77" t="s">
        <v>303</v>
      </c>
      <c r="E47" s="74" t="s">
        <v>744</v>
      </c>
      <c r="F47" s="74" t="s">
        <v>744</v>
      </c>
      <c r="G47" s="36" t="s">
        <v>746</v>
      </c>
      <c r="H47" s="75" t="s">
        <v>742</v>
      </c>
    </row>
    <row r="48">
      <c r="A48" s="29" t="s">
        <v>788</v>
      </c>
      <c r="B48" s="79" t="s">
        <v>306</v>
      </c>
      <c r="C48" s="79" t="s">
        <v>307</v>
      </c>
      <c r="D48" s="79" t="s">
        <v>308</v>
      </c>
      <c r="E48" s="70" t="s">
        <v>744</v>
      </c>
      <c r="F48" s="30" t="s">
        <v>746</v>
      </c>
      <c r="G48" s="30" t="s">
        <v>744</v>
      </c>
      <c r="H48" s="71" t="s">
        <v>742</v>
      </c>
    </row>
    <row r="49">
      <c r="A49" s="35" t="s">
        <v>789</v>
      </c>
      <c r="B49" s="77" t="s">
        <v>311</v>
      </c>
      <c r="C49" s="77" t="s">
        <v>312</v>
      </c>
      <c r="D49" s="77" t="s">
        <v>313</v>
      </c>
      <c r="E49" s="74" t="s">
        <v>744</v>
      </c>
      <c r="F49" s="36" t="s">
        <v>750</v>
      </c>
      <c r="G49" s="36" t="s">
        <v>746</v>
      </c>
      <c r="H49" s="75" t="s">
        <v>742</v>
      </c>
    </row>
    <row r="50">
      <c r="A50" s="29" t="s">
        <v>790</v>
      </c>
      <c r="B50" s="79" t="s">
        <v>316</v>
      </c>
      <c r="C50" s="79" t="s">
        <v>317</v>
      </c>
      <c r="D50" s="79" t="s">
        <v>172</v>
      </c>
      <c r="E50" s="70" t="s">
        <v>744</v>
      </c>
      <c r="F50" s="30" t="s">
        <v>746</v>
      </c>
      <c r="G50" s="30" t="s">
        <v>744</v>
      </c>
      <c r="H50" s="71" t="s">
        <v>742</v>
      </c>
    </row>
    <row r="51">
      <c r="A51" s="35" t="s">
        <v>791</v>
      </c>
      <c r="B51" s="77" t="s">
        <v>320</v>
      </c>
      <c r="C51" s="78" t="s">
        <v>925</v>
      </c>
      <c r="D51" s="77" t="s">
        <v>17</v>
      </c>
      <c r="E51" s="74" t="s">
        <v>744</v>
      </c>
      <c r="F51" s="36" t="s">
        <v>744</v>
      </c>
      <c r="G51" s="36" t="s">
        <v>746</v>
      </c>
      <c r="H51" s="75" t="s">
        <v>742</v>
      </c>
    </row>
    <row r="52">
      <c r="A52" s="29" t="s">
        <v>792</v>
      </c>
      <c r="B52" s="79" t="s">
        <v>324</v>
      </c>
      <c r="C52" s="80" t="s">
        <v>926</v>
      </c>
      <c r="D52" s="79" t="s">
        <v>326</v>
      </c>
      <c r="E52" s="70" t="s">
        <v>744</v>
      </c>
      <c r="F52" s="70" t="s">
        <v>744</v>
      </c>
      <c r="G52" s="30" t="s">
        <v>744</v>
      </c>
      <c r="H52" s="71" t="s">
        <v>742</v>
      </c>
    </row>
    <row r="53">
      <c r="A53" s="35" t="s">
        <v>793</v>
      </c>
      <c r="B53" s="77" t="s">
        <v>329</v>
      </c>
      <c r="C53" s="78" t="s">
        <v>927</v>
      </c>
      <c r="D53" s="77" t="s">
        <v>331</v>
      </c>
      <c r="E53" s="74" t="s">
        <v>744</v>
      </c>
      <c r="F53" s="36" t="s">
        <v>746</v>
      </c>
      <c r="G53" s="36" t="s">
        <v>746</v>
      </c>
      <c r="H53" s="75" t="s">
        <v>742</v>
      </c>
    </row>
    <row r="54">
      <c r="A54" s="29" t="s">
        <v>794</v>
      </c>
      <c r="B54" s="79" t="s">
        <v>333</v>
      </c>
      <c r="C54" s="80" t="s">
        <v>928</v>
      </c>
      <c r="D54" s="79" t="s">
        <v>335</v>
      </c>
      <c r="E54" s="70" t="s">
        <v>744</v>
      </c>
      <c r="F54" s="30" t="s">
        <v>750</v>
      </c>
      <c r="G54" s="30" t="s">
        <v>744</v>
      </c>
      <c r="H54" s="71" t="s">
        <v>742</v>
      </c>
    </row>
    <row r="55">
      <c r="A55" s="35" t="s">
        <v>795</v>
      </c>
      <c r="B55" s="77" t="s">
        <v>338</v>
      </c>
      <c r="C55" s="78" t="s">
        <v>929</v>
      </c>
      <c r="D55" s="77" t="s">
        <v>340</v>
      </c>
      <c r="E55" s="74" t="s">
        <v>744</v>
      </c>
      <c r="F55" s="36" t="s">
        <v>744</v>
      </c>
      <c r="G55" s="36" t="s">
        <v>746</v>
      </c>
      <c r="H55" s="75" t="s">
        <v>742</v>
      </c>
    </row>
    <row r="56">
      <c r="A56" s="29" t="s">
        <v>796</v>
      </c>
      <c r="B56" s="79" t="s">
        <v>342</v>
      </c>
      <c r="C56" s="80" t="s">
        <v>930</v>
      </c>
      <c r="D56" s="79" t="s">
        <v>344</v>
      </c>
      <c r="E56" s="70" t="s">
        <v>744</v>
      </c>
      <c r="F56" s="30" t="s">
        <v>746</v>
      </c>
      <c r="G56" s="30" t="s">
        <v>744</v>
      </c>
      <c r="H56" s="71" t="s">
        <v>742</v>
      </c>
    </row>
    <row r="57">
      <c r="A57" s="35" t="s">
        <v>797</v>
      </c>
      <c r="B57" s="77" t="s">
        <v>346</v>
      </c>
      <c r="C57" s="78" t="s">
        <v>931</v>
      </c>
      <c r="D57" s="77" t="s">
        <v>348</v>
      </c>
      <c r="E57" s="74" t="s">
        <v>744</v>
      </c>
      <c r="F57" s="74" t="s">
        <v>744</v>
      </c>
      <c r="G57" s="36" t="s">
        <v>746</v>
      </c>
      <c r="H57" s="75" t="s">
        <v>742</v>
      </c>
    </row>
    <row r="58">
      <c r="A58" s="29" t="s">
        <v>798</v>
      </c>
      <c r="B58" s="79" t="s">
        <v>350</v>
      </c>
      <c r="C58" s="80" t="s">
        <v>932</v>
      </c>
      <c r="D58" s="79" t="s">
        <v>352</v>
      </c>
      <c r="E58" s="70" t="s">
        <v>744</v>
      </c>
      <c r="F58" s="30" t="s">
        <v>746</v>
      </c>
      <c r="G58" s="30" t="s">
        <v>744</v>
      </c>
      <c r="H58" s="71" t="s">
        <v>742</v>
      </c>
    </row>
    <row r="59">
      <c r="A59" s="35" t="s">
        <v>799</v>
      </c>
      <c r="B59" s="77" t="s">
        <v>354</v>
      </c>
      <c r="C59" s="78" t="s">
        <v>933</v>
      </c>
      <c r="D59" s="77" t="s">
        <v>356</v>
      </c>
      <c r="E59" s="74" t="s">
        <v>744</v>
      </c>
      <c r="F59" s="36" t="s">
        <v>750</v>
      </c>
      <c r="G59" s="36" t="s">
        <v>746</v>
      </c>
      <c r="H59" s="75" t="s">
        <v>742</v>
      </c>
    </row>
    <row r="60">
      <c r="A60" s="29" t="s">
        <v>800</v>
      </c>
      <c r="B60" s="79" t="s">
        <v>358</v>
      </c>
      <c r="C60" s="80" t="s">
        <v>934</v>
      </c>
      <c r="D60" s="79" t="s">
        <v>360</v>
      </c>
      <c r="E60" s="70" t="s">
        <v>744</v>
      </c>
      <c r="F60" s="30" t="s">
        <v>746</v>
      </c>
      <c r="G60" s="30" t="s">
        <v>744</v>
      </c>
      <c r="H60" s="71" t="s">
        <v>742</v>
      </c>
    </row>
    <row r="61">
      <c r="A61" s="35" t="s">
        <v>801</v>
      </c>
      <c r="B61" s="77" t="s">
        <v>362</v>
      </c>
      <c r="C61" s="78" t="s">
        <v>935</v>
      </c>
      <c r="D61" s="77" t="s">
        <v>364</v>
      </c>
      <c r="E61" s="74" t="s">
        <v>744</v>
      </c>
      <c r="F61" s="36" t="s">
        <v>744</v>
      </c>
      <c r="G61" s="36" t="s">
        <v>746</v>
      </c>
      <c r="H61" s="75" t="s">
        <v>742</v>
      </c>
    </row>
    <row r="62">
      <c r="A62" s="29" t="s">
        <v>802</v>
      </c>
      <c r="B62" s="79" t="s">
        <v>366</v>
      </c>
      <c r="C62" s="80" t="s">
        <v>936</v>
      </c>
      <c r="D62" s="79" t="s">
        <v>368</v>
      </c>
      <c r="E62" s="70" t="s">
        <v>744</v>
      </c>
      <c r="F62" s="70" t="s">
        <v>744</v>
      </c>
      <c r="G62" s="30" t="s">
        <v>744</v>
      </c>
      <c r="H62" s="71" t="s">
        <v>742</v>
      </c>
    </row>
    <row r="63">
      <c r="A63" s="35" t="s">
        <v>803</v>
      </c>
      <c r="B63" s="77" t="s">
        <v>371</v>
      </c>
      <c r="C63" s="78" t="s">
        <v>937</v>
      </c>
      <c r="D63" s="77" t="s">
        <v>373</v>
      </c>
      <c r="E63" s="74" t="s">
        <v>744</v>
      </c>
      <c r="F63" s="36" t="s">
        <v>746</v>
      </c>
      <c r="G63" s="36" t="s">
        <v>746</v>
      </c>
      <c r="H63" s="75" t="s">
        <v>742</v>
      </c>
    </row>
    <row r="64">
      <c r="A64" s="29" t="s">
        <v>804</v>
      </c>
      <c r="B64" s="79" t="s">
        <v>375</v>
      </c>
      <c r="C64" s="80" t="s">
        <v>938</v>
      </c>
      <c r="D64" s="79" t="s">
        <v>377</v>
      </c>
      <c r="E64" s="70" t="s">
        <v>744</v>
      </c>
      <c r="F64" s="30" t="s">
        <v>750</v>
      </c>
      <c r="G64" s="30" t="s">
        <v>744</v>
      </c>
      <c r="H64" s="71" t="s">
        <v>742</v>
      </c>
    </row>
    <row r="65">
      <c r="A65" s="35" t="s">
        <v>805</v>
      </c>
      <c r="B65" s="77" t="s">
        <v>380</v>
      </c>
      <c r="C65" s="77" t="s">
        <v>381</v>
      </c>
      <c r="D65" s="77" t="s">
        <v>382</v>
      </c>
      <c r="E65" s="74" t="s">
        <v>744</v>
      </c>
      <c r="F65" s="36" t="s">
        <v>744</v>
      </c>
      <c r="G65" s="36" t="s">
        <v>746</v>
      </c>
      <c r="H65" s="75" t="s">
        <v>742</v>
      </c>
    </row>
    <row r="66">
      <c r="A66" s="29" t="s">
        <v>806</v>
      </c>
      <c r="B66" s="79" t="s">
        <v>385</v>
      </c>
      <c r="C66" s="79" t="s">
        <v>386</v>
      </c>
      <c r="D66" s="79" t="s">
        <v>387</v>
      </c>
      <c r="E66" s="70" t="s">
        <v>744</v>
      </c>
      <c r="F66" s="30" t="s">
        <v>746</v>
      </c>
      <c r="G66" s="30" t="s">
        <v>744</v>
      </c>
      <c r="H66" s="71" t="s">
        <v>742</v>
      </c>
    </row>
    <row r="67">
      <c r="A67" s="35" t="s">
        <v>807</v>
      </c>
      <c r="B67" s="77" t="s">
        <v>389</v>
      </c>
      <c r="C67" s="77" t="s">
        <v>390</v>
      </c>
      <c r="D67" s="77" t="s">
        <v>391</v>
      </c>
      <c r="E67" s="74" t="s">
        <v>744</v>
      </c>
      <c r="F67" s="74" t="s">
        <v>744</v>
      </c>
      <c r="G67" s="36" t="s">
        <v>746</v>
      </c>
      <c r="H67" s="75" t="s">
        <v>742</v>
      </c>
    </row>
    <row r="68">
      <c r="A68" s="29" t="s">
        <v>808</v>
      </c>
      <c r="B68" s="79" t="s">
        <v>393</v>
      </c>
      <c r="C68" s="80" t="s">
        <v>939</v>
      </c>
      <c r="D68" s="79" t="s">
        <v>395</v>
      </c>
      <c r="E68" s="70" t="s">
        <v>744</v>
      </c>
      <c r="F68" s="30" t="s">
        <v>746</v>
      </c>
      <c r="G68" s="30" t="s">
        <v>744</v>
      </c>
      <c r="H68" s="71" t="s">
        <v>742</v>
      </c>
    </row>
    <row r="69">
      <c r="A69" s="35" t="s">
        <v>809</v>
      </c>
      <c r="B69" s="77" t="s">
        <v>397</v>
      </c>
      <c r="C69" s="78" t="s">
        <v>940</v>
      </c>
      <c r="D69" s="77" t="s">
        <v>399</v>
      </c>
      <c r="E69" s="74" t="s">
        <v>744</v>
      </c>
      <c r="F69" s="36" t="s">
        <v>750</v>
      </c>
      <c r="G69" s="36" t="s">
        <v>746</v>
      </c>
      <c r="H69" s="75" t="s">
        <v>742</v>
      </c>
    </row>
    <row r="70">
      <c r="A70" s="29" t="s">
        <v>810</v>
      </c>
      <c r="B70" s="79" t="s">
        <v>413</v>
      </c>
      <c r="C70" s="79" t="s">
        <v>414</v>
      </c>
      <c r="D70" s="79" t="s">
        <v>421</v>
      </c>
      <c r="E70" s="70" t="s">
        <v>742</v>
      </c>
      <c r="F70" s="30" t="s">
        <v>742</v>
      </c>
      <c r="G70" s="30" t="s">
        <v>744</v>
      </c>
      <c r="H70" s="81" t="s">
        <v>746</v>
      </c>
    </row>
    <row r="71">
      <c r="A71" s="35" t="s">
        <v>811</v>
      </c>
      <c r="B71" s="77" t="s">
        <v>424</v>
      </c>
      <c r="C71" s="77" t="s">
        <v>425</v>
      </c>
      <c r="D71" s="77" t="s">
        <v>433</v>
      </c>
      <c r="E71" s="74" t="s">
        <v>742</v>
      </c>
      <c r="F71" s="36" t="s">
        <v>744</v>
      </c>
      <c r="G71" s="36" t="s">
        <v>748</v>
      </c>
      <c r="H71" s="82" t="s">
        <v>742</v>
      </c>
    </row>
    <row r="72">
      <c r="A72" s="29" t="s">
        <v>812</v>
      </c>
      <c r="B72" s="79" t="s">
        <v>435</v>
      </c>
      <c r="C72" s="79" t="s">
        <v>436</v>
      </c>
      <c r="D72" s="79" t="s">
        <v>442</v>
      </c>
      <c r="E72" s="70" t="s">
        <v>742</v>
      </c>
      <c r="F72" s="30" t="s">
        <v>744</v>
      </c>
      <c r="G72" s="30" t="s">
        <v>742</v>
      </c>
      <c r="H72" s="81" t="s">
        <v>753</v>
      </c>
    </row>
    <row r="73">
      <c r="A73" s="35" t="s">
        <v>813</v>
      </c>
      <c r="B73" s="77" t="s">
        <v>444</v>
      </c>
      <c r="C73" s="77" t="s">
        <v>445</v>
      </c>
      <c r="D73" s="77" t="s">
        <v>449</v>
      </c>
      <c r="E73" s="74" t="s">
        <v>742</v>
      </c>
      <c r="F73" s="36" t="s">
        <v>742</v>
      </c>
      <c r="G73" s="36" t="s">
        <v>744</v>
      </c>
      <c r="H73" s="82" t="s">
        <v>753</v>
      </c>
    </row>
    <row r="74">
      <c r="A74" s="29" t="s">
        <v>814</v>
      </c>
      <c r="B74" s="79" t="s">
        <v>451</v>
      </c>
      <c r="C74" s="79" t="s">
        <v>452</v>
      </c>
      <c r="D74" s="79" t="s">
        <v>457</v>
      </c>
      <c r="E74" s="70" t="s">
        <v>742</v>
      </c>
      <c r="F74" s="30" t="s">
        <v>744</v>
      </c>
      <c r="G74" s="30" t="s">
        <v>742</v>
      </c>
      <c r="H74" s="81" t="s">
        <v>755</v>
      </c>
    </row>
    <row r="75">
      <c r="A75" s="35" t="s">
        <v>815</v>
      </c>
      <c r="B75" s="77" t="s">
        <v>459</v>
      </c>
      <c r="C75" s="77" t="s">
        <v>460</v>
      </c>
      <c r="D75" s="77" t="s">
        <v>464</v>
      </c>
      <c r="E75" s="74" t="s">
        <v>742</v>
      </c>
      <c r="F75" s="36" t="s">
        <v>748</v>
      </c>
      <c r="G75" s="36" t="s">
        <v>748</v>
      </c>
      <c r="H75" s="82" t="s">
        <v>755</v>
      </c>
    </row>
    <row r="76">
      <c r="A76" s="29" t="s">
        <v>816</v>
      </c>
      <c r="B76" s="79" t="s">
        <v>465</v>
      </c>
      <c r="C76" s="79" t="s">
        <v>466</v>
      </c>
      <c r="D76" s="79" t="s">
        <v>469</v>
      </c>
      <c r="E76" s="70" t="s">
        <v>742</v>
      </c>
      <c r="F76" s="30" t="s">
        <v>748</v>
      </c>
      <c r="G76" s="30" t="s">
        <v>748</v>
      </c>
      <c r="H76" s="81" t="s">
        <v>755</v>
      </c>
    </row>
    <row r="77">
      <c r="A77" s="35" t="s">
        <v>817</v>
      </c>
      <c r="B77" s="77" t="s">
        <v>470</v>
      </c>
      <c r="C77" s="77" t="s">
        <v>471</v>
      </c>
      <c r="D77" s="77" t="s">
        <v>477</v>
      </c>
      <c r="E77" s="74" t="s">
        <v>742</v>
      </c>
      <c r="F77" s="36" t="s">
        <v>742</v>
      </c>
      <c r="G77" s="36" t="s">
        <v>744</v>
      </c>
      <c r="H77" s="82" t="s">
        <v>746</v>
      </c>
    </row>
    <row r="78">
      <c r="A78" s="29" t="s">
        <v>818</v>
      </c>
      <c r="B78" s="79" t="s">
        <v>478</v>
      </c>
      <c r="C78" s="79" t="s">
        <v>479</v>
      </c>
      <c r="D78" s="79" t="s">
        <v>484</v>
      </c>
      <c r="E78" s="70" t="s">
        <v>742</v>
      </c>
      <c r="F78" s="30" t="s">
        <v>744</v>
      </c>
      <c r="G78" s="30" t="s">
        <v>742</v>
      </c>
      <c r="H78" s="81" t="s">
        <v>754</v>
      </c>
    </row>
    <row r="79">
      <c r="A79" s="35" t="s">
        <v>819</v>
      </c>
      <c r="B79" s="77" t="s">
        <v>485</v>
      </c>
      <c r="C79" s="77" t="s">
        <v>486</v>
      </c>
      <c r="D79" s="77" t="s">
        <v>491</v>
      </c>
      <c r="E79" s="74" t="s">
        <v>742</v>
      </c>
      <c r="F79" s="36" t="s">
        <v>744</v>
      </c>
      <c r="G79" s="36" t="s">
        <v>742</v>
      </c>
      <c r="H79" s="82" t="s">
        <v>755</v>
      </c>
    </row>
    <row r="80">
      <c r="A80" s="29" t="s">
        <v>820</v>
      </c>
      <c r="B80" s="79" t="s">
        <v>492</v>
      </c>
      <c r="C80" s="79" t="s">
        <v>493</v>
      </c>
      <c r="D80" s="79" t="s">
        <v>497</v>
      </c>
      <c r="E80" s="70" t="s">
        <v>742</v>
      </c>
      <c r="F80" s="70" t="s">
        <v>746</v>
      </c>
      <c r="G80" s="30" t="s">
        <v>742</v>
      </c>
      <c r="H80" s="81" t="s">
        <v>756</v>
      </c>
    </row>
    <row r="81">
      <c r="A81" s="35" t="s">
        <v>821</v>
      </c>
      <c r="B81" s="77" t="s">
        <v>498</v>
      </c>
      <c r="C81" s="78" t="s">
        <v>941</v>
      </c>
      <c r="D81" s="77" t="s">
        <v>504</v>
      </c>
      <c r="E81" s="74" t="s">
        <v>742</v>
      </c>
      <c r="F81" s="36" t="s">
        <v>748</v>
      </c>
      <c r="G81" s="36" t="s">
        <v>748</v>
      </c>
      <c r="H81" s="82" t="s">
        <v>748</v>
      </c>
    </row>
    <row r="82">
      <c r="A82" s="29" t="s">
        <v>822</v>
      </c>
      <c r="B82" s="79" t="s">
        <v>506</v>
      </c>
      <c r="C82" s="79" t="s">
        <v>507</v>
      </c>
      <c r="D82" s="79" t="s">
        <v>513</v>
      </c>
      <c r="E82" s="70" t="s">
        <v>742</v>
      </c>
      <c r="F82" s="70" t="s">
        <v>746</v>
      </c>
      <c r="G82" s="30" t="s">
        <v>742</v>
      </c>
      <c r="H82" s="81" t="s">
        <v>744</v>
      </c>
    </row>
    <row r="83">
      <c r="A83" s="35" t="s">
        <v>823</v>
      </c>
      <c r="B83" s="77" t="s">
        <v>515</v>
      </c>
      <c r="C83" s="77" t="s">
        <v>516</v>
      </c>
      <c r="D83" s="77" t="s">
        <v>520</v>
      </c>
      <c r="E83" s="74" t="s">
        <v>742</v>
      </c>
      <c r="F83" s="36" t="s">
        <v>748</v>
      </c>
      <c r="G83" s="36" t="s">
        <v>744</v>
      </c>
      <c r="H83" s="82" t="s">
        <v>744</v>
      </c>
    </row>
    <row r="84">
      <c r="A84" s="29" t="s">
        <v>824</v>
      </c>
      <c r="B84" s="79" t="s">
        <v>521</v>
      </c>
      <c r="C84" s="79" t="s">
        <v>522</v>
      </c>
      <c r="D84" s="79" t="s">
        <v>135</v>
      </c>
      <c r="E84" s="70" t="s">
        <v>742</v>
      </c>
      <c r="F84" s="70" t="s">
        <v>752</v>
      </c>
      <c r="G84" s="30" t="s">
        <v>744</v>
      </c>
      <c r="H84" s="81" t="s">
        <v>742</v>
      </c>
    </row>
    <row r="85">
      <c r="A85" s="35" t="s">
        <v>825</v>
      </c>
      <c r="B85" s="77" t="s">
        <v>527</v>
      </c>
      <c r="C85" s="78" t="s">
        <v>942</v>
      </c>
      <c r="D85" s="77" t="s">
        <v>150</v>
      </c>
      <c r="E85" s="74" t="s">
        <v>742</v>
      </c>
      <c r="F85" s="36" t="s">
        <v>744</v>
      </c>
      <c r="G85" s="36" t="s">
        <v>742</v>
      </c>
      <c r="H85" s="82" t="s">
        <v>746</v>
      </c>
    </row>
    <row r="86">
      <c r="A86" s="29" t="s">
        <v>826</v>
      </c>
      <c r="B86" s="79" t="s">
        <v>533</v>
      </c>
      <c r="C86" s="79" t="s">
        <v>534</v>
      </c>
      <c r="D86" s="79" t="s">
        <v>539</v>
      </c>
      <c r="E86" s="70" t="s">
        <v>742</v>
      </c>
      <c r="F86" s="30" t="s">
        <v>742</v>
      </c>
      <c r="G86" s="30" t="s">
        <v>742</v>
      </c>
      <c r="H86" s="81" t="s">
        <v>748</v>
      </c>
    </row>
    <row r="87">
      <c r="A87" s="35" t="s">
        <v>827</v>
      </c>
      <c r="B87" s="77" t="s">
        <v>540</v>
      </c>
      <c r="C87" s="78" t="s">
        <v>943</v>
      </c>
      <c r="D87" s="77" t="s">
        <v>157</v>
      </c>
      <c r="E87" s="74" t="s">
        <v>742</v>
      </c>
      <c r="F87" s="74" t="s">
        <v>752</v>
      </c>
      <c r="G87" s="36" t="s">
        <v>744</v>
      </c>
      <c r="H87" s="82" t="s">
        <v>752</v>
      </c>
    </row>
    <row r="88">
      <c r="A88" s="29" t="s">
        <v>828</v>
      </c>
      <c r="B88" s="79" t="s">
        <v>546</v>
      </c>
      <c r="C88" s="80" t="s">
        <v>944</v>
      </c>
      <c r="D88" s="79" t="s">
        <v>164</v>
      </c>
      <c r="E88" s="70" t="s">
        <v>742</v>
      </c>
      <c r="F88" s="70" t="s">
        <v>752</v>
      </c>
      <c r="G88" s="30" t="s">
        <v>744</v>
      </c>
      <c r="H88" s="81" t="s">
        <v>750</v>
      </c>
    </row>
    <row r="89">
      <c r="A89" s="35" t="s">
        <v>829</v>
      </c>
      <c r="B89" s="77" t="s">
        <v>552</v>
      </c>
      <c r="C89" s="78" t="s">
        <v>945</v>
      </c>
      <c r="D89" s="77" t="s">
        <v>85</v>
      </c>
      <c r="E89" s="74" t="s">
        <v>742</v>
      </c>
      <c r="F89" s="36" t="s">
        <v>744</v>
      </c>
      <c r="G89" s="36" t="s">
        <v>742</v>
      </c>
      <c r="H89" s="82" t="s">
        <v>750</v>
      </c>
    </row>
    <row r="90">
      <c r="A90" s="29" t="s">
        <v>830</v>
      </c>
      <c r="B90" s="79" t="s">
        <v>557</v>
      </c>
      <c r="C90" s="79" t="s">
        <v>558</v>
      </c>
      <c r="D90" s="79" t="s">
        <v>563</v>
      </c>
      <c r="E90" s="70" t="s">
        <v>742</v>
      </c>
      <c r="F90" s="30" t="s">
        <v>742</v>
      </c>
      <c r="G90" s="30" t="s">
        <v>742</v>
      </c>
      <c r="H90" s="81" t="s">
        <v>750</v>
      </c>
    </row>
    <row r="91">
      <c r="A91" s="35" t="s">
        <v>831</v>
      </c>
      <c r="B91" s="77" t="s">
        <v>565</v>
      </c>
      <c r="C91" s="77" t="s">
        <v>566</v>
      </c>
      <c r="D91" s="77" t="s">
        <v>570</v>
      </c>
      <c r="E91" s="74" t="s">
        <v>742</v>
      </c>
      <c r="F91" s="36" t="s">
        <v>744</v>
      </c>
      <c r="G91" s="36" t="s">
        <v>748</v>
      </c>
      <c r="H91" s="82" t="s">
        <v>746</v>
      </c>
    </row>
    <row r="92">
      <c r="A92" s="29" t="s">
        <v>832</v>
      </c>
      <c r="B92" s="79" t="s">
        <v>571</v>
      </c>
      <c r="C92" s="80" t="s">
        <v>946</v>
      </c>
      <c r="D92" s="79" t="s">
        <v>575</v>
      </c>
      <c r="E92" s="70" t="s">
        <v>742</v>
      </c>
      <c r="F92" s="70" t="s">
        <v>746</v>
      </c>
      <c r="G92" s="30" t="s">
        <v>742</v>
      </c>
      <c r="H92" s="81" t="s">
        <v>748</v>
      </c>
    </row>
    <row r="93">
      <c r="A93" s="35" t="s">
        <v>833</v>
      </c>
      <c r="B93" s="77" t="s">
        <v>576</v>
      </c>
      <c r="C93" s="78" t="s">
        <v>947</v>
      </c>
      <c r="D93" s="77" t="s">
        <v>582</v>
      </c>
      <c r="E93" s="74" t="s">
        <v>742</v>
      </c>
      <c r="F93" s="36" t="s">
        <v>744</v>
      </c>
      <c r="G93" s="36" t="s">
        <v>750</v>
      </c>
      <c r="H93" s="82" t="s">
        <v>746</v>
      </c>
    </row>
    <row r="94">
      <c r="A94" s="29" t="s">
        <v>834</v>
      </c>
      <c r="B94" s="79" t="s">
        <v>583</v>
      </c>
      <c r="C94" s="80" t="s">
        <v>948</v>
      </c>
      <c r="D94" s="79" t="s">
        <v>284</v>
      </c>
      <c r="E94" s="70" t="s">
        <v>742</v>
      </c>
      <c r="F94" s="30" t="s">
        <v>744</v>
      </c>
      <c r="G94" s="30" t="s">
        <v>742</v>
      </c>
      <c r="H94" s="81" t="s">
        <v>746</v>
      </c>
    </row>
    <row r="95">
      <c r="A95" s="35" t="s">
        <v>835</v>
      </c>
      <c r="B95" s="77" t="s">
        <v>587</v>
      </c>
      <c r="C95" s="78" t="s">
        <v>949</v>
      </c>
      <c r="D95" s="77" t="s">
        <v>593</v>
      </c>
      <c r="E95" s="74" t="s">
        <v>742</v>
      </c>
      <c r="F95" s="74" t="s">
        <v>746</v>
      </c>
      <c r="G95" s="36" t="s">
        <v>744</v>
      </c>
      <c r="H95" s="82" t="s">
        <v>748</v>
      </c>
    </row>
    <row r="96">
      <c r="A96" s="29" t="s">
        <v>836</v>
      </c>
      <c r="B96" s="79" t="s">
        <v>594</v>
      </c>
      <c r="C96" s="79" t="s">
        <v>595</v>
      </c>
      <c r="D96" s="79" t="s">
        <v>600</v>
      </c>
      <c r="E96" s="70" t="s">
        <v>742</v>
      </c>
      <c r="F96" s="30" t="s">
        <v>744</v>
      </c>
      <c r="G96" s="30" t="s">
        <v>750</v>
      </c>
      <c r="H96" s="81" t="s">
        <v>750</v>
      </c>
    </row>
    <row r="97">
      <c r="A97" s="35" t="s">
        <v>837</v>
      </c>
      <c r="B97" s="77" t="s">
        <v>601</v>
      </c>
      <c r="C97" s="77" t="s">
        <v>602</v>
      </c>
      <c r="D97" s="77" t="s">
        <v>607</v>
      </c>
      <c r="E97" s="74" t="s">
        <v>742</v>
      </c>
      <c r="F97" s="74" t="s">
        <v>746</v>
      </c>
      <c r="G97" s="36" t="s">
        <v>744</v>
      </c>
      <c r="H97" s="82" t="s">
        <v>742</v>
      </c>
    </row>
    <row r="98">
      <c r="A98" s="29" t="s">
        <v>838</v>
      </c>
      <c r="B98" s="79" t="s">
        <v>608</v>
      </c>
      <c r="C98" s="80" t="s">
        <v>950</v>
      </c>
      <c r="D98" s="79" t="s">
        <v>613</v>
      </c>
      <c r="E98" s="70" t="s">
        <v>742</v>
      </c>
      <c r="F98" s="30" t="s">
        <v>744</v>
      </c>
      <c r="G98" s="30" t="s">
        <v>742</v>
      </c>
      <c r="H98" s="81" t="s">
        <v>752</v>
      </c>
    </row>
    <row r="99">
      <c r="A99" s="35" t="s">
        <v>839</v>
      </c>
      <c r="B99" s="77" t="s">
        <v>614</v>
      </c>
      <c r="C99" s="78" t="s">
        <v>951</v>
      </c>
      <c r="D99" s="77" t="s">
        <v>620</v>
      </c>
      <c r="E99" s="74" t="s">
        <v>742</v>
      </c>
      <c r="F99" s="74" t="s">
        <v>746</v>
      </c>
      <c r="G99" s="36" t="s">
        <v>750</v>
      </c>
      <c r="H99" s="82" t="s">
        <v>742</v>
      </c>
    </row>
    <row r="100">
      <c r="A100" s="29" t="s">
        <v>840</v>
      </c>
      <c r="B100" s="79" t="s">
        <v>621</v>
      </c>
      <c r="C100" s="79" t="s">
        <v>622</v>
      </c>
      <c r="D100" s="79" t="s">
        <v>627</v>
      </c>
      <c r="E100" s="70" t="s">
        <v>742</v>
      </c>
      <c r="F100" s="30" t="s">
        <v>744</v>
      </c>
      <c r="G100" s="30" t="s">
        <v>748</v>
      </c>
      <c r="H100" s="81" t="s">
        <v>742</v>
      </c>
    </row>
    <row r="101">
      <c r="A101" s="35" t="s">
        <v>841</v>
      </c>
      <c r="B101" s="77" t="s">
        <v>628</v>
      </c>
      <c r="C101" s="77" t="s">
        <v>629</v>
      </c>
      <c r="D101" s="77" t="s">
        <v>634</v>
      </c>
      <c r="E101" s="74" t="s">
        <v>742</v>
      </c>
      <c r="F101" s="36" t="s">
        <v>748</v>
      </c>
      <c r="G101" s="36" t="s">
        <v>748</v>
      </c>
      <c r="H101" s="82" t="s">
        <v>742</v>
      </c>
    </row>
    <row r="102">
      <c r="A102" s="83" t="s">
        <v>842</v>
      </c>
      <c r="B102" s="84" t="s">
        <v>635</v>
      </c>
      <c r="C102" s="84" t="s">
        <v>636</v>
      </c>
      <c r="D102" s="84" t="s">
        <v>640</v>
      </c>
      <c r="E102" s="85" t="s">
        <v>742</v>
      </c>
      <c r="F102" s="86" t="s">
        <v>744</v>
      </c>
      <c r="G102" s="86" t="s">
        <v>742</v>
      </c>
      <c r="H102" s="87" t="s">
        <v>752</v>
      </c>
    </row>
  </sheetData>
  <dataValidations>
    <dataValidation allowBlank="1" showDropDown="1" sqref="A2:H102"/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25"/>
    <col customWidth="1" min="2" max="2" width="14.25"/>
    <col customWidth="1" min="3" max="3" width="36.5"/>
    <col customWidth="1" min="4" max="4" width="37.63"/>
    <col customWidth="1" min="5" max="5" width="16.88"/>
  </cols>
  <sheetData>
    <row r="1">
      <c r="A1" s="66" t="s">
        <v>738</v>
      </c>
      <c r="B1" s="26" t="s">
        <v>952</v>
      </c>
      <c r="C1" s="26" t="s">
        <v>953</v>
      </c>
      <c r="D1" s="26" t="s">
        <v>954</v>
      </c>
      <c r="E1" s="67" t="s">
        <v>955</v>
      </c>
    </row>
    <row r="2">
      <c r="A2" s="29" t="s">
        <v>742</v>
      </c>
      <c r="B2" s="88" t="s">
        <v>956</v>
      </c>
      <c r="C2" s="76" t="s">
        <v>644</v>
      </c>
      <c r="D2" s="76" t="s">
        <v>957</v>
      </c>
      <c r="E2" s="89" t="s">
        <v>742</v>
      </c>
    </row>
    <row r="3">
      <c r="A3" s="35" t="s">
        <v>744</v>
      </c>
      <c r="B3" s="90" t="s">
        <v>958</v>
      </c>
      <c r="C3" s="73" t="s">
        <v>959</v>
      </c>
      <c r="D3" s="73" t="s">
        <v>957</v>
      </c>
      <c r="E3" s="91" t="s">
        <v>744</v>
      </c>
    </row>
    <row r="4">
      <c r="A4" s="29" t="s">
        <v>746</v>
      </c>
      <c r="B4" s="88" t="s">
        <v>960</v>
      </c>
      <c r="C4" s="76" t="s">
        <v>648</v>
      </c>
      <c r="D4" s="76" t="s">
        <v>957</v>
      </c>
      <c r="E4" s="89" t="s">
        <v>746</v>
      </c>
    </row>
    <row r="5">
      <c r="A5" s="35" t="s">
        <v>748</v>
      </c>
      <c r="B5" s="90" t="s">
        <v>961</v>
      </c>
      <c r="C5" s="73" t="s">
        <v>650</v>
      </c>
      <c r="D5" s="73" t="s">
        <v>652</v>
      </c>
      <c r="E5" s="91" t="s">
        <v>748</v>
      </c>
    </row>
    <row r="6">
      <c r="A6" s="29" t="s">
        <v>750</v>
      </c>
      <c r="B6" s="88" t="s">
        <v>962</v>
      </c>
      <c r="C6" s="76" t="s">
        <v>653</v>
      </c>
      <c r="D6" s="76" t="s">
        <v>957</v>
      </c>
      <c r="E6" s="89" t="s">
        <v>748</v>
      </c>
    </row>
    <row r="7">
      <c r="A7" s="35" t="s">
        <v>752</v>
      </c>
      <c r="B7" s="90" t="s">
        <v>963</v>
      </c>
      <c r="C7" s="73" t="s">
        <v>654</v>
      </c>
      <c r="D7" s="73" t="s">
        <v>957</v>
      </c>
      <c r="E7" s="91" t="s">
        <v>748</v>
      </c>
    </row>
    <row r="8">
      <c r="A8" s="29" t="s">
        <v>753</v>
      </c>
      <c r="B8" s="88" t="s">
        <v>964</v>
      </c>
      <c r="C8" s="76" t="s">
        <v>655</v>
      </c>
      <c r="D8" s="76" t="s">
        <v>957</v>
      </c>
      <c r="E8" s="89" t="s">
        <v>748</v>
      </c>
    </row>
    <row r="9">
      <c r="A9" s="35" t="s">
        <v>754</v>
      </c>
      <c r="B9" s="90" t="s">
        <v>965</v>
      </c>
      <c r="C9" s="73" t="s">
        <v>656</v>
      </c>
      <c r="D9" s="73" t="s">
        <v>957</v>
      </c>
      <c r="E9" s="91" t="s">
        <v>748</v>
      </c>
    </row>
    <row r="10">
      <c r="A10" s="29" t="s">
        <v>755</v>
      </c>
      <c r="B10" s="88" t="s">
        <v>966</v>
      </c>
      <c r="C10" s="76" t="s">
        <v>967</v>
      </c>
      <c r="D10" s="76" t="s">
        <v>658</v>
      </c>
      <c r="E10" s="89" t="s">
        <v>748</v>
      </c>
    </row>
    <row r="11">
      <c r="A11" s="35" t="s">
        <v>756</v>
      </c>
      <c r="B11" s="90" t="s">
        <v>968</v>
      </c>
      <c r="C11" s="73" t="s">
        <v>659</v>
      </c>
      <c r="D11" s="73" t="s">
        <v>660</v>
      </c>
      <c r="E11" s="91" t="s">
        <v>748</v>
      </c>
    </row>
    <row r="12">
      <c r="A12" s="29" t="s">
        <v>758</v>
      </c>
      <c r="B12" s="88" t="s">
        <v>969</v>
      </c>
      <c r="C12" s="76" t="s">
        <v>661</v>
      </c>
      <c r="D12" s="76" t="s">
        <v>662</v>
      </c>
      <c r="E12" s="89" t="s">
        <v>748</v>
      </c>
    </row>
    <row r="13">
      <c r="A13" s="35" t="s">
        <v>759</v>
      </c>
      <c r="B13" s="90" t="s">
        <v>970</v>
      </c>
      <c r="C13" s="73" t="s">
        <v>663</v>
      </c>
      <c r="D13" s="73" t="s">
        <v>971</v>
      </c>
      <c r="E13" s="91" t="s">
        <v>748</v>
      </c>
    </row>
    <row r="14">
      <c r="A14" s="29" t="s">
        <v>760</v>
      </c>
      <c r="B14" s="88" t="s">
        <v>972</v>
      </c>
      <c r="C14" s="76" t="s">
        <v>665</v>
      </c>
      <c r="D14" s="76" t="s">
        <v>973</v>
      </c>
      <c r="E14" s="89" t="s">
        <v>748</v>
      </c>
    </row>
    <row r="15">
      <c r="A15" s="35" t="s">
        <v>761</v>
      </c>
      <c r="B15" s="90" t="s">
        <v>974</v>
      </c>
      <c r="C15" s="73" t="s">
        <v>667</v>
      </c>
      <c r="D15" s="73" t="s">
        <v>975</v>
      </c>
      <c r="E15" s="91" t="s">
        <v>748</v>
      </c>
    </row>
    <row r="16">
      <c r="A16" s="29" t="s">
        <v>762</v>
      </c>
      <c r="B16" s="88" t="s">
        <v>976</v>
      </c>
      <c r="C16" s="76" t="s">
        <v>669</v>
      </c>
      <c r="D16" s="76" t="s">
        <v>670</v>
      </c>
      <c r="E16" s="89" t="s">
        <v>748</v>
      </c>
    </row>
    <row r="17">
      <c r="A17" s="35" t="s">
        <v>763</v>
      </c>
      <c r="B17" s="90" t="s">
        <v>977</v>
      </c>
      <c r="C17" s="73" t="s">
        <v>671</v>
      </c>
      <c r="D17" s="73" t="s">
        <v>673</v>
      </c>
      <c r="E17" s="91" t="s">
        <v>750</v>
      </c>
    </row>
    <row r="18">
      <c r="A18" s="29" t="s">
        <v>764</v>
      </c>
      <c r="B18" s="88" t="s">
        <v>978</v>
      </c>
      <c r="C18" s="76" t="s">
        <v>674</v>
      </c>
      <c r="D18" s="76" t="s">
        <v>979</v>
      </c>
      <c r="E18" s="89" t="s">
        <v>750</v>
      </c>
    </row>
    <row r="19">
      <c r="A19" s="35" t="s">
        <v>765</v>
      </c>
      <c r="B19" s="90" t="s">
        <v>980</v>
      </c>
      <c r="C19" s="73" t="s">
        <v>676</v>
      </c>
      <c r="D19" s="73" t="s">
        <v>981</v>
      </c>
      <c r="E19" s="91" t="s">
        <v>750</v>
      </c>
    </row>
    <row r="20">
      <c r="A20" s="29" t="s">
        <v>743</v>
      </c>
      <c r="B20" s="88" t="s">
        <v>982</v>
      </c>
      <c r="C20" s="76" t="s">
        <v>983</v>
      </c>
      <c r="D20" s="76" t="s">
        <v>984</v>
      </c>
      <c r="E20" s="89" t="s">
        <v>750</v>
      </c>
    </row>
    <row r="21">
      <c r="A21" s="35" t="s">
        <v>766</v>
      </c>
      <c r="B21" s="90" t="s">
        <v>985</v>
      </c>
      <c r="C21" s="73" t="s">
        <v>680</v>
      </c>
      <c r="D21" s="73" t="s">
        <v>681</v>
      </c>
      <c r="E21" s="91" t="s">
        <v>750</v>
      </c>
    </row>
    <row r="22">
      <c r="A22" s="29" t="s">
        <v>745</v>
      </c>
      <c r="B22" s="88" t="s">
        <v>986</v>
      </c>
      <c r="C22" s="76" t="s">
        <v>987</v>
      </c>
      <c r="D22" s="76" t="s">
        <v>683</v>
      </c>
      <c r="E22" s="89" t="s">
        <v>750</v>
      </c>
    </row>
    <row r="23">
      <c r="A23" s="35" t="s">
        <v>767</v>
      </c>
      <c r="B23" s="90" t="s">
        <v>988</v>
      </c>
      <c r="C23" s="73" t="s">
        <v>684</v>
      </c>
      <c r="D23" s="73" t="s">
        <v>989</v>
      </c>
      <c r="E23" s="91" t="s">
        <v>750</v>
      </c>
    </row>
    <row r="24">
      <c r="A24" s="29" t="s">
        <v>768</v>
      </c>
      <c r="B24" s="88" t="s">
        <v>990</v>
      </c>
      <c r="C24" s="76" t="s">
        <v>991</v>
      </c>
      <c r="D24" s="76" t="s">
        <v>687</v>
      </c>
      <c r="E24" s="89" t="s">
        <v>750</v>
      </c>
    </row>
    <row r="25">
      <c r="A25" s="35" t="s">
        <v>747</v>
      </c>
      <c r="B25" s="90" t="s">
        <v>992</v>
      </c>
      <c r="C25" s="73" t="s">
        <v>993</v>
      </c>
      <c r="D25" s="73" t="s">
        <v>994</v>
      </c>
      <c r="E25" s="91" t="s">
        <v>750</v>
      </c>
    </row>
    <row r="26">
      <c r="A26" s="29" t="s">
        <v>769</v>
      </c>
      <c r="B26" s="88" t="s">
        <v>995</v>
      </c>
      <c r="C26" s="76" t="s">
        <v>690</v>
      </c>
      <c r="D26" s="76" t="s">
        <v>691</v>
      </c>
      <c r="E26" s="89" t="s">
        <v>750</v>
      </c>
    </row>
    <row r="27">
      <c r="A27" s="35" t="s">
        <v>770</v>
      </c>
      <c r="B27" s="90" t="s">
        <v>996</v>
      </c>
      <c r="C27" s="73" t="s">
        <v>997</v>
      </c>
      <c r="D27" s="73" t="s">
        <v>693</v>
      </c>
      <c r="E27" s="91" t="s">
        <v>750</v>
      </c>
    </row>
    <row r="28">
      <c r="A28" s="29" t="s">
        <v>749</v>
      </c>
      <c r="B28" s="88" t="s">
        <v>998</v>
      </c>
      <c r="C28" s="76" t="s">
        <v>694</v>
      </c>
      <c r="D28" s="76" t="s">
        <v>695</v>
      </c>
      <c r="E28" s="89" t="s">
        <v>750</v>
      </c>
    </row>
    <row r="29">
      <c r="A29" s="35" t="s">
        <v>771</v>
      </c>
      <c r="B29" s="90" t="s">
        <v>999</v>
      </c>
      <c r="C29" s="73" t="s">
        <v>1000</v>
      </c>
      <c r="D29" s="73" t="s">
        <v>1001</v>
      </c>
      <c r="E29" s="91" t="s">
        <v>750</v>
      </c>
    </row>
    <row r="30">
      <c r="A30" s="29" t="s">
        <v>772</v>
      </c>
      <c r="B30" s="88" t="s">
        <v>1002</v>
      </c>
      <c r="C30" s="76" t="s">
        <v>698</v>
      </c>
      <c r="D30" s="76" t="s">
        <v>699</v>
      </c>
      <c r="E30" s="89" t="s">
        <v>750</v>
      </c>
    </row>
    <row r="31">
      <c r="A31" s="35" t="s">
        <v>773</v>
      </c>
      <c r="B31" s="90" t="s">
        <v>1003</v>
      </c>
      <c r="C31" s="73" t="s">
        <v>700</v>
      </c>
      <c r="D31" s="73" t="s">
        <v>701</v>
      </c>
      <c r="E31" s="91" t="s">
        <v>750</v>
      </c>
    </row>
    <row r="32">
      <c r="A32" s="29" t="s">
        <v>774</v>
      </c>
      <c r="B32" s="88" t="s">
        <v>1004</v>
      </c>
      <c r="C32" s="76" t="s">
        <v>702</v>
      </c>
      <c r="D32" s="76" t="s">
        <v>703</v>
      </c>
      <c r="E32" s="89" t="s">
        <v>750</v>
      </c>
    </row>
    <row r="33">
      <c r="A33" s="35" t="s">
        <v>775</v>
      </c>
      <c r="B33" s="90" t="s">
        <v>1005</v>
      </c>
      <c r="C33" s="73" t="s">
        <v>704</v>
      </c>
      <c r="D33" s="73" t="s">
        <v>705</v>
      </c>
      <c r="E33" s="91" t="s">
        <v>750</v>
      </c>
    </row>
    <row r="34">
      <c r="A34" s="29" t="s">
        <v>776</v>
      </c>
      <c r="B34" s="88" t="s">
        <v>1006</v>
      </c>
      <c r="C34" s="76" t="s">
        <v>1007</v>
      </c>
      <c r="D34" s="76" t="s">
        <v>707</v>
      </c>
      <c r="E34" s="89" t="s">
        <v>750</v>
      </c>
    </row>
    <row r="35">
      <c r="A35" s="35" t="s">
        <v>777</v>
      </c>
      <c r="B35" s="90" t="s">
        <v>1008</v>
      </c>
      <c r="C35" s="73" t="s">
        <v>1009</v>
      </c>
      <c r="D35" s="73" t="s">
        <v>709</v>
      </c>
      <c r="E35" s="91" t="s">
        <v>750</v>
      </c>
    </row>
    <row r="36">
      <c r="A36" s="29" t="s">
        <v>778</v>
      </c>
      <c r="B36" s="88" t="s">
        <v>1010</v>
      </c>
      <c r="C36" s="76" t="s">
        <v>1011</v>
      </c>
      <c r="D36" s="76" t="s">
        <v>1012</v>
      </c>
      <c r="E36" s="89" t="s">
        <v>750</v>
      </c>
    </row>
    <row r="37">
      <c r="A37" s="35" t="s">
        <v>757</v>
      </c>
      <c r="B37" s="90" t="s">
        <v>1013</v>
      </c>
      <c r="C37" s="73" t="s">
        <v>712</v>
      </c>
      <c r="D37" s="73" t="s">
        <v>713</v>
      </c>
      <c r="E37" s="91" t="s">
        <v>750</v>
      </c>
    </row>
    <row r="38">
      <c r="A38" s="29" t="s">
        <v>779</v>
      </c>
      <c r="B38" s="88" t="s">
        <v>1014</v>
      </c>
      <c r="C38" s="76" t="s">
        <v>714</v>
      </c>
      <c r="D38" s="76" t="s">
        <v>715</v>
      </c>
      <c r="E38" s="89" t="s">
        <v>750</v>
      </c>
    </row>
    <row r="39">
      <c r="A39" s="35" t="s">
        <v>751</v>
      </c>
      <c r="B39" s="90" t="s">
        <v>1015</v>
      </c>
      <c r="C39" s="73" t="s">
        <v>716</v>
      </c>
      <c r="D39" s="73" t="s">
        <v>1016</v>
      </c>
      <c r="E39" s="91" t="s">
        <v>750</v>
      </c>
    </row>
    <row r="40">
      <c r="A40" s="29" t="s">
        <v>780</v>
      </c>
      <c r="B40" s="88" t="s">
        <v>1017</v>
      </c>
      <c r="C40" s="76" t="s">
        <v>718</v>
      </c>
      <c r="D40" s="76" t="s">
        <v>720</v>
      </c>
      <c r="E40" s="89" t="s">
        <v>752</v>
      </c>
    </row>
    <row r="41">
      <c r="A41" s="35" t="s">
        <v>781</v>
      </c>
      <c r="B41" s="90" t="s">
        <v>1018</v>
      </c>
      <c r="C41" s="73" t="s">
        <v>721</v>
      </c>
      <c r="D41" s="73" t="s">
        <v>957</v>
      </c>
      <c r="E41" s="91" t="s">
        <v>752</v>
      </c>
    </row>
    <row r="42">
      <c r="A42" s="29" t="s">
        <v>782</v>
      </c>
      <c r="B42" s="88" t="s">
        <v>1019</v>
      </c>
      <c r="C42" s="76" t="s">
        <v>722</v>
      </c>
      <c r="D42" s="76" t="s">
        <v>723</v>
      </c>
      <c r="E42" s="89" t="s">
        <v>752</v>
      </c>
    </row>
    <row r="43">
      <c r="A43" s="35" t="s">
        <v>783</v>
      </c>
      <c r="B43" s="90" t="s">
        <v>1020</v>
      </c>
      <c r="C43" s="73" t="s">
        <v>724</v>
      </c>
      <c r="D43" s="73" t="s">
        <v>957</v>
      </c>
      <c r="E43" s="91" t="s">
        <v>752</v>
      </c>
    </row>
    <row r="44">
      <c r="A44" s="29" t="s">
        <v>784</v>
      </c>
      <c r="B44" s="88" t="s">
        <v>1021</v>
      </c>
      <c r="C44" s="76" t="s">
        <v>725</v>
      </c>
      <c r="D44" s="76" t="s">
        <v>726</v>
      </c>
      <c r="E44" s="89" t="s">
        <v>752</v>
      </c>
    </row>
    <row r="45">
      <c r="A45" s="40" t="s">
        <v>785</v>
      </c>
      <c r="B45" s="92" t="s">
        <v>1022</v>
      </c>
      <c r="C45" s="93" t="s">
        <v>727</v>
      </c>
      <c r="D45" s="93" t="s">
        <v>728</v>
      </c>
      <c r="E45" s="94" t="s">
        <v>752</v>
      </c>
    </row>
  </sheetData>
  <dataValidations>
    <dataValidation allowBlank="1" showDropDown="1" sqref="A2:E45"/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2" width="13.38"/>
    <col customWidth="1" min="3" max="3" width="16.5"/>
    <col customWidth="1" min="4" max="4" width="16.88"/>
    <col customWidth="1" min="5" max="5" width="21.75"/>
    <col customWidth="1" min="6" max="6" width="13.88"/>
    <col customWidth="1" min="7" max="7" width="15.5"/>
  </cols>
  <sheetData>
    <row r="1">
      <c r="A1" s="66" t="s">
        <v>1023</v>
      </c>
      <c r="B1" s="26" t="s">
        <v>737</v>
      </c>
      <c r="C1" s="26" t="s">
        <v>1024</v>
      </c>
      <c r="D1" s="26" t="s">
        <v>1025</v>
      </c>
      <c r="E1" s="47" t="s">
        <v>1026</v>
      </c>
      <c r="F1" s="26" t="s">
        <v>1027</v>
      </c>
      <c r="G1" s="26" t="s">
        <v>1028</v>
      </c>
      <c r="H1" s="67" t="s">
        <v>1029</v>
      </c>
    </row>
    <row r="2">
      <c r="A2" s="95" t="s">
        <v>742</v>
      </c>
      <c r="B2" s="96" t="s">
        <v>810</v>
      </c>
      <c r="C2" s="97">
        <v>44838.0</v>
      </c>
      <c r="D2" s="98" t="s">
        <v>1030</v>
      </c>
      <c r="E2" s="99">
        <f t="shared" ref="E2:E34" si="1">IF(F2="NO",D2-C2,TODAY()-C2)</f>
        <v>686</v>
      </c>
      <c r="F2" s="100" t="s">
        <v>422</v>
      </c>
      <c r="G2" s="101" t="s">
        <v>744</v>
      </c>
      <c r="H2" s="89" t="s">
        <v>742</v>
      </c>
    </row>
    <row r="3">
      <c r="A3" s="102" t="s">
        <v>744</v>
      </c>
      <c r="B3" s="103" t="s">
        <v>811</v>
      </c>
      <c r="C3" s="104">
        <v>43686.0</v>
      </c>
      <c r="D3" s="73" t="s">
        <v>1031</v>
      </c>
      <c r="E3" s="105">
        <f t="shared" si="1"/>
        <v>1940</v>
      </c>
      <c r="F3" s="106" t="s">
        <v>434</v>
      </c>
      <c r="G3" s="107" t="s">
        <v>744</v>
      </c>
      <c r="H3" s="91" t="s">
        <v>744</v>
      </c>
    </row>
    <row r="4">
      <c r="A4" s="95" t="s">
        <v>746</v>
      </c>
      <c r="B4" s="96" t="s">
        <v>812</v>
      </c>
      <c r="C4" s="97">
        <v>43953.0</v>
      </c>
      <c r="D4" s="96" t="s">
        <v>1032</v>
      </c>
      <c r="E4" s="99">
        <f t="shared" si="1"/>
        <v>1521</v>
      </c>
      <c r="F4" s="100" t="s">
        <v>422</v>
      </c>
      <c r="G4" s="101" t="s">
        <v>750</v>
      </c>
      <c r="H4" s="89" t="s">
        <v>742</v>
      </c>
    </row>
    <row r="5">
      <c r="A5" s="102" t="s">
        <v>748</v>
      </c>
      <c r="B5" s="103" t="s">
        <v>813</v>
      </c>
      <c r="C5" s="104">
        <v>43801.0</v>
      </c>
      <c r="D5" s="73" t="s">
        <v>1031</v>
      </c>
      <c r="E5" s="105">
        <f t="shared" si="1"/>
        <v>1825</v>
      </c>
      <c r="F5" s="106" t="s">
        <v>434</v>
      </c>
      <c r="G5" s="107" t="s">
        <v>746</v>
      </c>
      <c r="H5" s="91" t="s">
        <v>742</v>
      </c>
    </row>
    <row r="6">
      <c r="A6" s="95" t="s">
        <v>750</v>
      </c>
      <c r="B6" s="96" t="s">
        <v>814</v>
      </c>
      <c r="C6" s="97">
        <v>43690.0</v>
      </c>
      <c r="D6" s="76" t="s">
        <v>1031</v>
      </c>
      <c r="E6" s="99">
        <f t="shared" si="1"/>
        <v>1936</v>
      </c>
      <c r="F6" s="108" t="s">
        <v>434</v>
      </c>
      <c r="G6" s="101" t="s">
        <v>742</v>
      </c>
      <c r="H6" s="89" t="s">
        <v>744</v>
      </c>
    </row>
    <row r="7">
      <c r="A7" s="102" t="s">
        <v>752</v>
      </c>
      <c r="B7" s="103" t="s">
        <v>815</v>
      </c>
      <c r="C7" s="104">
        <v>44582.0</v>
      </c>
      <c r="D7" s="73" t="s">
        <v>1031</v>
      </c>
      <c r="E7" s="105">
        <f t="shared" si="1"/>
        <v>1044</v>
      </c>
      <c r="F7" s="106" t="s">
        <v>434</v>
      </c>
      <c r="G7" s="107" t="s">
        <v>746</v>
      </c>
      <c r="H7" s="91" t="s">
        <v>744</v>
      </c>
    </row>
    <row r="8">
      <c r="A8" s="95" t="s">
        <v>753</v>
      </c>
      <c r="B8" s="96" t="s">
        <v>816</v>
      </c>
      <c r="C8" s="97">
        <v>43851.0</v>
      </c>
      <c r="D8" s="98" t="s">
        <v>1033</v>
      </c>
      <c r="E8" s="99">
        <f t="shared" si="1"/>
        <v>704</v>
      </c>
      <c r="F8" s="100" t="s">
        <v>422</v>
      </c>
      <c r="G8" s="101" t="s">
        <v>746</v>
      </c>
      <c r="H8" s="89" t="s">
        <v>744</v>
      </c>
    </row>
    <row r="9">
      <c r="A9" s="102" t="s">
        <v>754</v>
      </c>
      <c r="B9" s="103" t="s">
        <v>817</v>
      </c>
      <c r="C9" s="104">
        <v>44187.0</v>
      </c>
      <c r="D9" s="73" t="s">
        <v>1031</v>
      </c>
      <c r="E9" s="105">
        <f t="shared" si="1"/>
        <v>1439</v>
      </c>
      <c r="F9" s="106" t="s">
        <v>434</v>
      </c>
      <c r="G9" s="107" t="s">
        <v>744</v>
      </c>
      <c r="H9" s="91" t="s">
        <v>746</v>
      </c>
    </row>
    <row r="10">
      <c r="A10" s="95" t="s">
        <v>755</v>
      </c>
      <c r="B10" s="96" t="s">
        <v>818</v>
      </c>
      <c r="C10" s="97">
        <v>43457.0</v>
      </c>
      <c r="D10" s="76" t="s">
        <v>1031</v>
      </c>
      <c r="E10" s="99">
        <f t="shared" si="1"/>
        <v>2169</v>
      </c>
      <c r="F10" s="108" t="s">
        <v>434</v>
      </c>
      <c r="G10" s="101" t="s">
        <v>742</v>
      </c>
      <c r="H10" s="89" t="s">
        <v>742</v>
      </c>
    </row>
    <row r="11">
      <c r="A11" s="102" t="s">
        <v>756</v>
      </c>
      <c r="B11" s="103" t="s">
        <v>819</v>
      </c>
      <c r="C11" s="104">
        <v>43854.0</v>
      </c>
      <c r="D11" s="103" t="s">
        <v>1034</v>
      </c>
      <c r="E11" s="105">
        <f t="shared" si="1"/>
        <v>1470</v>
      </c>
      <c r="F11" s="109" t="s">
        <v>422</v>
      </c>
      <c r="G11" s="107" t="s">
        <v>746</v>
      </c>
      <c r="H11" s="91" t="s">
        <v>742</v>
      </c>
    </row>
    <row r="12">
      <c r="A12" s="95" t="s">
        <v>758</v>
      </c>
      <c r="B12" s="96" t="s">
        <v>820</v>
      </c>
      <c r="C12" s="97">
        <v>44951.0</v>
      </c>
      <c r="D12" s="76" t="s">
        <v>1031</v>
      </c>
      <c r="E12" s="99">
        <f t="shared" si="1"/>
        <v>675</v>
      </c>
      <c r="F12" s="108" t="s">
        <v>434</v>
      </c>
      <c r="G12" s="101" t="s">
        <v>744</v>
      </c>
      <c r="H12" s="89" t="s">
        <v>742</v>
      </c>
    </row>
    <row r="13">
      <c r="A13" s="102" t="s">
        <v>759</v>
      </c>
      <c r="B13" s="103" t="s">
        <v>821</v>
      </c>
      <c r="C13" s="104">
        <v>43126.0</v>
      </c>
      <c r="D13" s="73" t="s">
        <v>1031</v>
      </c>
      <c r="E13" s="105">
        <f t="shared" si="1"/>
        <v>2500</v>
      </c>
      <c r="F13" s="106" t="s">
        <v>434</v>
      </c>
      <c r="G13" s="107" t="s">
        <v>742</v>
      </c>
      <c r="H13" s="91" t="s">
        <v>744</v>
      </c>
    </row>
    <row r="14">
      <c r="A14" s="95" t="s">
        <v>760</v>
      </c>
      <c r="B14" s="96" t="s">
        <v>822</v>
      </c>
      <c r="C14" s="97">
        <v>43101.0</v>
      </c>
      <c r="D14" s="76" t="s">
        <v>1031</v>
      </c>
      <c r="E14" s="99">
        <f t="shared" si="1"/>
        <v>2525</v>
      </c>
      <c r="F14" s="108" t="s">
        <v>434</v>
      </c>
      <c r="G14" s="101" t="s">
        <v>748</v>
      </c>
      <c r="H14" s="89" t="s">
        <v>742</v>
      </c>
    </row>
    <row r="15">
      <c r="A15" s="102" t="s">
        <v>761</v>
      </c>
      <c r="B15" s="103" t="s">
        <v>823</v>
      </c>
      <c r="C15" s="104">
        <v>44198.0</v>
      </c>
      <c r="D15" s="73" t="s">
        <v>1031</v>
      </c>
      <c r="E15" s="105">
        <f t="shared" si="1"/>
        <v>1428</v>
      </c>
      <c r="F15" s="106" t="s">
        <v>434</v>
      </c>
      <c r="G15" s="107" t="s">
        <v>746</v>
      </c>
      <c r="H15" s="91" t="s">
        <v>748</v>
      </c>
    </row>
    <row r="16">
      <c r="A16" s="95" t="s">
        <v>762</v>
      </c>
      <c r="B16" s="96" t="s">
        <v>824</v>
      </c>
      <c r="C16" s="97">
        <v>45323.0</v>
      </c>
      <c r="D16" s="76" t="s">
        <v>1031</v>
      </c>
      <c r="E16" s="99">
        <f t="shared" si="1"/>
        <v>303</v>
      </c>
      <c r="F16" s="108" t="s">
        <v>434</v>
      </c>
      <c r="G16" s="101" t="s">
        <v>746</v>
      </c>
      <c r="H16" s="89" t="s">
        <v>748</v>
      </c>
    </row>
    <row r="17">
      <c r="A17" s="102" t="s">
        <v>763</v>
      </c>
      <c r="B17" s="103" t="s">
        <v>825</v>
      </c>
      <c r="C17" s="104">
        <v>45324.0</v>
      </c>
      <c r="D17" s="73" t="s">
        <v>1031</v>
      </c>
      <c r="E17" s="105">
        <f t="shared" si="1"/>
        <v>302</v>
      </c>
      <c r="F17" s="106" t="s">
        <v>434</v>
      </c>
      <c r="G17" s="107" t="s">
        <v>746</v>
      </c>
      <c r="H17" s="91" t="s">
        <v>742</v>
      </c>
    </row>
    <row r="18">
      <c r="A18" s="95" t="s">
        <v>764</v>
      </c>
      <c r="B18" s="96" t="s">
        <v>826</v>
      </c>
      <c r="C18" s="97">
        <v>45325.0</v>
      </c>
      <c r="D18" s="76" t="s">
        <v>1031</v>
      </c>
      <c r="E18" s="99">
        <f t="shared" si="1"/>
        <v>301</v>
      </c>
      <c r="F18" s="108" t="s">
        <v>434</v>
      </c>
      <c r="G18" s="101" t="s">
        <v>746</v>
      </c>
      <c r="H18" s="89" t="s">
        <v>742</v>
      </c>
    </row>
    <row r="19">
      <c r="A19" s="102" t="s">
        <v>765</v>
      </c>
      <c r="B19" s="103" t="s">
        <v>827</v>
      </c>
      <c r="C19" s="110">
        <v>45295.0</v>
      </c>
      <c r="D19" s="73" t="s">
        <v>1031</v>
      </c>
      <c r="E19" s="105">
        <f t="shared" si="1"/>
        <v>331</v>
      </c>
      <c r="F19" s="106" t="s">
        <v>434</v>
      </c>
      <c r="G19" s="107" t="s">
        <v>746</v>
      </c>
      <c r="H19" s="91" t="s">
        <v>748</v>
      </c>
    </row>
    <row r="20">
      <c r="A20" s="95" t="s">
        <v>743</v>
      </c>
      <c r="B20" s="96" t="s">
        <v>828</v>
      </c>
      <c r="C20" s="97">
        <v>45327.0</v>
      </c>
      <c r="D20" s="76" t="s">
        <v>1031</v>
      </c>
      <c r="E20" s="99">
        <f t="shared" si="1"/>
        <v>299</v>
      </c>
      <c r="F20" s="108" t="s">
        <v>434</v>
      </c>
      <c r="G20" s="101" t="s">
        <v>746</v>
      </c>
      <c r="H20" s="89" t="s">
        <v>748</v>
      </c>
    </row>
    <row r="21">
      <c r="A21" s="102" t="s">
        <v>766</v>
      </c>
      <c r="B21" s="103" t="s">
        <v>829</v>
      </c>
      <c r="C21" s="104">
        <v>44927.0</v>
      </c>
      <c r="D21" s="73" t="s">
        <v>1031</v>
      </c>
      <c r="E21" s="105">
        <f t="shared" si="1"/>
        <v>699</v>
      </c>
      <c r="F21" s="106" t="s">
        <v>434</v>
      </c>
      <c r="G21" s="107" t="s">
        <v>746</v>
      </c>
      <c r="H21" s="91" t="s">
        <v>742</v>
      </c>
    </row>
    <row r="22">
      <c r="A22" s="95" t="s">
        <v>745</v>
      </c>
      <c r="B22" s="96" t="s">
        <v>830</v>
      </c>
      <c r="C22" s="97">
        <v>44928.0</v>
      </c>
      <c r="D22" s="76" t="s">
        <v>1031</v>
      </c>
      <c r="E22" s="99">
        <f t="shared" si="1"/>
        <v>698</v>
      </c>
      <c r="F22" s="108" t="s">
        <v>434</v>
      </c>
      <c r="G22" s="101" t="s">
        <v>746</v>
      </c>
      <c r="H22" s="89" t="s">
        <v>742</v>
      </c>
    </row>
    <row r="23">
      <c r="A23" s="102" t="s">
        <v>767</v>
      </c>
      <c r="B23" s="103" t="s">
        <v>831</v>
      </c>
      <c r="C23" s="104">
        <v>44927.0</v>
      </c>
      <c r="D23" s="73" t="s">
        <v>1031</v>
      </c>
      <c r="E23" s="105">
        <f t="shared" si="1"/>
        <v>699</v>
      </c>
      <c r="F23" s="106" t="s">
        <v>434</v>
      </c>
      <c r="G23" s="107" t="s">
        <v>744</v>
      </c>
      <c r="H23" s="91" t="s">
        <v>746</v>
      </c>
    </row>
    <row r="24">
      <c r="A24" s="95" t="s">
        <v>768</v>
      </c>
      <c r="B24" s="96" t="s">
        <v>832</v>
      </c>
      <c r="C24" s="97">
        <v>44198.0</v>
      </c>
      <c r="D24" s="96" t="s">
        <v>1035</v>
      </c>
      <c r="E24" s="99">
        <f t="shared" si="1"/>
        <v>731</v>
      </c>
      <c r="F24" s="100" t="s">
        <v>422</v>
      </c>
      <c r="G24" s="101" t="s">
        <v>746</v>
      </c>
      <c r="H24" s="89" t="s">
        <v>746</v>
      </c>
    </row>
    <row r="25">
      <c r="A25" s="102" t="s">
        <v>747</v>
      </c>
      <c r="B25" s="103" t="s">
        <v>833</v>
      </c>
      <c r="C25" s="104">
        <v>44562.0</v>
      </c>
      <c r="D25" s="103" t="s">
        <v>1036</v>
      </c>
      <c r="E25" s="105">
        <f t="shared" si="1"/>
        <v>729</v>
      </c>
      <c r="F25" s="109" t="s">
        <v>422</v>
      </c>
      <c r="G25" s="107" t="s">
        <v>746</v>
      </c>
      <c r="H25" s="91" t="s">
        <v>742</v>
      </c>
    </row>
    <row r="26">
      <c r="A26" s="95" t="s">
        <v>769</v>
      </c>
      <c r="B26" s="96" t="s">
        <v>834</v>
      </c>
      <c r="C26" s="97">
        <v>44927.0</v>
      </c>
      <c r="D26" s="96" t="s">
        <v>1036</v>
      </c>
      <c r="E26" s="99">
        <f t="shared" si="1"/>
        <v>364</v>
      </c>
      <c r="F26" s="100" t="s">
        <v>422</v>
      </c>
      <c r="G26" s="101" t="s">
        <v>746</v>
      </c>
      <c r="H26" s="89" t="s">
        <v>746</v>
      </c>
    </row>
    <row r="27">
      <c r="A27" s="102" t="s">
        <v>770</v>
      </c>
      <c r="B27" s="103" t="s">
        <v>835</v>
      </c>
      <c r="C27" s="104">
        <v>43831.0</v>
      </c>
      <c r="D27" s="73" t="s">
        <v>1031</v>
      </c>
      <c r="E27" s="105">
        <f t="shared" si="1"/>
        <v>1795</v>
      </c>
      <c r="F27" s="106" t="s">
        <v>434</v>
      </c>
      <c r="G27" s="107" t="s">
        <v>744</v>
      </c>
      <c r="H27" s="91" t="s">
        <v>746</v>
      </c>
    </row>
    <row r="28">
      <c r="A28" s="95" t="s">
        <v>749</v>
      </c>
      <c r="B28" s="96" t="s">
        <v>836</v>
      </c>
      <c r="C28" s="97">
        <v>45292.0</v>
      </c>
      <c r="D28" s="76" t="s">
        <v>1031</v>
      </c>
      <c r="E28" s="99">
        <f t="shared" si="1"/>
        <v>334</v>
      </c>
      <c r="F28" s="108" t="s">
        <v>434</v>
      </c>
      <c r="G28" s="101" t="s">
        <v>746</v>
      </c>
      <c r="H28" s="89" t="s">
        <v>750</v>
      </c>
    </row>
    <row r="29">
      <c r="A29" s="102" t="s">
        <v>771</v>
      </c>
      <c r="B29" s="103" t="s">
        <v>837</v>
      </c>
      <c r="C29" s="104">
        <v>44717.0</v>
      </c>
      <c r="D29" s="73" t="s">
        <v>1031</v>
      </c>
      <c r="E29" s="105">
        <f t="shared" si="1"/>
        <v>909</v>
      </c>
      <c r="F29" s="106" t="s">
        <v>434</v>
      </c>
      <c r="G29" s="107" t="s">
        <v>746</v>
      </c>
      <c r="H29" s="91" t="s">
        <v>752</v>
      </c>
    </row>
    <row r="30">
      <c r="A30" s="95" t="s">
        <v>772</v>
      </c>
      <c r="B30" s="96" t="s">
        <v>838</v>
      </c>
      <c r="C30" s="97">
        <v>45324.0</v>
      </c>
      <c r="D30" s="76" t="s">
        <v>1031</v>
      </c>
      <c r="E30" s="99">
        <f t="shared" si="1"/>
        <v>302</v>
      </c>
      <c r="F30" s="108" t="s">
        <v>434</v>
      </c>
      <c r="G30" s="101" t="s">
        <v>746</v>
      </c>
      <c r="H30" s="89" t="s">
        <v>746</v>
      </c>
    </row>
    <row r="31">
      <c r="A31" s="102" t="s">
        <v>773</v>
      </c>
      <c r="B31" s="103" t="s">
        <v>839</v>
      </c>
      <c r="C31" s="104">
        <v>45383.0</v>
      </c>
      <c r="D31" s="73" t="s">
        <v>1031</v>
      </c>
      <c r="E31" s="105">
        <f t="shared" si="1"/>
        <v>243</v>
      </c>
      <c r="F31" s="106" t="s">
        <v>434</v>
      </c>
      <c r="G31" s="107" t="s">
        <v>746</v>
      </c>
      <c r="H31" s="91" t="s">
        <v>750</v>
      </c>
    </row>
    <row r="32">
      <c r="A32" s="95" t="s">
        <v>774</v>
      </c>
      <c r="B32" s="96" t="s">
        <v>840</v>
      </c>
      <c r="C32" s="97">
        <v>44652.0</v>
      </c>
      <c r="D32" s="96" t="s">
        <v>1037</v>
      </c>
      <c r="E32" s="99">
        <f t="shared" si="1"/>
        <v>609</v>
      </c>
      <c r="F32" s="100" t="s">
        <v>422</v>
      </c>
      <c r="G32" s="101" t="s">
        <v>748</v>
      </c>
      <c r="H32" s="89" t="s">
        <v>744</v>
      </c>
    </row>
    <row r="33">
      <c r="A33" s="102" t="s">
        <v>775</v>
      </c>
      <c r="B33" s="103" t="s">
        <v>841</v>
      </c>
      <c r="C33" s="104">
        <v>44197.0</v>
      </c>
      <c r="D33" s="103" t="s">
        <v>1038</v>
      </c>
      <c r="E33" s="105">
        <f t="shared" si="1"/>
        <v>1247</v>
      </c>
      <c r="F33" s="109" t="s">
        <v>422</v>
      </c>
      <c r="G33" s="107" t="s">
        <v>750</v>
      </c>
      <c r="H33" s="91" t="s">
        <v>744</v>
      </c>
    </row>
    <row r="34">
      <c r="A34" s="111" t="s">
        <v>776</v>
      </c>
      <c r="B34" s="112" t="s">
        <v>842</v>
      </c>
      <c r="C34" s="113">
        <v>45292.0</v>
      </c>
      <c r="D34" s="112" t="s">
        <v>1039</v>
      </c>
      <c r="E34" s="114">
        <f t="shared" si="1"/>
        <v>150</v>
      </c>
      <c r="F34" s="115" t="s">
        <v>422</v>
      </c>
      <c r="G34" s="116" t="s">
        <v>746</v>
      </c>
      <c r="H34" s="117" t="s">
        <v>746</v>
      </c>
    </row>
  </sheetData>
  <dataValidations>
    <dataValidation type="custom" allowBlank="1" showDropDown="1" sqref="C2:C34">
      <formula1>OR(NOT(ISERROR(DATEVALUE(C2))), AND(ISNUMBER(C2), LEFT(CELL("format", C2))="D"))</formula1>
    </dataValidation>
    <dataValidation type="custom" allowBlank="1" showDropDown="1" sqref="E2:E34">
      <formula1>AND(ISNUMBER(E2),(NOT(OR(NOT(ISERROR(DATEVALUE(E2))), AND(ISNUMBER(E2), LEFT(CELL("format", E2))="D")))))</formula1>
    </dataValidation>
    <dataValidation allowBlank="1" showDropDown="1" sqref="A2:B34 D2:D34 F2:H34"/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5"/>
    <col customWidth="1" min="2" max="2" width="13.25"/>
    <col customWidth="1" min="3" max="3" width="17.75"/>
    <col customWidth="1" min="4" max="4" width="29.88"/>
    <col customWidth="1" min="5" max="5" width="15.5"/>
    <col customWidth="1" min="6" max="6" width="39.5"/>
  </cols>
  <sheetData>
    <row r="1">
      <c r="A1" s="66" t="s">
        <v>1040</v>
      </c>
      <c r="B1" s="26" t="s">
        <v>737</v>
      </c>
      <c r="C1" s="26" t="s">
        <v>1041</v>
      </c>
      <c r="D1" s="26" t="s">
        <v>1042</v>
      </c>
      <c r="E1" s="26" t="s">
        <v>1043</v>
      </c>
      <c r="F1" s="67" t="s">
        <v>1044</v>
      </c>
    </row>
    <row r="2">
      <c r="A2" s="118" t="s">
        <v>742</v>
      </c>
      <c r="B2" s="119" t="s">
        <v>742</v>
      </c>
      <c r="C2" s="119" t="s">
        <v>742</v>
      </c>
      <c r="D2" s="50" t="s">
        <v>25</v>
      </c>
      <c r="E2" s="50" t="s">
        <v>1045</v>
      </c>
      <c r="F2" s="53" t="s">
        <v>25</v>
      </c>
    </row>
    <row r="3">
      <c r="A3" s="120" t="s">
        <v>744</v>
      </c>
      <c r="B3" s="121" t="s">
        <v>744</v>
      </c>
      <c r="C3" s="121" t="s">
        <v>742</v>
      </c>
      <c r="D3" s="122" t="s">
        <v>34</v>
      </c>
      <c r="E3" s="55" t="s">
        <v>1046</v>
      </c>
      <c r="F3" s="123" t="s">
        <v>34</v>
      </c>
    </row>
    <row r="4">
      <c r="A4" s="118" t="s">
        <v>746</v>
      </c>
      <c r="B4" s="119" t="s">
        <v>746</v>
      </c>
      <c r="C4" s="119" t="s">
        <v>744</v>
      </c>
      <c r="D4" s="50" t="s">
        <v>42</v>
      </c>
      <c r="E4" s="50" t="s">
        <v>1047</v>
      </c>
      <c r="F4" s="53" t="s">
        <v>104</v>
      </c>
    </row>
    <row r="5">
      <c r="A5" s="120" t="s">
        <v>748</v>
      </c>
      <c r="B5" s="121" t="s">
        <v>748</v>
      </c>
      <c r="C5" s="121" t="s">
        <v>746</v>
      </c>
      <c r="D5" s="55" t="s">
        <v>51</v>
      </c>
      <c r="E5" s="55" t="s">
        <v>1048</v>
      </c>
      <c r="F5" s="58" t="s">
        <v>51</v>
      </c>
    </row>
    <row r="6">
      <c r="A6" s="118" t="s">
        <v>750</v>
      </c>
      <c r="B6" s="119" t="s">
        <v>750</v>
      </c>
      <c r="C6" s="119" t="s">
        <v>742</v>
      </c>
      <c r="D6" s="50" t="s">
        <v>25</v>
      </c>
      <c r="E6" s="50" t="s">
        <v>1045</v>
      </c>
      <c r="F6" s="53" t="s">
        <v>25</v>
      </c>
    </row>
    <row r="7">
      <c r="A7" s="120" t="s">
        <v>752</v>
      </c>
      <c r="B7" s="121" t="s">
        <v>752</v>
      </c>
      <c r="C7" s="121" t="s">
        <v>742</v>
      </c>
      <c r="D7" s="122" t="s">
        <v>1049</v>
      </c>
      <c r="E7" s="55" t="s">
        <v>1050</v>
      </c>
      <c r="F7" s="123" t="s">
        <v>1051</v>
      </c>
    </row>
    <row r="8">
      <c r="A8" s="118" t="s">
        <v>753</v>
      </c>
      <c r="B8" s="119" t="s">
        <v>753</v>
      </c>
      <c r="C8" s="119" t="s">
        <v>742</v>
      </c>
      <c r="D8" s="50" t="s">
        <v>69</v>
      </c>
      <c r="E8" s="50" t="s">
        <v>1045</v>
      </c>
      <c r="F8" s="53" t="s">
        <v>25</v>
      </c>
    </row>
    <row r="9">
      <c r="A9" s="120" t="s">
        <v>754</v>
      </c>
      <c r="B9" s="121" t="s">
        <v>754</v>
      </c>
      <c r="C9" s="121" t="s">
        <v>746</v>
      </c>
      <c r="D9" s="55" t="s">
        <v>76</v>
      </c>
      <c r="E9" s="55" t="s">
        <v>1045</v>
      </c>
      <c r="F9" s="58" t="s">
        <v>25</v>
      </c>
    </row>
    <row r="10">
      <c r="A10" s="118" t="s">
        <v>755</v>
      </c>
      <c r="B10" s="119" t="s">
        <v>755</v>
      </c>
      <c r="C10" s="119" t="s">
        <v>744</v>
      </c>
      <c r="D10" s="50" t="s">
        <v>51</v>
      </c>
      <c r="E10" s="50" t="s">
        <v>1048</v>
      </c>
      <c r="F10" s="53" t="s">
        <v>51</v>
      </c>
    </row>
    <row r="11">
      <c r="A11" s="120" t="s">
        <v>756</v>
      </c>
      <c r="B11" s="121" t="s">
        <v>756</v>
      </c>
      <c r="C11" s="121" t="s">
        <v>742</v>
      </c>
      <c r="D11" s="55" t="s">
        <v>69</v>
      </c>
      <c r="E11" s="55" t="s">
        <v>1045</v>
      </c>
      <c r="F11" s="58" t="s">
        <v>25</v>
      </c>
    </row>
    <row r="12">
      <c r="A12" s="118" t="s">
        <v>758</v>
      </c>
      <c r="B12" s="119" t="s">
        <v>758</v>
      </c>
      <c r="C12" s="119" t="s">
        <v>746</v>
      </c>
      <c r="D12" s="50" t="s">
        <v>69</v>
      </c>
      <c r="E12" s="50" t="s">
        <v>1045</v>
      </c>
      <c r="F12" s="53" t="s">
        <v>25</v>
      </c>
    </row>
    <row r="13">
      <c r="A13" s="120" t="s">
        <v>759</v>
      </c>
      <c r="B13" s="121" t="s">
        <v>759</v>
      </c>
      <c r="C13" s="121" t="s">
        <v>742</v>
      </c>
      <c r="D13" s="55" t="s">
        <v>98</v>
      </c>
      <c r="E13" s="55" t="s">
        <v>1052</v>
      </c>
      <c r="F13" s="58" t="s">
        <v>98</v>
      </c>
    </row>
    <row r="14">
      <c r="A14" s="118" t="s">
        <v>760</v>
      </c>
      <c r="B14" s="119" t="s">
        <v>760</v>
      </c>
      <c r="C14" s="119" t="s">
        <v>742</v>
      </c>
      <c r="D14" s="50" t="s">
        <v>104</v>
      </c>
      <c r="E14" s="50" t="s">
        <v>1047</v>
      </c>
      <c r="F14" s="53" t="s">
        <v>104</v>
      </c>
    </row>
    <row r="15">
      <c r="A15" s="120" t="s">
        <v>761</v>
      </c>
      <c r="B15" s="121" t="s">
        <v>761</v>
      </c>
      <c r="C15" s="121" t="s">
        <v>744</v>
      </c>
      <c r="D15" s="55" t="s">
        <v>110</v>
      </c>
      <c r="E15" s="55" t="s">
        <v>1053</v>
      </c>
      <c r="F15" s="58" t="s">
        <v>110</v>
      </c>
    </row>
    <row r="16">
      <c r="A16" s="118" t="s">
        <v>762</v>
      </c>
      <c r="B16" s="119" t="s">
        <v>762</v>
      </c>
      <c r="C16" s="119" t="s">
        <v>746</v>
      </c>
      <c r="D16" s="50" t="s">
        <v>25</v>
      </c>
      <c r="E16" s="50" t="s">
        <v>1045</v>
      </c>
      <c r="F16" s="53" t="s">
        <v>25</v>
      </c>
    </row>
    <row r="17">
      <c r="A17" s="120" t="s">
        <v>763</v>
      </c>
      <c r="B17" s="121" t="s">
        <v>763</v>
      </c>
      <c r="C17" s="121" t="s">
        <v>742</v>
      </c>
      <c r="D17" s="122" t="s">
        <v>1054</v>
      </c>
      <c r="E17" s="55" t="s">
        <v>1055</v>
      </c>
      <c r="F17" s="123" t="s">
        <v>1054</v>
      </c>
    </row>
    <row r="18">
      <c r="A18" s="118" t="s">
        <v>764</v>
      </c>
      <c r="B18" s="119" t="s">
        <v>764</v>
      </c>
      <c r="C18" s="119" t="s">
        <v>744</v>
      </c>
      <c r="D18" s="50" t="s">
        <v>126</v>
      </c>
      <c r="E18" s="50" t="s">
        <v>1056</v>
      </c>
      <c r="F18" s="53" t="s">
        <v>1057</v>
      </c>
    </row>
    <row r="19">
      <c r="A19" s="120" t="s">
        <v>765</v>
      </c>
      <c r="B19" s="121" t="s">
        <v>765</v>
      </c>
      <c r="C19" s="121" t="s">
        <v>742</v>
      </c>
      <c r="D19" s="55" t="s">
        <v>132</v>
      </c>
      <c r="E19" s="55" t="s">
        <v>1048</v>
      </c>
      <c r="F19" s="58" t="s">
        <v>51</v>
      </c>
    </row>
    <row r="20">
      <c r="A20" s="118" t="s">
        <v>743</v>
      </c>
      <c r="B20" s="119" t="s">
        <v>743</v>
      </c>
      <c r="C20" s="119" t="s">
        <v>748</v>
      </c>
      <c r="D20" s="50" t="s">
        <v>25</v>
      </c>
      <c r="E20" s="50" t="s">
        <v>1045</v>
      </c>
      <c r="F20" s="53" t="s">
        <v>25</v>
      </c>
    </row>
    <row r="21">
      <c r="A21" s="120" t="s">
        <v>766</v>
      </c>
      <c r="B21" s="121" t="s">
        <v>766</v>
      </c>
      <c r="C21" s="121" t="s">
        <v>750</v>
      </c>
      <c r="D21" s="122" t="s">
        <v>1058</v>
      </c>
      <c r="E21" s="55" t="s">
        <v>1045</v>
      </c>
      <c r="F21" s="58" t="s">
        <v>25</v>
      </c>
    </row>
    <row r="22">
      <c r="A22" s="118" t="s">
        <v>745</v>
      </c>
      <c r="B22" s="119" t="s">
        <v>745</v>
      </c>
      <c r="C22" s="119" t="s">
        <v>752</v>
      </c>
      <c r="D22" s="50" t="s">
        <v>25</v>
      </c>
      <c r="E22" s="50" t="s">
        <v>1045</v>
      </c>
      <c r="F22" s="53" t="s">
        <v>25</v>
      </c>
    </row>
    <row r="23">
      <c r="A23" s="120" t="s">
        <v>767</v>
      </c>
      <c r="B23" s="121" t="s">
        <v>767</v>
      </c>
      <c r="C23" s="121" t="s">
        <v>753</v>
      </c>
      <c r="D23" s="55" t="s">
        <v>25</v>
      </c>
      <c r="E23" s="55" t="s">
        <v>1045</v>
      </c>
      <c r="F23" s="58" t="s">
        <v>25</v>
      </c>
    </row>
    <row r="24">
      <c r="A24" s="118" t="s">
        <v>768</v>
      </c>
      <c r="B24" s="119" t="s">
        <v>768</v>
      </c>
      <c r="C24" s="119" t="s">
        <v>754</v>
      </c>
      <c r="D24" s="50" t="s">
        <v>169</v>
      </c>
      <c r="E24" s="50" t="s">
        <v>1059</v>
      </c>
      <c r="F24" s="53" t="s">
        <v>169</v>
      </c>
    </row>
    <row r="25">
      <c r="A25" s="120" t="s">
        <v>747</v>
      </c>
      <c r="B25" s="121" t="s">
        <v>747</v>
      </c>
      <c r="C25" s="121" t="s">
        <v>755</v>
      </c>
      <c r="D25" s="122" t="s">
        <v>1060</v>
      </c>
      <c r="E25" s="55" t="s">
        <v>1046</v>
      </c>
      <c r="F25" s="123" t="s">
        <v>34</v>
      </c>
    </row>
    <row r="26">
      <c r="A26" s="118" t="s">
        <v>769</v>
      </c>
      <c r="B26" s="119" t="s">
        <v>769</v>
      </c>
      <c r="C26" s="119" t="s">
        <v>748</v>
      </c>
      <c r="D26" s="50" t="s">
        <v>182</v>
      </c>
      <c r="E26" s="50" t="s">
        <v>1061</v>
      </c>
      <c r="F26" s="53" t="s">
        <v>1062</v>
      </c>
    </row>
    <row r="27">
      <c r="A27" s="120" t="s">
        <v>770</v>
      </c>
      <c r="B27" s="121" t="s">
        <v>770</v>
      </c>
      <c r="C27" s="121" t="s">
        <v>752</v>
      </c>
      <c r="D27" s="122" t="s">
        <v>1063</v>
      </c>
      <c r="E27" s="55" t="s">
        <v>1046</v>
      </c>
      <c r="F27" s="123" t="s">
        <v>34</v>
      </c>
    </row>
    <row r="28">
      <c r="A28" s="118" t="s">
        <v>749</v>
      </c>
      <c r="B28" s="119" t="s">
        <v>749</v>
      </c>
      <c r="C28" s="119" t="s">
        <v>753</v>
      </c>
      <c r="D28" s="50" t="s">
        <v>194</v>
      </c>
      <c r="E28" s="50" t="s">
        <v>1064</v>
      </c>
      <c r="F28" s="53" t="s">
        <v>194</v>
      </c>
    </row>
    <row r="29">
      <c r="A29" s="120" t="s">
        <v>771</v>
      </c>
      <c r="B29" s="121" t="s">
        <v>771</v>
      </c>
      <c r="C29" s="121" t="s">
        <v>754</v>
      </c>
      <c r="D29" s="55" t="s">
        <v>200</v>
      </c>
      <c r="E29" s="55" t="s">
        <v>1065</v>
      </c>
      <c r="F29" s="58" t="s">
        <v>200</v>
      </c>
    </row>
    <row r="30">
      <c r="A30" s="118" t="s">
        <v>772</v>
      </c>
      <c r="B30" s="119" t="s">
        <v>772</v>
      </c>
      <c r="C30" s="119" t="s">
        <v>755</v>
      </c>
      <c r="D30" s="50" t="s">
        <v>25</v>
      </c>
      <c r="E30" s="50" t="s">
        <v>1045</v>
      </c>
      <c r="F30" s="53" t="s">
        <v>25</v>
      </c>
    </row>
    <row r="31">
      <c r="A31" s="120" t="s">
        <v>773</v>
      </c>
      <c r="B31" s="121" t="s">
        <v>773</v>
      </c>
      <c r="C31" s="121" t="s">
        <v>748</v>
      </c>
      <c r="D31" s="122" t="s">
        <v>1066</v>
      </c>
      <c r="E31" s="55" t="s">
        <v>1045</v>
      </c>
      <c r="F31" s="58" t="s">
        <v>25</v>
      </c>
    </row>
    <row r="32">
      <c r="A32" s="118" t="s">
        <v>774</v>
      </c>
      <c r="B32" s="119" t="s">
        <v>774</v>
      </c>
      <c r="C32" s="119" t="s">
        <v>752</v>
      </c>
      <c r="D32" s="124" t="s">
        <v>1067</v>
      </c>
      <c r="E32" s="50" t="s">
        <v>1045</v>
      </c>
      <c r="F32" s="53" t="s">
        <v>25</v>
      </c>
    </row>
    <row r="33">
      <c r="A33" s="120" t="s">
        <v>775</v>
      </c>
      <c r="B33" s="121" t="s">
        <v>775</v>
      </c>
      <c r="C33" s="121" t="s">
        <v>753</v>
      </c>
      <c r="D33" s="55" t="s">
        <v>223</v>
      </c>
      <c r="E33" s="55" t="s">
        <v>1068</v>
      </c>
      <c r="F33" s="58" t="s">
        <v>223</v>
      </c>
    </row>
    <row r="34">
      <c r="A34" s="118" t="s">
        <v>776</v>
      </c>
      <c r="B34" s="119" t="s">
        <v>776</v>
      </c>
      <c r="C34" s="119" t="s">
        <v>754</v>
      </c>
      <c r="D34" s="50" t="s">
        <v>25</v>
      </c>
      <c r="E34" s="50" t="s">
        <v>1045</v>
      </c>
      <c r="F34" s="53" t="s">
        <v>25</v>
      </c>
    </row>
    <row r="35">
      <c r="A35" s="120" t="s">
        <v>777</v>
      </c>
      <c r="B35" s="121" t="s">
        <v>777</v>
      </c>
      <c r="C35" s="121" t="s">
        <v>755</v>
      </c>
      <c r="D35" s="55" t="s">
        <v>25</v>
      </c>
      <c r="E35" s="55" t="s">
        <v>1045</v>
      </c>
      <c r="F35" s="58" t="s">
        <v>25</v>
      </c>
    </row>
    <row r="36">
      <c r="A36" s="118" t="s">
        <v>778</v>
      </c>
      <c r="B36" s="119" t="s">
        <v>778</v>
      </c>
      <c r="C36" s="119" t="s">
        <v>748</v>
      </c>
      <c r="D36" s="50" t="s">
        <v>238</v>
      </c>
      <c r="E36" s="50" t="s">
        <v>1069</v>
      </c>
      <c r="F36" s="53" t="s">
        <v>1070</v>
      </c>
    </row>
    <row r="37">
      <c r="A37" s="120" t="s">
        <v>757</v>
      </c>
      <c r="B37" s="121" t="s">
        <v>757</v>
      </c>
      <c r="C37" s="121" t="s">
        <v>752</v>
      </c>
      <c r="D37" s="55" t="s">
        <v>51</v>
      </c>
      <c r="E37" s="55" t="s">
        <v>1048</v>
      </c>
      <c r="F37" s="58" t="s">
        <v>51</v>
      </c>
    </row>
    <row r="38">
      <c r="A38" s="118" t="s">
        <v>779</v>
      </c>
      <c r="B38" s="119" t="s">
        <v>779</v>
      </c>
      <c r="C38" s="119" t="s">
        <v>753</v>
      </c>
      <c r="D38" s="50" t="s">
        <v>249</v>
      </c>
      <c r="E38" s="50" t="s">
        <v>1045</v>
      </c>
      <c r="F38" s="53" t="s">
        <v>25</v>
      </c>
    </row>
    <row r="39">
      <c r="A39" s="120" t="s">
        <v>751</v>
      </c>
      <c r="B39" s="121" t="s">
        <v>751</v>
      </c>
      <c r="C39" s="121" t="s">
        <v>754</v>
      </c>
      <c r="D39" s="55" t="s">
        <v>255</v>
      </c>
      <c r="E39" s="55" t="s">
        <v>1045</v>
      </c>
      <c r="F39" s="58" t="s">
        <v>25</v>
      </c>
    </row>
    <row r="40">
      <c r="A40" s="118" t="s">
        <v>780</v>
      </c>
      <c r="B40" s="119" t="s">
        <v>780</v>
      </c>
      <c r="C40" s="119" t="s">
        <v>756</v>
      </c>
      <c r="D40" s="124" t="s">
        <v>1071</v>
      </c>
      <c r="E40" s="50" t="s">
        <v>1045</v>
      </c>
      <c r="F40" s="53" t="s">
        <v>25</v>
      </c>
    </row>
    <row r="41">
      <c r="A41" s="120" t="s">
        <v>781</v>
      </c>
      <c r="B41" s="121" t="s">
        <v>781</v>
      </c>
      <c r="C41" s="121" t="s">
        <v>758</v>
      </c>
      <c r="D41" s="55" t="s">
        <v>268</v>
      </c>
      <c r="E41" s="55" t="s">
        <v>1072</v>
      </c>
      <c r="F41" s="123" t="s">
        <v>1073</v>
      </c>
    </row>
    <row r="42">
      <c r="A42" s="118" t="s">
        <v>782</v>
      </c>
      <c r="B42" s="119" t="s">
        <v>782</v>
      </c>
      <c r="C42" s="119" t="s">
        <v>759</v>
      </c>
      <c r="D42" s="50" t="s">
        <v>275</v>
      </c>
      <c r="E42" s="50" t="s">
        <v>1069</v>
      </c>
      <c r="F42" s="53" t="s">
        <v>1070</v>
      </c>
    </row>
    <row r="43">
      <c r="A43" s="120" t="s">
        <v>783</v>
      </c>
      <c r="B43" s="121" t="s">
        <v>783</v>
      </c>
      <c r="C43" s="121" t="s">
        <v>754</v>
      </c>
      <c r="D43" s="122" t="s">
        <v>1074</v>
      </c>
      <c r="E43" s="55" t="s">
        <v>1075</v>
      </c>
      <c r="F43" s="58" t="s">
        <v>1076</v>
      </c>
    </row>
    <row r="44">
      <c r="A44" s="118" t="s">
        <v>784</v>
      </c>
      <c r="B44" s="119" t="s">
        <v>784</v>
      </c>
      <c r="C44" s="119" t="s">
        <v>755</v>
      </c>
      <c r="D44" s="50" t="s">
        <v>287</v>
      </c>
      <c r="E44" s="50" t="s">
        <v>1056</v>
      </c>
      <c r="F44" s="53" t="s">
        <v>1057</v>
      </c>
    </row>
    <row r="45">
      <c r="A45" s="120" t="s">
        <v>785</v>
      </c>
      <c r="B45" s="121" t="s">
        <v>785</v>
      </c>
      <c r="C45" s="121" t="s">
        <v>748</v>
      </c>
      <c r="D45" s="122" t="s">
        <v>1077</v>
      </c>
      <c r="E45" s="55" t="s">
        <v>1078</v>
      </c>
      <c r="F45" s="123" t="s">
        <v>1079</v>
      </c>
    </row>
    <row r="46">
      <c r="A46" s="118" t="s">
        <v>786</v>
      </c>
      <c r="B46" s="119" t="s">
        <v>786</v>
      </c>
      <c r="C46" s="119" t="s">
        <v>760</v>
      </c>
      <c r="D46" s="124" t="s">
        <v>1080</v>
      </c>
      <c r="E46" s="50" t="s">
        <v>1081</v>
      </c>
      <c r="F46" s="125" t="s">
        <v>1082</v>
      </c>
    </row>
    <row r="47">
      <c r="A47" s="120" t="s">
        <v>787</v>
      </c>
      <c r="B47" s="121" t="s">
        <v>787</v>
      </c>
      <c r="C47" s="121" t="s">
        <v>753</v>
      </c>
      <c r="D47" s="55" t="s">
        <v>25</v>
      </c>
      <c r="E47" s="55" t="s">
        <v>1045</v>
      </c>
      <c r="F47" s="58" t="s">
        <v>25</v>
      </c>
    </row>
    <row r="48">
      <c r="A48" s="118" t="s">
        <v>788</v>
      </c>
      <c r="B48" s="119" t="s">
        <v>788</v>
      </c>
      <c r="C48" s="119" t="s">
        <v>754</v>
      </c>
      <c r="D48" s="50" t="s">
        <v>310</v>
      </c>
      <c r="E48" s="50" t="s">
        <v>1046</v>
      </c>
      <c r="F48" s="125" t="s">
        <v>34</v>
      </c>
    </row>
    <row r="49">
      <c r="A49" s="120" t="s">
        <v>789</v>
      </c>
      <c r="B49" s="121" t="s">
        <v>789</v>
      </c>
      <c r="C49" s="121" t="s">
        <v>755</v>
      </c>
      <c r="D49" s="55" t="s">
        <v>315</v>
      </c>
      <c r="E49" s="55" t="s">
        <v>1046</v>
      </c>
      <c r="F49" s="123" t="s">
        <v>34</v>
      </c>
    </row>
    <row r="50">
      <c r="A50" s="118" t="s">
        <v>790</v>
      </c>
      <c r="B50" s="119" t="s">
        <v>790</v>
      </c>
      <c r="C50" s="119" t="s">
        <v>750</v>
      </c>
      <c r="D50" s="50" t="s">
        <v>319</v>
      </c>
      <c r="E50" s="50" t="s">
        <v>1045</v>
      </c>
      <c r="F50" s="53" t="s">
        <v>25</v>
      </c>
    </row>
    <row r="51">
      <c r="A51" s="120" t="s">
        <v>791</v>
      </c>
      <c r="B51" s="121" t="s">
        <v>791</v>
      </c>
      <c r="C51" s="121" t="s">
        <v>748</v>
      </c>
      <c r="D51" s="55" t="s">
        <v>323</v>
      </c>
      <c r="E51" s="55" t="s">
        <v>1072</v>
      </c>
      <c r="F51" s="123" t="s">
        <v>1073</v>
      </c>
    </row>
    <row r="52">
      <c r="A52" s="118" t="s">
        <v>792</v>
      </c>
      <c r="B52" s="119" t="s">
        <v>792</v>
      </c>
      <c r="C52" s="119" t="s">
        <v>759</v>
      </c>
      <c r="D52" s="124" t="s">
        <v>1083</v>
      </c>
      <c r="E52" s="50" t="s">
        <v>1045</v>
      </c>
      <c r="F52" s="53" t="s">
        <v>25</v>
      </c>
    </row>
    <row r="53">
      <c r="A53" s="120" t="s">
        <v>793</v>
      </c>
      <c r="B53" s="121" t="s">
        <v>793</v>
      </c>
      <c r="C53" s="121" t="s">
        <v>754</v>
      </c>
      <c r="D53" s="55" t="s">
        <v>25</v>
      </c>
      <c r="E53" s="55" t="s">
        <v>1045</v>
      </c>
      <c r="F53" s="58" t="s">
        <v>25</v>
      </c>
    </row>
    <row r="54">
      <c r="A54" s="118" t="s">
        <v>794</v>
      </c>
      <c r="B54" s="119" t="s">
        <v>794</v>
      </c>
      <c r="C54" s="119" t="s">
        <v>755</v>
      </c>
      <c r="D54" s="50" t="s">
        <v>337</v>
      </c>
      <c r="E54" s="50" t="s">
        <v>1047</v>
      </c>
      <c r="F54" s="53" t="s">
        <v>104</v>
      </c>
    </row>
    <row r="55">
      <c r="A55" s="120" t="s">
        <v>795</v>
      </c>
      <c r="B55" s="121" t="s">
        <v>795</v>
      </c>
      <c r="C55" s="121" t="s">
        <v>748</v>
      </c>
      <c r="D55" s="55" t="s">
        <v>126</v>
      </c>
      <c r="E55" s="55" t="s">
        <v>1056</v>
      </c>
      <c r="F55" s="58" t="s">
        <v>1057</v>
      </c>
    </row>
    <row r="56">
      <c r="A56" s="118" t="s">
        <v>796</v>
      </c>
      <c r="B56" s="119" t="s">
        <v>796</v>
      </c>
      <c r="C56" s="119" t="s">
        <v>760</v>
      </c>
      <c r="D56" s="50" t="s">
        <v>25</v>
      </c>
      <c r="E56" s="50" t="s">
        <v>1045</v>
      </c>
      <c r="F56" s="53" t="s">
        <v>25</v>
      </c>
    </row>
    <row r="57">
      <c r="A57" s="120" t="s">
        <v>797</v>
      </c>
      <c r="B57" s="121" t="s">
        <v>797</v>
      </c>
      <c r="C57" s="121" t="s">
        <v>753</v>
      </c>
      <c r="D57" s="55" t="s">
        <v>51</v>
      </c>
      <c r="E57" s="55" t="s">
        <v>1048</v>
      </c>
      <c r="F57" s="58" t="s">
        <v>51</v>
      </c>
    </row>
    <row r="58">
      <c r="A58" s="118" t="s">
        <v>798</v>
      </c>
      <c r="B58" s="119" t="s">
        <v>798</v>
      </c>
      <c r="C58" s="119" t="s">
        <v>754</v>
      </c>
      <c r="D58" s="124" t="s">
        <v>34</v>
      </c>
      <c r="E58" s="50" t="s">
        <v>1046</v>
      </c>
      <c r="F58" s="125" t="s">
        <v>34</v>
      </c>
    </row>
    <row r="59">
      <c r="A59" s="120" t="s">
        <v>799</v>
      </c>
      <c r="B59" s="121" t="s">
        <v>799</v>
      </c>
      <c r="C59" s="121" t="s">
        <v>755</v>
      </c>
      <c r="D59" s="55" t="s">
        <v>42</v>
      </c>
      <c r="E59" s="55" t="s">
        <v>1047</v>
      </c>
      <c r="F59" s="58" t="s">
        <v>104</v>
      </c>
    </row>
    <row r="60">
      <c r="A60" s="118" t="s">
        <v>800</v>
      </c>
      <c r="B60" s="119" t="s">
        <v>800</v>
      </c>
      <c r="C60" s="119" t="s">
        <v>750</v>
      </c>
      <c r="D60" s="50" t="s">
        <v>110</v>
      </c>
      <c r="E60" s="50" t="s">
        <v>1053</v>
      </c>
      <c r="F60" s="53" t="s">
        <v>110</v>
      </c>
    </row>
    <row r="61">
      <c r="A61" s="120" t="s">
        <v>801</v>
      </c>
      <c r="B61" s="121" t="s">
        <v>801</v>
      </c>
      <c r="C61" s="121" t="s">
        <v>748</v>
      </c>
      <c r="D61" s="55" t="s">
        <v>132</v>
      </c>
      <c r="E61" s="55" t="s">
        <v>1048</v>
      </c>
      <c r="F61" s="58" t="s">
        <v>51</v>
      </c>
    </row>
    <row r="62">
      <c r="A62" s="118" t="s">
        <v>802</v>
      </c>
      <c r="B62" s="119" t="s">
        <v>802</v>
      </c>
      <c r="C62" s="119" t="s">
        <v>759</v>
      </c>
      <c r="D62" s="50" t="s">
        <v>370</v>
      </c>
      <c r="E62" s="50" t="s">
        <v>1075</v>
      </c>
      <c r="F62" s="53" t="s">
        <v>1076</v>
      </c>
    </row>
    <row r="63">
      <c r="A63" s="120" t="s">
        <v>803</v>
      </c>
      <c r="B63" s="121" t="s">
        <v>803</v>
      </c>
      <c r="C63" s="121" t="s">
        <v>754</v>
      </c>
      <c r="D63" s="122" t="s">
        <v>1058</v>
      </c>
      <c r="E63" s="55" t="s">
        <v>1045</v>
      </c>
      <c r="F63" s="58" t="s">
        <v>25</v>
      </c>
    </row>
    <row r="64">
      <c r="A64" s="118" t="s">
        <v>804</v>
      </c>
      <c r="B64" s="119" t="s">
        <v>804</v>
      </c>
      <c r="C64" s="119" t="s">
        <v>755</v>
      </c>
      <c r="D64" s="50" t="s">
        <v>379</v>
      </c>
      <c r="E64" s="50" t="s">
        <v>1065</v>
      </c>
      <c r="F64" s="53" t="s">
        <v>200</v>
      </c>
    </row>
    <row r="65">
      <c r="A65" s="120" t="s">
        <v>805</v>
      </c>
      <c r="B65" s="121" t="s">
        <v>805</v>
      </c>
      <c r="C65" s="121" t="s">
        <v>748</v>
      </c>
      <c r="D65" s="55" t="s">
        <v>384</v>
      </c>
      <c r="E65" s="55" t="s">
        <v>1084</v>
      </c>
      <c r="F65" s="58" t="s">
        <v>384</v>
      </c>
    </row>
    <row r="66">
      <c r="A66" s="118" t="s">
        <v>806</v>
      </c>
      <c r="B66" s="119" t="s">
        <v>806</v>
      </c>
      <c r="C66" s="119" t="s">
        <v>760</v>
      </c>
      <c r="D66" s="50" t="s">
        <v>169</v>
      </c>
      <c r="E66" s="50" t="s">
        <v>1059</v>
      </c>
      <c r="F66" s="53" t="s">
        <v>169</v>
      </c>
    </row>
    <row r="67">
      <c r="A67" s="120" t="s">
        <v>807</v>
      </c>
      <c r="B67" s="121" t="s">
        <v>807</v>
      </c>
      <c r="C67" s="121" t="s">
        <v>753</v>
      </c>
      <c r="D67" s="122" t="s">
        <v>1060</v>
      </c>
      <c r="E67" s="55" t="s">
        <v>1046</v>
      </c>
      <c r="F67" s="123" t="s">
        <v>34</v>
      </c>
    </row>
    <row r="68">
      <c r="A68" s="118" t="s">
        <v>808</v>
      </c>
      <c r="B68" s="119" t="s">
        <v>808</v>
      </c>
      <c r="C68" s="119" t="s">
        <v>754</v>
      </c>
      <c r="D68" s="50" t="s">
        <v>25</v>
      </c>
      <c r="E68" s="50" t="s">
        <v>1045</v>
      </c>
      <c r="F68" s="53" t="s">
        <v>25</v>
      </c>
    </row>
    <row r="69">
      <c r="A69" s="126" t="s">
        <v>809</v>
      </c>
      <c r="B69" s="127" t="s">
        <v>809</v>
      </c>
      <c r="C69" s="127" t="s">
        <v>755</v>
      </c>
      <c r="D69" s="128" t="s">
        <v>1063</v>
      </c>
      <c r="E69" s="129" t="s">
        <v>1046</v>
      </c>
      <c r="F69" s="130" t="s">
        <v>34</v>
      </c>
    </row>
  </sheetData>
  <dataValidations>
    <dataValidation allowBlank="1" showDropDown="1" sqref="A2:F69"/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15.63"/>
  </cols>
  <sheetData>
    <row r="1">
      <c r="A1" s="66" t="s">
        <v>892</v>
      </c>
      <c r="B1" s="67" t="s">
        <v>1085</v>
      </c>
    </row>
    <row r="2">
      <c r="A2" s="95" t="s">
        <v>742</v>
      </c>
      <c r="B2" s="131" t="s">
        <v>1086</v>
      </c>
    </row>
    <row r="3">
      <c r="A3" s="132" t="s">
        <v>744</v>
      </c>
      <c r="B3" s="133" t="s">
        <v>1087</v>
      </c>
    </row>
  </sheetData>
  <dataValidations>
    <dataValidation allowBlank="1" showDropDown="1" sqref="A2:B3"/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11.88"/>
  </cols>
  <sheetData>
    <row r="1">
      <c r="A1" s="134" t="s">
        <v>895</v>
      </c>
      <c r="B1" s="67" t="s">
        <v>732</v>
      </c>
    </row>
    <row r="2">
      <c r="A2" s="135" t="s">
        <v>742</v>
      </c>
      <c r="B2" s="131" t="s">
        <v>26</v>
      </c>
    </row>
    <row r="3">
      <c r="A3" s="136" t="s">
        <v>744</v>
      </c>
      <c r="B3" s="137" t="s">
        <v>1088</v>
      </c>
    </row>
    <row r="4">
      <c r="A4" s="135" t="s">
        <v>746</v>
      </c>
      <c r="B4" s="131" t="s">
        <v>1089</v>
      </c>
    </row>
    <row r="5">
      <c r="A5" s="136" t="s">
        <v>748</v>
      </c>
      <c r="B5" s="137" t="s">
        <v>1090</v>
      </c>
    </row>
    <row r="6">
      <c r="A6" s="135" t="s">
        <v>750</v>
      </c>
      <c r="B6" s="131" t="s">
        <v>1091</v>
      </c>
    </row>
    <row r="7">
      <c r="A7" s="136" t="s">
        <v>752</v>
      </c>
      <c r="B7" s="137" t="s">
        <v>1092</v>
      </c>
    </row>
    <row r="8">
      <c r="A8" s="135" t="s">
        <v>753</v>
      </c>
      <c r="B8" s="131" t="s">
        <v>1093</v>
      </c>
    </row>
    <row r="9">
      <c r="A9" s="136" t="s">
        <v>754</v>
      </c>
      <c r="B9" s="137" t="s">
        <v>1094</v>
      </c>
    </row>
    <row r="10">
      <c r="A10" s="135" t="s">
        <v>755</v>
      </c>
      <c r="B10" s="131" t="s">
        <v>1095</v>
      </c>
    </row>
    <row r="11">
      <c r="A11" s="138" t="s">
        <v>756</v>
      </c>
      <c r="B11" s="133" t="s">
        <v>1096</v>
      </c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ataValidations>
    <dataValidation allowBlank="1" showDropDown="1" sqref="A2:B11"/>
  </dataValidation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38"/>
    <col customWidth="1" min="2" max="2" width="20.38"/>
  </cols>
  <sheetData>
    <row r="1">
      <c r="A1" s="66" t="s">
        <v>893</v>
      </c>
      <c r="B1" s="67" t="s">
        <v>1097</v>
      </c>
    </row>
    <row r="2">
      <c r="A2" s="95" t="s">
        <v>742</v>
      </c>
      <c r="B2" s="131" t="s">
        <v>1098</v>
      </c>
    </row>
    <row r="3">
      <c r="A3" s="102" t="s">
        <v>744</v>
      </c>
      <c r="B3" s="137" t="s">
        <v>431</v>
      </c>
    </row>
    <row r="4">
      <c r="A4" s="95" t="s">
        <v>746</v>
      </c>
      <c r="B4" s="131" t="s">
        <v>1099</v>
      </c>
    </row>
    <row r="5">
      <c r="A5" s="102" t="s">
        <v>748</v>
      </c>
      <c r="B5" s="139" t="s">
        <v>463</v>
      </c>
    </row>
    <row r="6">
      <c r="A6" s="95" t="s">
        <v>750</v>
      </c>
      <c r="B6" s="131" t="s">
        <v>1100</v>
      </c>
    </row>
    <row r="7">
      <c r="A7" s="132" t="s">
        <v>752</v>
      </c>
      <c r="B7" s="133" t="s">
        <v>517</v>
      </c>
    </row>
  </sheetData>
  <dataValidations>
    <dataValidation allowBlank="1" showDropDown="1" sqref="A2:B7"/>
  </dataValidation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38"/>
    <col customWidth="1" min="2" max="2" width="19.13"/>
    <col customWidth="1" min="3" max="3" width="31.63"/>
    <col customWidth="1" min="4" max="4" width="14.13"/>
    <col customWidth="1" min="5" max="5" width="15.0"/>
    <col customWidth="1" min="6" max="6" width="13.38"/>
  </cols>
  <sheetData>
    <row r="1">
      <c r="A1" s="66" t="s">
        <v>1101</v>
      </c>
      <c r="B1" s="26" t="s">
        <v>1102</v>
      </c>
      <c r="C1" s="26" t="s">
        <v>1103</v>
      </c>
      <c r="D1" s="26" t="s">
        <v>1104</v>
      </c>
      <c r="E1" s="26" t="s">
        <v>1105</v>
      </c>
      <c r="F1" s="67" t="s">
        <v>737</v>
      </c>
    </row>
    <row r="2">
      <c r="A2" s="95" t="s">
        <v>742</v>
      </c>
      <c r="B2" s="76" t="s">
        <v>1106</v>
      </c>
      <c r="C2" s="76" t="s">
        <v>1107</v>
      </c>
      <c r="D2" s="76" t="s">
        <v>1108</v>
      </c>
      <c r="E2" s="101" t="s">
        <v>1109</v>
      </c>
      <c r="F2" s="81" t="s">
        <v>821</v>
      </c>
    </row>
    <row r="3">
      <c r="A3" s="102" t="s">
        <v>744</v>
      </c>
      <c r="B3" s="73" t="s">
        <v>1110</v>
      </c>
      <c r="C3" s="72" t="s">
        <v>488</v>
      </c>
      <c r="D3" s="73" t="s">
        <v>1111</v>
      </c>
      <c r="E3" s="107" t="s">
        <v>1112</v>
      </c>
      <c r="F3" s="82" t="s">
        <v>819</v>
      </c>
    </row>
    <row r="4">
      <c r="A4" s="95" t="s">
        <v>746</v>
      </c>
      <c r="B4" s="76" t="s">
        <v>1113</v>
      </c>
      <c r="C4" s="69" t="s">
        <v>61</v>
      </c>
      <c r="D4" s="76" t="s">
        <v>1114</v>
      </c>
      <c r="E4" s="69" t="s">
        <v>62</v>
      </c>
      <c r="F4" s="81" t="s">
        <v>752</v>
      </c>
    </row>
    <row r="5">
      <c r="A5" s="102" t="s">
        <v>748</v>
      </c>
      <c r="B5" s="72" t="s">
        <v>390</v>
      </c>
      <c r="C5" s="72" t="s">
        <v>392</v>
      </c>
      <c r="D5" s="73" t="s">
        <v>1114</v>
      </c>
      <c r="E5" s="72" t="s">
        <v>280</v>
      </c>
      <c r="F5" s="82" t="s">
        <v>807</v>
      </c>
    </row>
    <row r="6">
      <c r="A6" s="95" t="s">
        <v>750</v>
      </c>
      <c r="B6" s="76" t="s">
        <v>907</v>
      </c>
      <c r="C6" s="69" t="s">
        <v>145</v>
      </c>
      <c r="D6" s="76" t="s">
        <v>1114</v>
      </c>
      <c r="E6" s="69" t="s">
        <v>146</v>
      </c>
      <c r="F6" s="81" t="s">
        <v>766</v>
      </c>
    </row>
    <row r="7">
      <c r="A7" s="102" t="s">
        <v>752</v>
      </c>
      <c r="B7" s="73" t="s">
        <v>898</v>
      </c>
      <c r="C7" s="72" t="s">
        <v>67</v>
      </c>
      <c r="D7" s="73" t="s">
        <v>1114</v>
      </c>
      <c r="E7" s="72" t="s">
        <v>68</v>
      </c>
      <c r="F7" s="82" t="s">
        <v>753</v>
      </c>
    </row>
    <row r="8">
      <c r="A8" s="95" t="s">
        <v>753</v>
      </c>
      <c r="B8" s="76" t="s">
        <v>1115</v>
      </c>
      <c r="C8" s="69" t="s">
        <v>524</v>
      </c>
      <c r="D8" s="76" t="s">
        <v>1114</v>
      </c>
      <c r="E8" s="76" t="s">
        <v>1116</v>
      </c>
      <c r="F8" s="81" t="s">
        <v>824</v>
      </c>
    </row>
    <row r="9">
      <c r="A9" s="102" t="s">
        <v>754</v>
      </c>
      <c r="B9" s="73" t="s">
        <v>925</v>
      </c>
      <c r="C9" s="72" t="s">
        <v>322</v>
      </c>
      <c r="D9" s="73" t="s">
        <v>1114</v>
      </c>
      <c r="E9" s="72" t="s">
        <v>280</v>
      </c>
      <c r="F9" s="82" t="s">
        <v>791</v>
      </c>
    </row>
    <row r="10">
      <c r="A10" s="95" t="s">
        <v>755</v>
      </c>
      <c r="B10" s="76" t="s">
        <v>1117</v>
      </c>
      <c r="C10" s="69" t="s">
        <v>438</v>
      </c>
      <c r="D10" s="76" t="s">
        <v>1118</v>
      </c>
      <c r="E10" s="101" t="s">
        <v>1119</v>
      </c>
      <c r="F10" s="81" t="s">
        <v>812</v>
      </c>
    </row>
    <row r="11">
      <c r="A11" s="102" t="s">
        <v>756</v>
      </c>
      <c r="B11" s="73" t="s">
        <v>629</v>
      </c>
      <c r="C11" s="72" t="s">
        <v>631</v>
      </c>
      <c r="D11" s="73" t="s">
        <v>1114</v>
      </c>
      <c r="E11" s="73" t="s">
        <v>1120</v>
      </c>
      <c r="F11" s="82" t="s">
        <v>841</v>
      </c>
    </row>
    <row r="12">
      <c r="A12" s="95" t="s">
        <v>758</v>
      </c>
      <c r="B12" s="76" t="s">
        <v>1121</v>
      </c>
      <c r="C12" s="69" t="s">
        <v>638</v>
      </c>
      <c r="D12" s="76" t="s">
        <v>1122</v>
      </c>
      <c r="E12" s="76" t="s">
        <v>1123</v>
      </c>
      <c r="F12" s="81" t="s">
        <v>842</v>
      </c>
    </row>
    <row r="13">
      <c r="A13" s="102" t="s">
        <v>759</v>
      </c>
      <c r="B13" s="73" t="s">
        <v>930</v>
      </c>
      <c r="C13" s="72" t="s">
        <v>345</v>
      </c>
      <c r="D13" s="73" t="s">
        <v>1114</v>
      </c>
      <c r="E13" s="72" t="s">
        <v>88</v>
      </c>
      <c r="F13" s="82" t="s">
        <v>796</v>
      </c>
    </row>
    <row r="14">
      <c r="A14" s="95" t="s">
        <v>760</v>
      </c>
      <c r="B14" s="76" t="s">
        <v>1124</v>
      </c>
      <c r="C14" s="69" t="s">
        <v>568</v>
      </c>
      <c r="D14" s="76" t="s">
        <v>1125</v>
      </c>
      <c r="E14" s="76" t="s">
        <v>1126</v>
      </c>
      <c r="F14" s="81" t="s">
        <v>831</v>
      </c>
    </row>
    <row r="15">
      <c r="A15" s="102" t="s">
        <v>761</v>
      </c>
      <c r="B15" s="72" t="s">
        <v>257</v>
      </c>
      <c r="C15" s="72" t="s">
        <v>260</v>
      </c>
      <c r="D15" s="73" t="s">
        <v>1114</v>
      </c>
      <c r="E15" s="72" t="s">
        <v>261</v>
      </c>
      <c r="F15" s="82" t="s">
        <v>780</v>
      </c>
    </row>
    <row r="16">
      <c r="A16" s="95" t="s">
        <v>762</v>
      </c>
      <c r="B16" s="76" t="s">
        <v>908</v>
      </c>
      <c r="C16" s="69" t="s">
        <v>152</v>
      </c>
      <c r="D16" s="76" t="s">
        <v>1114</v>
      </c>
      <c r="E16" s="69" t="s">
        <v>153</v>
      </c>
      <c r="F16" s="81" t="s">
        <v>745</v>
      </c>
    </row>
    <row r="17">
      <c r="A17" s="102" t="s">
        <v>763</v>
      </c>
      <c r="B17" s="73" t="s">
        <v>1127</v>
      </c>
      <c r="C17" s="72" t="s">
        <v>530</v>
      </c>
      <c r="D17" s="73" t="s">
        <v>1125</v>
      </c>
      <c r="E17" s="73" t="s">
        <v>1128</v>
      </c>
      <c r="F17" s="82" t="s">
        <v>825</v>
      </c>
    </row>
    <row r="18">
      <c r="A18" s="95" t="s">
        <v>764</v>
      </c>
      <c r="B18" s="76" t="s">
        <v>897</v>
      </c>
      <c r="C18" s="69" t="s">
        <v>54</v>
      </c>
      <c r="D18" s="76" t="s">
        <v>1114</v>
      </c>
      <c r="E18" s="69" t="s">
        <v>55</v>
      </c>
      <c r="F18" s="81" t="s">
        <v>750</v>
      </c>
    </row>
    <row r="19">
      <c r="A19" s="102" t="s">
        <v>765</v>
      </c>
      <c r="B19" s="73" t="s">
        <v>938</v>
      </c>
      <c r="C19" s="72" t="s">
        <v>378</v>
      </c>
      <c r="D19" s="73" t="s">
        <v>1114</v>
      </c>
      <c r="E19" s="72" t="s">
        <v>261</v>
      </c>
      <c r="F19" s="82" t="s">
        <v>804</v>
      </c>
    </row>
    <row r="20">
      <c r="A20" s="95" t="s">
        <v>743</v>
      </c>
      <c r="B20" s="76" t="s">
        <v>913</v>
      </c>
      <c r="C20" s="69" t="s">
        <v>186</v>
      </c>
      <c r="D20" s="76" t="s">
        <v>1114</v>
      </c>
      <c r="E20" s="69" t="s">
        <v>187</v>
      </c>
      <c r="F20" s="81" t="s">
        <v>770</v>
      </c>
    </row>
    <row r="21">
      <c r="A21" s="102" t="s">
        <v>766</v>
      </c>
      <c r="B21" s="72" t="s">
        <v>190</v>
      </c>
      <c r="C21" s="72" t="s">
        <v>192</v>
      </c>
      <c r="D21" s="73" t="s">
        <v>1114</v>
      </c>
      <c r="E21" s="72" t="s">
        <v>193</v>
      </c>
      <c r="F21" s="82" t="s">
        <v>749</v>
      </c>
    </row>
    <row r="22">
      <c r="A22" s="95" t="s">
        <v>745</v>
      </c>
      <c r="B22" s="76" t="s">
        <v>926</v>
      </c>
      <c r="C22" s="69" t="s">
        <v>327</v>
      </c>
      <c r="D22" s="76" t="s">
        <v>1114</v>
      </c>
      <c r="E22" s="69" t="s">
        <v>286</v>
      </c>
      <c r="F22" s="81" t="s">
        <v>792</v>
      </c>
    </row>
    <row r="23">
      <c r="A23" s="102" t="s">
        <v>767</v>
      </c>
      <c r="B23" s="73" t="s">
        <v>935</v>
      </c>
      <c r="C23" s="72" t="s">
        <v>365</v>
      </c>
      <c r="D23" s="73" t="s">
        <v>1114</v>
      </c>
      <c r="E23" s="72" t="s">
        <v>292</v>
      </c>
      <c r="F23" s="82" t="s">
        <v>801</v>
      </c>
    </row>
    <row r="24">
      <c r="A24" s="95" t="s">
        <v>768</v>
      </c>
      <c r="B24" s="101" t="s">
        <v>1129</v>
      </c>
      <c r="C24" s="69" t="s">
        <v>574</v>
      </c>
      <c r="D24" s="76" t="s">
        <v>1108</v>
      </c>
      <c r="E24" s="76" t="s">
        <v>1130</v>
      </c>
      <c r="F24" s="81" t="s">
        <v>832</v>
      </c>
    </row>
    <row r="25">
      <c r="A25" s="102" t="s">
        <v>747</v>
      </c>
      <c r="B25" s="72" t="s">
        <v>381</v>
      </c>
      <c r="C25" s="72" t="s">
        <v>383</v>
      </c>
      <c r="D25" s="73" t="s">
        <v>1114</v>
      </c>
      <c r="E25" s="72" t="s">
        <v>153</v>
      </c>
      <c r="F25" s="82" t="s">
        <v>805</v>
      </c>
    </row>
    <row r="26">
      <c r="A26" s="95" t="s">
        <v>769</v>
      </c>
      <c r="B26" s="69" t="s">
        <v>225</v>
      </c>
      <c r="C26" s="69" t="s">
        <v>227</v>
      </c>
      <c r="D26" s="76" t="s">
        <v>1114</v>
      </c>
      <c r="E26" s="69" t="s">
        <v>228</v>
      </c>
      <c r="F26" s="81" t="s">
        <v>776</v>
      </c>
    </row>
    <row r="27">
      <c r="A27" s="102" t="s">
        <v>770</v>
      </c>
      <c r="B27" s="73" t="s">
        <v>932</v>
      </c>
      <c r="C27" s="72" t="s">
        <v>353</v>
      </c>
      <c r="D27" s="73" t="s">
        <v>1114</v>
      </c>
      <c r="E27" s="72" t="s">
        <v>274</v>
      </c>
      <c r="F27" s="82" t="s">
        <v>798</v>
      </c>
    </row>
    <row r="28">
      <c r="A28" s="95" t="s">
        <v>749</v>
      </c>
      <c r="B28" s="76" t="s">
        <v>900</v>
      </c>
      <c r="C28" s="69" t="s">
        <v>81</v>
      </c>
      <c r="D28" s="76" t="s">
        <v>1114</v>
      </c>
      <c r="E28" s="69" t="s">
        <v>82</v>
      </c>
      <c r="F28" s="81" t="s">
        <v>755</v>
      </c>
    </row>
    <row r="29">
      <c r="A29" s="102" t="s">
        <v>771</v>
      </c>
      <c r="B29" s="73" t="s">
        <v>1131</v>
      </c>
      <c r="C29" s="72" t="s">
        <v>624</v>
      </c>
      <c r="D29" s="73" t="s">
        <v>1114</v>
      </c>
      <c r="E29" s="73" t="s">
        <v>1132</v>
      </c>
      <c r="F29" s="82" t="s">
        <v>840</v>
      </c>
    </row>
    <row r="30">
      <c r="A30" s="95" t="s">
        <v>772</v>
      </c>
      <c r="B30" s="69" t="s">
        <v>312</v>
      </c>
      <c r="C30" s="69" t="s">
        <v>314</v>
      </c>
      <c r="D30" s="76" t="s">
        <v>1114</v>
      </c>
      <c r="E30" s="69" t="s">
        <v>153</v>
      </c>
      <c r="F30" s="81" t="s">
        <v>789</v>
      </c>
    </row>
    <row r="31">
      <c r="A31" s="102" t="s">
        <v>773</v>
      </c>
      <c r="B31" s="107" t="s">
        <v>1133</v>
      </c>
      <c r="C31" s="72" t="s">
        <v>447</v>
      </c>
      <c r="D31" s="73" t="s">
        <v>1118</v>
      </c>
      <c r="E31" s="107" t="s">
        <v>1134</v>
      </c>
      <c r="F31" s="82" t="s">
        <v>813</v>
      </c>
    </row>
    <row r="32">
      <c r="A32" s="95" t="s">
        <v>774</v>
      </c>
      <c r="B32" s="76" t="s">
        <v>940</v>
      </c>
      <c r="C32" s="69" t="s">
        <v>400</v>
      </c>
      <c r="D32" s="76" t="s">
        <v>1114</v>
      </c>
      <c r="E32" s="69" t="s">
        <v>292</v>
      </c>
      <c r="F32" s="81" t="s">
        <v>809</v>
      </c>
    </row>
    <row r="33">
      <c r="A33" s="102" t="s">
        <v>775</v>
      </c>
      <c r="B33" s="73" t="s">
        <v>1135</v>
      </c>
      <c r="C33" s="72" t="s">
        <v>119</v>
      </c>
      <c r="D33" s="73" t="s">
        <v>1114</v>
      </c>
      <c r="E33" s="73" t="s">
        <v>62</v>
      </c>
      <c r="F33" s="82" t="s">
        <v>763</v>
      </c>
    </row>
    <row r="34">
      <c r="A34" s="95" t="s">
        <v>776</v>
      </c>
      <c r="B34" s="76" t="s">
        <v>922</v>
      </c>
      <c r="C34" s="69" t="s">
        <v>285</v>
      </c>
      <c r="D34" s="76" t="s">
        <v>1114</v>
      </c>
      <c r="E34" s="69" t="s">
        <v>286</v>
      </c>
      <c r="F34" s="81" t="s">
        <v>784</v>
      </c>
    </row>
    <row r="35">
      <c r="A35" s="102" t="s">
        <v>777</v>
      </c>
      <c r="B35" s="72" t="s">
        <v>196</v>
      </c>
      <c r="C35" s="72" t="s">
        <v>198</v>
      </c>
      <c r="D35" s="73" t="s">
        <v>1114</v>
      </c>
      <c r="E35" s="72" t="s">
        <v>199</v>
      </c>
      <c r="F35" s="82" t="s">
        <v>771</v>
      </c>
    </row>
    <row r="36">
      <c r="A36" s="95" t="s">
        <v>778</v>
      </c>
      <c r="B36" s="101" t="s">
        <v>1136</v>
      </c>
      <c r="C36" s="69" t="s">
        <v>555</v>
      </c>
      <c r="D36" s="76" t="s">
        <v>1137</v>
      </c>
      <c r="E36" s="76" t="s">
        <v>1138</v>
      </c>
      <c r="F36" s="81" t="s">
        <v>829</v>
      </c>
    </row>
    <row r="37">
      <c r="A37" s="102" t="s">
        <v>757</v>
      </c>
      <c r="B37" s="107" t="s">
        <v>1139</v>
      </c>
      <c r="C37" s="72" t="s">
        <v>590</v>
      </c>
      <c r="D37" s="73" t="s">
        <v>1108</v>
      </c>
      <c r="E37" s="73" t="s">
        <v>1140</v>
      </c>
      <c r="F37" s="82" t="s">
        <v>835</v>
      </c>
    </row>
    <row r="38">
      <c r="A38" s="95" t="s">
        <v>779</v>
      </c>
      <c r="B38" s="76" t="s">
        <v>1141</v>
      </c>
      <c r="C38" s="69" t="s">
        <v>454</v>
      </c>
      <c r="D38" s="76" t="s">
        <v>1111</v>
      </c>
      <c r="E38" s="101" t="s">
        <v>1142</v>
      </c>
      <c r="F38" s="81" t="s">
        <v>814</v>
      </c>
    </row>
    <row r="39">
      <c r="A39" s="102" t="s">
        <v>751</v>
      </c>
      <c r="B39" s="107" t="s">
        <v>1143</v>
      </c>
      <c r="C39" s="72" t="s">
        <v>417</v>
      </c>
      <c r="D39" s="73" t="s">
        <v>1125</v>
      </c>
      <c r="E39" s="107" t="s">
        <v>1144</v>
      </c>
      <c r="F39" s="82" t="s">
        <v>810</v>
      </c>
    </row>
    <row r="40">
      <c r="A40" s="95" t="s">
        <v>780</v>
      </c>
      <c r="B40" s="101" t="s">
        <v>1145</v>
      </c>
      <c r="C40" s="69" t="s">
        <v>428</v>
      </c>
      <c r="D40" s="76" t="s">
        <v>1114</v>
      </c>
      <c r="E40" s="101" t="s">
        <v>1146</v>
      </c>
      <c r="F40" s="81" t="s">
        <v>811</v>
      </c>
    </row>
    <row r="41">
      <c r="A41" s="102" t="s">
        <v>781</v>
      </c>
      <c r="B41" s="73" t="s">
        <v>918</v>
      </c>
      <c r="C41" s="72" t="s">
        <v>253</v>
      </c>
      <c r="D41" s="73" t="s">
        <v>1114</v>
      </c>
      <c r="E41" s="72" t="s">
        <v>254</v>
      </c>
      <c r="F41" s="82" t="s">
        <v>751</v>
      </c>
    </row>
    <row r="42">
      <c r="A42" s="95" t="s">
        <v>782</v>
      </c>
      <c r="B42" s="76" t="s">
        <v>924</v>
      </c>
      <c r="C42" s="69" t="s">
        <v>304</v>
      </c>
      <c r="D42" s="76" t="s">
        <v>1114</v>
      </c>
      <c r="E42" s="69" t="s">
        <v>305</v>
      </c>
      <c r="F42" s="81" t="s">
        <v>787</v>
      </c>
    </row>
    <row r="43">
      <c r="A43" s="102" t="s">
        <v>783</v>
      </c>
      <c r="B43" s="73" t="s">
        <v>901</v>
      </c>
      <c r="C43" s="72" t="s">
        <v>92</v>
      </c>
      <c r="D43" s="73" t="s">
        <v>1114</v>
      </c>
      <c r="E43" s="72" t="s">
        <v>23</v>
      </c>
      <c r="F43" s="82" t="s">
        <v>758</v>
      </c>
    </row>
    <row r="44">
      <c r="A44" s="95" t="s">
        <v>784</v>
      </c>
      <c r="B44" s="76" t="s">
        <v>1147</v>
      </c>
      <c r="C44" s="69" t="s">
        <v>87</v>
      </c>
      <c r="D44" s="76" t="s">
        <v>1114</v>
      </c>
      <c r="E44" s="69" t="s">
        <v>88</v>
      </c>
      <c r="F44" s="81" t="s">
        <v>756</v>
      </c>
    </row>
    <row r="45">
      <c r="A45" s="102" t="s">
        <v>785</v>
      </c>
      <c r="B45" s="73" t="s">
        <v>912</v>
      </c>
      <c r="C45" s="72" t="s">
        <v>180</v>
      </c>
      <c r="D45" s="73" t="s">
        <v>1114</v>
      </c>
      <c r="E45" s="72" t="s">
        <v>181</v>
      </c>
      <c r="F45" s="82" t="s">
        <v>769</v>
      </c>
    </row>
    <row r="46">
      <c r="A46" s="95" t="s">
        <v>786</v>
      </c>
      <c r="B46" s="69" t="s">
        <v>202</v>
      </c>
      <c r="C46" s="69" t="s">
        <v>204</v>
      </c>
      <c r="D46" s="76" t="s">
        <v>1114</v>
      </c>
      <c r="E46" s="69" t="s">
        <v>205</v>
      </c>
      <c r="F46" s="81" t="s">
        <v>772</v>
      </c>
    </row>
    <row r="47">
      <c r="A47" s="102" t="s">
        <v>787</v>
      </c>
      <c r="B47" s="72" t="s">
        <v>235</v>
      </c>
      <c r="C47" s="72" t="s">
        <v>236</v>
      </c>
      <c r="D47" s="73" t="s">
        <v>1114</v>
      </c>
      <c r="E47" s="72" t="s">
        <v>237</v>
      </c>
      <c r="F47" s="82" t="s">
        <v>778</v>
      </c>
    </row>
    <row r="48">
      <c r="A48" s="95" t="s">
        <v>788</v>
      </c>
      <c r="B48" s="76" t="s">
        <v>1148</v>
      </c>
      <c r="C48" s="69" t="s">
        <v>22</v>
      </c>
      <c r="D48" s="76" t="s">
        <v>1114</v>
      </c>
      <c r="E48" s="69" t="s">
        <v>23</v>
      </c>
      <c r="F48" s="81" t="s">
        <v>742</v>
      </c>
    </row>
    <row r="49">
      <c r="A49" s="102" t="s">
        <v>789</v>
      </c>
      <c r="B49" s="73" t="s">
        <v>1149</v>
      </c>
      <c r="C49" s="72" t="s">
        <v>543</v>
      </c>
      <c r="D49" s="73" t="s">
        <v>1122</v>
      </c>
      <c r="E49" s="73" t="s">
        <v>1150</v>
      </c>
      <c r="F49" s="82" t="s">
        <v>827</v>
      </c>
    </row>
    <row r="50">
      <c r="A50" s="95" t="s">
        <v>790</v>
      </c>
      <c r="B50" s="76" t="s">
        <v>1151</v>
      </c>
      <c r="C50" s="69" t="s">
        <v>611</v>
      </c>
      <c r="D50" s="76" t="s">
        <v>1122</v>
      </c>
      <c r="E50" s="76" t="s">
        <v>1150</v>
      </c>
      <c r="F50" s="81" t="s">
        <v>838</v>
      </c>
    </row>
    <row r="51">
      <c r="A51" s="102" t="s">
        <v>791</v>
      </c>
      <c r="B51" s="73" t="s">
        <v>934</v>
      </c>
      <c r="C51" s="72" t="s">
        <v>361</v>
      </c>
      <c r="D51" s="73" t="s">
        <v>1114</v>
      </c>
      <c r="E51" s="72" t="s">
        <v>286</v>
      </c>
      <c r="F51" s="82" t="s">
        <v>800</v>
      </c>
    </row>
    <row r="52">
      <c r="A52" s="95" t="s">
        <v>792</v>
      </c>
      <c r="B52" s="76" t="s">
        <v>905</v>
      </c>
      <c r="C52" s="69" t="s">
        <v>125</v>
      </c>
      <c r="D52" s="76" t="s">
        <v>1114</v>
      </c>
      <c r="E52" s="69" t="s">
        <v>68</v>
      </c>
      <c r="F52" s="81" t="s">
        <v>764</v>
      </c>
    </row>
    <row r="53">
      <c r="A53" s="102" t="s">
        <v>793</v>
      </c>
      <c r="B53" s="73" t="s">
        <v>466</v>
      </c>
      <c r="C53" s="72" t="s">
        <v>468</v>
      </c>
      <c r="D53" s="73" t="s">
        <v>1111</v>
      </c>
      <c r="E53" s="107" t="s">
        <v>1152</v>
      </c>
      <c r="F53" s="82" t="s">
        <v>816</v>
      </c>
    </row>
    <row r="54">
      <c r="A54" s="95" t="s">
        <v>794</v>
      </c>
      <c r="B54" s="69" t="s">
        <v>386</v>
      </c>
      <c r="C54" s="69" t="s">
        <v>388</v>
      </c>
      <c r="D54" s="76" t="s">
        <v>1114</v>
      </c>
      <c r="E54" s="69" t="s">
        <v>274</v>
      </c>
      <c r="F54" s="81" t="s">
        <v>806</v>
      </c>
    </row>
    <row r="55">
      <c r="A55" s="102" t="s">
        <v>795</v>
      </c>
      <c r="B55" s="73" t="s">
        <v>923</v>
      </c>
      <c r="C55" s="72" t="s">
        <v>298</v>
      </c>
      <c r="D55" s="73" t="s">
        <v>1114</v>
      </c>
      <c r="E55" s="72" t="s">
        <v>299</v>
      </c>
      <c r="F55" s="82" t="s">
        <v>786</v>
      </c>
    </row>
    <row r="56">
      <c r="A56" s="95" t="s">
        <v>796</v>
      </c>
      <c r="B56" s="76" t="s">
        <v>1153</v>
      </c>
      <c r="C56" s="69" t="s">
        <v>597</v>
      </c>
      <c r="D56" s="76" t="s">
        <v>1137</v>
      </c>
      <c r="E56" s="76" t="s">
        <v>1154</v>
      </c>
      <c r="F56" s="81" t="s">
        <v>836</v>
      </c>
    </row>
    <row r="57">
      <c r="A57" s="102" t="s">
        <v>797</v>
      </c>
      <c r="B57" s="73" t="s">
        <v>1155</v>
      </c>
      <c r="C57" s="72" t="s">
        <v>74</v>
      </c>
      <c r="D57" s="73" t="s">
        <v>1114</v>
      </c>
      <c r="E57" s="72" t="s">
        <v>75</v>
      </c>
      <c r="F57" s="82" t="s">
        <v>754</v>
      </c>
    </row>
    <row r="58">
      <c r="A58" s="95" t="s">
        <v>798</v>
      </c>
      <c r="B58" s="76" t="s">
        <v>911</v>
      </c>
      <c r="C58" s="69" t="s">
        <v>536</v>
      </c>
      <c r="D58" s="76" t="s">
        <v>1108</v>
      </c>
      <c r="E58" s="76" t="s">
        <v>1130</v>
      </c>
      <c r="F58" s="81" t="s">
        <v>826</v>
      </c>
    </row>
    <row r="59">
      <c r="A59" s="102" t="s">
        <v>799</v>
      </c>
      <c r="B59" s="73" t="s">
        <v>911</v>
      </c>
      <c r="C59" s="72" t="s">
        <v>174</v>
      </c>
      <c r="D59" s="73" t="s">
        <v>1114</v>
      </c>
      <c r="E59" s="72" t="s">
        <v>175</v>
      </c>
      <c r="F59" s="82" t="s">
        <v>747</v>
      </c>
    </row>
    <row r="60">
      <c r="A60" s="95" t="s">
        <v>800</v>
      </c>
      <c r="B60" s="69" t="s">
        <v>48</v>
      </c>
      <c r="C60" s="69" t="s">
        <v>49</v>
      </c>
      <c r="D60" s="76" t="s">
        <v>1114</v>
      </c>
      <c r="E60" s="76" t="s">
        <v>109</v>
      </c>
      <c r="F60" s="81" t="s">
        <v>748</v>
      </c>
    </row>
    <row r="61">
      <c r="A61" s="102" t="s">
        <v>801</v>
      </c>
      <c r="B61" s="73" t="s">
        <v>1156</v>
      </c>
      <c r="C61" s="72" t="s">
        <v>131</v>
      </c>
      <c r="D61" s="73" t="s">
        <v>1114</v>
      </c>
      <c r="E61" s="72" t="s">
        <v>75</v>
      </c>
      <c r="F61" s="82" t="s">
        <v>765</v>
      </c>
    </row>
    <row r="62">
      <c r="A62" s="95" t="s">
        <v>802</v>
      </c>
      <c r="B62" s="76" t="s">
        <v>927</v>
      </c>
      <c r="C62" s="69" t="s">
        <v>332</v>
      </c>
      <c r="D62" s="76" t="s">
        <v>1114</v>
      </c>
      <c r="E62" s="69" t="s">
        <v>292</v>
      </c>
      <c r="F62" s="81" t="s">
        <v>793</v>
      </c>
    </row>
    <row r="63">
      <c r="A63" s="102" t="s">
        <v>803</v>
      </c>
      <c r="B63" s="73" t="s">
        <v>1157</v>
      </c>
      <c r="C63" s="72" t="s">
        <v>560</v>
      </c>
      <c r="D63" s="73" t="s">
        <v>1137</v>
      </c>
      <c r="E63" s="73" t="s">
        <v>1126</v>
      </c>
      <c r="F63" s="82" t="s">
        <v>830</v>
      </c>
    </row>
    <row r="64">
      <c r="A64" s="95" t="s">
        <v>804</v>
      </c>
      <c r="B64" s="76" t="s">
        <v>906</v>
      </c>
      <c r="C64" s="69" t="s">
        <v>138</v>
      </c>
      <c r="D64" s="76" t="s">
        <v>1114</v>
      </c>
      <c r="E64" s="69" t="s">
        <v>139</v>
      </c>
      <c r="F64" s="81" t="s">
        <v>743</v>
      </c>
    </row>
    <row r="65">
      <c r="A65" s="102" t="s">
        <v>805</v>
      </c>
      <c r="B65" s="73" t="s">
        <v>919</v>
      </c>
      <c r="C65" s="72" t="s">
        <v>267</v>
      </c>
      <c r="D65" s="73" t="s">
        <v>1114</v>
      </c>
      <c r="E65" s="72" t="s">
        <v>153</v>
      </c>
      <c r="F65" s="82" t="s">
        <v>781</v>
      </c>
    </row>
    <row r="66">
      <c r="A66" s="95" t="s">
        <v>806</v>
      </c>
      <c r="B66" s="76" t="s">
        <v>937</v>
      </c>
      <c r="C66" s="69" t="s">
        <v>374</v>
      </c>
      <c r="D66" s="76" t="s">
        <v>1114</v>
      </c>
      <c r="E66" s="69" t="s">
        <v>305</v>
      </c>
      <c r="F66" s="81" t="s">
        <v>803</v>
      </c>
    </row>
    <row r="67">
      <c r="A67" s="102" t="s">
        <v>807</v>
      </c>
      <c r="B67" s="73" t="s">
        <v>928</v>
      </c>
      <c r="C67" s="72" t="s">
        <v>336</v>
      </c>
      <c r="D67" s="73" t="s">
        <v>1114</v>
      </c>
      <c r="E67" s="72" t="s">
        <v>299</v>
      </c>
      <c r="F67" s="82" t="s">
        <v>794</v>
      </c>
    </row>
    <row r="68">
      <c r="A68" s="95" t="s">
        <v>808</v>
      </c>
      <c r="B68" s="76" t="s">
        <v>909</v>
      </c>
      <c r="C68" s="69" t="s">
        <v>160</v>
      </c>
      <c r="D68" s="76" t="s">
        <v>1114</v>
      </c>
      <c r="E68" s="69" t="s">
        <v>161</v>
      </c>
      <c r="F68" s="81" t="s">
        <v>767</v>
      </c>
    </row>
    <row r="69">
      <c r="A69" s="102" t="s">
        <v>809</v>
      </c>
      <c r="B69" s="73" t="s">
        <v>1158</v>
      </c>
      <c r="C69" s="72" t="s">
        <v>108</v>
      </c>
      <c r="D69" s="73" t="s">
        <v>1114</v>
      </c>
      <c r="E69" s="72" t="s">
        <v>109</v>
      </c>
      <c r="F69" s="82" t="s">
        <v>761</v>
      </c>
    </row>
    <row r="70">
      <c r="A70" s="95" t="s">
        <v>810</v>
      </c>
      <c r="B70" s="76" t="s">
        <v>1159</v>
      </c>
      <c r="C70" s="69" t="s">
        <v>579</v>
      </c>
      <c r="D70" s="76" t="s">
        <v>1125</v>
      </c>
      <c r="E70" s="76" t="s">
        <v>1128</v>
      </c>
      <c r="F70" s="81" t="s">
        <v>833</v>
      </c>
    </row>
    <row r="71">
      <c r="A71" s="102" t="s">
        <v>811</v>
      </c>
      <c r="B71" s="73" t="s">
        <v>1159</v>
      </c>
      <c r="C71" s="72" t="s">
        <v>586</v>
      </c>
      <c r="D71" s="73" t="s">
        <v>1125</v>
      </c>
      <c r="E71" s="73" t="s">
        <v>1128</v>
      </c>
      <c r="F71" s="82" t="s">
        <v>834</v>
      </c>
    </row>
    <row r="72">
      <c r="A72" s="95" t="s">
        <v>812</v>
      </c>
      <c r="B72" s="76" t="s">
        <v>1159</v>
      </c>
      <c r="C72" s="69" t="s">
        <v>40</v>
      </c>
      <c r="D72" s="76" t="s">
        <v>1114</v>
      </c>
      <c r="E72" s="69" t="s">
        <v>41</v>
      </c>
      <c r="F72" s="81" t="s">
        <v>746</v>
      </c>
    </row>
    <row r="73">
      <c r="A73" s="102" t="s">
        <v>813</v>
      </c>
      <c r="B73" s="73" t="s">
        <v>936</v>
      </c>
      <c r="C73" s="72" t="s">
        <v>369</v>
      </c>
      <c r="D73" s="73" t="s">
        <v>1114</v>
      </c>
      <c r="E73" s="72" t="s">
        <v>299</v>
      </c>
      <c r="F73" s="82" t="s">
        <v>802</v>
      </c>
    </row>
    <row r="74">
      <c r="A74" s="95" t="s">
        <v>814</v>
      </c>
      <c r="B74" s="76" t="s">
        <v>1160</v>
      </c>
      <c r="C74" s="69" t="s">
        <v>549</v>
      </c>
      <c r="D74" s="76" t="s">
        <v>1137</v>
      </c>
      <c r="E74" s="76" t="s">
        <v>1138</v>
      </c>
      <c r="F74" s="81" t="s">
        <v>828</v>
      </c>
    </row>
    <row r="75">
      <c r="A75" s="102" t="s">
        <v>815</v>
      </c>
      <c r="B75" s="107" t="s">
        <v>1161</v>
      </c>
      <c r="C75" s="72" t="s">
        <v>474</v>
      </c>
      <c r="D75" s="73" t="s">
        <v>1125</v>
      </c>
      <c r="E75" s="107" t="s">
        <v>1152</v>
      </c>
      <c r="F75" s="82" t="s">
        <v>817</v>
      </c>
    </row>
    <row r="76">
      <c r="A76" s="95" t="s">
        <v>816</v>
      </c>
      <c r="B76" s="76" t="s">
        <v>1162</v>
      </c>
      <c r="C76" s="69" t="s">
        <v>97</v>
      </c>
      <c r="D76" s="76" t="s">
        <v>1114</v>
      </c>
      <c r="E76" s="69" t="s">
        <v>32</v>
      </c>
      <c r="F76" s="81" t="s">
        <v>759</v>
      </c>
    </row>
    <row r="77">
      <c r="A77" s="102" t="s">
        <v>817</v>
      </c>
      <c r="B77" s="73" t="s">
        <v>933</v>
      </c>
      <c r="C77" s="72" t="s">
        <v>357</v>
      </c>
      <c r="D77" s="73" t="s">
        <v>1114</v>
      </c>
      <c r="E77" s="72" t="s">
        <v>280</v>
      </c>
      <c r="F77" s="82" t="s">
        <v>799</v>
      </c>
    </row>
    <row r="78">
      <c r="A78" s="95" t="s">
        <v>818</v>
      </c>
      <c r="B78" s="76" t="s">
        <v>917</v>
      </c>
      <c r="C78" s="69" t="s">
        <v>247</v>
      </c>
      <c r="D78" s="76" t="s">
        <v>1114</v>
      </c>
      <c r="E78" s="69" t="s">
        <v>248</v>
      </c>
      <c r="F78" s="81" t="s">
        <v>779</v>
      </c>
    </row>
    <row r="79">
      <c r="A79" s="102" t="s">
        <v>819</v>
      </c>
      <c r="B79" s="72" t="s">
        <v>289</v>
      </c>
      <c r="C79" s="72" t="s">
        <v>291</v>
      </c>
      <c r="D79" s="73" t="s">
        <v>1114</v>
      </c>
      <c r="E79" s="72" t="s">
        <v>292</v>
      </c>
      <c r="F79" s="82" t="s">
        <v>785</v>
      </c>
    </row>
    <row r="80">
      <c r="A80" s="95" t="s">
        <v>820</v>
      </c>
      <c r="B80" s="101" t="s">
        <v>1163</v>
      </c>
      <c r="C80" s="69" t="s">
        <v>509</v>
      </c>
      <c r="D80" s="76" t="s">
        <v>1164</v>
      </c>
      <c r="E80" s="101" t="s">
        <v>1165</v>
      </c>
      <c r="F80" s="81" t="s">
        <v>822</v>
      </c>
    </row>
    <row r="81">
      <c r="A81" s="102" t="s">
        <v>821</v>
      </c>
      <c r="B81" s="73" t="s">
        <v>915</v>
      </c>
      <c r="C81" s="72" t="s">
        <v>221</v>
      </c>
      <c r="D81" s="73" t="s">
        <v>1114</v>
      </c>
      <c r="E81" s="72" t="s">
        <v>222</v>
      </c>
      <c r="F81" s="82" t="s">
        <v>775</v>
      </c>
    </row>
    <row r="82">
      <c r="A82" s="95" t="s">
        <v>822</v>
      </c>
      <c r="B82" s="69" t="s">
        <v>307</v>
      </c>
      <c r="C82" s="69" t="s">
        <v>309</v>
      </c>
      <c r="D82" s="76" t="s">
        <v>1114</v>
      </c>
      <c r="E82" s="69" t="s">
        <v>88</v>
      </c>
      <c r="F82" s="81" t="s">
        <v>788</v>
      </c>
    </row>
    <row r="83">
      <c r="A83" s="102" t="s">
        <v>823</v>
      </c>
      <c r="B83" s="73" t="s">
        <v>896</v>
      </c>
      <c r="C83" s="72" t="s">
        <v>31</v>
      </c>
      <c r="D83" s="73" t="s">
        <v>1114</v>
      </c>
      <c r="E83" s="72" t="s">
        <v>32</v>
      </c>
      <c r="F83" s="82" t="s">
        <v>744</v>
      </c>
    </row>
    <row r="84">
      <c r="A84" s="95" t="s">
        <v>824</v>
      </c>
      <c r="B84" s="76" t="s">
        <v>910</v>
      </c>
      <c r="C84" s="69" t="s">
        <v>166</v>
      </c>
      <c r="D84" s="76" t="s">
        <v>1114</v>
      </c>
      <c r="E84" s="69" t="s">
        <v>167</v>
      </c>
      <c r="F84" s="81" t="s">
        <v>768</v>
      </c>
    </row>
    <row r="85">
      <c r="A85" s="102" t="s">
        <v>825</v>
      </c>
      <c r="B85" s="73" t="s">
        <v>460</v>
      </c>
      <c r="C85" s="72" t="s">
        <v>461</v>
      </c>
      <c r="D85" s="73" t="s">
        <v>1111</v>
      </c>
      <c r="E85" s="107" t="s">
        <v>1152</v>
      </c>
      <c r="F85" s="82" t="s">
        <v>815</v>
      </c>
    </row>
    <row r="86">
      <c r="A86" s="95" t="s">
        <v>826</v>
      </c>
      <c r="B86" s="76" t="s">
        <v>921</v>
      </c>
      <c r="C86" s="69" t="s">
        <v>279</v>
      </c>
      <c r="D86" s="76" t="s">
        <v>1114</v>
      </c>
      <c r="E86" s="69" t="s">
        <v>280</v>
      </c>
      <c r="F86" s="81" t="s">
        <v>783</v>
      </c>
    </row>
    <row r="87">
      <c r="A87" s="102" t="s">
        <v>827</v>
      </c>
      <c r="B87" s="72" t="s">
        <v>213</v>
      </c>
      <c r="C87" s="72" t="s">
        <v>215</v>
      </c>
      <c r="D87" s="73" t="s">
        <v>1114</v>
      </c>
      <c r="E87" s="72" t="s">
        <v>216</v>
      </c>
      <c r="F87" s="82" t="s">
        <v>774</v>
      </c>
    </row>
    <row r="88">
      <c r="A88" s="95" t="s">
        <v>828</v>
      </c>
      <c r="B88" s="76" t="s">
        <v>929</v>
      </c>
      <c r="C88" s="69" t="s">
        <v>341</v>
      </c>
      <c r="D88" s="76" t="s">
        <v>1114</v>
      </c>
      <c r="E88" s="69" t="s">
        <v>305</v>
      </c>
      <c r="F88" s="81" t="s">
        <v>795</v>
      </c>
    </row>
    <row r="89">
      <c r="A89" s="102" t="s">
        <v>829</v>
      </c>
      <c r="B89" s="73" t="s">
        <v>1166</v>
      </c>
      <c r="C89" s="72" t="s">
        <v>604</v>
      </c>
      <c r="D89" s="73" t="s">
        <v>1114</v>
      </c>
      <c r="E89" s="73" t="s">
        <v>1167</v>
      </c>
      <c r="F89" s="82" t="s">
        <v>837</v>
      </c>
    </row>
    <row r="90">
      <c r="A90" s="95" t="s">
        <v>830</v>
      </c>
      <c r="B90" s="76" t="s">
        <v>904</v>
      </c>
      <c r="C90" s="69" t="s">
        <v>114</v>
      </c>
      <c r="D90" s="76" t="s">
        <v>1114</v>
      </c>
      <c r="E90" s="69" t="s">
        <v>55</v>
      </c>
      <c r="F90" s="81" t="s">
        <v>762</v>
      </c>
    </row>
    <row r="91">
      <c r="A91" s="102" t="s">
        <v>831</v>
      </c>
      <c r="B91" s="73" t="s">
        <v>931</v>
      </c>
      <c r="C91" s="72" t="s">
        <v>349</v>
      </c>
      <c r="D91" s="73" t="s">
        <v>1114</v>
      </c>
      <c r="E91" s="72" t="s">
        <v>153</v>
      </c>
      <c r="F91" s="82" t="s">
        <v>797</v>
      </c>
    </row>
    <row r="92">
      <c r="A92" s="95" t="s">
        <v>832</v>
      </c>
      <c r="B92" s="76" t="s">
        <v>1168</v>
      </c>
      <c r="C92" s="69" t="s">
        <v>103</v>
      </c>
      <c r="D92" s="76" t="s">
        <v>1114</v>
      </c>
      <c r="E92" s="69" t="s">
        <v>41</v>
      </c>
      <c r="F92" s="81" t="s">
        <v>760</v>
      </c>
    </row>
    <row r="93">
      <c r="A93" s="102" t="s">
        <v>833</v>
      </c>
      <c r="B93" s="73" t="s">
        <v>914</v>
      </c>
      <c r="C93" s="72" t="s">
        <v>209</v>
      </c>
      <c r="D93" s="73" t="s">
        <v>1114</v>
      </c>
      <c r="E93" s="72" t="s">
        <v>210</v>
      </c>
      <c r="F93" s="82" t="s">
        <v>773</v>
      </c>
    </row>
    <row r="94">
      <c r="A94" s="95" t="s">
        <v>834</v>
      </c>
      <c r="B94" s="76" t="s">
        <v>920</v>
      </c>
      <c r="C94" s="69" t="s">
        <v>273</v>
      </c>
      <c r="D94" s="76" t="s">
        <v>1114</v>
      </c>
      <c r="E94" s="69" t="s">
        <v>274</v>
      </c>
      <c r="F94" s="81" t="s">
        <v>782</v>
      </c>
    </row>
    <row r="95">
      <c r="A95" s="102" t="s">
        <v>835</v>
      </c>
      <c r="B95" s="73" t="s">
        <v>916</v>
      </c>
      <c r="C95" s="72" t="s">
        <v>242</v>
      </c>
      <c r="D95" s="73" t="s">
        <v>1114</v>
      </c>
      <c r="E95" s="72" t="s">
        <v>243</v>
      </c>
      <c r="F95" s="82" t="s">
        <v>757</v>
      </c>
    </row>
    <row r="96">
      <c r="A96" s="95" t="s">
        <v>836</v>
      </c>
      <c r="B96" s="101" t="s">
        <v>1169</v>
      </c>
      <c r="C96" s="69" t="s">
        <v>518</v>
      </c>
      <c r="D96" s="76" t="s">
        <v>1164</v>
      </c>
      <c r="E96" s="101" t="s">
        <v>1170</v>
      </c>
      <c r="F96" s="81" t="s">
        <v>823</v>
      </c>
    </row>
    <row r="97">
      <c r="A97" s="102" t="s">
        <v>837</v>
      </c>
      <c r="B97" s="73" t="s">
        <v>1171</v>
      </c>
      <c r="C97" s="72" t="s">
        <v>495</v>
      </c>
      <c r="D97" s="73" t="s">
        <v>1172</v>
      </c>
      <c r="E97" s="107" t="s">
        <v>1173</v>
      </c>
      <c r="F97" s="82" t="s">
        <v>820</v>
      </c>
    </row>
    <row r="98">
      <c r="A98" s="95" t="s">
        <v>838</v>
      </c>
      <c r="B98" s="101" t="s">
        <v>1174</v>
      </c>
      <c r="C98" s="69" t="s">
        <v>617</v>
      </c>
      <c r="D98" s="76" t="s">
        <v>1114</v>
      </c>
      <c r="E98" s="76" t="s">
        <v>1175</v>
      </c>
      <c r="F98" s="81" t="s">
        <v>839</v>
      </c>
    </row>
    <row r="99">
      <c r="A99" s="102" t="s">
        <v>839</v>
      </c>
      <c r="B99" s="73" t="s">
        <v>1176</v>
      </c>
      <c r="C99" s="72" t="s">
        <v>481</v>
      </c>
      <c r="D99" s="73" t="s">
        <v>1177</v>
      </c>
      <c r="E99" s="107" t="s">
        <v>1178</v>
      </c>
      <c r="F99" s="82" t="s">
        <v>818</v>
      </c>
    </row>
    <row r="100">
      <c r="A100" s="95" t="s">
        <v>840</v>
      </c>
      <c r="B100" s="69" t="s">
        <v>317</v>
      </c>
      <c r="C100" s="69" t="s">
        <v>318</v>
      </c>
      <c r="D100" s="76" t="s">
        <v>1114</v>
      </c>
      <c r="E100" s="69" t="s">
        <v>274</v>
      </c>
      <c r="F100" s="81" t="s">
        <v>790</v>
      </c>
    </row>
    <row r="101">
      <c r="A101" s="102" t="s">
        <v>841</v>
      </c>
      <c r="B101" s="72" t="s">
        <v>230</v>
      </c>
      <c r="C101" s="72" t="s">
        <v>232</v>
      </c>
      <c r="D101" s="73" t="s">
        <v>1114</v>
      </c>
      <c r="E101" s="72" t="s">
        <v>233</v>
      </c>
      <c r="F101" s="82" t="s">
        <v>777</v>
      </c>
    </row>
    <row r="102">
      <c r="A102" s="111" t="s">
        <v>842</v>
      </c>
      <c r="B102" s="140" t="s">
        <v>939</v>
      </c>
      <c r="C102" s="141" t="s">
        <v>396</v>
      </c>
      <c r="D102" s="140" t="s">
        <v>1114</v>
      </c>
      <c r="E102" s="141" t="s">
        <v>286</v>
      </c>
      <c r="F102" s="87" t="s">
        <v>808</v>
      </c>
    </row>
  </sheetData>
  <dataValidations>
    <dataValidation allowBlank="1" showDropDown="1" sqref="A2:F102"/>
  </dataValidation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25"/>
    <col customWidth="1" min="2" max="2" width="21.63"/>
  </cols>
  <sheetData>
    <row r="1">
      <c r="A1" s="66" t="s">
        <v>894</v>
      </c>
      <c r="B1" s="67" t="s">
        <v>1179</v>
      </c>
    </row>
    <row r="2">
      <c r="A2" s="95" t="s">
        <v>742</v>
      </c>
      <c r="B2" s="89" t="s">
        <v>159</v>
      </c>
    </row>
    <row r="3">
      <c r="A3" s="102" t="s">
        <v>744</v>
      </c>
      <c r="B3" s="91" t="s">
        <v>137</v>
      </c>
    </row>
    <row r="4">
      <c r="A4" s="95" t="s">
        <v>746</v>
      </c>
      <c r="B4" s="142" t="s">
        <v>144</v>
      </c>
    </row>
    <row r="5">
      <c r="A5" s="102" t="s">
        <v>748</v>
      </c>
      <c r="B5" s="91" t="s">
        <v>432</v>
      </c>
    </row>
    <row r="6">
      <c r="A6" s="111" t="s">
        <v>750</v>
      </c>
      <c r="B6" s="143" t="s">
        <v>581</v>
      </c>
    </row>
  </sheetData>
  <dataValidations>
    <dataValidation allowBlank="1" showDropDown="1" sqref="A2:B6"/>
  </dataValidations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38"/>
    <col customWidth="1" min="2" max="2" width="17.38"/>
  </cols>
  <sheetData>
    <row r="1">
      <c r="A1" s="66" t="s">
        <v>1029</v>
      </c>
      <c r="B1" s="67" t="s">
        <v>1180</v>
      </c>
    </row>
    <row r="2">
      <c r="A2" s="144" t="s">
        <v>742</v>
      </c>
      <c r="B2" s="142" t="s">
        <v>415</v>
      </c>
      <c r="F2" s="145"/>
    </row>
    <row r="3">
      <c r="A3" s="146" t="s">
        <v>744</v>
      </c>
      <c r="B3" s="139" t="s">
        <v>426</v>
      </c>
      <c r="F3" s="145"/>
    </row>
    <row r="4">
      <c r="A4" s="144" t="s">
        <v>746</v>
      </c>
      <c r="B4" s="142" t="s">
        <v>472</v>
      </c>
      <c r="F4" s="145"/>
    </row>
    <row r="5">
      <c r="A5" s="146" t="s">
        <v>748</v>
      </c>
      <c r="B5" s="139" t="s">
        <v>517</v>
      </c>
      <c r="F5" s="145"/>
    </row>
    <row r="6">
      <c r="A6" s="144" t="s">
        <v>750</v>
      </c>
      <c r="B6" s="142" t="s">
        <v>173</v>
      </c>
      <c r="F6" s="145"/>
    </row>
    <row r="7">
      <c r="A7" s="147" t="s">
        <v>752</v>
      </c>
      <c r="B7" s="148" t="s">
        <v>136</v>
      </c>
      <c r="F7" s="145"/>
    </row>
  </sheetData>
  <dataValidations>
    <dataValidation allowBlank="1" showDropDown="1" sqref="A2:B7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63"/>
    <col customWidth="1" min="2" max="2" width="22.13"/>
    <col customWidth="1" min="3" max="3" width="14.38"/>
    <col customWidth="1" min="4" max="4" width="16.38"/>
    <col customWidth="1" min="5" max="5" width="10.63"/>
    <col customWidth="1" min="6" max="6" width="29.88"/>
    <col customWidth="1" min="7" max="7" width="22.75"/>
    <col customWidth="1" min="8" max="8" width="17.75"/>
    <col customWidth="1" min="9" max="9" width="16.25"/>
    <col customWidth="1" min="10" max="10" width="20.75"/>
    <col customWidth="1" min="11" max="11" width="16.5"/>
    <col customWidth="1" min="12" max="14" width="10.63"/>
    <col customWidth="1" min="15" max="15" width="13.13"/>
    <col customWidth="1" min="16" max="16" width="18.25"/>
    <col customWidth="1" min="17" max="17" width="10.63"/>
    <col customWidth="1" min="18" max="18" width="15.5"/>
  </cols>
  <sheetData>
    <row r="1">
      <c r="A1" s="8" t="s">
        <v>401</v>
      </c>
      <c r="B1" s="8" t="s">
        <v>402</v>
      </c>
      <c r="C1" s="8" t="s">
        <v>403</v>
      </c>
      <c r="D1" s="8" t="s">
        <v>6</v>
      </c>
      <c r="E1" s="8" t="s">
        <v>404</v>
      </c>
      <c r="F1" s="8" t="s">
        <v>7</v>
      </c>
      <c r="G1" s="8" t="s">
        <v>405</v>
      </c>
      <c r="H1" s="8" t="s">
        <v>5</v>
      </c>
      <c r="I1" s="8" t="s">
        <v>406</v>
      </c>
      <c r="J1" s="8" t="s">
        <v>4</v>
      </c>
      <c r="K1" s="8" t="s">
        <v>2</v>
      </c>
      <c r="L1" s="8" t="s">
        <v>407</v>
      </c>
      <c r="M1" s="8" t="s">
        <v>408</v>
      </c>
      <c r="N1" s="8" t="s">
        <v>409</v>
      </c>
      <c r="O1" s="8" t="s">
        <v>410</v>
      </c>
      <c r="P1" s="9" t="s">
        <v>411</v>
      </c>
      <c r="Q1" s="8" t="s">
        <v>10</v>
      </c>
      <c r="R1" s="8" t="s">
        <v>412</v>
      </c>
    </row>
    <row r="2">
      <c r="A2" s="8" t="s">
        <v>413</v>
      </c>
      <c r="B2" s="8" t="s">
        <v>414</v>
      </c>
      <c r="C2" s="8" t="s">
        <v>415</v>
      </c>
      <c r="D2" s="8" t="s">
        <v>416</v>
      </c>
      <c r="E2" s="8" t="s">
        <v>20</v>
      </c>
      <c r="F2" s="8" t="s">
        <v>417</v>
      </c>
      <c r="G2" s="9" t="s">
        <v>418</v>
      </c>
      <c r="H2" s="8" t="s">
        <v>419</v>
      </c>
      <c r="I2" s="8" t="s">
        <v>420</v>
      </c>
      <c r="J2" s="8" t="s">
        <v>137</v>
      </c>
      <c r="K2" s="8" t="s">
        <v>421</v>
      </c>
      <c r="L2" s="10">
        <v>44838.0</v>
      </c>
      <c r="M2" s="11">
        <v>45524.0</v>
      </c>
      <c r="N2" s="8" t="s">
        <v>422</v>
      </c>
      <c r="O2" s="8" t="s">
        <v>423</v>
      </c>
      <c r="P2" s="12">
        <v>44838.0</v>
      </c>
      <c r="Q2" s="13">
        <v>281342.0</v>
      </c>
      <c r="R2" s="8">
        <v>404100.0</v>
      </c>
    </row>
    <row r="3">
      <c r="A3" s="8" t="s">
        <v>413</v>
      </c>
      <c r="B3" s="8" t="s">
        <v>414</v>
      </c>
      <c r="C3" s="8" t="s">
        <v>415</v>
      </c>
      <c r="D3" s="8" t="s">
        <v>416</v>
      </c>
      <c r="E3" s="8" t="s">
        <v>20</v>
      </c>
      <c r="F3" s="8" t="s">
        <v>417</v>
      </c>
      <c r="G3" s="8" t="s">
        <v>418</v>
      </c>
      <c r="H3" s="8" t="s">
        <v>419</v>
      </c>
      <c r="I3" s="8" t="s">
        <v>420</v>
      </c>
      <c r="J3" s="8" t="s">
        <v>137</v>
      </c>
      <c r="K3" s="8" t="s">
        <v>421</v>
      </c>
      <c r="L3" s="10">
        <v>44838.0</v>
      </c>
      <c r="M3" s="11">
        <v>45524.0</v>
      </c>
      <c r="N3" s="8" t="s">
        <v>422</v>
      </c>
      <c r="O3" s="8" t="s">
        <v>423</v>
      </c>
      <c r="P3" s="12">
        <v>44899.0</v>
      </c>
      <c r="Q3" s="13">
        <v>383818.0</v>
      </c>
      <c r="R3" s="8">
        <v>404100.0</v>
      </c>
    </row>
    <row r="4">
      <c r="A4" s="8" t="s">
        <v>413</v>
      </c>
      <c r="B4" s="8" t="s">
        <v>414</v>
      </c>
      <c r="C4" s="8" t="s">
        <v>415</v>
      </c>
      <c r="D4" s="8" t="s">
        <v>416</v>
      </c>
      <c r="E4" s="8" t="s">
        <v>20</v>
      </c>
      <c r="F4" s="8" t="s">
        <v>417</v>
      </c>
      <c r="G4" s="8" t="s">
        <v>418</v>
      </c>
      <c r="H4" s="8" t="s">
        <v>419</v>
      </c>
      <c r="I4" s="8" t="s">
        <v>420</v>
      </c>
      <c r="J4" s="8" t="s">
        <v>137</v>
      </c>
      <c r="K4" s="8" t="s">
        <v>421</v>
      </c>
      <c r="L4" s="10">
        <v>44838.0</v>
      </c>
      <c r="M4" s="11">
        <v>45524.0</v>
      </c>
      <c r="N4" s="8" t="s">
        <v>422</v>
      </c>
      <c r="O4" s="8" t="s">
        <v>423</v>
      </c>
      <c r="P4" s="12">
        <v>44961.0</v>
      </c>
      <c r="Q4" s="13">
        <v>217763.0</v>
      </c>
      <c r="R4" s="8">
        <v>404100.0</v>
      </c>
    </row>
    <row r="5">
      <c r="A5" s="8" t="s">
        <v>413</v>
      </c>
      <c r="B5" s="8" t="s">
        <v>414</v>
      </c>
      <c r="C5" s="8" t="s">
        <v>415</v>
      </c>
      <c r="D5" s="8" t="s">
        <v>416</v>
      </c>
      <c r="E5" s="8" t="s">
        <v>20</v>
      </c>
      <c r="F5" s="8" t="s">
        <v>417</v>
      </c>
      <c r="G5" s="8" t="s">
        <v>418</v>
      </c>
      <c r="H5" s="8" t="s">
        <v>419</v>
      </c>
      <c r="I5" s="8" t="s">
        <v>420</v>
      </c>
      <c r="J5" s="8" t="s">
        <v>137</v>
      </c>
      <c r="K5" s="8" t="s">
        <v>421</v>
      </c>
      <c r="L5" s="10">
        <v>44838.0</v>
      </c>
      <c r="M5" s="11">
        <v>45524.0</v>
      </c>
      <c r="N5" s="8" t="s">
        <v>422</v>
      </c>
      <c r="O5" s="8" t="s">
        <v>423</v>
      </c>
      <c r="P5" s="12">
        <v>45020.0</v>
      </c>
      <c r="Q5" s="13">
        <v>424093.0</v>
      </c>
      <c r="R5" s="8">
        <v>404100.0</v>
      </c>
    </row>
    <row r="6">
      <c r="A6" s="8" t="s">
        <v>413</v>
      </c>
      <c r="B6" s="8" t="s">
        <v>414</v>
      </c>
      <c r="C6" s="8" t="s">
        <v>415</v>
      </c>
      <c r="D6" s="8" t="s">
        <v>416</v>
      </c>
      <c r="E6" s="8" t="s">
        <v>20</v>
      </c>
      <c r="F6" s="8" t="s">
        <v>417</v>
      </c>
      <c r="G6" s="8" t="s">
        <v>418</v>
      </c>
      <c r="H6" s="8" t="s">
        <v>419</v>
      </c>
      <c r="I6" s="8" t="s">
        <v>420</v>
      </c>
      <c r="J6" s="8" t="s">
        <v>137</v>
      </c>
      <c r="K6" s="8" t="s">
        <v>421</v>
      </c>
      <c r="L6" s="10">
        <v>44838.0</v>
      </c>
      <c r="M6" s="11">
        <v>45524.0</v>
      </c>
      <c r="N6" s="8" t="s">
        <v>422</v>
      </c>
      <c r="O6" s="8" t="s">
        <v>423</v>
      </c>
      <c r="P6" s="12">
        <v>45081.0</v>
      </c>
      <c r="Q6" s="13">
        <v>191399.0</v>
      </c>
      <c r="R6" s="8">
        <v>404100.0</v>
      </c>
    </row>
    <row r="7">
      <c r="A7" s="8" t="s">
        <v>413</v>
      </c>
      <c r="B7" s="8" t="s">
        <v>414</v>
      </c>
      <c r="C7" s="8" t="s">
        <v>415</v>
      </c>
      <c r="D7" s="8" t="s">
        <v>416</v>
      </c>
      <c r="E7" s="8" t="s">
        <v>20</v>
      </c>
      <c r="F7" s="8" t="s">
        <v>417</v>
      </c>
      <c r="G7" s="8" t="s">
        <v>418</v>
      </c>
      <c r="H7" s="8" t="s">
        <v>419</v>
      </c>
      <c r="I7" s="8" t="s">
        <v>420</v>
      </c>
      <c r="J7" s="8" t="s">
        <v>137</v>
      </c>
      <c r="K7" s="8" t="s">
        <v>421</v>
      </c>
      <c r="L7" s="10">
        <v>44838.0</v>
      </c>
      <c r="M7" s="11">
        <v>45524.0</v>
      </c>
      <c r="N7" s="8" t="s">
        <v>422</v>
      </c>
      <c r="O7" s="8" t="s">
        <v>423</v>
      </c>
      <c r="P7" s="12">
        <v>45142.0</v>
      </c>
      <c r="Q7" s="13">
        <v>390950.0</v>
      </c>
      <c r="R7" s="8">
        <v>404100.0</v>
      </c>
    </row>
    <row r="8">
      <c r="A8" s="8" t="s">
        <v>413</v>
      </c>
      <c r="B8" s="8" t="s">
        <v>414</v>
      </c>
      <c r="C8" s="8" t="s">
        <v>415</v>
      </c>
      <c r="D8" s="8" t="s">
        <v>416</v>
      </c>
      <c r="E8" s="8" t="s">
        <v>20</v>
      </c>
      <c r="F8" s="8" t="s">
        <v>417</v>
      </c>
      <c r="G8" s="8" t="s">
        <v>418</v>
      </c>
      <c r="H8" s="8" t="s">
        <v>419</v>
      </c>
      <c r="I8" s="8" t="s">
        <v>420</v>
      </c>
      <c r="J8" s="8" t="s">
        <v>137</v>
      </c>
      <c r="K8" s="8" t="s">
        <v>421</v>
      </c>
      <c r="L8" s="10">
        <v>44838.0</v>
      </c>
      <c r="M8" s="11">
        <v>45524.0</v>
      </c>
      <c r="N8" s="8" t="s">
        <v>422</v>
      </c>
      <c r="O8" s="8" t="s">
        <v>423</v>
      </c>
      <c r="P8" s="12">
        <v>45203.0</v>
      </c>
      <c r="Q8" s="13">
        <v>797809.0</v>
      </c>
      <c r="R8" s="8">
        <v>404100.0</v>
      </c>
    </row>
    <row r="9">
      <c r="A9" s="8" t="s">
        <v>413</v>
      </c>
      <c r="B9" s="8" t="s">
        <v>414</v>
      </c>
      <c r="C9" s="8" t="s">
        <v>415</v>
      </c>
      <c r="D9" s="8" t="s">
        <v>416</v>
      </c>
      <c r="E9" s="8" t="s">
        <v>20</v>
      </c>
      <c r="F9" s="8" t="s">
        <v>417</v>
      </c>
      <c r="G9" s="8" t="s">
        <v>418</v>
      </c>
      <c r="H9" s="8" t="s">
        <v>419</v>
      </c>
      <c r="I9" s="8" t="s">
        <v>420</v>
      </c>
      <c r="J9" s="8" t="s">
        <v>137</v>
      </c>
      <c r="K9" s="8" t="s">
        <v>421</v>
      </c>
      <c r="L9" s="10">
        <v>44838.0</v>
      </c>
      <c r="M9" s="11">
        <v>45524.0</v>
      </c>
      <c r="N9" s="8" t="s">
        <v>422</v>
      </c>
      <c r="O9" s="8" t="s">
        <v>423</v>
      </c>
      <c r="P9" s="12">
        <v>45264.0</v>
      </c>
      <c r="Q9" s="13">
        <v>596040.0</v>
      </c>
      <c r="R9" s="8">
        <v>404100.0</v>
      </c>
    </row>
    <row r="10">
      <c r="A10" s="8" t="s">
        <v>413</v>
      </c>
      <c r="B10" s="8" t="s">
        <v>414</v>
      </c>
      <c r="C10" s="8" t="s">
        <v>415</v>
      </c>
      <c r="D10" s="8" t="s">
        <v>416</v>
      </c>
      <c r="E10" s="8" t="s">
        <v>20</v>
      </c>
      <c r="F10" s="8" t="s">
        <v>417</v>
      </c>
      <c r="G10" s="8" t="s">
        <v>418</v>
      </c>
      <c r="H10" s="8" t="s">
        <v>419</v>
      </c>
      <c r="I10" s="8" t="s">
        <v>420</v>
      </c>
      <c r="J10" s="8" t="s">
        <v>137</v>
      </c>
      <c r="K10" s="8" t="s">
        <v>421</v>
      </c>
      <c r="L10" s="10">
        <v>44838.0</v>
      </c>
      <c r="M10" s="11">
        <v>45524.0</v>
      </c>
      <c r="N10" s="8" t="s">
        <v>422</v>
      </c>
      <c r="O10" s="8" t="s">
        <v>423</v>
      </c>
      <c r="P10" s="12">
        <v>45326.0</v>
      </c>
      <c r="Q10" s="13">
        <v>683505.0</v>
      </c>
      <c r="R10" s="8">
        <v>404100.0</v>
      </c>
    </row>
    <row r="11">
      <c r="A11" s="8" t="s">
        <v>413</v>
      </c>
      <c r="B11" s="8" t="s">
        <v>414</v>
      </c>
      <c r="C11" s="8" t="s">
        <v>415</v>
      </c>
      <c r="D11" s="8" t="s">
        <v>416</v>
      </c>
      <c r="E11" s="8" t="s">
        <v>20</v>
      </c>
      <c r="F11" s="8" t="s">
        <v>417</v>
      </c>
      <c r="G11" s="8" t="s">
        <v>418</v>
      </c>
      <c r="H11" s="8" t="s">
        <v>419</v>
      </c>
      <c r="I11" s="8" t="s">
        <v>420</v>
      </c>
      <c r="J11" s="8" t="s">
        <v>137</v>
      </c>
      <c r="K11" s="8" t="s">
        <v>421</v>
      </c>
      <c r="L11" s="10">
        <v>44838.0</v>
      </c>
      <c r="M11" s="11">
        <v>45524.0</v>
      </c>
      <c r="N11" s="8" t="s">
        <v>422</v>
      </c>
      <c r="O11" s="8" t="s">
        <v>423</v>
      </c>
      <c r="P11" s="12">
        <v>45386.0</v>
      </c>
      <c r="Q11" s="13">
        <v>627181.0</v>
      </c>
      <c r="R11" s="8">
        <v>404100.0</v>
      </c>
    </row>
    <row r="12">
      <c r="A12" s="8" t="s">
        <v>413</v>
      </c>
      <c r="B12" s="8" t="s">
        <v>414</v>
      </c>
      <c r="C12" s="8" t="s">
        <v>415</v>
      </c>
      <c r="D12" s="8" t="s">
        <v>416</v>
      </c>
      <c r="E12" s="8" t="s">
        <v>20</v>
      </c>
      <c r="F12" s="8" t="s">
        <v>417</v>
      </c>
      <c r="G12" s="8" t="s">
        <v>418</v>
      </c>
      <c r="H12" s="8" t="s">
        <v>419</v>
      </c>
      <c r="I12" s="8" t="s">
        <v>420</v>
      </c>
      <c r="J12" s="8" t="s">
        <v>137</v>
      </c>
      <c r="K12" s="8" t="s">
        <v>421</v>
      </c>
      <c r="L12" s="10">
        <v>44838.0</v>
      </c>
      <c r="M12" s="11">
        <v>45524.0</v>
      </c>
      <c r="N12" s="8" t="s">
        <v>422</v>
      </c>
      <c r="O12" s="8" t="s">
        <v>423</v>
      </c>
      <c r="P12" s="12">
        <v>45447.0</v>
      </c>
      <c r="Q12" s="13">
        <v>659415.0</v>
      </c>
      <c r="R12" s="8">
        <v>404100.0</v>
      </c>
    </row>
    <row r="13">
      <c r="A13" s="8" t="s">
        <v>413</v>
      </c>
      <c r="B13" s="8" t="s">
        <v>414</v>
      </c>
      <c r="C13" s="8" t="s">
        <v>415</v>
      </c>
      <c r="D13" s="8" t="s">
        <v>416</v>
      </c>
      <c r="E13" s="8" t="s">
        <v>20</v>
      </c>
      <c r="F13" s="8" t="s">
        <v>417</v>
      </c>
      <c r="G13" s="8" t="s">
        <v>418</v>
      </c>
      <c r="H13" s="8" t="s">
        <v>419</v>
      </c>
      <c r="I13" s="8" t="s">
        <v>420</v>
      </c>
      <c r="J13" s="8" t="s">
        <v>137</v>
      </c>
      <c r="K13" s="8" t="s">
        <v>421</v>
      </c>
      <c r="L13" s="10">
        <v>44838.0</v>
      </c>
      <c r="M13" s="11">
        <v>45524.0</v>
      </c>
      <c r="N13" s="8" t="s">
        <v>422</v>
      </c>
      <c r="O13" s="8" t="s">
        <v>423</v>
      </c>
      <c r="P13" s="12">
        <v>45508.0</v>
      </c>
      <c r="Q13" s="13">
        <v>758508.0</v>
      </c>
      <c r="R13" s="8">
        <v>404100.0</v>
      </c>
    </row>
    <row r="14">
      <c r="A14" s="8" t="s">
        <v>424</v>
      </c>
      <c r="B14" s="8" t="s">
        <v>425</v>
      </c>
      <c r="C14" s="8" t="s">
        <v>426</v>
      </c>
      <c r="D14" s="8" t="s">
        <v>427</v>
      </c>
      <c r="E14" s="8" t="s">
        <v>20</v>
      </c>
      <c r="F14" s="8" t="s">
        <v>428</v>
      </c>
      <c r="G14" s="8" t="s">
        <v>429</v>
      </c>
      <c r="H14" s="8" t="s">
        <v>430</v>
      </c>
      <c r="I14" s="8" t="s">
        <v>431</v>
      </c>
      <c r="J14" s="8" t="s">
        <v>432</v>
      </c>
      <c r="K14" s="8" t="s">
        <v>433</v>
      </c>
      <c r="L14" s="10">
        <v>43686.0</v>
      </c>
      <c r="N14" s="8" t="s">
        <v>434</v>
      </c>
      <c r="O14" s="8" t="s">
        <v>423</v>
      </c>
      <c r="P14" s="12">
        <v>43686.0</v>
      </c>
      <c r="Q14" s="13">
        <v>183574.0</v>
      </c>
      <c r="R14" s="8">
        <v>404100.0</v>
      </c>
    </row>
    <row r="15">
      <c r="A15" s="8" t="s">
        <v>424</v>
      </c>
      <c r="B15" s="8" t="s">
        <v>425</v>
      </c>
      <c r="C15" s="8" t="s">
        <v>426</v>
      </c>
      <c r="D15" s="8" t="s">
        <v>427</v>
      </c>
      <c r="E15" s="8" t="s">
        <v>20</v>
      </c>
      <c r="F15" s="8" t="s">
        <v>428</v>
      </c>
      <c r="G15" s="8" t="s">
        <v>429</v>
      </c>
      <c r="H15" s="8" t="s">
        <v>430</v>
      </c>
      <c r="I15" s="8" t="s">
        <v>431</v>
      </c>
      <c r="J15" s="8" t="s">
        <v>432</v>
      </c>
      <c r="K15" s="8" t="s">
        <v>433</v>
      </c>
      <c r="L15" s="10">
        <v>43686.0</v>
      </c>
      <c r="N15" s="8" t="s">
        <v>434</v>
      </c>
      <c r="O15" s="8" t="s">
        <v>423</v>
      </c>
      <c r="P15" s="14">
        <v>43753.0</v>
      </c>
      <c r="Q15" s="13">
        <v>714947.0</v>
      </c>
      <c r="R15" s="8">
        <v>404100.0</v>
      </c>
    </row>
    <row r="16">
      <c r="A16" s="8" t="s">
        <v>424</v>
      </c>
      <c r="B16" s="8" t="s">
        <v>425</v>
      </c>
      <c r="C16" s="8" t="s">
        <v>426</v>
      </c>
      <c r="D16" s="8" t="s">
        <v>427</v>
      </c>
      <c r="E16" s="8" t="s">
        <v>20</v>
      </c>
      <c r="F16" s="8" t="s">
        <v>428</v>
      </c>
      <c r="G16" s="8" t="s">
        <v>429</v>
      </c>
      <c r="H16" s="8" t="s">
        <v>430</v>
      </c>
      <c r="I16" s="8" t="s">
        <v>431</v>
      </c>
      <c r="J16" s="8" t="s">
        <v>432</v>
      </c>
      <c r="K16" s="8" t="s">
        <v>433</v>
      </c>
      <c r="L16" s="10">
        <v>43686.0</v>
      </c>
      <c r="N16" s="8" t="s">
        <v>434</v>
      </c>
      <c r="O16" s="8" t="s">
        <v>423</v>
      </c>
      <c r="P16" s="14">
        <v>43819.0</v>
      </c>
      <c r="Q16" s="13">
        <v>249584.0</v>
      </c>
      <c r="R16" s="8">
        <v>404100.0</v>
      </c>
    </row>
    <row r="17">
      <c r="A17" s="8" t="s">
        <v>424</v>
      </c>
      <c r="B17" s="8" t="s">
        <v>425</v>
      </c>
      <c r="C17" s="8" t="s">
        <v>426</v>
      </c>
      <c r="D17" s="8" t="s">
        <v>427</v>
      </c>
      <c r="E17" s="8" t="s">
        <v>20</v>
      </c>
      <c r="F17" s="8" t="s">
        <v>428</v>
      </c>
      <c r="G17" s="8" t="s">
        <v>429</v>
      </c>
      <c r="H17" s="8" t="s">
        <v>430</v>
      </c>
      <c r="I17" s="8" t="s">
        <v>431</v>
      </c>
      <c r="J17" s="8" t="s">
        <v>432</v>
      </c>
      <c r="K17" s="8" t="s">
        <v>433</v>
      </c>
      <c r="L17" s="10">
        <v>43686.0</v>
      </c>
      <c r="N17" s="8" t="s">
        <v>434</v>
      </c>
      <c r="O17" s="8" t="s">
        <v>423</v>
      </c>
      <c r="P17" s="12">
        <v>43866.0</v>
      </c>
      <c r="Q17" s="13">
        <v>730842.0</v>
      </c>
      <c r="R17" s="8">
        <v>404100.0</v>
      </c>
    </row>
    <row r="18">
      <c r="A18" s="8" t="s">
        <v>424</v>
      </c>
      <c r="B18" s="8" t="s">
        <v>425</v>
      </c>
      <c r="C18" s="8" t="s">
        <v>426</v>
      </c>
      <c r="D18" s="8" t="s">
        <v>427</v>
      </c>
      <c r="E18" s="8" t="s">
        <v>20</v>
      </c>
      <c r="F18" s="8" t="s">
        <v>428</v>
      </c>
      <c r="G18" s="8" t="s">
        <v>429</v>
      </c>
      <c r="H18" s="8" t="s">
        <v>430</v>
      </c>
      <c r="I18" s="8" t="s">
        <v>431</v>
      </c>
      <c r="J18" s="8" t="s">
        <v>432</v>
      </c>
      <c r="K18" s="8" t="s">
        <v>433</v>
      </c>
      <c r="L18" s="10">
        <v>43686.0</v>
      </c>
      <c r="N18" s="8" t="s">
        <v>434</v>
      </c>
      <c r="O18" s="8" t="s">
        <v>423</v>
      </c>
      <c r="P18" s="12">
        <v>43933.0</v>
      </c>
      <c r="Q18" s="13">
        <v>280468.0</v>
      </c>
      <c r="R18" s="8">
        <v>404100.0</v>
      </c>
    </row>
    <row r="19">
      <c r="A19" s="8" t="s">
        <v>424</v>
      </c>
      <c r="B19" s="8" t="s">
        <v>425</v>
      </c>
      <c r="C19" s="8" t="s">
        <v>426</v>
      </c>
      <c r="D19" s="8" t="s">
        <v>427</v>
      </c>
      <c r="E19" s="8" t="s">
        <v>20</v>
      </c>
      <c r="F19" s="8" t="s">
        <v>428</v>
      </c>
      <c r="G19" s="8" t="s">
        <v>429</v>
      </c>
      <c r="H19" s="8" t="s">
        <v>430</v>
      </c>
      <c r="I19" s="8" t="s">
        <v>431</v>
      </c>
      <c r="J19" s="8" t="s">
        <v>432</v>
      </c>
      <c r="K19" s="8" t="s">
        <v>433</v>
      </c>
      <c r="L19" s="10">
        <v>43686.0</v>
      </c>
      <c r="N19" s="8" t="s">
        <v>434</v>
      </c>
      <c r="O19" s="8" t="s">
        <v>423</v>
      </c>
      <c r="P19" s="12">
        <v>44000.0</v>
      </c>
      <c r="Q19" s="13">
        <v>166865.0</v>
      </c>
      <c r="R19" s="8">
        <v>404100.0</v>
      </c>
    </row>
    <row r="20">
      <c r="A20" s="8" t="s">
        <v>424</v>
      </c>
      <c r="B20" s="8" t="s">
        <v>425</v>
      </c>
      <c r="C20" s="8" t="s">
        <v>426</v>
      </c>
      <c r="D20" s="8" t="s">
        <v>427</v>
      </c>
      <c r="E20" s="8" t="s">
        <v>20</v>
      </c>
      <c r="F20" s="8" t="s">
        <v>428</v>
      </c>
      <c r="G20" s="8" t="s">
        <v>429</v>
      </c>
      <c r="H20" s="8" t="s">
        <v>430</v>
      </c>
      <c r="I20" s="8" t="s">
        <v>431</v>
      </c>
      <c r="J20" s="8" t="s">
        <v>432</v>
      </c>
      <c r="K20" s="8" t="s">
        <v>433</v>
      </c>
      <c r="L20" s="10">
        <v>43686.0</v>
      </c>
      <c r="N20" s="8" t="s">
        <v>434</v>
      </c>
      <c r="O20" s="8" t="s">
        <v>423</v>
      </c>
      <c r="P20" s="12">
        <v>44065.0</v>
      </c>
      <c r="Q20" s="13">
        <v>655577.0</v>
      </c>
      <c r="R20" s="8">
        <v>404100.0</v>
      </c>
    </row>
    <row r="21" ht="15.75" customHeight="1">
      <c r="A21" s="8" t="s">
        <v>424</v>
      </c>
      <c r="B21" s="8" t="s">
        <v>425</v>
      </c>
      <c r="C21" s="8" t="s">
        <v>426</v>
      </c>
      <c r="D21" s="8" t="s">
        <v>427</v>
      </c>
      <c r="E21" s="8" t="s">
        <v>20</v>
      </c>
      <c r="F21" s="8" t="s">
        <v>428</v>
      </c>
      <c r="G21" s="8" t="s">
        <v>429</v>
      </c>
      <c r="H21" s="8" t="s">
        <v>430</v>
      </c>
      <c r="I21" s="8" t="s">
        <v>431</v>
      </c>
      <c r="J21" s="8" t="s">
        <v>432</v>
      </c>
      <c r="K21" s="8" t="s">
        <v>433</v>
      </c>
      <c r="L21" s="10">
        <v>43686.0</v>
      </c>
      <c r="N21" s="8" t="s">
        <v>434</v>
      </c>
      <c r="O21" s="8" t="s">
        <v>423</v>
      </c>
      <c r="P21" s="14">
        <v>44114.0</v>
      </c>
      <c r="Q21" s="13">
        <v>686866.0</v>
      </c>
      <c r="R21" s="8">
        <v>404100.0</v>
      </c>
    </row>
    <row r="22" ht="15.75" customHeight="1">
      <c r="A22" s="8" t="s">
        <v>424</v>
      </c>
      <c r="B22" s="8" t="s">
        <v>425</v>
      </c>
      <c r="C22" s="8" t="s">
        <v>426</v>
      </c>
      <c r="D22" s="8" t="s">
        <v>427</v>
      </c>
      <c r="E22" s="8" t="s">
        <v>20</v>
      </c>
      <c r="F22" s="8" t="s">
        <v>428</v>
      </c>
      <c r="G22" s="8" t="s">
        <v>429</v>
      </c>
      <c r="H22" s="8" t="s">
        <v>430</v>
      </c>
      <c r="I22" s="8" t="s">
        <v>431</v>
      </c>
      <c r="J22" s="8" t="s">
        <v>432</v>
      </c>
      <c r="K22" s="8" t="s">
        <v>433</v>
      </c>
      <c r="L22" s="10">
        <v>43686.0</v>
      </c>
      <c r="N22" s="8" t="s">
        <v>434</v>
      </c>
      <c r="O22" s="8" t="s">
        <v>423</v>
      </c>
      <c r="P22" s="14">
        <v>44190.0</v>
      </c>
      <c r="Q22" s="13">
        <v>492556.0</v>
      </c>
      <c r="R22" s="8">
        <v>404100.0</v>
      </c>
    </row>
    <row r="23" ht="15.75" customHeight="1">
      <c r="A23" s="8" t="s">
        <v>424</v>
      </c>
      <c r="B23" s="8" t="s">
        <v>425</v>
      </c>
      <c r="C23" s="8" t="s">
        <v>426</v>
      </c>
      <c r="D23" s="8" t="s">
        <v>427</v>
      </c>
      <c r="E23" s="8" t="s">
        <v>20</v>
      </c>
      <c r="F23" s="8" t="s">
        <v>428</v>
      </c>
      <c r="G23" s="8" t="s">
        <v>429</v>
      </c>
      <c r="H23" s="8" t="s">
        <v>430</v>
      </c>
      <c r="I23" s="8" t="s">
        <v>431</v>
      </c>
      <c r="J23" s="8" t="s">
        <v>432</v>
      </c>
      <c r="K23" s="8" t="s">
        <v>433</v>
      </c>
      <c r="L23" s="10">
        <v>43686.0</v>
      </c>
      <c r="N23" s="8" t="s">
        <v>434</v>
      </c>
      <c r="O23" s="8" t="s">
        <v>423</v>
      </c>
      <c r="P23" s="12">
        <v>44234.0</v>
      </c>
      <c r="Q23" s="13">
        <v>470537.0</v>
      </c>
      <c r="R23" s="8">
        <v>404100.0</v>
      </c>
    </row>
    <row r="24" ht="15.75" customHeight="1">
      <c r="A24" s="8" t="s">
        <v>424</v>
      </c>
      <c r="B24" s="8" t="s">
        <v>425</v>
      </c>
      <c r="C24" s="8" t="s">
        <v>426</v>
      </c>
      <c r="D24" s="8" t="s">
        <v>427</v>
      </c>
      <c r="E24" s="8" t="s">
        <v>20</v>
      </c>
      <c r="F24" s="8" t="s">
        <v>428</v>
      </c>
      <c r="G24" s="8" t="s">
        <v>429</v>
      </c>
      <c r="H24" s="8" t="s">
        <v>430</v>
      </c>
      <c r="I24" s="8" t="s">
        <v>431</v>
      </c>
      <c r="J24" s="8" t="s">
        <v>432</v>
      </c>
      <c r="K24" s="8" t="s">
        <v>433</v>
      </c>
      <c r="L24" s="10">
        <v>43686.0</v>
      </c>
      <c r="N24" s="8" t="s">
        <v>434</v>
      </c>
      <c r="O24" s="8" t="s">
        <v>423</v>
      </c>
      <c r="P24" s="12">
        <v>44300.0</v>
      </c>
      <c r="Q24" s="13">
        <v>143318.0</v>
      </c>
      <c r="R24" s="8">
        <v>404100.0</v>
      </c>
    </row>
    <row r="25" ht="15.75" customHeight="1">
      <c r="A25" s="8" t="s">
        <v>424</v>
      </c>
      <c r="B25" s="8" t="s">
        <v>425</v>
      </c>
      <c r="C25" s="8" t="s">
        <v>426</v>
      </c>
      <c r="D25" s="8" t="s">
        <v>427</v>
      </c>
      <c r="E25" s="8" t="s">
        <v>20</v>
      </c>
      <c r="F25" s="8" t="s">
        <v>428</v>
      </c>
      <c r="G25" s="8" t="s">
        <v>429</v>
      </c>
      <c r="H25" s="8" t="s">
        <v>430</v>
      </c>
      <c r="I25" s="8" t="s">
        <v>431</v>
      </c>
      <c r="J25" s="8" t="s">
        <v>432</v>
      </c>
      <c r="K25" s="8" t="s">
        <v>433</v>
      </c>
      <c r="L25" s="10">
        <v>43686.0</v>
      </c>
      <c r="N25" s="8" t="s">
        <v>434</v>
      </c>
      <c r="O25" s="8" t="s">
        <v>423</v>
      </c>
      <c r="P25" s="12">
        <v>44366.0</v>
      </c>
      <c r="Q25" s="13">
        <v>387405.0</v>
      </c>
      <c r="R25" s="8">
        <v>404100.0</v>
      </c>
    </row>
    <row r="26" ht="15.75" customHeight="1">
      <c r="A26" s="8" t="s">
        <v>424</v>
      </c>
      <c r="B26" s="8" t="s">
        <v>425</v>
      </c>
      <c r="C26" s="8" t="s">
        <v>426</v>
      </c>
      <c r="D26" s="8" t="s">
        <v>427</v>
      </c>
      <c r="E26" s="8" t="s">
        <v>20</v>
      </c>
      <c r="F26" s="8" t="s">
        <v>428</v>
      </c>
      <c r="G26" s="8" t="s">
        <v>429</v>
      </c>
      <c r="H26" s="8" t="s">
        <v>430</v>
      </c>
      <c r="I26" s="8" t="s">
        <v>431</v>
      </c>
      <c r="J26" s="8" t="s">
        <v>432</v>
      </c>
      <c r="K26" s="8" t="s">
        <v>433</v>
      </c>
      <c r="L26" s="10">
        <v>43686.0</v>
      </c>
      <c r="N26" s="8" t="s">
        <v>434</v>
      </c>
      <c r="O26" s="8" t="s">
        <v>423</v>
      </c>
      <c r="P26" s="12">
        <v>44431.0</v>
      </c>
      <c r="Q26" s="13">
        <v>748110.0</v>
      </c>
      <c r="R26" s="8">
        <v>404100.0</v>
      </c>
    </row>
    <row r="27" ht="15.75" customHeight="1">
      <c r="A27" s="8" t="s">
        <v>424</v>
      </c>
      <c r="B27" s="8" t="s">
        <v>425</v>
      </c>
      <c r="C27" s="8" t="s">
        <v>426</v>
      </c>
      <c r="D27" s="8" t="s">
        <v>427</v>
      </c>
      <c r="E27" s="8" t="s">
        <v>20</v>
      </c>
      <c r="F27" s="8" t="s">
        <v>428</v>
      </c>
      <c r="G27" s="8" t="s">
        <v>429</v>
      </c>
      <c r="H27" s="8" t="s">
        <v>430</v>
      </c>
      <c r="I27" s="8" t="s">
        <v>431</v>
      </c>
      <c r="J27" s="8" t="s">
        <v>432</v>
      </c>
      <c r="K27" s="8" t="s">
        <v>433</v>
      </c>
      <c r="L27" s="10">
        <v>43686.0</v>
      </c>
      <c r="N27" s="8" t="s">
        <v>434</v>
      </c>
      <c r="O27" s="8" t="s">
        <v>423</v>
      </c>
      <c r="P27" s="14">
        <v>44480.0</v>
      </c>
      <c r="Q27" s="13">
        <v>606837.0</v>
      </c>
      <c r="R27" s="8">
        <v>404100.0</v>
      </c>
    </row>
    <row r="28" ht="15.75" customHeight="1">
      <c r="A28" s="8" t="s">
        <v>424</v>
      </c>
      <c r="B28" s="8" t="s">
        <v>425</v>
      </c>
      <c r="C28" s="8" t="s">
        <v>426</v>
      </c>
      <c r="D28" s="8" t="s">
        <v>427</v>
      </c>
      <c r="E28" s="8" t="s">
        <v>20</v>
      </c>
      <c r="F28" s="8" t="s">
        <v>428</v>
      </c>
      <c r="G28" s="8" t="s">
        <v>429</v>
      </c>
      <c r="H28" s="8" t="s">
        <v>430</v>
      </c>
      <c r="I28" s="8" t="s">
        <v>431</v>
      </c>
      <c r="J28" s="8" t="s">
        <v>432</v>
      </c>
      <c r="K28" s="8" t="s">
        <v>433</v>
      </c>
      <c r="L28" s="10">
        <v>43686.0</v>
      </c>
      <c r="N28" s="8" t="s">
        <v>434</v>
      </c>
      <c r="O28" s="8" t="s">
        <v>423</v>
      </c>
      <c r="P28" s="14">
        <v>44557.0</v>
      </c>
      <c r="Q28" s="13">
        <v>732998.0</v>
      </c>
      <c r="R28" s="8">
        <v>404100.0</v>
      </c>
    </row>
    <row r="29" ht="15.75" customHeight="1">
      <c r="A29" s="8" t="s">
        <v>424</v>
      </c>
      <c r="B29" s="8" t="s">
        <v>425</v>
      </c>
      <c r="C29" s="8" t="s">
        <v>426</v>
      </c>
      <c r="D29" s="8" t="s">
        <v>427</v>
      </c>
      <c r="E29" s="8" t="s">
        <v>20</v>
      </c>
      <c r="F29" s="8" t="s">
        <v>428</v>
      </c>
      <c r="G29" s="8" t="s">
        <v>429</v>
      </c>
      <c r="H29" s="8" t="s">
        <v>430</v>
      </c>
      <c r="I29" s="8" t="s">
        <v>431</v>
      </c>
      <c r="J29" s="8" t="s">
        <v>432</v>
      </c>
      <c r="K29" s="8" t="s">
        <v>433</v>
      </c>
      <c r="L29" s="10">
        <v>43686.0</v>
      </c>
      <c r="N29" s="8" t="s">
        <v>434</v>
      </c>
      <c r="O29" s="8" t="s">
        <v>423</v>
      </c>
      <c r="P29" s="12">
        <v>44600.0</v>
      </c>
      <c r="Q29" s="13">
        <v>433172.0</v>
      </c>
      <c r="R29" s="8">
        <v>404100.0</v>
      </c>
    </row>
    <row r="30" ht="15.75" customHeight="1">
      <c r="A30" s="8" t="s">
        <v>424</v>
      </c>
      <c r="B30" s="8" t="s">
        <v>425</v>
      </c>
      <c r="C30" s="8" t="s">
        <v>426</v>
      </c>
      <c r="D30" s="8" t="s">
        <v>427</v>
      </c>
      <c r="E30" s="8" t="s">
        <v>20</v>
      </c>
      <c r="F30" s="8" t="s">
        <v>428</v>
      </c>
      <c r="G30" s="8" t="s">
        <v>429</v>
      </c>
      <c r="H30" s="8" t="s">
        <v>430</v>
      </c>
      <c r="I30" s="8" t="s">
        <v>431</v>
      </c>
      <c r="J30" s="8" t="s">
        <v>432</v>
      </c>
      <c r="K30" s="8" t="s">
        <v>433</v>
      </c>
      <c r="L30" s="10">
        <v>43686.0</v>
      </c>
      <c r="N30" s="8" t="s">
        <v>434</v>
      </c>
      <c r="O30" s="8" t="s">
        <v>423</v>
      </c>
      <c r="P30" s="12">
        <v>44667.0</v>
      </c>
      <c r="Q30" s="13">
        <v>65198.0</v>
      </c>
      <c r="R30" s="8">
        <v>404100.0</v>
      </c>
    </row>
    <row r="31" ht="15.75" customHeight="1">
      <c r="A31" s="8" t="s">
        <v>424</v>
      </c>
      <c r="B31" s="8" t="s">
        <v>425</v>
      </c>
      <c r="C31" s="8" t="s">
        <v>426</v>
      </c>
      <c r="D31" s="8" t="s">
        <v>427</v>
      </c>
      <c r="E31" s="8" t="s">
        <v>20</v>
      </c>
      <c r="F31" s="8" t="s">
        <v>428</v>
      </c>
      <c r="G31" s="8" t="s">
        <v>429</v>
      </c>
      <c r="H31" s="8" t="s">
        <v>430</v>
      </c>
      <c r="I31" s="8" t="s">
        <v>431</v>
      </c>
      <c r="J31" s="8" t="s">
        <v>432</v>
      </c>
      <c r="K31" s="8" t="s">
        <v>433</v>
      </c>
      <c r="L31" s="10">
        <v>43686.0</v>
      </c>
      <c r="N31" s="8" t="s">
        <v>434</v>
      </c>
      <c r="O31" s="8" t="s">
        <v>423</v>
      </c>
      <c r="P31" s="12">
        <v>44733.0</v>
      </c>
      <c r="Q31" s="13">
        <v>505685.0</v>
      </c>
      <c r="R31" s="8">
        <v>404100.0</v>
      </c>
    </row>
    <row r="32" ht="15.75" customHeight="1">
      <c r="A32" s="8" t="s">
        <v>424</v>
      </c>
      <c r="B32" s="8" t="s">
        <v>425</v>
      </c>
      <c r="C32" s="8" t="s">
        <v>426</v>
      </c>
      <c r="D32" s="8" t="s">
        <v>427</v>
      </c>
      <c r="E32" s="8" t="s">
        <v>20</v>
      </c>
      <c r="F32" s="8" t="s">
        <v>428</v>
      </c>
      <c r="G32" s="8" t="s">
        <v>429</v>
      </c>
      <c r="H32" s="8" t="s">
        <v>430</v>
      </c>
      <c r="I32" s="8" t="s">
        <v>431</v>
      </c>
      <c r="J32" s="8" t="s">
        <v>432</v>
      </c>
      <c r="K32" s="8" t="s">
        <v>433</v>
      </c>
      <c r="L32" s="10">
        <v>43686.0</v>
      </c>
      <c r="N32" s="8" t="s">
        <v>434</v>
      </c>
      <c r="O32" s="8" t="s">
        <v>423</v>
      </c>
      <c r="P32" s="12">
        <v>44797.0</v>
      </c>
      <c r="Q32" s="13">
        <v>547634.0</v>
      </c>
      <c r="R32" s="8">
        <v>404100.0</v>
      </c>
    </row>
    <row r="33" ht="15.75" customHeight="1">
      <c r="A33" s="8" t="s">
        <v>424</v>
      </c>
      <c r="B33" s="8" t="s">
        <v>425</v>
      </c>
      <c r="C33" s="8" t="s">
        <v>426</v>
      </c>
      <c r="D33" s="8" t="s">
        <v>427</v>
      </c>
      <c r="E33" s="8" t="s">
        <v>20</v>
      </c>
      <c r="F33" s="8" t="s">
        <v>428</v>
      </c>
      <c r="G33" s="8" t="s">
        <v>429</v>
      </c>
      <c r="H33" s="8" t="s">
        <v>430</v>
      </c>
      <c r="I33" s="8" t="s">
        <v>431</v>
      </c>
      <c r="J33" s="8" t="s">
        <v>432</v>
      </c>
      <c r="K33" s="8" t="s">
        <v>433</v>
      </c>
      <c r="L33" s="10">
        <v>43686.0</v>
      </c>
      <c r="N33" s="8" t="s">
        <v>434</v>
      </c>
      <c r="O33" s="8" t="s">
        <v>423</v>
      </c>
      <c r="P33" s="14">
        <v>44847.0</v>
      </c>
      <c r="Q33" s="13">
        <v>662880.0</v>
      </c>
      <c r="R33" s="8">
        <v>404100.0</v>
      </c>
    </row>
    <row r="34" ht="15.75" customHeight="1">
      <c r="A34" s="8" t="s">
        <v>424</v>
      </c>
      <c r="B34" s="8" t="s">
        <v>425</v>
      </c>
      <c r="C34" s="8" t="s">
        <v>426</v>
      </c>
      <c r="D34" s="8" t="s">
        <v>427</v>
      </c>
      <c r="E34" s="8" t="s">
        <v>20</v>
      </c>
      <c r="F34" s="8" t="s">
        <v>428</v>
      </c>
      <c r="G34" s="8" t="s">
        <v>429</v>
      </c>
      <c r="H34" s="8" t="s">
        <v>430</v>
      </c>
      <c r="I34" s="8" t="s">
        <v>431</v>
      </c>
      <c r="J34" s="8" t="s">
        <v>432</v>
      </c>
      <c r="K34" s="8" t="s">
        <v>433</v>
      </c>
      <c r="L34" s="10">
        <v>43686.0</v>
      </c>
      <c r="N34" s="8" t="s">
        <v>434</v>
      </c>
      <c r="O34" s="8" t="s">
        <v>423</v>
      </c>
      <c r="P34" s="14">
        <v>44924.0</v>
      </c>
      <c r="Q34" s="13">
        <v>257499.0</v>
      </c>
      <c r="R34" s="8">
        <v>404100.0</v>
      </c>
    </row>
    <row r="35" ht="15.75" customHeight="1">
      <c r="A35" s="8" t="s">
        <v>424</v>
      </c>
      <c r="B35" s="8" t="s">
        <v>425</v>
      </c>
      <c r="C35" s="8" t="s">
        <v>426</v>
      </c>
      <c r="D35" s="8" t="s">
        <v>427</v>
      </c>
      <c r="E35" s="8" t="s">
        <v>20</v>
      </c>
      <c r="F35" s="8" t="s">
        <v>428</v>
      </c>
      <c r="G35" s="8" t="s">
        <v>429</v>
      </c>
      <c r="H35" s="8" t="s">
        <v>430</v>
      </c>
      <c r="I35" s="8" t="s">
        <v>431</v>
      </c>
      <c r="J35" s="8" t="s">
        <v>432</v>
      </c>
      <c r="K35" s="8" t="s">
        <v>433</v>
      </c>
      <c r="L35" s="10">
        <v>43686.0</v>
      </c>
      <c r="N35" s="8" t="s">
        <v>434</v>
      </c>
      <c r="O35" s="8" t="s">
        <v>423</v>
      </c>
      <c r="P35" s="12">
        <v>44963.0</v>
      </c>
      <c r="Q35" s="13">
        <v>567511.0</v>
      </c>
      <c r="R35" s="8">
        <v>404100.0</v>
      </c>
    </row>
    <row r="36" ht="15.75" customHeight="1">
      <c r="A36" s="8" t="s">
        <v>424</v>
      </c>
      <c r="B36" s="8" t="s">
        <v>425</v>
      </c>
      <c r="C36" s="8" t="s">
        <v>426</v>
      </c>
      <c r="D36" s="8" t="s">
        <v>427</v>
      </c>
      <c r="E36" s="8" t="s">
        <v>20</v>
      </c>
      <c r="F36" s="8" t="s">
        <v>428</v>
      </c>
      <c r="G36" s="8" t="s">
        <v>429</v>
      </c>
      <c r="H36" s="8" t="s">
        <v>430</v>
      </c>
      <c r="I36" s="8" t="s">
        <v>431</v>
      </c>
      <c r="J36" s="8" t="s">
        <v>432</v>
      </c>
      <c r="K36" s="8" t="s">
        <v>433</v>
      </c>
      <c r="L36" s="10">
        <v>43686.0</v>
      </c>
      <c r="N36" s="8" t="s">
        <v>434</v>
      </c>
      <c r="O36" s="8" t="s">
        <v>423</v>
      </c>
      <c r="P36" s="12">
        <v>45033.0</v>
      </c>
      <c r="Q36" s="13">
        <v>78589.0</v>
      </c>
      <c r="R36" s="8">
        <v>404100.0</v>
      </c>
    </row>
    <row r="37" ht="15.75" customHeight="1">
      <c r="A37" s="8" t="s">
        <v>424</v>
      </c>
      <c r="B37" s="8" t="s">
        <v>425</v>
      </c>
      <c r="C37" s="8" t="s">
        <v>426</v>
      </c>
      <c r="D37" s="8" t="s">
        <v>427</v>
      </c>
      <c r="E37" s="8" t="s">
        <v>20</v>
      </c>
      <c r="F37" s="8" t="s">
        <v>428</v>
      </c>
      <c r="G37" s="8" t="s">
        <v>429</v>
      </c>
      <c r="H37" s="8" t="s">
        <v>430</v>
      </c>
      <c r="I37" s="8" t="s">
        <v>431</v>
      </c>
      <c r="J37" s="8" t="s">
        <v>432</v>
      </c>
      <c r="K37" s="8" t="s">
        <v>433</v>
      </c>
      <c r="L37" s="10">
        <v>43686.0</v>
      </c>
      <c r="N37" s="8" t="s">
        <v>434</v>
      </c>
      <c r="O37" s="8" t="s">
        <v>423</v>
      </c>
      <c r="P37" s="12">
        <v>45097.0</v>
      </c>
      <c r="Q37" s="13">
        <v>778799.0</v>
      </c>
      <c r="R37" s="8">
        <v>404100.0</v>
      </c>
    </row>
    <row r="38" ht="15.75" customHeight="1">
      <c r="A38" s="8" t="s">
        <v>424</v>
      </c>
      <c r="B38" s="8" t="s">
        <v>425</v>
      </c>
      <c r="C38" s="8" t="s">
        <v>426</v>
      </c>
      <c r="D38" s="8" t="s">
        <v>427</v>
      </c>
      <c r="E38" s="8" t="s">
        <v>20</v>
      </c>
      <c r="F38" s="8" t="s">
        <v>428</v>
      </c>
      <c r="G38" s="8" t="s">
        <v>429</v>
      </c>
      <c r="H38" s="8" t="s">
        <v>430</v>
      </c>
      <c r="I38" s="8" t="s">
        <v>431</v>
      </c>
      <c r="J38" s="8" t="s">
        <v>432</v>
      </c>
      <c r="K38" s="8" t="s">
        <v>433</v>
      </c>
      <c r="L38" s="10">
        <v>43686.0</v>
      </c>
      <c r="N38" s="8" t="s">
        <v>434</v>
      </c>
      <c r="O38" s="8" t="s">
        <v>423</v>
      </c>
      <c r="P38" s="12">
        <v>45164.0</v>
      </c>
      <c r="Q38" s="13">
        <v>402281.0</v>
      </c>
      <c r="R38" s="8">
        <v>404100.0</v>
      </c>
    </row>
    <row r="39" ht="15.75" customHeight="1">
      <c r="A39" s="8" t="s">
        <v>424</v>
      </c>
      <c r="B39" s="8" t="s">
        <v>425</v>
      </c>
      <c r="C39" s="8" t="s">
        <v>426</v>
      </c>
      <c r="D39" s="8" t="s">
        <v>427</v>
      </c>
      <c r="E39" s="8" t="s">
        <v>20</v>
      </c>
      <c r="F39" s="8" t="s">
        <v>428</v>
      </c>
      <c r="G39" s="8" t="s">
        <v>429</v>
      </c>
      <c r="H39" s="8" t="s">
        <v>430</v>
      </c>
      <c r="I39" s="8" t="s">
        <v>431</v>
      </c>
      <c r="J39" s="8" t="s">
        <v>432</v>
      </c>
      <c r="K39" s="8" t="s">
        <v>433</v>
      </c>
      <c r="L39" s="10">
        <v>43686.0</v>
      </c>
      <c r="N39" s="8" t="s">
        <v>434</v>
      </c>
      <c r="O39" s="8" t="s">
        <v>423</v>
      </c>
      <c r="P39" s="14">
        <v>45211.0</v>
      </c>
      <c r="Q39" s="13">
        <v>368134.0</v>
      </c>
      <c r="R39" s="8">
        <v>404100.0</v>
      </c>
    </row>
    <row r="40" ht="15.75" customHeight="1">
      <c r="A40" s="8" t="s">
        <v>424</v>
      </c>
      <c r="B40" s="8" t="s">
        <v>425</v>
      </c>
      <c r="C40" s="8" t="s">
        <v>426</v>
      </c>
      <c r="D40" s="8" t="s">
        <v>427</v>
      </c>
      <c r="E40" s="8" t="s">
        <v>20</v>
      </c>
      <c r="F40" s="8" t="s">
        <v>428</v>
      </c>
      <c r="G40" s="8" t="s">
        <v>429</v>
      </c>
      <c r="H40" s="8" t="s">
        <v>430</v>
      </c>
      <c r="I40" s="8" t="s">
        <v>431</v>
      </c>
      <c r="J40" s="8" t="s">
        <v>432</v>
      </c>
      <c r="K40" s="8" t="s">
        <v>433</v>
      </c>
      <c r="L40" s="10">
        <v>43686.0</v>
      </c>
      <c r="N40" s="8" t="s">
        <v>434</v>
      </c>
      <c r="O40" s="8" t="s">
        <v>423</v>
      </c>
      <c r="P40" s="14">
        <v>45288.0</v>
      </c>
      <c r="Q40" s="13">
        <v>238802.0</v>
      </c>
      <c r="R40" s="8">
        <v>404100.0</v>
      </c>
    </row>
    <row r="41" ht="15.75" customHeight="1">
      <c r="A41" s="8" t="s">
        <v>424</v>
      </c>
      <c r="B41" s="8" t="s">
        <v>425</v>
      </c>
      <c r="C41" s="8" t="s">
        <v>426</v>
      </c>
      <c r="D41" s="8" t="s">
        <v>427</v>
      </c>
      <c r="E41" s="8" t="s">
        <v>20</v>
      </c>
      <c r="F41" s="8" t="s">
        <v>428</v>
      </c>
      <c r="G41" s="8" t="s">
        <v>429</v>
      </c>
      <c r="H41" s="8" t="s">
        <v>430</v>
      </c>
      <c r="I41" s="8" t="s">
        <v>431</v>
      </c>
      <c r="J41" s="8" t="s">
        <v>432</v>
      </c>
      <c r="K41" s="8" t="s">
        <v>433</v>
      </c>
      <c r="L41" s="10">
        <v>43686.0</v>
      </c>
      <c r="N41" s="8" t="s">
        <v>434</v>
      </c>
      <c r="O41" s="8" t="s">
        <v>423</v>
      </c>
      <c r="P41" s="12">
        <v>45331.0</v>
      </c>
      <c r="Q41" s="13">
        <v>739084.0</v>
      </c>
      <c r="R41" s="8">
        <v>404100.0</v>
      </c>
    </row>
    <row r="42" ht="15.75" customHeight="1">
      <c r="A42" s="8" t="s">
        <v>424</v>
      </c>
      <c r="B42" s="8" t="s">
        <v>425</v>
      </c>
      <c r="C42" s="8" t="s">
        <v>426</v>
      </c>
      <c r="D42" s="8" t="s">
        <v>427</v>
      </c>
      <c r="E42" s="8" t="s">
        <v>20</v>
      </c>
      <c r="F42" s="8" t="s">
        <v>428</v>
      </c>
      <c r="G42" s="8" t="s">
        <v>429</v>
      </c>
      <c r="H42" s="8" t="s">
        <v>430</v>
      </c>
      <c r="I42" s="8" t="s">
        <v>431</v>
      </c>
      <c r="J42" s="8" t="s">
        <v>432</v>
      </c>
      <c r="K42" s="8" t="s">
        <v>433</v>
      </c>
      <c r="L42" s="10">
        <v>43686.0</v>
      </c>
      <c r="N42" s="8" t="s">
        <v>434</v>
      </c>
      <c r="O42" s="8" t="s">
        <v>423</v>
      </c>
      <c r="P42" s="12">
        <v>45400.0</v>
      </c>
      <c r="Q42" s="13">
        <v>578868.0</v>
      </c>
      <c r="R42" s="8">
        <v>404100.0</v>
      </c>
    </row>
    <row r="43" ht="15.75" customHeight="1">
      <c r="A43" s="8" t="s">
        <v>424</v>
      </c>
      <c r="B43" s="8" t="s">
        <v>425</v>
      </c>
      <c r="C43" s="8" t="s">
        <v>426</v>
      </c>
      <c r="D43" s="8" t="s">
        <v>427</v>
      </c>
      <c r="E43" s="8" t="s">
        <v>20</v>
      </c>
      <c r="F43" s="8" t="s">
        <v>428</v>
      </c>
      <c r="G43" s="8" t="s">
        <v>429</v>
      </c>
      <c r="H43" s="8" t="s">
        <v>430</v>
      </c>
      <c r="I43" s="8" t="s">
        <v>431</v>
      </c>
      <c r="J43" s="8" t="s">
        <v>432</v>
      </c>
      <c r="K43" s="8" t="s">
        <v>433</v>
      </c>
      <c r="L43" s="10">
        <v>43686.0</v>
      </c>
      <c r="N43" s="8" t="s">
        <v>434</v>
      </c>
      <c r="O43" s="8" t="s">
        <v>423</v>
      </c>
      <c r="P43" s="12">
        <v>45465.0</v>
      </c>
      <c r="Q43" s="13">
        <v>481653.0</v>
      </c>
      <c r="R43" s="8">
        <v>404100.0</v>
      </c>
    </row>
    <row r="44" ht="15.75" customHeight="1">
      <c r="A44" s="8" t="s">
        <v>424</v>
      </c>
      <c r="B44" s="8" t="s">
        <v>425</v>
      </c>
      <c r="C44" s="8" t="s">
        <v>426</v>
      </c>
      <c r="D44" s="8" t="s">
        <v>427</v>
      </c>
      <c r="E44" s="8" t="s">
        <v>20</v>
      </c>
      <c r="F44" s="8" t="s">
        <v>428</v>
      </c>
      <c r="G44" s="8" t="s">
        <v>429</v>
      </c>
      <c r="H44" s="8" t="s">
        <v>430</v>
      </c>
      <c r="I44" s="8" t="s">
        <v>431</v>
      </c>
      <c r="J44" s="8" t="s">
        <v>432</v>
      </c>
      <c r="K44" s="8" t="s">
        <v>433</v>
      </c>
      <c r="L44" s="10">
        <v>43686.0</v>
      </c>
      <c r="N44" s="8" t="s">
        <v>434</v>
      </c>
      <c r="O44" s="8" t="s">
        <v>423</v>
      </c>
      <c r="P44" s="12">
        <v>45534.0</v>
      </c>
      <c r="Q44" s="13">
        <v>676243.0</v>
      </c>
      <c r="R44" s="8">
        <v>404100.0</v>
      </c>
    </row>
    <row r="45" ht="15.75" customHeight="1">
      <c r="A45" s="8" t="s">
        <v>435</v>
      </c>
      <c r="B45" s="8" t="s">
        <v>436</v>
      </c>
      <c r="C45" s="8" t="s">
        <v>415</v>
      </c>
      <c r="D45" s="8" t="s">
        <v>437</v>
      </c>
      <c r="E45" s="8" t="s">
        <v>20</v>
      </c>
      <c r="F45" s="8" t="s">
        <v>438</v>
      </c>
      <c r="G45" s="8" t="s">
        <v>439</v>
      </c>
      <c r="H45" s="8" t="s">
        <v>440</v>
      </c>
      <c r="I45" s="8" t="s">
        <v>441</v>
      </c>
      <c r="J45" s="8" t="s">
        <v>159</v>
      </c>
      <c r="K45" s="8" t="s">
        <v>442</v>
      </c>
      <c r="L45" s="10">
        <v>43953.0</v>
      </c>
      <c r="M45" s="10">
        <v>45474.0</v>
      </c>
      <c r="N45" s="8" t="s">
        <v>422</v>
      </c>
      <c r="O45" s="8" t="s">
        <v>443</v>
      </c>
      <c r="P45" s="15">
        <v>43953.0</v>
      </c>
      <c r="Q45" s="13">
        <v>101418.0</v>
      </c>
      <c r="R45" s="8">
        <v>403103.0</v>
      </c>
    </row>
    <row r="46" ht="15.75" customHeight="1">
      <c r="A46" s="8" t="s">
        <v>435</v>
      </c>
      <c r="B46" s="8" t="s">
        <v>436</v>
      </c>
      <c r="C46" s="8" t="s">
        <v>415</v>
      </c>
      <c r="D46" s="8" t="s">
        <v>437</v>
      </c>
      <c r="E46" s="8" t="s">
        <v>20</v>
      </c>
      <c r="F46" s="8" t="s">
        <v>438</v>
      </c>
      <c r="G46" s="8" t="s">
        <v>439</v>
      </c>
      <c r="H46" s="8" t="s">
        <v>440</v>
      </c>
      <c r="I46" s="8" t="s">
        <v>441</v>
      </c>
      <c r="J46" s="8" t="s">
        <v>159</v>
      </c>
      <c r="K46" s="8" t="s">
        <v>442</v>
      </c>
      <c r="L46" s="10">
        <v>43953.0</v>
      </c>
      <c r="M46" s="10">
        <v>45474.0</v>
      </c>
      <c r="N46" s="8" t="s">
        <v>422</v>
      </c>
      <c r="O46" s="8" t="s">
        <v>443</v>
      </c>
      <c r="P46" s="15">
        <v>44046.0</v>
      </c>
      <c r="Q46" s="13">
        <v>153871.0</v>
      </c>
      <c r="R46" s="8">
        <v>403103.0</v>
      </c>
    </row>
    <row r="47" ht="15.75" customHeight="1">
      <c r="A47" s="8" t="s">
        <v>435</v>
      </c>
      <c r="B47" s="8" t="s">
        <v>436</v>
      </c>
      <c r="C47" s="8" t="s">
        <v>415</v>
      </c>
      <c r="D47" s="8" t="s">
        <v>437</v>
      </c>
      <c r="E47" s="8" t="s">
        <v>20</v>
      </c>
      <c r="F47" s="8" t="s">
        <v>438</v>
      </c>
      <c r="G47" s="8" t="s">
        <v>439</v>
      </c>
      <c r="H47" s="8" t="s">
        <v>440</v>
      </c>
      <c r="I47" s="8" t="s">
        <v>441</v>
      </c>
      <c r="J47" s="8" t="s">
        <v>159</v>
      </c>
      <c r="K47" s="8" t="s">
        <v>442</v>
      </c>
      <c r="L47" s="10">
        <v>43953.0</v>
      </c>
      <c r="M47" s="10">
        <v>45474.0</v>
      </c>
      <c r="N47" s="8" t="s">
        <v>422</v>
      </c>
      <c r="O47" s="8" t="s">
        <v>443</v>
      </c>
      <c r="P47" s="15">
        <v>44140.0</v>
      </c>
      <c r="Q47" s="13">
        <v>141673.0</v>
      </c>
      <c r="R47" s="8">
        <v>403103.0</v>
      </c>
    </row>
    <row r="48" ht="15.75" customHeight="1">
      <c r="A48" s="8" t="s">
        <v>435</v>
      </c>
      <c r="B48" s="8" t="s">
        <v>436</v>
      </c>
      <c r="C48" s="8" t="s">
        <v>415</v>
      </c>
      <c r="D48" s="8" t="s">
        <v>437</v>
      </c>
      <c r="E48" s="8" t="s">
        <v>20</v>
      </c>
      <c r="F48" s="8" t="s">
        <v>438</v>
      </c>
      <c r="G48" s="8" t="s">
        <v>439</v>
      </c>
      <c r="H48" s="8" t="s">
        <v>440</v>
      </c>
      <c r="I48" s="8" t="s">
        <v>441</v>
      </c>
      <c r="J48" s="8" t="s">
        <v>159</v>
      </c>
      <c r="K48" s="8" t="s">
        <v>442</v>
      </c>
      <c r="L48" s="10">
        <v>43953.0</v>
      </c>
      <c r="M48" s="10">
        <v>45474.0</v>
      </c>
      <c r="N48" s="8" t="s">
        <v>422</v>
      </c>
      <c r="O48" s="8" t="s">
        <v>443</v>
      </c>
      <c r="P48" s="15">
        <v>44234.0</v>
      </c>
      <c r="Q48" s="13">
        <v>130672.0</v>
      </c>
      <c r="R48" s="8">
        <v>403103.0</v>
      </c>
    </row>
    <row r="49" ht="15.75" customHeight="1">
      <c r="A49" s="8" t="s">
        <v>435</v>
      </c>
      <c r="B49" s="8" t="s">
        <v>436</v>
      </c>
      <c r="C49" s="8" t="s">
        <v>415</v>
      </c>
      <c r="D49" s="8" t="s">
        <v>437</v>
      </c>
      <c r="E49" s="8" t="s">
        <v>20</v>
      </c>
      <c r="F49" s="8" t="s">
        <v>438</v>
      </c>
      <c r="G49" s="8" t="s">
        <v>439</v>
      </c>
      <c r="H49" s="8" t="s">
        <v>440</v>
      </c>
      <c r="I49" s="8" t="s">
        <v>441</v>
      </c>
      <c r="J49" s="8" t="s">
        <v>159</v>
      </c>
      <c r="K49" s="8" t="s">
        <v>442</v>
      </c>
      <c r="L49" s="10">
        <v>43953.0</v>
      </c>
      <c r="M49" s="10">
        <v>45474.0</v>
      </c>
      <c r="N49" s="8" t="s">
        <v>422</v>
      </c>
      <c r="O49" s="8" t="s">
        <v>443</v>
      </c>
      <c r="P49" s="15">
        <v>44320.0</v>
      </c>
      <c r="Q49" s="13">
        <v>195011.0</v>
      </c>
      <c r="R49" s="8">
        <v>403103.0</v>
      </c>
    </row>
    <row r="50" ht="15.75" customHeight="1">
      <c r="A50" s="8" t="s">
        <v>435</v>
      </c>
      <c r="B50" s="8" t="s">
        <v>436</v>
      </c>
      <c r="C50" s="8" t="s">
        <v>415</v>
      </c>
      <c r="D50" s="8" t="s">
        <v>437</v>
      </c>
      <c r="E50" s="8" t="s">
        <v>20</v>
      </c>
      <c r="F50" s="8" t="s">
        <v>438</v>
      </c>
      <c r="G50" s="8" t="s">
        <v>439</v>
      </c>
      <c r="H50" s="8" t="s">
        <v>440</v>
      </c>
      <c r="I50" s="8" t="s">
        <v>441</v>
      </c>
      <c r="J50" s="8" t="s">
        <v>159</v>
      </c>
      <c r="K50" s="8" t="s">
        <v>442</v>
      </c>
      <c r="L50" s="10">
        <v>43953.0</v>
      </c>
      <c r="M50" s="10">
        <v>45474.0</v>
      </c>
      <c r="N50" s="8" t="s">
        <v>422</v>
      </c>
      <c r="O50" s="8" t="s">
        <v>443</v>
      </c>
      <c r="P50" s="15">
        <v>44414.0</v>
      </c>
      <c r="Q50" s="13">
        <v>199470.0</v>
      </c>
      <c r="R50" s="8">
        <v>403103.0</v>
      </c>
    </row>
    <row r="51" ht="15.75" customHeight="1">
      <c r="A51" s="8" t="s">
        <v>435</v>
      </c>
      <c r="B51" s="8" t="s">
        <v>436</v>
      </c>
      <c r="C51" s="8" t="s">
        <v>415</v>
      </c>
      <c r="D51" s="8" t="s">
        <v>437</v>
      </c>
      <c r="E51" s="8" t="s">
        <v>20</v>
      </c>
      <c r="F51" s="8" t="s">
        <v>438</v>
      </c>
      <c r="G51" s="8" t="s">
        <v>439</v>
      </c>
      <c r="H51" s="8" t="s">
        <v>440</v>
      </c>
      <c r="I51" s="8" t="s">
        <v>441</v>
      </c>
      <c r="J51" s="8" t="s">
        <v>159</v>
      </c>
      <c r="K51" s="8" t="s">
        <v>442</v>
      </c>
      <c r="L51" s="10">
        <v>43953.0</v>
      </c>
      <c r="M51" s="10">
        <v>45474.0</v>
      </c>
      <c r="N51" s="8" t="s">
        <v>422</v>
      </c>
      <c r="O51" s="8" t="s">
        <v>443</v>
      </c>
      <c r="P51" s="15">
        <v>44503.0</v>
      </c>
      <c r="Q51" s="13">
        <v>196540.0</v>
      </c>
      <c r="R51" s="8">
        <v>403103.0</v>
      </c>
    </row>
    <row r="52" ht="15.75" customHeight="1">
      <c r="A52" s="8" t="s">
        <v>435</v>
      </c>
      <c r="B52" s="8" t="s">
        <v>436</v>
      </c>
      <c r="C52" s="8" t="s">
        <v>415</v>
      </c>
      <c r="D52" s="8" t="s">
        <v>437</v>
      </c>
      <c r="E52" s="8" t="s">
        <v>20</v>
      </c>
      <c r="F52" s="8" t="s">
        <v>438</v>
      </c>
      <c r="G52" s="8" t="s">
        <v>439</v>
      </c>
      <c r="H52" s="8" t="s">
        <v>440</v>
      </c>
      <c r="I52" s="8" t="s">
        <v>441</v>
      </c>
      <c r="J52" s="8" t="s">
        <v>159</v>
      </c>
      <c r="K52" s="8" t="s">
        <v>442</v>
      </c>
      <c r="L52" s="10">
        <v>43953.0</v>
      </c>
      <c r="M52" s="10">
        <v>45474.0</v>
      </c>
      <c r="N52" s="8" t="s">
        <v>422</v>
      </c>
      <c r="O52" s="8" t="s">
        <v>443</v>
      </c>
      <c r="P52" s="15">
        <v>44601.0</v>
      </c>
      <c r="Q52" s="13">
        <v>167308.0</v>
      </c>
      <c r="R52" s="8">
        <v>403103.0</v>
      </c>
    </row>
    <row r="53" ht="15.75" customHeight="1">
      <c r="A53" s="8" t="s">
        <v>435</v>
      </c>
      <c r="B53" s="8" t="s">
        <v>436</v>
      </c>
      <c r="C53" s="8" t="s">
        <v>415</v>
      </c>
      <c r="D53" s="8" t="s">
        <v>437</v>
      </c>
      <c r="E53" s="8" t="s">
        <v>20</v>
      </c>
      <c r="F53" s="8" t="s">
        <v>438</v>
      </c>
      <c r="G53" s="8" t="s">
        <v>439</v>
      </c>
      <c r="H53" s="8" t="s">
        <v>440</v>
      </c>
      <c r="I53" s="8" t="s">
        <v>441</v>
      </c>
      <c r="J53" s="8" t="s">
        <v>159</v>
      </c>
      <c r="K53" s="8" t="s">
        <v>442</v>
      </c>
      <c r="L53" s="10">
        <v>43953.0</v>
      </c>
      <c r="M53" s="10">
        <v>45474.0</v>
      </c>
      <c r="N53" s="8" t="s">
        <v>422</v>
      </c>
      <c r="O53" s="8" t="s">
        <v>443</v>
      </c>
      <c r="P53" s="15">
        <v>44686.0</v>
      </c>
      <c r="Q53" s="13">
        <v>194895.0</v>
      </c>
      <c r="R53" s="8">
        <v>403103.0</v>
      </c>
    </row>
    <row r="54" ht="15.75" customHeight="1">
      <c r="A54" s="8" t="s">
        <v>435</v>
      </c>
      <c r="B54" s="8" t="s">
        <v>436</v>
      </c>
      <c r="C54" s="8" t="s">
        <v>415</v>
      </c>
      <c r="D54" s="8" t="s">
        <v>437</v>
      </c>
      <c r="E54" s="8" t="s">
        <v>20</v>
      </c>
      <c r="F54" s="8" t="s">
        <v>438</v>
      </c>
      <c r="G54" s="8" t="s">
        <v>439</v>
      </c>
      <c r="H54" s="8" t="s">
        <v>440</v>
      </c>
      <c r="I54" s="8" t="s">
        <v>441</v>
      </c>
      <c r="J54" s="8" t="s">
        <v>159</v>
      </c>
      <c r="K54" s="8" t="s">
        <v>442</v>
      </c>
      <c r="L54" s="10">
        <v>43953.0</v>
      </c>
      <c r="M54" s="10">
        <v>45474.0</v>
      </c>
      <c r="N54" s="8" t="s">
        <v>422</v>
      </c>
      <c r="O54" s="8" t="s">
        <v>443</v>
      </c>
      <c r="P54" s="15">
        <v>44780.0</v>
      </c>
      <c r="Q54" s="13">
        <v>157365.0</v>
      </c>
      <c r="R54" s="8">
        <v>403103.0</v>
      </c>
    </row>
    <row r="55" ht="15.75" customHeight="1">
      <c r="A55" s="8" t="s">
        <v>435</v>
      </c>
      <c r="B55" s="8" t="s">
        <v>436</v>
      </c>
      <c r="C55" s="8" t="s">
        <v>415</v>
      </c>
      <c r="D55" s="8" t="s">
        <v>437</v>
      </c>
      <c r="E55" s="8" t="s">
        <v>20</v>
      </c>
      <c r="F55" s="8" t="s">
        <v>438</v>
      </c>
      <c r="G55" s="8" t="s">
        <v>439</v>
      </c>
      <c r="H55" s="8" t="s">
        <v>440</v>
      </c>
      <c r="I55" s="8" t="s">
        <v>441</v>
      </c>
      <c r="J55" s="8" t="s">
        <v>159</v>
      </c>
      <c r="K55" s="8" t="s">
        <v>442</v>
      </c>
      <c r="L55" s="10">
        <v>43953.0</v>
      </c>
      <c r="M55" s="10">
        <v>45474.0</v>
      </c>
      <c r="N55" s="8" t="s">
        <v>422</v>
      </c>
      <c r="O55" s="8" t="s">
        <v>443</v>
      </c>
      <c r="P55" s="15">
        <v>44869.0</v>
      </c>
      <c r="Q55" s="13">
        <v>156809.0</v>
      </c>
      <c r="R55" s="8">
        <v>403103.0</v>
      </c>
    </row>
    <row r="56" ht="15.75" customHeight="1">
      <c r="A56" s="8" t="s">
        <v>435</v>
      </c>
      <c r="B56" s="8" t="s">
        <v>436</v>
      </c>
      <c r="C56" s="8" t="s">
        <v>415</v>
      </c>
      <c r="D56" s="8" t="s">
        <v>437</v>
      </c>
      <c r="E56" s="8" t="s">
        <v>20</v>
      </c>
      <c r="F56" s="8" t="s">
        <v>438</v>
      </c>
      <c r="G56" s="8" t="s">
        <v>439</v>
      </c>
      <c r="H56" s="8" t="s">
        <v>440</v>
      </c>
      <c r="I56" s="8" t="s">
        <v>441</v>
      </c>
      <c r="J56" s="8" t="s">
        <v>159</v>
      </c>
      <c r="K56" s="8" t="s">
        <v>442</v>
      </c>
      <c r="L56" s="10">
        <v>43953.0</v>
      </c>
      <c r="M56" s="10">
        <v>45474.0</v>
      </c>
      <c r="N56" s="8" t="s">
        <v>422</v>
      </c>
      <c r="O56" s="8" t="s">
        <v>443</v>
      </c>
      <c r="P56" s="15">
        <v>44963.0</v>
      </c>
      <c r="Q56" s="13">
        <v>168805.0</v>
      </c>
      <c r="R56" s="8">
        <v>403103.0</v>
      </c>
    </row>
    <row r="57" ht="15.75" customHeight="1">
      <c r="A57" s="8" t="s">
        <v>435</v>
      </c>
      <c r="B57" s="8" t="s">
        <v>436</v>
      </c>
      <c r="C57" s="8" t="s">
        <v>415</v>
      </c>
      <c r="D57" s="8" t="s">
        <v>437</v>
      </c>
      <c r="E57" s="8" t="s">
        <v>20</v>
      </c>
      <c r="F57" s="8" t="s">
        <v>438</v>
      </c>
      <c r="G57" s="8" t="s">
        <v>439</v>
      </c>
      <c r="H57" s="8" t="s">
        <v>440</v>
      </c>
      <c r="I57" s="8" t="s">
        <v>441</v>
      </c>
      <c r="J57" s="8" t="s">
        <v>159</v>
      </c>
      <c r="K57" s="8" t="s">
        <v>442</v>
      </c>
      <c r="L57" s="10">
        <v>43953.0</v>
      </c>
      <c r="M57" s="10">
        <v>45474.0</v>
      </c>
      <c r="N57" s="8" t="s">
        <v>422</v>
      </c>
      <c r="O57" s="8" t="s">
        <v>443</v>
      </c>
      <c r="P57" s="15">
        <v>45049.0</v>
      </c>
      <c r="Q57" s="13">
        <v>175721.0</v>
      </c>
      <c r="R57" s="8">
        <v>403103.0</v>
      </c>
    </row>
    <row r="58" ht="15.75" customHeight="1">
      <c r="A58" s="8" t="s">
        <v>435</v>
      </c>
      <c r="B58" s="8" t="s">
        <v>436</v>
      </c>
      <c r="C58" s="8" t="s">
        <v>415</v>
      </c>
      <c r="D58" s="8" t="s">
        <v>437</v>
      </c>
      <c r="E58" s="8" t="s">
        <v>20</v>
      </c>
      <c r="F58" s="8" t="s">
        <v>438</v>
      </c>
      <c r="G58" s="8" t="s">
        <v>439</v>
      </c>
      <c r="H58" s="8" t="s">
        <v>440</v>
      </c>
      <c r="I58" s="8" t="s">
        <v>441</v>
      </c>
      <c r="J58" s="8" t="s">
        <v>159</v>
      </c>
      <c r="K58" s="8" t="s">
        <v>442</v>
      </c>
      <c r="L58" s="10">
        <v>43953.0</v>
      </c>
      <c r="M58" s="10">
        <v>45474.0</v>
      </c>
      <c r="N58" s="8" t="s">
        <v>422</v>
      </c>
      <c r="O58" s="8" t="s">
        <v>443</v>
      </c>
      <c r="P58" s="15">
        <v>45143.0</v>
      </c>
      <c r="Q58" s="13">
        <v>129491.0</v>
      </c>
      <c r="R58" s="8">
        <v>403103.0</v>
      </c>
    </row>
    <row r="59" ht="15.75" customHeight="1">
      <c r="A59" s="8" t="s">
        <v>444</v>
      </c>
      <c r="B59" s="8" t="s">
        <v>445</v>
      </c>
      <c r="C59" s="8" t="s">
        <v>415</v>
      </c>
      <c r="D59" s="8" t="s">
        <v>446</v>
      </c>
      <c r="E59" s="8" t="s">
        <v>20</v>
      </c>
      <c r="F59" s="8" t="s">
        <v>447</v>
      </c>
      <c r="G59" s="8" t="s">
        <v>448</v>
      </c>
      <c r="H59" s="8" t="s">
        <v>419</v>
      </c>
      <c r="I59" s="8" t="s">
        <v>420</v>
      </c>
      <c r="J59" s="8" t="s">
        <v>137</v>
      </c>
      <c r="K59" s="8" t="s">
        <v>449</v>
      </c>
      <c r="L59" s="10">
        <v>43801.0</v>
      </c>
      <c r="N59" s="8" t="s">
        <v>434</v>
      </c>
      <c r="O59" s="8" t="s">
        <v>450</v>
      </c>
      <c r="P59" s="12">
        <v>43801.0</v>
      </c>
      <c r="Q59" s="13">
        <v>766487.0</v>
      </c>
      <c r="R59" s="8">
        <v>403103.0</v>
      </c>
    </row>
    <row r="60" ht="15.75" customHeight="1">
      <c r="A60" s="8" t="s">
        <v>444</v>
      </c>
      <c r="B60" s="8" t="s">
        <v>445</v>
      </c>
      <c r="C60" s="8" t="s">
        <v>415</v>
      </c>
      <c r="D60" s="8" t="s">
        <v>446</v>
      </c>
      <c r="E60" s="8" t="s">
        <v>20</v>
      </c>
      <c r="F60" s="8" t="s">
        <v>447</v>
      </c>
      <c r="G60" s="8" t="s">
        <v>448</v>
      </c>
      <c r="H60" s="8" t="s">
        <v>419</v>
      </c>
      <c r="I60" s="8" t="s">
        <v>420</v>
      </c>
      <c r="J60" s="8" t="s">
        <v>137</v>
      </c>
      <c r="K60" s="8" t="s">
        <v>449</v>
      </c>
      <c r="L60" s="10">
        <v>43801.0</v>
      </c>
      <c r="N60" s="8" t="s">
        <v>434</v>
      </c>
      <c r="O60" s="8" t="s">
        <v>450</v>
      </c>
      <c r="P60" s="12">
        <v>43833.0</v>
      </c>
      <c r="Q60" s="13">
        <v>356286.0</v>
      </c>
      <c r="R60" s="8">
        <v>403103.0</v>
      </c>
    </row>
    <row r="61" ht="15.75" customHeight="1">
      <c r="A61" s="8" t="s">
        <v>444</v>
      </c>
      <c r="B61" s="8" t="s">
        <v>445</v>
      </c>
      <c r="C61" s="8" t="s">
        <v>415</v>
      </c>
      <c r="D61" s="8" t="s">
        <v>446</v>
      </c>
      <c r="E61" s="8" t="s">
        <v>20</v>
      </c>
      <c r="F61" s="8" t="s">
        <v>447</v>
      </c>
      <c r="G61" s="8" t="s">
        <v>448</v>
      </c>
      <c r="H61" s="8" t="s">
        <v>419</v>
      </c>
      <c r="I61" s="8" t="s">
        <v>420</v>
      </c>
      <c r="J61" s="8" t="s">
        <v>137</v>
      </c>
      <c r="K61" s="8" t="s">
        <v>449</v>
      </c>
      <c r="L61" s="10">
        <v>43801.0</v>
      </c>
      <c r="N61" s="8" t="s">
        <v>434</v>
      </c>
      <c r="O61" s="8" t="s">
        <v>450</v>
      </c>
      <c r="P61" s="12">
        <v>43866.0</v>
      </c>
      <c r="Q61" s="13">
        <v>72321.0</v>
      </c>
      <c r="R61" s="8">
        <v>403103.0</v>
      </c>
    </row>
    <row r="62" ht="15.75" customHeight="1">
      <c r="A62" s="8" t="s">
        <v>444</v>
      </c>
      <c r="B62" s="8" t="s">
        <v>445</v>
      </c>
      <c r="C62" s="8" t="s">
        <v>415</v>
      </c>
      <c r="D62" s="8" t="s">
        <v>446</v>
      </c>
      <c r="E62" s="8" t="s">
        <v>20</v>
      </c>
      <c r="F62" s="8" t="s">
        <v>447</v>
      </c>
      <c r="G62" s="8" t="s">
        <v>448</v>
      </c>
      <c r="H62" s="8" t="s">
        <v>419</v>
      </c>
      <c r="I62" s="8" t="s">
        <v>420</v>
      </c>
      <c r="J62" s="8" t="s">
        <v>137</v>
      </c>
      <c r="K62" s="8" t="s">
        <v>449</v>
      </c>
      <c r="L62" s="10">
        <v>43801.0</v>
      </c>
      <c r="N62" s="8" t="s">
        <v>434</v>
      </c>
      <c r="O62" s="8" t="s">
        <v>450</v>
      </c>
      <c r="P62" s="12">
        <v>43893.0</v>
      </c>
      <c r="Q62" s="13">
        <v>512660.0</v>
      </c>
      <c r="R62" s="8">
        <v>403103.0</v>
      </c>
    </row>
    <row r="63" ht="15.75" customHeight="1">
      <c r="A63" s="8" t="s">
        <v>444</v>
      </c>
      <c r="B63" s="8" t="s">
        <v>445</v>
      </c>
      <c r="C63" s="8" t="s">
        <v>415</v>
      </c>
      <c r="D63" s="8" t="s">
        <v>446</v>
      </c>
      <c r="E63" s="8" t="s">
        <v>20</v>
      </c>
      <c r="F63" s="8" t="s">
        <v>447</v>
      </c>
      <c r="G63" s="8" t="s">
        <v>448</v>
      </c>
      <c r="H63" s="8" t="s">
        <v>419</v>
      </c>
      <c r="I63" s="8" t="s">
        <v>420</v>
      </c>
      <c r="J63" s="8" t="s">
        <v>137</v>
      </c>
      <c r="K63" s="8" t="s">
        <v>449</v>
      </c>
      <c r="L63" s="10">
        <v>43801.0</v>
      </c>
      <c r="N63" s="8" t="s">
        <v>434</v>
      </c>
      <c r="O63" s="8" t="s">
        <v>450</v>
      </c>
      <c r="P63" s="12">
        <v>43925.0</v>
      </c>
      <c r="Q63" s="13">
        <v>235999.0</v>
      </c>
      <c r="R63" s="8">
        <v>403103.0</v>
      </c>
    </row>
    <row r="64" ht="15.75" customHeight="1">
      <c r="A64" s="8" t="s">
        <v>444</v>
      </c>
      <c r="B64" s="8" t="s">
        <v>445</v>
      </c>
      <c r="C64" s="8" t="s">
        <v>415</v>
      </c>
      <c r="D64" s="8" t="s">
        <v>446</v>
      </c>
      <c r="E64" s="8" t="s">
        <v>20</v>
      </c>
      <c r="F64" s="8" t="s">
        <v>447</v>
      </c>
      <c r="G64" s="8" t="s">
        <v>448</v>
      </c>
      <c r="H64" s="8" t="s">
        <v>419</v>
      </c>
      <c r="I64" s="8" t="s">
        <v>420</v>
      </c>
      <c r="J64" s="8" t="s">
        <v>137</v>
      </c>
      <c r="K64" s="8" t="s">
        <v>449</v>
      </c>
      <c r="L64" s="10">
        <v>43801.0</v>
      </c>
      <c r="N64" s="8" t="s">
        <v>434</v>
      </c>
      <c r="O64" s="8" t="s">
        <v>450</v>
      </c>
      <c r="P64" s="12">
        <v>43957.0</v>
      </c>
      <c r="Q64" s="13">
        <v>188904.0</v>
      </c>
      <c r="R64" s="8">
        <v>403103.0</v>
      </c>
    </row>
    <row r="65" ht="15.75" customHeight="1">
      <c r="A65" s="8" t="s">
        <v>444</v>
      </c>
      <c r="B65" s="8" t="s">
        <v>445</v>
      </c>
      <c r="C65" s="8" t="s">
        <v>415</v>
      </c>
      <c r="D65" s="8" t="s">
        <v>446</v>
      </c>
      <c r="E65" s="8" t="s">
        <v>20</v>
      </c>
      <c r="F65" s="8" t="s">
        <v>447</v>
      </c>
      <c r="G65" s="8" t="s">
        <v>448</v>
      </c>
      <c r="H65" s="8" t="s">
        <v>419</v>
      </c>
      <c r="I65" s="8" t="s">
        <v>420</v>
      </c>
      <c r="J65" s="8" t="s">
        <v>137</v>
      </c>
      <c r="K65" s="8" t="s">
        <v>449</v>
      </c>
      <c r="L65" s="10">
        <v>43801.0</v>
      </c>
      <c r="N65" s="8" t="s">
        <v>434</v>
      </c>
      <c r="O65" s="8" t="s">
        <v>450</v>
      </c>
      <c r="P65" s="12">
        <v>43985.0</v>
      </c>
      <c r="Q65" s="13">
        <v>183842.0</v>
      </c>
      <c r="R65" s="8">
        <v>403103.0</v>
      </c>
    </row>
    <row r="66" ht="15.75" customHeight="1">
      <c r="A66" s="8" t="s">
        <v>444</v>
      </c>
      <c r="B66" s="8" t="s">
        <v>445</v>
      </c>
      <c r="C66" s="8" t="s">
        <v>415</v>
      </c>
      <c r="D66" s="8" t="s">
        <v>446</v>
      </c>
      <c r="E66" s="8" t="s">
        <v>20</v>
      </c>
      <c r="F66" s="8" t="s">
        <v>447</v>
      </c>
      <c r="G66" s="8" t="s">
        <v>448</v>
      </c>
      <c r="H66" s="8" t="s">
        <v>419</v>
      </c>
      <c r="I66" s="8" t="s">
        <v>420</v>
      </c>
      <c r="J66" s="8" t="s">
        <v>137</v>
      </c>
      <c r="K66" s="8" t="s">
        <v>449</v>
      </c>
      <c r="L66" s="10">
        <v>43801.0</v>
      </c>
      <c r="N66" s="8" t="s">
        <v>434</v>
      </c>
      <c r="O66" s="8" t="s">
        <v>450</v>
      </c>
      <c r="P66" s="12">
        <v>44017.0</v>
      </c>
      <c r="Q66" s="13">
        <v>70469.0</v>
      </c>
      <c r="R66" s="8">
        <v>403103.0</v>
      </c>
    </row>
    <row r="67" ht="15.75" customHeight="1">
      <c r="A67" s="8" t="s">
        <v>444</v>
      </c>
      <c r="B67" s="8" t="s">
        <v>445</v>
      </c>
      <c r="C67" s="8" t="s">
        <v>415</v>
      </c>
      <c r="D67" s="8" t="s">
        <v>446</v>
      </c>
      <c r="E67" s="8" t="s">
        <v>20</v>
      </c>
      <c r="F67" s="8" t="s">
        <v>447</v>
      </c>
      <c r="G67" s="8" t="s">
        <v>448</v>
      </c>
      <c r="H67" s="8" t="s">
        <v>419</v>
      </c>
      <c r="I67" s="8" t="s">
        <v>420</v>
      </c>
      <c r="J67" s="8" t="s">
        <v>137</v>
      </c>
      <c r="K67" s="8" t="s">
        <v>449</v>
      </c>
      <c r="L67" s="10">
        <v>43801.0</v>
      </c>
      <c r="N67" s="8" t="s">
        <v>434</v>
      </c>
      <c r="O67" s="8" t="s">
        <v>450</v>
      </c>
      <c r="P67" s="12">
        <v>44047.0</v>
      </c>
      <c r="Q67" s="13">
        <v>207544.0</v>
      </c>
      <c r="R67" s="8">
        <v>403103.0</v>
      </c>
    </row>
    <row r="68" ht="15.75" customHeight="1">
      <c r="A68" s="8" t="s">
        <v>444</v>
      </c>
      <c r="B68" s="8" t="s">
        <v>445</v>
      </c>
      <c r="C68" s="8" t="s">
        <v>415</v>
      </c>
      <c r="D68" s="8" t="s">
        <v>446</v>
      </c>
      <c r="E68" s="8" t="s">
        <v>20</v>
      </c>
      <c r="F68" s="8" t="s">
        <v>447</v>
      </c>
      <c r="G68" s="8" t="s">
        <v>448</v>
      </c>
      <c r="H68" s="8" t="s">
        <v>419</v>
      </c>
      <c r="I68" s="8" t="s">
        <v>420</v>
      </c>
      <c r="J68" s="8" t="s">
        <v>137</v>
      </c>
      <c r="K68" s="8" t="s">
        <v>449</v>
      </c>
      <c r="L68" s="10">
        <v>43801.0</v>
      </c>
      <c r="N68" s="8" t="s">
        <v>434</v>
      </c>
      <c r="O68" s="8" t="s">
        <v>450</v>
      </c>
      <c r="P68" s="12">
        <v>44077.0</v>
      </c>
      <c r="Q68" s="13">
        <v>483595.0</v>
      </c>
      <c r="R68" s="8">
        <v>403103.0</v>
      </c>
    </row>
    <row r="69" ht="15.75" customHeight="1">
      <c r="A69" s="8" t="s">
        <v>444</v>
      </c>
      <c r="B69" s="8" t="s">
        <v>445</v>
      </c>
      <c r="C69" s="8" t="s">
        <v>415</v>
      </c>
      <c r="D69" s="8" t="s">
        <v>446</v>
      </c>
      <c r="E69" s="8" t="s">
        <v>20</v>
      </c>
      <c r="F69" s="8" t="s">
        <v>447</v>
      </c>
      <c r="G69" s="8" t="s">
        <v>448</v>
      </c>
      <c r="H69" s="8" t="s">
        <v>419</v>
      </c>
      <c r="I69" s="8" t="s">
        <v>420</v>
      </c>
      <c r="J69" s="8" t="s">
        <v>137</v>
      </c>
      <c r="K69" s="8" t="s">
        <v>449</v>
      </c>
      <c r="L69" s="10">
        <v>43801.0</v>
      </c>
      <c r="N69" s="8" t="s">
        <v>434</v>
      </c>
      <c r="O69" s="8" t="s">
        <v>450</v>
      </c>
      <c r="P69" s="12">
        <v>44109.0</v>
      </c>
      <c r="Q69" s="13">
        <v>226668.0</v>
      </c>
      <c r="R69" s="8">
        <v>403103.0</v>
      </c>
    </row>
    <row r="70" ht="15.75" customHeight="1">
      <c r="A70" s="8" t="s">
        <v>444</v>
      </c>
      <c r="B70" s="8" t="s">
        <v>445</v>
      </c>
      <c r="C70" s="8" t="s">
        <v>415</v>
      </c>
      <c r="D70" s="8" t="s">
        <v>446</v>
      </c>
      <c r="E70" s="8" t="s">
        <v>20</v>
      </c>
      <c r="F70" s="8" t="s">
        <v>447</v>
      </c>
      <c r="G70" s="8" t="s">
        <v>448</v>
      </c>
      <c r="H70" s="8" t="s">
        <v>419</v>
      </c>
      <c r="I70" s="8" t="s">
        <v>420</v>
      </c>
      <c r="J70" s="8" t="s">
        <v>137</v>
      </c>
      <c r="K70" s="8" t="s">
        <v>449</v>
      </c>
      <c r="L70" s="10">
        <v>43801.0</v>
      </c>
      <c r="N70" s="8" t="s">
        <v>434</v>
      </c>
      <c r="O70" s="8" t="s">
        <v>450</v>
      </c>
      <c r="P70" s="12">
        <v>44139.0</v>
      </c>
      <c r="Q70" s="13">
        <v>285886.0</v>
      </c>
      <c r="R70" s="8">
        <v>403103.0</v>
      </c>
    </row>
    <row r="71" ht="15.75" customHeight="1">
      <c r="A71" s="8" t="s">
        <v>444</v>
      </c>
      <c r="B71" s="8" t="s">
        <v>445</v>
      </c>
      <c r="C71" s="8" t="s">
        <v>415</v>
      </c>
      <c r="D71" s="8" t="s">
        <v>446</v>
      </c>
      <c r="E71" s="8" t="s">
        <v>20</v>
      </c>
      <c r="F71" s="8" t="s">
        <v>447</v>
      </c>
      <c r="G71" s="8" t="s">
        <v>448</v>
      </c>
      <c r="H71" s="8" t="s">
        <v>419</v>
      </c>
      <c r="I71" s="8" t="s">
        <v>420</v>
      </c>
      <c r="J71" s="8" t="s">
        <v>137</v>
      </c>
      <c r="K71" s="8" t="s">
        <v>449</v>
      </c>
      <c r="L71" s="10">
        <v>43801.0</v>
      </c>
      <c r="N71" s="8" t="s">
        <v>434</v>
      </c>
      <c r="O71" s="8" t="s">
        <v>450</v>
      </c>
      <c r="P71" s="12">
        <v>44167.0</v>
      </c>
      <c r="Q71" s="13">
        <v>321539.0</v>
      </c>
      <c r="R71" s="8">
        <v>403103.0</v>
      </c>
    </row>
    <row r="72" ht="15.75" customHeight="1">
      <c r="A72" s="8" t="s">
        <v>444</v>
      </c>
      <c r="B72" s="8" t="s">
        <v>445</v>
      </c>
      <c r="C72" s="8" t="s">
        <v>415</v>
      </c>
      <c r="D72" s="8" t="s">
        <v>446</v>
      </c>
      <c r="E72" s="8" t="s">
        <v>20</v>
      </c>
      <c r="F72" s="8" t="s">
        <v>447</v>
      </c>
      <c r="G72" s="8" t="s">
        <v>448</v>
      </c>
      <c r="H72" s="8" t="s">
        <v>419</v>
      </c>
      <c r="I72" s="8" t="s">
        <v>420</v>
      </c>
      <c r="J72" s="8" t="s">
        <v>137</v>
      </c>
      <c r="K72" s="8" t="s">
        <v>449</v>
      </c>
      <c r="L72" s="10">
        <v>43801.0</v>
      </c>
      <c r="N72" s="8" t="s">
        <v>434</v>
      </c>
      <c r="O72" s="8" t="s">
        <v>450</v>
      </c>
      <c r="P72" s="12">
        <v>44199.0</v>
      </c>
      <c r="Q72" s="13">
        <v>345181.0</v>
      </c>
      <c r="R72" s="8">
        <v>403103.0</v>
      </c>
    </row>
    <row r="73" ht="15.75" customHeight="1">
      <c r="A73" s="8" t="s">
        <v>444</v>
      </c>
      <c r="B73" s="8" t="s">
        <v>445</v>
      </c>
      <c r="C73" s="8" t="s">
        <v>415</v>
      </c>
      <c r="D73" s="8" t="s">
        <v>446</v>
      </c>
      <c r="E73" s="8" t="s">
        <v>20</v>
      </c>
      <c r="F73" s="8" t="s">
        <v>447</v>
      </c>
      <c r="G73" s="8" t="s">
        <v>448</v>
      </c>
      <c r="H73" s="8" t="s">
        <v>419</v>
      </c>
      <c r="I73" s="8" t="s">
        <v>420</v>
      </c>
      <c r="J73" s="8" t="s">
        <v>137</v>
      </c>
      <c r="K73" s="8" t="s">
        <v>449</v>
      </c>
      <c r="L73" s="10">
        <v>43801.0</v>
      </c>
      <c r="N73" s="8" t="s">
        <v>434</v>
      </c>
      <c r="O73" s="8" t="s">
        <v>450</v>
      </c>
      <c r="P73" s="12">
        <v>44232.0</v>
      </c>
      <c r="Q73" s="13">
        <v>250534.0</v>
      </c>
      <c r="R73" s="8">
        <v>403103.0</v>
      </c>
    </row>
    <row r="74" ht="15.75" customHeight="1">
      <c r="A74" s="8" t="s">
        <v>444</v>
      </c>
      <c r="B74" s="8" t="s">
        <v>445</v>
      </c>
      <c r="C74" s="8" t="s">
        <v>415</v>
      </c>
      <c r="D74" s="8" t="s">
        <v>446</v>
      </c>
      <c r="E74" s="8" t="s">
        <v>20</v>
      </c>
      <c r="F74" s="8" t="s">
        <v>447</v>
      </c>
      <c r="G74" s="8" t="s">
        <v>448</v>
      </c>
      <c r="H74" s="8" t="s">
        <v>419</v>
      </c>
      <c r="I74" s="8" t="s">
        <v>420</v>
      </c>
      <c r="J74" s="8" t="s">
        <v>137</v>
      </c>
      <c r="K74" s="8" t="s">
        <v>449</v>
      </c>
      <c r="L74" s="10">
        <v>43801.0</v>
      </c>
      <c r="N74" s="8" t="s">
        <v>434</v>
      </c>
      <c r="O74" s="8" t="s">
        <v>450</v>
      </c>
      <c r="P74" s="12">
        <v>44259.0</v>
      </c>
      <c r="Q74" s="13">
        <v>333984.0</v>
      </c>
      <c r="R74" s="8">
        <v>403103.0</v>
      </c>
    </row>
    <row r="75" ht="15.75" customHeight="1">
      <c r="A75" s="8" t="s">
        <v>444</v>
      </c>
      <c r="B75" s="8" t="s">
        <v>445</v>
      </c>
      <c r="C75" s="8" t="s">
        <v>415</v>
      </c>
      <c r="D75" s="8" t="s">
        <v>446</v>
      </c>
      <c r="E75" s="8" t="s">
        <v>20</v>
      </c>
      <c r="F75" s="8" t="s">
        <v>447</v>
      </c>
      <c r="G75" s="8" t="s">
        <v>448</v>
      </c>
      <c r="H75" s="8" t="s">
        <v>419</v>
      </c>
      <c r="I75" s="8" t="s">
        <v>420</v>
      </c>
      <c r="J75" s="8" t="s">
        <v>137</v>
      </c>
      <c r="K75" s="8" t="s">
        <v>449</v>
      </c>
      <c r="L75" s="10">
        <v>43801.0</v>
      </c>
      <c r="N75" s="8" t="s">
        <v>434</v>
      </c>
      <c r="O75" s="8" t="s">
        <v>450</v>
      </c>
      <c r="P75" s="12">
        <v>44292.0</v>
      </c>
      <c r="Q75" s="13">
        <v>522252.0</v>
      </c>
      <c r="R75" s="8">
        <v>403103.0</v>
      </c>
    </row>
    <row r="76" ht="15.75" customHeight="1">
      <c r="A76" s="8" t="s">
        <v>444</v>
      </c>
      <c r="B76" s="8" t="s">
        <v>445</v>
      </c>
      <c r="C76" s="8" t="s">
        <v>415</v>
      </c>
      <c r="D76" s="8" t="s">
        <v>446</v>
      </c>
      <c r="E76" s="8" t="s">
        <v>20</v>
      </c>
      <c r="F76" s="8" t="s">
        <v>447</v>
      </c>
      <c r="G76" s="8" t="s">
        <v>448</v>
      </c>
      <c r="H76" s="8" t="s">
        <v>419</v>
      </c>
      <c r="I76" s="8" t="s">
        <v>420</v>
      </c>
      <c r="J76" s="8" t="s">
        <v>137</v>
      </c>
      <c r="K76" s="8" t="s">
        <v>449</v>
      </c>
      <c r="L76" s="10">
        <v>43801.0</v>
      </c>
      <c r="N76" s="8" t="s">
        <v>434</v>
      </c>
      <c r="O76" s="8" t="s">
        <v>450</v>
      </c>
      <c r="P76" s="12">
        <v>44319.0</v>
      </c>
      <c r="Q76" s="13">
        <v>564381.0</v>
      </c>
      <c r="R76" s="8">
        <v>403103.0</v>
      </c>
    </row>
    <row r="77" ht="15.75" customHeight="1">
      <c r="A77" s="8" t="s">
        <v>444</v>
      </c>
      <c r="B77" s="8" t="s">
        <v>445</v>
      </c>
      <c r="C77" s="8" t="s">
        <v>415</v>
      </c>
      <c r="D77" s="8" t="s">
        <v>446</v>
      </c>
      <c r="E77" s="8" t="s">
        <v>20</v>
      </c>
      <c r="F77" s="8" t="s">
        <v>447</v>
      </c>
      <c r="G77" s="8" t="s">
        <v>448</v>
      </c>
      <c r="H77" s="8" t="s">
        <v>419</v>
      </c>
      <c r="I77" s="8" t="s">
        <v>420</v>
      </c>
      <c r="J77" s="8" t="s">
        <v>137</v>
      </c>
      <c r="K77" s="8" t="s">
        <v>449</v>
      </c>
      <c r="L77" s="10">
        <v>43801.0</v>
      </c>
      <c r="N77" s="8" t="s">
        <v>434</v>
      </c>
      <c r="O77" s="8" t="s">
        <v>450</v>
      </c>
      <c r="P77" s="12">
        <v>44352.0</v>
      </c>
      <c r="Q77" s="13">
        <v>53611.0</v>
      </c>
      <c r="R77" s="8">
        <v>403103.0</v>
      </c>
    </row>
    <row r="78" ht="15.75" customHeight="1">
      <c r="A78" s="8" t="s">
        <v>444</v>
      </c>
      <c r="B78" s="8" t="s">
        <v>445</v>
      </c>
      <c r="C78" s="8" t="s">
        <v>415</v>
      </c>
      <c r="D78" s="8" t="s">
        <v>446</v>
      </c>
      <c r="E78" s="8" t="s">
        <v>20</v>
      </c>
      <c r="F78" s="8" t="s">
        <v>447</v>
      </c>
      <c r="G78" s="8" t="s">
        <v>448</v>
      </c>
      <c r="H78" s="8" t="s">
        <v>419</v>
      </c>
      <c r="I78" s="8" t="s">
        <v>420</v>
      </c>
      <c r="J78" s="8" t="s">
        <v>137</v>
      </c>
      <c r="K78" s="8" t="s">
        <v>449</v>
      </c>
      <c r="L78" s="10">
        <v>43801.0</v>
      </c>
      <c r="N78" s="8" t="s">
        <v>434</v>
      </c>
      <c r="O78" s="8" t="s">
        <v>450</v>
      </c>
      <c r="P78" s="12">
        <v>44381.0</v>
      </c>
      <c r="Q78" s="13">
        <v>175471.0</v>
      </c>
      <c r="R78" s="8">
        <v>403103.0</v>
      </c>
    </row>
    <row r="79" ht="15.75" customHeight="1">
      <c r="A79" s="8" t="s">
        <v>444</v>
      </c>
      <c r="B79" s="8" t="s">
        <v>445</v>
      </c>
      <c r="C79" s="8" t="s">
        <v>415</v>
      </c>
      <c r="D79" s="8" t="s">
        <v>446</v>
      </c>
      <c r="E79" s="8" t="s">
        <v>20</v>
      </c>
      <c r="F79" s="8" t="s">
        <v>447</v>
      </c>
      <c r="G79" s="8" t="s">
        <v>448</v>
      </c>
      <c r="H79" s="8" t="s">
        <v>419</v>
      </c>
      <c r="I79" s="8" t="s">
        <v>420</v>
      </c>
      <c r="J79" s="8" t="s">
        <v>137</v>
      </c>
      <c r="K79" s="8" t="s">
        <v>449</v>
      </c>
      <c r="L79" s="10">
        <v>43801.0</v>
      </c>
      <c r="N79" s="8" t="s">
        <v>434</v>
      </c>
      <c r="O79" s="8" t="s">
        <v>450</v>
      </c>
      <c r="P79" s="12">
        <v>44414.0</v>
      </c>
      <c r="Q79" s="13">
        <v>487451.0</v>
      </c>
      <c r="R79" s="8">
        <v>403103.0</v>
      </c>
    </row>
    <row r="80" ht="15.75" customHeight="1">
      <c r="A80" s="8" t="s">
        <v>444</v>
      </c>
      <c r="B80" s="8" t="s">
        <v>445</v>
      </c>
      <c r="C80" s="8" t="s">
        <v>415</v>
      </c>
      <c r="D80" s="8" t="s">
        <v>446</v>
      </c>
      <c r="E80" s="8" t="s">
        <v>20</v>
      </c>
      <c r="F80" s="8" t="s">
        <v>447</v>
      </c>
      <c r="G80" s="8" t="s">
        <v>448</v>
      </c>
      <c r="H80" s="8" t="s">
        <v>419</v>
      </c>
      <c r="I80" s="8" t="s">
        <v>420</v>
      </c>
      <c r="J80" s="8" t="s">
        <v>137</v>
      </c>
      <c r="K80" s="8" t="s">
        <v>449</v>
      </c>
      <c r="L80" s="10">
        <v>43801.0</v>
      </c>
      <c r="N80" s="8" t="s">
        <v>434</v>
      </c>
      <c r="O80" s="8" t="s">
        <v>450</v>
      </c>
      <c r="P80" s="12">
        <v>44442.0</v>
      </c>
      <c r="Q80" s="13">
        <v>590151.0</v>
      </c>
      <c r="R80" s="8">
        <v>403103.0</v>
      </c>
    </row>
    <row r="81" ht="15.75" customHeight="1">
      <c r="A81" s="8" t="s">
        <v>444</v>
      </c>
      <c r="B81" s="8" t="s">
        <v>445</v>
      </c>
      <c r="C81" s="8" t="s">
        <v>415</v>
      </c>
      <c r="D81" s="8" t="s">
        <v>446</v>
      </c>
      <c r="E81" s="8" t="s">
        <v>20</v>
      </c>
      <c r="F81" s="8" t="s">
        <v>447</v>
      </c>
      <c r="G81" s="8" t="s">
        <v>448</v>
      </c>
      <c r="H81" s="8" t="s">
        <v>419</v>
      </c>
      <c r="I81" s="8" t="s">
        <v>420</v>
      </c>
      <c r="J81" s="8" t="s">
        <v>137</v>
      </c>
      <c r="K81" s="8" t="s">
        <v>449</v>
      </c>
      <c r="L81" s="10">
        <v>43801.0</v>
      </c>
      <c r="N81" s="8" t="s">
        <v>434</v>
      </c>
      <c r="O81" s="8" t="s">
        <v>450</v>
      </c>
      <c r="P81" s="12">
        <v>44474.0</v>
      </c>
      <c r="Q81" s="13">
        <v>442684.0</v>
      </c>
      <c r="R81" s="8">
        <v>403103.0</v>
      </c>
    </row>
    <row r="82" ht="15.75" customHeight="1">
      <c r="A82" s="8" t="s">
        <v>444</v>
      </c>
      <c r="B82" s="8" t="s">
        <v>445</v>
      </c>
      <c r="C82" s="8" t="s">
        <v>415</v>
      </c>
      <c r="D82" s="8" t="s">
        <v>446</v>
      </c>
      <c r="E82" s="8" t="s">
        <v>20</v>
      </c>
      <c r="F82" s="8" t="s">
        <v>447</v>
      </c>
      <c r="G82" s="8" t="s">
        <v>448</v>
      </c>
      <c r="H82" s="8" t="s">
        <v>419</v>
      </c>
      <c r="I82" s="8" t="s">
        <v>420</v>
      </c>
      <c r="J82" s="8" t="s">
        <v>137</v>
      </c>
      <c r="K82" s="8" t="s">
        <v>449</v>
      </c>
      <c r="L82" s="10">
        <v>43801.0</v>
      </c>
      <c r="N82" s="8" t="s">
        <v>434</v>
      </c>
      <c r="O82" s="8" t="s">
        <v>450</v>
      </c>
      <c r="P82" s="12">
        <v>44504.0</v>
      </c>
      <c r="Q82" s="13">
        <v>520747.0</v>
      </c>
      <c r="R82" s="8">
        <v>403103.0</v>
      </c>
    </row>
    <row r="83" ht="15.75" customHeight="1">
      <c r="A83" s="8" t="s">
        <v>444</v>
      </c>
      <c r="B83" s="8" t="s">
        <v>445</v>
      </c>
      <c r="C83" s="8" t="s">
        <v>415</v>
      </c>
      <c r="D83" s="8" t="s">
        <v>446</v>
      </c>
      <c r="E83" s="8" t="s">
        <v>20</v>
      </c>
      <c r="F83" s="8" t="s">
        <v>447</v>
      </c>
      <c r="G83" s="8" t="s">
        <v>448</v>
      </c>
      <c r="H83" s="8" t="s">
        <v>419</v>
      </c>
      <c r="I83" s="8" t="s">
        <v>420</v>
      </c>
      <c r="J83" s="8" t="s">
        <v>137</v>
      </c>
      <c r="K83" s="8" t="s">
        <v>449</v>
      </c>
      <c r="L83" s="10">
        <v>43801.0</v>
      </c>
      <c r="N83" s="8" t="s">
        <v>434</v>
      </c>
      <c r="O83" s="8" t="s">
        <v>450</v>
      </c>
      <c r="P83" s="12">
        <v>44536.0</v>
      </c>
      <c r="Q83" s="13">
        <v>599251.0</v>
      </c>
      <c r="R83" s="8">
        <v>403103.0</v>
      </c>
    </row>
    <row r="84" ht="15.75" customHeight="1">
      <c r="A84" s="8" t="s">
        <v>444</v>
      </c>
      <c r="B84" s="8" t="s">
        <v>445</v>
      </c>
      <c r="C84" s="8" t="s">
        <v>415</v>
      </c>
      <c r="D84" s="8" t="s">
        <v>446</v>
      </c>
      <c r="E84" s="8" t="s">
        <v>20</v>
      </c>
      <c r="F84" s="8" t="s">
        <v>447</v>
      </c>
      <c r="G84" s="8" t="s">
        <v>448</v>
      </c>
      <c r="H84" s="8" t="s">
        <v>419</v>
      </c>
      <c r="I84" s="8" t="s">
        <v>420</v>
      </c>
      <c r="J84" s="8" t="s">
        <v>137</v>
      </c>
      <c r="K84" s="8" t="s">
        <v>449</v>
      </c>
      <c r="L84" s="10">
        <v>43801.0</v>
      </c>
      <c r="N84" s="8" t="s">
        <v>434</v>
      </c>
      <c r="O84" s="8" t="s">
        <v>450</v>
      </c>
      <c r="P84" s="12">
        <v>44565.0</v>
      </c>
      <c r="Q84" s="13">
        <v>360648.0</v>
      </c>
      <c r="R84" s="8">
        <v>403103.0</v>
      </c>
    </row>
    <row r="85" ht="15.75" customHeight="1">
      <c r="A85" s="8" t="s">
        <v>444</v>
      </c>
      <c r="B85" s="8" t="s">
        <v>445</v>
      </c>
      <c r="C85" s="8" t="s">
        <v>415</v>
      </c>
      <c r="D85" s="8" t="s">
        <v>446</v>
      </c>
      <c r="E85" s="8" t="s">
        <v>20</v>
      </c>
      <c r="F85" s="8" t="s">
        <v>447</v>
      </c>
      <c r="G85" s="8" t="s">
        <v>448</v>
      </c>
      <c r="H85" s="8" t="s">
        <v>419</v>
      </c>
      <c r="I85" s="8" t="s">
        <v>420</v>
      </c>
      <c r="J85" s="8" t="s">
        <v>137</v>
      </c>
      <c r="K85" s="8" t="s">
        <v>449</v>
      </c>
      <c r="L85" s="10">
        <v>43801.0</v>
      </c>
      <c r="N85" s="8" t="s">
        <v>434</v>
      </c>
      <c r="O85" s="8" t="s">
        <v>450</v>
      </c>
      <c r="P85" s="12">
        <v>44597.0</v>
      </c>
      <c r="Q85" s="13">
        <v>63873.0</v>
      </c>
      <c r="R85" s="8">
        <v>403103.0</v>
      </c>
    </row>
    <row r="86" ht="15.75" customHeight="1">
      <c r="A86" s="8" t="s">
        <v>444</v>
      </c>
      <c r="B86" s="8" t="s">
        <v>445</v>
      </c>
      <c r="C86" s="8" t="s">
        <v>415</v>
      </c>
      <c r="D86" s="8" t="s">
        <v>446</v>
      </c>
      <c r="E86" s="8" t="s">
        <v>20</v>
      </c>
      <c r="F86" s="8" t="s">
        <v>447</v>
      </c>
      <c r="G86" s="8" t="s">
        <v>448</v>
      </c>
      <c r="H86" s="8" t="s">
        <v>419</v>
      </c>
      <c r="I86" s="8" t="s">
        <v>420</v>
      </c>
      <c r="J86" s="8" t="s">
        <v>137</v>
      </c>
      <c r="K86" s="8" t="s">
        <v>449</v>
      </c>
      <c r="L86" s="10">
        <v>43801.0</v>
      </c>
      <c r="N86" s="8" t="s">
        <v>434</v>
      </c>
      <c r="O86" s="8" t="s">
        <v>450</v>
      </c>
      <c r="P86" s="12">
        <v>44623.0</v>
      </c>
      <c r="Q86" s="13">
        <v>299852.0</v>
      </c>
      <c r="R86" s="8">
        <v>403103.0</v>
      </c>
    </row>
    <row r="87" ht="15.75" customHeight="1">
      <c r="A87" s="8" t="s">
        <v>444</v>
      </c>
      <c r="B87" s="8" t="s">
        <v>445</v>
      </c>
      <c r="C87" s="8" t="s">
        <v>415</v>
      </c>
      <c r="D87" s="8" t="s">
        <v>446</v>
      </c>
      <c r="E87" s="8" t="s">
        <v>20</v>
      </c>
      <c r="F87" s="8" t="s">
        <v>447</v>
      </c>
      <c r="G87" s="8" t="s">
        <v>448</v>
      </c>
      <c r="H87" s="8" t="s">
        <v>419</v>
      </c>
      <c r="I87" s="8" t="s">
        <v>420</v>
      </c>
      <c r="J87" s="8" t="s">
        <v>137</v>
      </c>
      <c r="K87" s="8" t="s">
        <v>449</v>
      </c>
      <c r="L87" s="10">
        <v>43801.0</v>
      </c>
      <c r="N87" s="8" t="s">
        <v>434</v>
      </c>
      <c r="O87" s="8" t="s">
        <v>450</v>
      </c>
      <c r="P87" s="12">
        <v>44656.0</v>
      </c>
      <c r="Q87" s="13">
        <v>723618.0</v>
      </c>
      <c r="R87" s="8">
        <v>403103.0</v>
      </c>
    </row>
    <row r="88" ht="15.75" customHeight="1">
      <c r="A88" s="8" t="s">
        <v>444</v>
      </c>
      <c r="B88" s="8" t="s">
        <v>445</v>
      </c>
      <c r="C88" s="8" t="s">
        <v>415</v>
      </c>
      <c r="D88" s="8" t="s">
        <v>446</v>
      </c>
      <c r="E88" s="8" t="s">
        <v>20</v>
      </c>
      <c r="F88" s="8" t="s">
        <v>447</v>
      </c>
      <c r="G88" s="8" t="s">
        <v>448</v>
      </c>
      <c r="H88" s="8" t="s">
        <v>419</v>
      </c>
      <c r="I88" s="8" t="s">
        <v>420</v>
      </c>
      <c r="J88" s="8" t="s">
        <v>137</v>
      </c>
      <c r="K88" s="8" t="s">
        <v>449</v>
      </c>
      <c r="L88" s="10">
        <v>43801.0</v>
      </c>
      <c r="N88" s="8" t="s">
        <v>434</v>
      </c>
      <c r="O88" s="8" t="s">
        <v>450</v>
      </c>
      <c r="P88" s="12">
        <v>44684.0</v>
      </c>
      <c r="Q88" s="13">
        <v>615923.0</v>
      </c>
      <c r="R88" s="8">
        <v>403103.0</v>
      </c>
    </row>
    <row r="89" ht="15.75" customHeight="1">
      <c r="A89" s="8" t="s">
        <v>444</v>
      </c>
      <c r="B89" s="8" t="s">
        <v>445</v>
      </c>
      <c r="C89" s="8" t="s">
        <v>415</v>
      </c>
      <c r="D89" s="8" t="s">
        <v>446</v>
      </c>
      <c r="E89" s="8" t="s">
        <v>20</v>
      </c>
      <c r="F89" s="8" t="s">
        <v>447</v>
      </c>
      <c r="G89" s="8" t="s">
        <v>448</v>
      </c>
      <c r="H89" s="8" t="s">
        <v>419</v>
      </c>
      <c r="I89" s="8" t="s">
        <v>420</v>
      </c>
      <c r="J89" s="8" t="s">
        <v>137</v>
      </c>
      <c r="K89" s="8" t="s">
        <v>449</v>
      </c>
      <c r="L89" s="10">
        <v>43801.0</v>
      </c>
      <c r="N89" s="8" t="s">
        <v>434</v>
      </c>
      <c r="O89" s="8" t="s">
        <v>450</v>
      </c>
      <c r="P89" s="12">
        <v>44717.0</v>
      </c>
      <c r="Q89" s="13">
        <v>282999.0</v>
      </c>
      <c r="R89" s="8">
        <v>403103.0</v>
      </c>
    </row>
    <row r="90" ht="15.75" customHeight="1">
      <c r="A90" s="8" t="s">
        <v>444</v>
      </c>
      <c r="B90" s="8" t="s">
        <v>445</v>
      </c>
      <c r="C90" s="8" t="s">
        <v>415</v>
      </c>
      <c r="D90" s="8" t="s">
        <v>446</v>
      </c>
      <c r="E90" s="8" t="s">
        <v>20</v>
      </c>
      <c r="F90" s="8" t="s">
        <v>447</v>
      </c>
      <c r="G90" s="8" t="s">
        <v>448</v>
      </c>
      <c r="H90" s="8" t="s">
        <v>419</v>
      </c>
      <c r="I90" s="8" t="s">
        <v>420</v>
      </c>
      <c r="J90" s="8" t="s">
        <v>137</v>
      </c>
      <c r="K90" s="8" t="s">
        <v>449</v>
      </c>
      <c r="L90" s="10">
        <v>43801.0</v>
      </c>
      <c r="N90" s="8" t="s">
        <v>434</v>
      </c>
      <c r="O90" s="8" t="s">
        <v>450</v>
      </c>
      <c r="P90" s="12">
        <v>44746.0</v>
      </c>
      <c r="Q90" s="13">
        <v>693094.0</v>
      </c>
      <c r="R90" s="8">
        <v>403103.0</v>
      </c>
    </row>
    <row r="91" ht="15.75" customHeight="1">
      <c r="A91" s="8" t="s">
        <v>444</v>
      </c>
      <c r="B91" s="8" t="s">
        <v>445</v>
      </c>
      <c r="C91" s="8" t="s">
        <v>415</v>
      </c>
      <c r="D91" s="8" t="s">
        <v>446</v>
      </c>
      <c r="E91" s="8" t="s">
        <v>20</v>
      </c>
      <c r="F91" s="8" t="s">
        <v>447</v>
      </c>
      <c r="G91" s="8" t="s">
        <v>448</v>
      </c>
      <c r="H91" s="8" t="s">
        <v>419</v>
      </c>
      <c r="I91" s="8" t="s">
        <v>420</v>
      </c>
      <c r="J91" s="8" t="s">
        <v>137</v>
      </c>
      <c r="K91" s="8" t="s">
        <v>449</v>
      </c>
      <c r="L91" s="10">
        <v>43801.0</v>
      </c>
      <c r="N91" s="8" t="s">
        <v>434</v>
      </c>
      <c r="O91" s="8" t="s">
        <v>450</v>
      </c>
      <c r="P91" s="12">
        <v>44776.0</v>
      </c>
      <c r="Q91" s="13">
        <v>54677.0</v>
      </c>
      <c r="R91" s="8">
        <v>403103.0</v>
      </c>
    </row>
    <row r="92" ht="15.75" customHeight="1">
      <c r="A92" s="8" t="s">
        <v>444</v>
      </c>
      <c r="B92" s="8" t="s">
        <v>445</v>
      </c>
      <c r="C92" s="8" t="s">
        <v>415</v>
      </c>
      <c r="D92" s="8" t="s">
        <v>446</v>
      </c>
      <c r="E92" s="8" t="s">
        <v>20</v>
      </c>
      <c r="F92" s="8" t="s">
        <v>447</v>
      </c>
      <c r="G92" s="8" t="s">
        <v>448</v>
      </c>
      <c r="H92" s="8" t="s">
        <v>419</v>
      </c>
      <c r="I92" s="8" t="s">
        <v>420</v>
      </c>
      <c r="J92" s="8" t="s">
        <v>137</v>
      </c>
      <c r="K92" s="8" t="s">
        <v>449</v>
      </c>
      <c r="L92" s="10">
        <v>43801.0</v>
      </c>
      <c r="N92" s="8" t="s">
        <v>434</v>
      </c>
      <c r="O92" s="8" t="s">
        <v>450</v>
      </c>
      <c r="P92" s="12">
        <v>44809.0</v>
      </c>
      <c r="Q92" s="13">
        <v>319808.0</v>
      </c>
      <c r="R92" s="8">
        <v>403103.0</v>
      </c>
    </row>
    <row r="93" ht="15.75" customHeight="1">
      <c r="A93" s="8" t="s">
        <v>444</v>
      </c>
      <c r="B93" s="8" t="s">
        <v>445</v>
      </c>
      <c r="C93" s="8" t="s">
        <v>415</v>
      </c>
      <c r="D93" s="8" t="s">
        <v>446</v>
      </c>
      <c r="E93" s="8" t="s">
        <v>20</v>
      </c>
      <c r="F93" s="8" t="s">
        <v>447</v>
      </c>
      <c r="G93" s="8" t="s">
        <v>448</v>
      </c>
      <c r="H93" s="8" t="s">
        <v>419</v>
      </c>
      <c r="I93" s="8" t="s">
        <v>420</v>
      </c>
      <c r="J93" s="8" t="s">
        <v>137</v>
      </c>
      <c r="K93" s="8" t="s">
        <v>449</v>
      </c>
      <c r="L93" s="10">
        <v>43801.0</v>
      </c>
      <c r="N93" s="8" t="s">
        <v>434</v>
      </c>
      <c r="O93" s="8" t="s">
        <v>450</v>
      </c>
      <c r="P93" s="12">
        <v>44838.0</v>
      </c>
      <c r="Q93" s="13">
        <v>626970.0</v>
      </c>
      <c r="R93" s="8">
        <v>403103.0</v>
      </c>
    </row>
    <row r="94" ht="15.75" customHeight="1">
      <c r="A94" s="8" t="s">
        <v>444</v>
      </c>
      <c r="B94" s="8" t="s">
        <v>445</v>
      </c>
      <c r="C94" s="8" t="s">
        <v>415</v>
      </c>
      <c r="D94" s="8" t="s">
        <v>446</v>
      </c>
      <c r="E94" s="8" t="s">
        <v>20</v>
      </c>
      <c r="F94" s="8" t="s">
        <v>447</v>
      </c>
      <c r="G94" s="8" t="s">
        <v>448</v>
      </c>
      <c r="H94" s="8" t="s">
        <v>419</v>
      </c>
      <c r="I94" s="8" t="s">
        <v>420</v>
      </c>
      <c r="J94" s="8" t="s">
        <v>137</v>
      </c>
      <c r="K94" s="8" t="s">
        <v>449</v>
      </c>
      <c r="L94" s="10">
        <v>43801.0</v>
      </c>
      <c r="N94" s="8" t="s">
        <v>434</v>
      </c>
      <c r="O94" s="8" t="s">
        <v>450</v>
      </c>
      <c r="P94" s="12">
        <v>44870.0</v>
      </c>
      <c r="Q94" s="13">
        <v>364686.0</v>
      </c>
      <c r="R94" s="8">
        <v>403103.0</v>
      </c>
    </row>
    <row r="95" ht="15.75" customHeight="1">
      <c r="A95" s="8" t="s">
        <v>444</v>
      </c>
      <c r="B95" s="8" t="s">
        <v>445</v>
      </c>
      <c r="C95" s="8" t="s">
        <v>415</v>
      </c>
      <c r="D95" s="8" t="s">
        <v>446</v>
      </c>
      <c r="E95" s="8" t="s">
        <v>20</v>
      </c>
      <c r="F95" s="8" t="s">
        <v>447</v>
      </c>
      <c r="G95" s="8" t="s">
        <v>448</v>
      </c>
      <c r="H95" s="8" t="s">
        <v>419</v>
      </c>
      <c r="I95" s="8" t="s">
        <v>420</v>
      </c>
      <c r="J95" s="8" t="s">
        <v>137</v>
      </c>
      <c r="K95" s="8" t="s">
        <v>449</v>
      </c>
      <c r="L95" s="10">
        <v>43801.0</v>
      </c>
      <c r="N95" s="8" t="s">
        <v>434</v>
      </c>
      <c r="O95" s="8" t="s">
        <v>450</v>
      </c>
      <c r="P95" s="12">
        <v>44898.0</v>
      </c>
      <c r="Q95" s="13">
        <v>631303.0</v>
      </c>
      <c r="R95" s="8">
        <v>403103.0</v>
      </c>
    </row>
    <row r="96" ht="15.75" customHeight="1">
      <c r="A96" s="8" t="s">
        <v>444</v>
      </c>
      <c r="B96" s="8" t="s">
        <v>445</v>
      </c>
      <c r="C96" s="8" t="s">
        <v>415</v>
      </c>
      <c r="D96" s="8" t="s">
        <v>446</v>
      </c>
      <c r="E96" s="8" t="s">
        <v>20</v>
      </c>
      <c r="F96" s="8" t="s">
        <v>447</v>
      </c>
      <c r="G96" s="8" t="s">
        <v>448</v>
      </c>
      <c r="H96" s="8" t="s">
        <v>419</v>
      </c>
      <c r="I96" s="8" t="s">
        <v>420</v>
      </c>
      <c r="J96" s="8" t="s">
        <v>137</v>
      </c>
      <c r="K96" s="8" t="s">
        <v>449</v>
      </c>
      <c r="L96" s="10">
        <v>43801.0</v>
      </c>
      <c r="N96" s="8" t="s">
        <v>434</v>
      </c>
      <c r="O96" s="8" t="s">
        <v>450</v>
      </c>
      <c r="P96" s="12">
        <v>44931.0</v>
      </c>
      <c r="Q96" s="13">
        <v>274376.0</v>
      </c>
      <c r="R96" s="8">
        <v>403103.0</v>
      </c>
    </row>
    <row r="97" ht="15.75" customHeight="1">
      <c r="A97" s="8" t="s">
        <v>444</v>
      </c>
      <c r="B97" s="8" t="s">
        <v>445</v>
      </c>
      <c r="C97" s="8" t="s">
        <v>415</v>
      </c>
      <c r="D97" s="8" t="s">
        <v>446</v>
      </c>
      <c r="E97" s="8" t="s">
        <v>20</v>
      </c>
      <c r="F97" s="8" t="s">
        <v>447</v>
      </c>
      <c r="G97" s="8" t="s">
        <v>448</v>
      </c>
      <c r="H97" s="8" t="s">
        <v>419</v>
      </c>
      <c r="I97" s="8" t="s">
        <v>420</v>
      </c>
      <c r="J97" s="8" t="s">
        <v>137</v>
      </c>
      <c r="K97" s="8" t="s">
        <v>449</v>
      </c>
      <c r="L97" s="10">
        <v>43801.0</v>
      </c>
      <c r="N97" s="8" t="s">
        <v>434</v>
      </c>
      <c r="O97" s="8" t="s">
        <v>450</v>
      </c>
      <c r="P97" s="12">
        <v>44961.0</v>
      </c>
      <c r="Q97" s="13">
        <v>128788.0</v>
      </c>
      <c r="R97" s="8">
        <v>403103.0</v>
      </c>
    </row>
    <row r="98" ht="15.75" customHeight="1">
      <c r="A98" s="8" t="s">
        <v>444</v>
      </c>
      <c r="B98" s="8" t="s">
        <v>445</v>
      </c>
      <c r="C98" s="8" t="s">
        <v>415</v>
      </c>
      <c r="D98" s="8" t="s">
        <v>446</v>
      </c>
      <c r="E98" s="8" t="s">
        <v>20</v>
      </c>
      <c r="F98" s="8" t="s">
        <v>447</v>
      </c>
      <c r="G98" s="8" t="s">
        <v>448</v>
      </c>
      <c r="H98" s="8" t="s">
        <v>419</v>
      </c>
      <c r="I98" s="8" t="s">
        <v>420</v>
      </c>
      <c r="J98" s="8" t="s">
        <v>137</v>
      </c>
      <c r="K98" s="8" t="s">
        <v>449</v>
      </c>
      <c r="L98" s="10">
        <v>43801.0</v>
      </c>
      <c r="N98" s="8" t="s">
        <v>434</v>
      </c>
      <c r="O98" s="8" t="s">
        <v>450</v>
      </c>
      <c r="P98" s="12">
        <v>44990.0</v>
      </c>
      <c r="Q98" s="13">
        <v>256681.0</v>
      </c>
      <c r="R98" s="8">
        <v>403103.0</v>
      </c>
    </row>
    <row r="99" ht="15.75" customHeight="1">
      <c r="A99" s="8" t="s">
        <v>444</v>
      </c>
      <c r="B99" s="8" t="s">
        <v>445</v>
      </c>
      <c r="C99" s="8" t="s">
        <v>415</v>
      </c>
      <c r="D99" s="8" t="s">
        <v>446</v>
      </c>
      <c r="E99" s="8" t="s">
        <v>20</v>
      </c>
      <c r="F99" s="8" t="s">
        <v>447</v>
      </c>
      <c r="G99" s="8" t="s">
        <v>448</v>
      </c>
      <c r="H99" s="8" t="s">
        <v>419</v>
      </c>
      <c r="I99" s="8" t="s">
        <v>420</v>
      </c>
      <c r="J99" s="8" t="s">
        <v>137</v>
      </c>
      <c r="K99" s="8" t="s">
        <v>449</v>
      </c>
      <c r="L99" s="10">
        <v>43801.0</v>
      </c>
      <c r="N99" s="8" t="s">
        <v>434</v>
      </c>
      <c r="O99" s="8" t="s">
        <v>450</v>
      </c>
      <c r="P99" s="12">
        <v>45019.0</v>
      </c>
      <c r="Q99" s="13">
        <v>480666.0</v>
      </c>
      <c r="R99" s="8">
        <v>403103.0</v>
      </c>
    </row>
    <row r="100" ht="15.75" customHeight="1">
      <c r="A100" s="8" t="s">
        <v>444</v>
      </c>
      <c r="B100" s="8" t="s">
        <v>445</v>
      </c>
      <c r="C100" s="8" t="s">
        <v>415</v>
      </c>
      <c r="D100" s="8" t="s">
        <v>446</v>
      </c>
      <c r="E100" s="8" t="s">
        <v>20</v>
      </c>
      <c r="F100" s="8" t="s">
        <v>447</v>
      </c>
      <c r="G100" s="8" t="s">
        <v>448</v>
      </c>
      <c r="H100" s="8" t="s">
        <v>419</v>
      </c>
      <c r="I100" s="8" t="s">
        <v>420</v>
      </c>
      <c r="J100" s="8" t="s">
        <v>137</v>
      </c>
      <c r="K100" s="8" t="s">
        <v>449</v>
      </c>
      <c r="L100" s="10">
        <v>43801.0</v>
      </c>
      <c r="N100" s="8" t="s">
        <v>434</v>
      </c>
      <c r="O100" s="8" t="s">
        <v>450</v>
      </c>
      <c r="P100" s="12">
        <v>45051.0</v>
      </c>
      <c r="Q100" s="13">
        <v>482346.0</v>
      </c>
      <c r="R100" s="8">
        <v>403103.0</v>
      </c>
    </row>
    <row r="101" ht="15.75" customHeight="1">
      <c r="A101" s="8" t="s">
        <v>444</v>
      </c>
      <c r="B101" s="8" t="s">
        <v>445</v>
      </c>
      <c r="C101" s="8" t="s">
        <v>415</v>
      </c>
      <c r="D101" s="8" t="s">
        <v>446</v>
      </c>
      <c r="E101" s="8" t="s">
        <v>20</v>
      </c>
      <c r="F101" s="8" t="s">
        <v>447</v>
      </c>
      <c r="G101" s="8" t="s">
        <v>448</v>
      </c>
      <c r="H101" s="8" t="s">
        <v>419</v>
      </c>
      <c r="I101" s="8" t="s">
        <v>420</v>
      </c>
      <c r="J101" s="8" t="s">
        <v>137</v>
      </c>
      <c r="K101" s="8" t="s">
        <v>449</v>
      </c>
      <c r="L101" s="10">
        <v>43801.0</v>
      </c>
      <c r="N101" s="8" t="s">
        <v>434</v>
      </c>
      <c r="O101" s="8" t="s">
        <v>450</v>
      </c>
      <c r="P101" s="12">
        <v>45080.0</v>
      </c>
      <c r="Q101" s="13">
        <v>488328.0</v>
      </c>
      <c r="R101" s="8">
        <v>403103.0</v>
      </c>
    </row>
    <row r="102" ht="15.75" customHeight="1">
      <c r="A102" s="8" t="s">
        <v>444</v>
      </c>
      <c r="B102" s="8" t="s">
        <v>445</v>
      </c>
      <c r="C102" s="8" t="s">
        <v>415</v>
      </c>
      <c r="D102" s="8" t="s">
        <v>446</v>
      </c>
      <c r="E102" s="8" t="s">
        <v>20</v>
      </c>
      <c r="F102" s="8" t="s">
        <v>447</v>
      </c>
      <c r="G102" s="8" t="s">
        <v>448</v>
      </c>
      <c r="H102" s="8" t="s">
        <v>419</v>
      </c>
      <c r="I102" s="8" t="s">
        <v>420</v>
      </c>
      <c r="J102" s="8" t="s">
        <v>137</v>
      </c>
      <c r="K102" s="8" t="s">
        <v>449</v>
      </c>
      <c r="L102" s="10">
        <v>43801.0</v>
      </c>
      <c r="N102" s="8" t="s">
        <v>434</v>
      </c>
      <c r="O102" s="8" t="s">
        <v>450</v>
      </c>
      <c r="P102" s="12">
        <v>45112.0</v>
      </c>
      <c r="Q102" s="13">
        <v>262263.0</v>
      </c>
      <c r="R102" s="8">
        <v>403103.0</v>
      </c>
    </row>
    <row r="103" ht="15.75" customHeight="1">
      <c r="A103" s="8" t="s">
        <v>444</v>
      </c>
      <c r="B103" s="8" t="s">
        <v>445</v>
      </c>
      <c r="C103" s="8" t="s">
        <v>415</v>
      </c>
      <c r="D103" s="8" t="s">
        <v>446</v>
      </c>
      <c r="E103" s="8" t="s">
        <v>20</v>
      </c>
      <c r="F103" s="8" t="s">
        <v>447</v>
      </c>
      <c r="G103" s="8" t="s">
        <v>448</v>
      </c>
      <c r="H103" s="8" t="s">
        <v>419</v>
      </c>
      <c r="I103" s="8" t="s">
        <v>420</v>
      </c>
      <c r="J103" s="8" t="s">
        <v>137</v>
      </c>
      <c r="K103" s="8" t="s">
        <v>449</v>
      </c>
      <c r="L103" s="10">
        <v>43801.0</v>
      </c>
      <c r="N103" s="8" t="s">
        <v>434</v>
      </c>
      <c r="O103" s="8" t="s">
        <v>450</v>
      </c>
      <c r="P103" s="12">
        <v>45141.0</v>
      </c>
      <c r="Q103" s="13">
        <v>356384.0</v>
      </c>
      <c r="R103" s="8">
        <v>403103.0</v>
      </c>
    </row>
    <row r="104" ht="15.75" customHeight="1">
      <c r="A104" s="8" t="s">
        <v>444</v>
      </c>
      <c r="B104" s="8" t="s">
        <v>445</v>
      </c>
      <c r="C104" s="8" t="s">
        <v>415</v>
      </c>
      <c r="D104" s="8" t="s">
        <v>446</v>
      </c>
      <c r="E104" s="8" t="s">
        <v>20</v>
      </c>
      <c r="F104" s="8" t="s">
        <v>447</v>
      </c>
      <c r="G104" s="8" t="s">
        <v>448</v>
      </c>
      <c r="H104" s="8" t="s">
        <v>419</v>
      </c>
      <c r="I104" s="8" t="s">
        <v>420</v>
      </c>
      <c r="J104" s="8" t="s">
        <v>137</v>
      </c>
      <c r="K104" s="8" t="s">
        <v>449</v>
      </c>
      <c r="L104" s="10">
        <v>43801.0</v>
      </c>
      <c r="N104" s="8" t="s">
        <v>434</v>
      </c>
      <c r="O104" s="8" t="s">
        <v>450</v>
      </c>
      <c r="P104" s="12">
        <v>45174.0</v>
      </c>
      <c r="Q104" s="13">
        <v>544174.0</v>
      </c>
      <c r="R104" s="8">
        <v>403103.0</v>
      </c>
    </row>
    <row r="105" ht="15.75" customHeight="1">
      <c r="A105" s="8" t="s">
        <v>444</v>
      </c>
      <c r="B105" s="8" t="s">
        <v>445</v>
      </c>
      <c r="C105" s="8" t="s">
        <v>415</v>
      </c>
      <c r="D105" s="8" t="s">
        <v>446</v>
      </c>
      <c r="E105" s="8" t="s">
        <v>20</v>
      </c>
      <c r="F105" s="8" t="s">
        <v>447</v>
      </c>
      <c r="G105" s="8" t="s">
        <v>448</v>
      </c>
      <c r="H105" s="8" t="s">
        <v>419</v>
      </c>
      <c r="I105" s="8" t="s">
        <v>420</v>
      </c>
      <c r="J105" s="8" t="s">
        <v>137</v>
      </c>
      <c r="K105" s="8" t="s">
        <v>449</v>
      </c>
      <c r="L105" s="10">
        <v>43801.0</v>
      </c>
      <c r="N105" s="8" t="s">
        <v>434</v>
      </c>
      <c r="O105" s="8" t="s">
        <v>450</v>
      </c>
      <c r="P105" s="12">
        <v>45203.0</v>
      </c>
      <c r="Q105" s="13">
        <v>149397.0</v>
      </c>
      <c r="R105" s="8">
        <v>403103.0</v>
      </c>
    </row>
    <row r="106" ht="15.75" customHeight="1">
      <c r="A106" s="8" t="s">
        <v>444</v>
      </c>
      <c r="B106" s="8" t="s">
        <v>445</v>
      </c>
      <c r="C106" s="8" t="s">
        <v>415</v>
      </c>
      <c r="D106" s="8" t="s">
        <v>446</v>
      </c>
      <c r="E106" s="8" t="s">
        <v>20</v>
      </c>
      <c r="F106" s="8" t="s">
        <v>447</v>
      </c>
      <c r="G106" s="8" t="s">
        <v>448</v>
      </c>
      <c r="H106" s="8" t="s">
        <v>419</v>
      </c>
      <c r="I106" s="8" t="s">
        <v>420</v>
      </c>
      <c r="J106" s="8" t="s">
        <v>137</v>
      </c>
      <c r="K106" s="8" t="s">
        <v>449</v>
      </c>
      <c r="L106" s="10">
        <v>43801.0</v>
      </c>
      <c r="N106" s="8" t="s">
        <v>434</v>
      </c>
      <c r="O106" s="8" t="s">
        <v>450</v>
      </c>
      <c r="P106" s="12">
        <v>45235.0</v>
      </c>
      <c r="Q106" s="13">
        <v>675154.0</v>
      </c>
      <c r="R106" s="8">
        <v>403103.0</v>
      </c>
    </row>
    <row r="107" ht="15.75" customHeight="1">
      <c r="A107" s="8" t="s">
        <v>444</v>
      </c>
      <c r="B107" s="8" t="s">
        <v>445</v>
      </c>
      <c r="C107" s="8" t="s">
        <v>415</v>
      </c>
      <c r="D107" s="8" t="s">
        <v>446</v>
      </c>
      <c r="E107" s="8" t="s">
        <v>20</v>
      </c>
      <c r="F107" s="8" t="s">
        <v>447</v>
      </c>
      <c r="G107" s="8" t="s">
        <v>448</v>
      </c>
      <c r="H107" s="8" t="s">
        <v>419</v>
      </c>
      <c r="I107" s="8" t="s">
        <v>420</v>
      </c>
      <c r="J107" s="8" t="s">
        <v>137</v>
      </c>
      <c r="K107" s="8" t="s">
        <v>449</v>
      </c>
      <c r="L107" s="10">
        <v>43801.0</v>
      </c>
      <c r="N107" s="8" t="s">
        <v>434</v>
      </c>
      <c r="O107" s="8" t="s">
        <v>450</v>
      </c>
      <c r="P107" s="12">
        <v>45263.0</v>
      </c>
      <c r="Q107" s="13">
        <v>202733.0</v>
      </c>
      <c r="R107" s="8">
        <v>403103.0</v>
      </c>
    </row>
    <row r="108" ht="15.75" customHeight="1">
      <c r="A108" s="8" t="s">
        <v>444</v>
      </c>
      <c r="B108" s="8" t="s">
        <v>445</v>
      </c>
      <c r="C108" s="8" t="s">
        <v>415</v>
      </c>
      <c r="D108" s="8" t="s">
        <v>446</v>
      </c>
      <c r="E108" s="8" t="s">
        <v>20</v>
      </c>
      <c r="F108" s="8" t="s">
        <v>447</v>
      </c>
      <c r="G108" s="8" t="s">
        <v>448</v>
      </c>
      <c r="H108" s="8" t="s">
        <v>419</v>
      </c>
      <c r="I108" s="8" t="s">
        <v>420</v>
      </c>
      <c r="J108" s="8" t="s">
        <v>137</v>
      </c>
      <c r="K108" s="8" t="s">
        <v>449</v>
      </c>
      <c r="L108" s="10">
        <v>43801.0</v>
      </c>
      <c r="N108" s="8" t="s">
        <v>434</v>
      </c>
      <c r="O108" s="8" t="s">
        <v>450</v>
      </c>
      <c r="P108" s="12">
        <v>45296.0</v>
      </c>
      <c r="Q108" s="13">
        <v>773286.0</v>
      </c>
      <c r="R108" s="8">
        <v>403103.0</v>
      </c>
    </row>
    <row r="109" ht="15.75" customHeight="1">
      <c r="A109" s="8" t="s">
        <v>444</v>
      </c>
      <c r="B109" s="8" t="s">
        <v>445</v>
      </c>
      <c r="C109" s="8" t="s">
        <v>415</v>
      </c>
      <c r="D109" s="8" t="s">
        <v>446</v>
      </c>
      <c r="E109" s="8" t="s">
        <v>20</v>
      </c>
      <c r="F109" s="8" t="s">
        <v>447</v>
      </c>
      <c r="G109" s="8" t="s">
        <v>448</v>
      </c>
      <c r="H109" s="8" t="s">
        <v>419</v>
      </c>
      <c r="I109" s="8" t="s">
        <v>420</v>
      </c>
      <c r="J109" s="8" t="s">
        <v>137</v>
      </c>
      <c r="K109" s="8" t="s">
        <v>449</v>
      </c>
      <c r="L109" s="10">
        <v>43801.0</v>
      </c>
      <c r="N109" s="8" t="s">
        <v>434</v>
      </c>
      <c r="O109" s="8" t="s">
        <v>450</v>
      </c>
      <c r="P109" s="12">
        <v>45326.0</v>
      </c>
      <c r="Q109" s="13">
        <v>334462.0</v>
      </c>
      <c r="R109" s="8">
        <v>403103.0</v>
      </c>
    </row>
    <row r="110" ht="15.75" customHeight="1">
      <c r="A110" s="8" t="s">
        <v>444</v>
      </c>
      <c r="B110" s="8" t="s">
        <v>445</v>
      </c>
      <c r="C110" s="8" t="s">
        <v>415</v>
      </c>
      <c r="D110" s="8" t="s">
        <v>446</v>
      </c>
      <c r="E110" s="8" t="s">
        <v>20</v>
      </c>
      <c r="F110" s="8" t="s">
        <v>447</v>
      </c>
      <c r="G110" s="8" t="s">
        <v>448</v>
      </c>
      <c r="H110" s="8" t="s">
        <v>419</v>
      </c>
      <c r="I110" s="8" t="s">
        <v>420</v>
      </c>
      <c r="J110" s="8" t="s">
        <v>137</v>
      </c>
      <c r="K110" s="8" t="s">
        <v>449</v>
      </c>
      <c r="L110" s="10">
        <v>43801.0</v>
      </c>
      <c r="N110" s="8" t="s">
        <v>434</v>
      </c>
      <c r="O110" s="8" t="s">
        <v>450</v>
      </c>
      <c r="P110" s="12">
        <v>45354.0</v>
      </c>
      <c r="Q110" s="13">
        <v>739298.0</v>
      </c>
      <c r="R110" s="8">
        <v>403103.0</v>
      </c>
    </row>
    <row r="111" ht="15.75" customHeight="1">
      <c r="A111" s="8" t="s">
        <v>444</v>
      </c>
      <c r="B111" s="8" t="s">
        <v>445</v>
      </c>
      <c r="C111" s="8" t="s">
        <v>415</v>
      </c>
      <c r="D111" s="8" t="s">
        <v>446</v>
      </c>
      <c r="E111" s="8" t="s">
        <v>20</v>
      </c>
      <c r="F111" s="8" t="s">
        <v>447</v>
      </c>
      <c r="G111" s="8" t="s">
        <v>448</v>
      </c>
      <c r="H111" s="8" t="s">
        <v>419</v>
      </c>
      <c r="I111" s="8" t="s">
        <v>420</v>
      </c>
      <c r="J111" s="8" t="s">
        <v>137</v>
      </c>
      <c r="K111" s="8" t="s">
        <v>449</v>
      </c>
      <c r="L111" s="10">
        <v>43801.0</v>
      </c>
      <c r="N111" s="8" t="s">
        <v>434</v>
      </c>
      <c r="O111" s="8" t="s">
        <v>450</v>
      </c>
      <c r="P111" s="12">
        <v>45387.0</v>
      </c>
      <c r="Q111" s="13">
        <v>539067.0</v>
      </c>
      <c r="R111" s="8">
        <v>403103.0</v>
      </c>
    </row>
    <row r="112" ht="15.75" customHeight="1">
      <c r="A112" s="8" t="s">
        <v>444</v>
      </c>
      <c r="B112" s="8" t="s">
        <v>445</v>
      </c>
      <c r="C112" s="8" t="s">
        <v>415</v>
      </c>
      <c r="D112" s="8" t="s">
        <v>446</v>
      </c>
      <c r="E112" s="8" t="s">
        <v>20</v>
      </c>
      <c r="F112" s="8" t="s">
        <v>447</v>
      </c>
      <c r="G112" s="8" t="s">
        <v>448</v>
      </c>
      <c r="H112" s="8" t="s">
        <v>419</v>
      </c>
      <c r="I112" s="8" t="s">
        <v>420</v>
      </c>
      <c r="J112" s="8" t="s">
        <v>137</v>
      </c>
      <c r="K112" s="8" t="s">
        <v>449</v>
      </c>
      <c r="L112" s="10">
        <v>43801.0</v>
      </c>
      <c r="N112" s="8" t="s">
        <v>434</v>
      </c>
      <c r="O112" s="8" t="s">
        <v>450</v>
      </c>
      <c r="P112" s="12">
        <v>45415.0</v>
      </c>
      <c r="Q112" s="13">
        <v>159307.0</v>
      </c>
      <c r="R112" s="8">
        <v>403103.0</v>
      </c>
    </row>
    <row r="113" ht="15.75" customHeight="1">
      <c r="A113" s="8" t="s">
        <v>444</v>
      </c>
      <c r="B113" s="8" t="s">
        <v>445</v>
      </c>
      <c r="C113" s="8" t="s">
        <v>415</v>
      </c>
      <c r="D113" s="8" t="s">
        <v>446</v>
      </c>
      <c r="E113" s="8" t="s">
        <v>20</v>
      </c>
      <c r="F113" s="8" t="s">
        <v>447</v>
      </c>
      <c r="G113" s="8" t="s">
        <v>448</v>
      </c>
      <c r="H113" s="8" t="s">
        <v>419</v>
      </c>
      <c r="I113" s="8" t="s">
        <v>420</v>
      </c>
      <c r="J113" s="8" t="s">
        <v>137</v>
      </c>
      <c r="K113" s="8" t="s">
        <v>449</v>
      </c>
      <c r="L113" s="10">
        <v>43801.0</v>
      </c>
      <c r="N113" s="8" t="s">
        <v>434</v>
      </c>
      <c r="O113" s="8" t="s">
        <v>450</v>
      </c>
      <c r="P113" s="12">
        <v>45448.0</v>
      </c>
      <c r="Q113" s="13">
        <v>152701.0</v>
      </c>
      <c r="R113" s="8">
        <v>403103.0</v>
      </c>
    </row>
    <row r="114" ht="15.75" customHeight="1">
      <c r="A114" s="8" t="s">
        <v>444</v>
      </c>
      <c r="B114" s="8" t="s">
        <v>445</v>
      </c>
      <c r="C114" s="8" t="s">
        <v>415</v>
      </c>
      <c r="D114" s="8" t="s">
        <v>446</v>
      </c>
      <c r="E114" s="8" t="s">
        <v>20</v>
      </c>
      <c r="F114" s="8" t="s">
        <v>447</v>
      </c>
      <c r="G114" s="8" t="s">
        <v>448</v>
      </c>
      <c r="H114" s="8" t="s">
        <v>419</v>
      </c>
      <c r="I114" s="8" t="s">
        <v>420</v>
      </c>
      <c r="J114" s="8" t="s">
        <v>137</v>
      </c>
      <c r="K114" s="8" t="s">
        <v>449</v>
      </c>
      <c r="L114" s="10">
        <v>43801.0</v>
      </c>
      <c r="N114" s="8" t="s">
        <v>434</v>
      </c>
      <c r="O114" s="8" t="s">
        <v>450</v>
      </c>
      <c r="P114" s="12">
        <v>45477.0</v>
      </c>
      <c r="Q114" s="13">
        <v>430624.0</v>
      </c>
      <c r="R114" s="8">
        <v>403103.0</v>
      </c>
    </row>
    <row r="115" ht="15.75" customHeight="1">
      <c r="A115" s="8" t="s">
        <v>444</v>
      </c>
      <c r="B115" s="8" t="s">
        <v>445</v>
      </c>
      <c r="C115" s="8" t="s">
        <v>415</v>
      </c>
      <c r="D115" s="8" t="s">
        <v>446</v>
      </c>
      <c r="E115" s="8" t="s">
        <v>20</v>
      </c>
      <c r="F115" s="8" t="s">
        <v>447</v>
      </c>
      <c r="G115" s="8" t="s">
        <v>448</v>
      </c>
      <c r="H115" s="8" t="s">
        <v>419</v>
      </c>
      <c r="I115" s="8" t="s">
        <v>420</v>
      </c>
      <c r="J115" s="8" t="s">
        <v>137</v>
      </c>
      <c r="K115" s="8" t="s">
        <v>449</v>
      </c>
      <c r="L115" s="10">
        <v>43801.0</v>
      </c>
      <c r="N115" s="8" t="s">
        <v>434</v>
      </c>
      <c r="O115" s="8" t="s">
        <v>450</v>
      </c>
      <c r="P115" s="12">
        <v>45509.0</v>
      </c>
      <c r="Q115" s="13">
        <v>148343.0</v>
      </c>
      <c r="R115" s="8">
        <v>403103.0</v>
      </c>
    </row>
    <row r="116" ht="15.75" customHeight="1">
      <c r="A116" s="8" t="s">
        <v>451</v>
      </c>
      <c r="B116" s="8" t="s">
        <v>452</v>
      </c>
      <c r="C116" s="8" t="s">
        <v>426</v>
      </c>
      <c r="D116" s="8" t="s">
        <v>453</v>
      </c>
      <c r="E116" s="8" t="s">
        <v>20</v>
      </c>
      <c r="F116" s="8" t="s">
        <v>454</v>
      </c>
      <c r="G116" s="8" t="s">
        <v>455</v>
      </c>
      <c r="H116" s="8" t="s">
        <v>456</v>
      </c>
      <c r="I116" s="8" t="s">
        <v>441</v>
      </c>
      <c r="J116" s="8" t="s">
        <v>159</v>
      </c>
      <c r="K116" s="8" t="s">
        <v>457</v>
      </c>
      <c r="L116" s="10">
        <v>43690.0</v>
      </c>
      <c r="N116" s="8" t="s">
        <v>434</v>
      </c>
      <c r="O116" s="8" t="s">
        <v>458</v>
      </c>
      <c r="P116" s="12">
        <v>43690.0</v>
      </c>
      <c r="Q116" s="13">
        <v>385846.0</v>
      </c>
      <c r="R116" s="8">
        <v>404100.0</v>
      </c>
    </row>
    <row r="117" ht="15.75" customHeight="1">
      <c r="A117" s="8" t="s">
        <v>451</v>
      </c>
      <c r="B117" s="8" t="s">
        <v>452</v>
      </c>
      <c r="C117" s="8" t="s">
        <v>426</v>
      </c>
      <c r="D117" s="8" t="s">
        <v>453</v>
      </c>
      <c r="E117" s="8" t="s">
        <v>20</v>
      </c>
      <c r="F117" s="8" t="s">
        <v>454</v>
      </c>
      <c r="G117" s="8" t="s">
        <v>455</v>
      </c>
      <c r="H117" s="8" t="s">
        <v>456</v>
      </c>
      <c r="J117" s="8" t="s">
        <v>159</v>
      </c>
      <c r="K117" s="8" t="s">
        <v>457</v>
      </c>
      <c r="L117" s="10">
        <v>43690.0</v>
      </c>
      <c r="N117" s="8" t="s">
        <v>434</v>
      </c>
      <c r="O117" s="8" t="s">
        <v>458</v>
      </c>
      <c r="P117" s="12">
        <v>44057.0</v>
      </c>
      <c r="Q117" s="13">
        <v>750782.0</v>
      </c>
      <c r="R117" s="8">
        <v>404100.0</v>
      </c>
    </row>
    <row r="118" ht="15.75" customHeight="1">
      <c r="A118" s="8" t="s">
        <v>451</v>
      </c>
      <c r="B118" s="8" t="s">
        <v>452</v>
      </c>
      <c r="C118" s="8" t="s">
        <v>426</v>
      </c>
      <c r="D118" s="8" t="s">
        <v>453</v>
      </c>
      <c r="E118" s="8" t="s">
        <v>20</v>
      </c>
      <c r="F118" s="8" t="s">
        <v>454</v>
      </c>
      <c r="G118" s="8" t="s">
        <v>455</v>
      </c>
      <c r="H118" s="8" t="s">
        <v>456</v>
      </c>
      <c r="J118" s="8" t="s">
        <v>159</v>
      </c>
      <c r="K118" s="8" t="s">
        <v>457</v>
      </c>
      <c r="L118" s="10">
        <v>43690.0</v>
      </c>
      <c r="N118" s="8" t="s">
        <v>434</v>
      </c>
      <c r="O118" s="8" t="s">
        <v>458</v>
      </c>
      <c r="P118" s="12">
        <v>44420.0</v>
      </c>
      <c r="Q118" s="13">
        <v>409837.0</v>
      </c>
      <c r="R118" s="8">
        <v>404100.0</v>
      </c>
    </row>
    <row r="119" ht="15.75" customHeight="1">
      <c r="A119" s="8" t="s">
        <v>451</v>
      </c>
      <c r="B119" s="8" t="s">
        <v>452</v>
      </c>
      <c r="C119" s="8" t="s">
        <v>426</v>
      </c>
      <c r="D119" s="8" t="s">
        <v>453</v>
      </c>
      <c r="E119" s="8" t="s">
        <v>20</v>
      </c>
      <c r="F119" s="8" t="s">
        <v>454</v>
      </c>
      <c r="G119" s="8" t="s">
        <v>455</v>
      </c>
      <c r="H119" s="8" t="s">
        <v>456</v>
      </c>
      <c r="J119" s="8" t="s">
        <v>159</v>
      </c>
      <c r="K119" s="8" t="s">
        <v>457</v>
      </c>
      <c r="L119" s="10">
        <v>43690.0</v>
      </c>
      <c r="N119" s="8" t="s">
        <v>434</v>
      </c>
      <c r="O119" s="8" t="s">
        <v>458</v>
      </c>
      <c r="P119" s="12">
        <v>44788.0</v>
      </c>
      <c r="Q119" s="13">
        <v>747805.0</v>
      </c>
      <c r="R119" s="8">
        <v>404100.0</v>
      </c>
    </row>
    <row r="120" ht="15.75" customHeight="1">
      <c r="A120" s="8" t="s">
        <v>451</v>
      </c>
      <c r="B120" s="8" t="s">
        <v>452</v>
      </c>
      <c r="C120" s="8" t="s">
        <v>426</v>
      </c>
      <c r="D120" s="8" t="s">
        <v>453</v>
      </c>
      <c r="E120" s="8" t="s">
        <v>20</v>
      </c>
      <c r="F120" s="8" t="s">
        <v>454</v>
      </c>
      <c r="G120" s="8" t="s">
        <v>455</v>
      </c>
      <c r="H120" s="8" t="s">
        <v>456</v>
      </c>
      <c r="J120" s="8" t="s">
        <v>159</v>
      </c>
      <c r="K120" s="8" t="s">
        <v>457</v>
      </c>
      <c r="L120" s="10">
        <v>43690.0</v>
      </c>
      <c r="N120" s="8" t="s">
        <v>434</v>
      </c>
      <c r="O120" s="8" t="s">
        <v>458</v>
      </c>
      <c r="P120" s="12">
        <v>45151.0</v>
      </c>
      <c r="Q120" s="13">
        <v>260898.0</v>
      </c>
      <c r="R120" s="8">
        <v>404100.0</v>
      </c>
    </row>
    <row r="121" ht="15.75" customHeight="1">
      <c r="A121" s="8" t="s">
        <v>451</v>
      </c>
      <c r="B121" s="8" t="s">
        <v>452</v>
      </c>
      <c r="C121" s="8" t="s">
        <v>426</v>
      </c>
      <c r="D121" s="8" t="s">
        <v>453</v>
      </c>
      <c r="E121" s="8" t="s">
        <v>20</v>
      </c>
      <c r="F121" s="8" t="s">
        <v>454</v>
      </c>
      <c r="G121" s="8" t="s">
        <v>455</v>
      </c>
      <c r="H121" s="8" t="s">
        <v>456</v>
      </c>
      <c r="J121" s="8" t="s">
        <v>159</v>
      </c>
      <c r="K121" s="8" t="s">
        <v>457</v>
      </c>
      <c r="L121" s="10">
        <v>43690.0</v>
      </c>
      <c r="N121" s="8" t="s">
        <v>434</v>
      </c>
      <c r="O121" s="8" t="s">
        <v>458</v>
      </c>
      <c r="P121" s="12">
        <v>45518.0</v>
      </c>
      <c r="Q121" s="13">
        <v>558515.0</v>
      </c>
      <c r="R121" s="8">
        <v>404100.0</v>
      </c>
    </row>
    <row r="122" ht="15.75" customHeight="1">
      <c r="A122" s="8" t="s">
        <v>459</v>
      </c>
      <c r="B122" s="8" t="s">
        <v>460</v>
      </c>
      <c r="C122" s="8" t="s">
        <v>426</v>
      </c>
      <c r="D122" s="8" t="s">
        <v>446</v>
      </c>
      <c r="E122" s="8" t="s">
        <v>20</v>
      </c>
      <c r="F122" s="8" t="s">
        <v>461</v>
      </c>
      <c r="G122" s="8" t="s">
        <v>462</v>
      </c>
      <c r="H122" s="8" t="s">
        <v>419</v>
      </c>
      <c r="I122" s="8" t="s">
        <v>463</v>
      </c>
      <c r="J122" s="8" t="s">
        <v>432</v>
      </c>
      <c r="K122" s="8" t="s">
        <v>464</v>
      </c>
      <c r="L122" s="10">
        <v>44582.0</v>
      </c>
      <c r="N122" s="8" t="s">
        <v>434</v>
      </c>
      <c r="O122" s="8" t="s">
        <v>450</v>
      </c>
      <c r="P122" s="15">
        <v>44582.0</v>
      </c>
      <c r="Q122" s="13">
        <v>706102.0</v>
      </c>
      <c r="R122" s="8">
        <v>404100.0</v>
      </c>
    </row>
    <row r="123" ht="15.75" customHeight="1">
      <c r="A123" s="8" t="s">
        <v>459</v>
      </c>
      <c r="B123" s="8" t="s">
        <v>460</v>
      </c>
      <c r="C123" s="8" t="s">
        <v>426</v>
      </c>
      <c r="D123" s="8" t="s">
        <v>446</v>
      </c>
      <c r="E123" s="8" t="s">
        <v>20</v>
      </c>
      <c r="F123" s="8" t="s">
        <v>461</v>
      </c>
      <c r="G123" s="8" t="s">
        <v>462</v>
      </c>
      <c r="H123" s="8" t="s">
        <v>419</v>
      </c>
      <c r="I123" s="8" t="s">
        <v>463</v>
      </c>
      <c r="J123" s="8" t="s">
        <v>432</v>
      </c>
      <c r="K123" s="8" t="s">
        <v>464</v>
      </c>
      <c r="L123" s="10">
        <v>44582.0</v>
      </c>
      <c r="N123" s="8" t="s">
        <v>434</v>
      </c>
      <c r="O123" s="8" t="s">
        <v>450</v>
      </c>
      <c r="P123" s="15">
        <v>44614.0</v>
      </c>
      <c r="Q123" s="13">
        <v>254098.0</v>
      </c>
      <c r="R123" s="8">
        <v>404100.0</v>
      </c>
    </row>
    <row r="124" ht="15.75" customHeight="1">
      <c r="A124" s="8" t="s">
        <v>459</v>
      </c>
      <c r="B124" s="8" t="s">
        <v>460</v>
      </c>
      <c r="C124" s="8" t="s">
        <v>426</v>
      </c>
      <c r="D124" s="8" t="s">
        <v>446</v>
      </c>
      <c r="E124" s="8" t="s">
        <v>20</v>
      </c>
      <c r="F124" s="8" t="s">
        <v>461</v>
      </c>
      <c r="G124" s="8" t="s">
        <v>462</v>
      </c>
      <c r="H124" s="8" t="s">
        <v>419</v>
      </c>
      <c r="I124" s="8" t="s">
        <v>463</v>
      </c>
      <c r="J124" s="8" t="s">
        <v>432</v>
      </c>
      <c r="K124" s="8" t="s">
        <v>464</v>
      </c>
      <c r="L124" s="10">
        <v>44582.0</v>
      </c>
      <c r="N124" s="8" t="s">
        <v>434</v>
      </c>
      <c r="O124" s="8" t="s">
        <v>450</v>
      </c>
      <c r="P124" s="15">
        <v>44641.0</v>
      </c>
      <c r="Q124" s="13">
        <v>76229.0</v>
      </c>
      <c r="R124" s="8">
        <v>404100.0</v>
      </c>
    </row>
    <row r="125" ht="15.75" customHeight="1">
      <c r="A125" s="8" t="s">
        <v>459</v>
      </c>
      <c r="B125" s="8" t="s">
        <v>460</v>
      </c>
      <c r="C125" s="8" t="s">
        <v>426</v>
      </c>
      <c r="D125" s="8" t="s">
        <v>446</v>
      </c>
      <c r="E125" s="8" t="s">
        <v>20</v>
      </c>
      <c r="F125" s="8" t="s">
        <v>461</v>
      </c>
      <c r="G125" s="8" t="s">
        <v>462</v>
      </c>
      <c r="H125" s="8" t="s">
        <v>419</v>
      </c>
      <c r="I125" s="8" t="s">
        <v>463</v>
      </c>
      <c r="J125" s="8" t="s">
        <v>432</v>
      </c>
      <c r="K125" s="8" t="s">
        <v>464</v>
      </c>
      <c r="L125" s="10">
        <v>44582.0</v>
      </c>
      <c r="N125" s="8" t="s">
        <v>434</v>
      </c>
      <c r="O125" s="8" t="s">
        <v>450</v>
      </c>
      <c r="P125" s="15">
        <v>44674.0</v>
      </c>
      <c r="Q125" s="13">
        <v>628328.0</v>
      </c>
      <c r="R125" s="8">
        <v>404100.0</v>
      </c>
    </row>
    <row r="126" ht="15.75" customHeight="1">
      <c r="A126" s="8" t="s">
        <v>459</v>
      </c>
      <c r="B126" s="8" t="s">
        <v>460</v>
      </c>
      <c r="C126" s="8" t="s">
        <v>426</v>
      </c>
      <c r="D126" s="8" t="s">
        <v>446</v>
      </c>
      <c r="E126" s="8" t="s">
        <v>20</v>
      </c>
      <c r="F126" s="8" t="s">
        <v>461</v>
      </c>
      <c r="G126" s="8" t="s">
        <v>462</v>
      </c>
      <c r="H126" s="8" t="s">
        <v>419</v>
      </c>
      <c r="I126" s="8" t="s">
        <v>463</v>
      </c>
      <c r="J126" s="8" t="s">
        <v>432</v>
      </c>
      <c r="K126" s="8" t="s">
        <v>464</v>
      </c>
      <c r="L126" s="10">
        <v>44582.0</v>
      </c>
      <c r="N126" s="8" t="s">
        <v>434</v>
      </c>
      <c r="O126" s="8" t="s">
        <v>450</v>
      </c>
      <c r="P126" s="15">
        <v>44702.0</v>
      </c>
      <c r="Q126" s="13">
        <v>486856.0</v>
      </c>
      <c r="R126" s="8">
        <v>404100.0</v>
      </c>
    </row>
    <row r="127" ht="15.75" customHeight="1">
      <c r="A127" s="8" t="s">
        <v>459</v>
      </c>
      <c r="B127" s="8" t="s">
        <v>460</v>
      </c>
      <c r="C127" s="8" t="s">
        <v>426</v>
      </c>
      <c r="D127" s="8" t="s">
        <v>446</v>
      </c>
      <c r="E127" s="8" t="s">
        <v>20</v>
      </c>
      <c r="F127" s="8" t="s">
        <v>461</v>
      </c>
      <c r="G127" s="8" t="s">
        <v>462</v>
      </c>
      <c r="H127" s="8" t="s">
        <v>419</v>
      </c>
      <c r="I127" s="8" t="s">
        <v>463</v>
      </c>
      <c r="J127" s="8" t="s">
        <v>432</v>
      </c>
      <c r="K127" s="8" t="s">
        <v>464</v>
      </c>
      <c r="L127" s="10">
        <v>44582.0</v>
      </c>
      <c r="N127" s="8" t="s">
        <v>434</v>
      </c>
      <c r="O127" s="8" t="s">
        <v>450</v>
      </c>
      <c r="P127" s="15">
        <v>44734.0</v>
      </c>
      <c r="Q127" s="13">
        <v>298046.0</v>
      </c>
      <c r="R127" s="8">
        <v>404100.0</v>
      </c>
    </row>
    <row r="128" ht="15.75" customHeight="1">
      <c r="A128" s="8" t="s">
        <v>459</v>
      </c>
      <c r="B128" s="8" t="s">
        <v>460</v>
      </c>
      <c r="C128" s="8" t="s">
        <v>426</v>
      </c>
      <c r="D128" s="8" t="s">
        <v>446</v>
      </c>
      <c r="E128" s="8" t="s">
        <v>20</v>
      </c>
      <c r="F128" s="8" t="s">
        <v>461</v>
      </c>
      <c r="G128" s="8" t="s">
        <v>462</v>
      </c>
      <c r="H128" s="8" t="s">
        <v>419</v>
      </c>
      <c r="I128" s="8" t="s">
        <v>463</v>
      </c>
      <c r="J128" s="8" t="s">
        <v>432</v>
      </c>
      <c r="K128" s="8" t="s">
        <v>464</v>
      </c>
      <c r="L128" s="10">
        <v>44582.0</v>
      </c>
      <c r="N128" s="8" t="s">
        <v>434</v>
      </c>
      <c r="O128" s="8" t="s">
        <v>450</v>
      </c>
      <c r="P128" s="15">
        <v>44763.0</v>
      </c>
      <c r="Q128" s="13">
        <v>171034.0</v>
      </c>
      <c r="R128" s="8">
        <v>404100.0</v>
      </c>
    </row>
    <row r="129" ht="15.75" customHeight="1">
      <c r="A129" s="8" t="s">
        <v>459</v>
      </c>
      <c r="B129" s="8" t="s">
        <v>460</v>
      </c>
      <c r="C129" s="8" t="s">
        <v>426</v>
      </c>
      <c r="D129" s="8" t="s">
        <v>446</v>
      </c>
      <c r="E129" s="8" t="s">
        <v>20</v>
      </c>
      <c r="F129" s="8" t="s">
        <v>461</v>
      </c>
      <c r="G129" s="8" t="s">
        <v>462</v>
      </c>
      <c r="H129" s="8" t="s">
        <v>419</v>
      </c>
      <c r="I129" s="8" t="s">
        <v>463</v>
      </c>
      <c r="J129" s="8" t="s">
        <v>432</v>
      </c>
      <c r="K129" s="8" t="s">
        <v>464</v>
      </c>
      <c r="L129" s="10">
        <v>44582.0</v>
      </c>
      <c r="N129" s="8" t="s">
        <v>434</v>
      </c>
      <c r="O129" s="8" t="s">
        <v>450</v>
      </c>
      <c r="P129" s="15">
        <v>44796.0</v>
      </c>
      <c r="Q129" s="13">
        <v>587146.0</v>
      </c>
      <c r="R129" s="8">
        <v>404100.0</v>
      </c>
    </row>
    <row r="130" ht="15.75" customHeight="1">
      <c r="A130" s="8" t="s">
        <v>459</v>
      </c>
      <c r="B130" s="8" t="s">
        <v>460</v>
      </c>
      <c r="C130" s="8" t="s">
        <v>426</v>
      </c>
      <c r="D130" s="8" t="s">
        <v>446</v>
      </c>
      <c r="E130" s="8" t="s">
        <v>20</v>
      </c>
      <c r="F130" s="8" t="s">
        <v>461</v>
      </c>
      <c r="G130" s="8" t="s">
        <v>462</v>
      </c>
      <c r="H130" s="8" t="s">
        <v>419</v>
      </c>
      <c r="I130" s="8" t="s">
        <v>463</v>
      </c>
      <c r="J130" s="8" t="s">
        <v>432</v>
      </c>
      <c r="K130" s="8" t="s">
        <v>464</v>
      </c>
      <c r="L130" s="10">
        <v>44582.0</v>
      </c>
      <c r="N130" s="8" t="s">
        <v>434</v>
      </c>
      <c r="O130" s="8" t="s">
        <v>450</v>
      </c>
      <c r="P130" s="15">
        <v>44825.0</v>
      </c>
      <c r="Q130" s="13">
        <v>417361.0</v>
      </c>
      <c r="R130" s="8">
        <v>404100.0</v>
      </c>
    </row>
    <row r="131" ht="15.75" customHeight="1">
      <c r="A131" s="8" t="s">
        <v>459</v>
      </c>
      <c r="B131" s="8" t="s">
        <v>460</v>
      </c>
      <c r="C131" s="8" t="s">
        <v>426</v>
      </c>
      <c r="D131" s="8" t="s">
        <v>446</v>
      </c>
      <c r="E131" s="8" t="s">
        <v>20</v>
      </c>
      <c r="F131" s="8" t="s">
        <v>461</v>
      </c>
      <c r="G131" s="8" t="s">
        <v>462</v>
      </c>
      <c r="H131" s="8" t="s">
        <v>419</v>
      </c>
      <c r="I131" s="8" t="s">
        <v>463</v>
      </c>
      <c r="J131" s="8" t="s">
        <v>432</v>
      </c>
      <c r="K131" s="8" t="s">
        <v>464</v>
      </c>
      <c r="L131" s="10">
        <v>44582.0</v>
      </c>
      <c r="N131" s="8" t="s">
        <v>434</v>
      </c>
      <c r="O131" s="8" t="s">
        <v>450</v>
      </c>
      <c r="P131" s="16">
        <v>44856.0</v>
      </c>
      <c r="Q131" s="13">
        <v>279196.0</v>
      </c>
      <c r="R131" s="8">
        <v>404100.0</v>
      </c>
    </row>
    <row r="132" ht="15.75" customHeight="1">
      <c r="A132" s="8" t="s">
        <v>459</v>
      </c>
      <c r="B132" s="8" t="s">
        <v>460</v>
      </c>
      <c r="C132" s="8" t="s">
        <v>426</v>
      </c>
      <c r="D132" s="8" t="s">
        <v>446</v>
      </c>
      <c r="E132" s="8" t="s">
        <v>20</v>
      </c>
      <c r="F132" s="8" t="s">
        <v>461</v>
      </c>
      <c r="G132" s="8" t="s">
        <v>462</v>
      </c>
      <c r="H132" s="8" t="s">
        <v>419</v>
      </c>
      <c r="I132" s="8" t="s">
        <v>463</v>
      </c>
      <c r="J132" s="8" t="s">
        <v>432</v>
      </c>
      <c r="K132" s="8" t="s">
        <v>464</v>
      </c>
      <c r="L132" s="10">
        <v>44582.0</v>
      </c>
      <c r="N132" s="8" t="s">
        <v>434</v>
      </c>
      <c r="O132" s="8" t="s">
        <v>450</v>
      </c>
      <c r="P132" s="16">
        <v>44886.0</v>
      </c>
      <c r="Q132" s="13">
        <v>706918.0</v>
      </c>
      <c r="R132" s="8">
        <v>404100.0</v>
      </c>
    </row>
    <row r="133" ht="15.75" customHeight="1">
      <c r="A133" s="8" t="s">
        <v>459</v>
      </c>
      <c r="B133" s="8" t="s">
        <v>460</v>
      </c>
      <c r="C133" s="8" t="s">
        <v>426</v>
      </c>
      <c r="D133" s="8" t="s">
        <v>446</v>
      </c>
      <c r="E133" s="8" t="s">
        <v>20</v>
      </c>
      <c r="F133" s="8" t="s">
        <v>461</v>
      </c>
      <c r="G133" s="8" t="s">
        <v>462</v>
      </c>
      <c r="H133" s="8" t="s">
        <v>419</v>
      </c>
      <c r="I133" s="8" t="s">
        <v>463</v>
      </c>
      <c r="J133" s="8" t="s">
        <v>432</v>
      </c>
      <c r="K133" s="8" t="s">
        <v>464</v>
      </c>
      <c r="L133" s="10">
        <v>44582.0</v>
      </c>
      <c r="N133" s="8" t="s">
        <v>434</v>
      </c>
      <c r="O133" s="8" t="s">
        <v>450</v>
      </c>
      <c r="P133" s="16">
        <v>44918.0</v>
      </c>
      <c r="Q133" s="13">
        <v>385281.0</v>
      </c>
      <c r="R133" s="8">
        <v>404100.0</v>
      </c>
    </row>
    <row r="134" ht="15.75" customHeight="1">
      <c r="A134" s="8" t="s">
        <v>459</v>
      </c>
      <c r="B134" s="8" t="s">
        <v>460</v>
      </c>
      <c r="C134" s="8" t="s">
        <v>426</v>
      </c>
      <c r="D134" s="8" t="s">
        <v>446</v>
      </c>
      <c r="E134" s="8" t="s">
        <v>20</v>
      </c>
      <c r="F134" s="8" t="s">
        <v>461</v>
      </c>
      <c r="G134" s="8" t="s">
        <v>462</v>
      </c>
      <c r="H134" s="8" t="s">
        <v>419</v>
      </c>
      <c r="I134" s="8" t="s">
        <v>463</v>
      </c>
      <c r="J134" s="8" t="s">
        <v>432</v>
      </c>
      <c r="K134" s="8" t="s">
        <v>464</v>
      </c>
      <c r="L134" s="10">
        <v>44582.0</v>
      </c>
      <c r="N134" s="8" t="s">
        <v>434</v>
      </c>
      <c r="O134" s="8" t="s">
        <v>450</v>
      </c>
      <c r="P134" s="15">
        <v>44947.0</v>
      </c>
      <c r="Q134" s="13">
        <v>331280.0</v>
      </c>
      <c r="R134" s="8">
        <v>404100.0</v>
      </c>
    </row>
    <row r="135" ht="15.75" customHeight="1">
      <c r="A135" s="8" t="s">
        <v>459</v>
      </c>
      <c r="B135" s="8" t="s">
        <v>460</v>
      </c>
      <c r="C135" s="8" t="s">
        <v>426</v>
      </c>
      <c r="D135" s="8" t="s">
        <v>446</v>
      </c>
      <c r="E135" s="8" t="s">
        <v>20</v>
      </c>
      <c r="F135" s="8" t="s">
        <v>461</v>
      </c>
      <c r="G135" s="8" t="s">
        <v>462</v>
      </c>
      <c r="H135" s="8" t="s">
        <v>419</v>
      </c>
      <c r="I135" s="8" t="s">
        <v>463</v>
      </c>
      <c r="J135" s="8" t="s">
        <v>432</v>
      </c>
      <c r="K135" s="8" t="s">
        <v>464</v>
      </c>
      <c r="L135" s="10">
        <v>44582.0</v>
      </c>
      <c r="N135" s="8" t="s">
        <v>434</v>
      </c>
      <c r="O135" s="8" t="s">
        <v>450</v>
      </c>
      <c r="P135" s="15">
        <v>44979.0</v>
      </c>
      <c r="Q135" s="13">
        <v>351957.0</v>
      </c>
      <c r="R135" s="8">
        <v>404100.0</v>
      </c>
    </row>
    <row r="136" ht="15.75" customHeight="1">
      <c r="A136" s="8" t="s">
        <v>459</v>
      </c>
      <c r="B136" s="8" t="s">
        <v>460</v>
      </c>
      <c r="C136" s="8" t="s">
        <v>426</v>
      </c>
      <c r="D136" s="8" t="s">
        <v>446</v>
      </c>
      <c r="E136" s="8" t="s">
        <v>20</v>
      </c>
      <c r="F136" s="8" t="s">
        <v>461</v>
      </c>
      <c r="G136" s="8" t="s">
        <v>462</v>
      </c>
      <c r="H136" s="8" t="s">
        <v>419</v>
      </c>
      <c r="I136" s="8" t="s">
        <v>463</v>
      </c>
      <c r="J136" s="8" t="s">
        <v>432</v>
      </c>
      <c r="K136" s="8" t="s">
        <v>464</v>
      </c>
      <c r="L136" s="10">
        <v>44582.0</v>
      </c>
      <c r="N136" s="8" t="s">
        <v>434</v>
      </c>
      <c r="O136" s="8" t="s">
        <v>450</v>
      </c>
      <c r="P136" s="15">
        <v>45006.0</v>
      </c>
      <c r="Q136" s="13">
        <v>357979.0</v>
      </c>
      <c r="R136" s="8">
        <v>404100.0</v>
      </c>
    </row>
    <row r="137" ht="15.75" customHeight="1">
      <c r="A137" s="8" t="s">
        <v>459</v>
      </c>
      <c r="B137" s="8" t="s">
        <v>460</v>
      </c>
      <c r="C137" s="8" t="s">
        <v>426</v>
      </c>
      <c r="D137" s="8" t="s">
        <v>446</v>
      </c>
      <c r="E137" s="8" t="s">
        <v>20</v>
      </c>
      <c r="F137" s="8" t="s">
        <v>461</v>
      </c>
      <c r="G137" s="8" t="s">
        <v>462</v>
      </c>
      <c r="H137" s="8" t="s">
        <v>419</v>
      </c>
      <c r="I137" s="8" t="s">
        <v>463</v>
      </c>
      <c r="J137" s="8" t="s">
        <v>432</v>
      </c>
      <c r="K137" s="8" t="s">
        <v>464</v>
      </c>
      <c r="L137" s="10">
        <v>44582.0</v>
      </c>
      <c r="N137" s="8" t="s">
        <v>434</v>
      </c>
      <c r="O137" s="8" t="s">
        <v>450</v>
      </c>
      <c r="P137" s="15">
        <v>45039.0</v>
      </c>
      <c r="Q137" s="13">
        <v>581485.0</v>
      </c>
      <c r="R137" s="8">
        <v>404100.0</v>
      </c>
    </row>
    <row r="138" ht="15.75" customHeight="1">
      <c r="A138" s="8" t="s">
        <v>459</v>
      </c>
      <c r="B138" s="8" t="s">
        <v>460</v>
      </c>
      <c r="C138" s="8" t="s">
        <v>426</v>
      </c>
      <c r="D138" s="8" t="s">
        <v>446</v>
      </c>
      <c r="E138" s="8" t="s">
        <v>20</v>
      </c>
      <c r="F138" s="8" t="s">
        <v>461</v>
      </c>
      <c r="G138" s="8" t="s">
        <v>462</v>
      </c>
      <c r="H138" s="8" t="s">
        <v>419</v>
      </c>
      <c r="I138" s="8" t="s">
        <v>463</v>
      </c>
      <c r="J138" s="8" t="s">
        <v>432</v>
      </c>
      <c r="K138" s="8" t="s">
        <v>464</v>
      </c>
      <c r="L138" s="10">
        <v>44582.0</v>
      </c>
      <c r="N138" s="8" t="s">
        <v>434</v>
      </c>
      <c r="O138" s="8" t="s">
        <v>450</v>
      </c>
      <c r="P138" s="15">
        <v>45067.0</v>
      </c>
      <c r="Q138" s="13">
        <v>428123.0</v>
      </c>
      <c r="R138" s="8">
        <v>404100.0</v>
      </c>
    </row>
    <row r="139" ht="15.75" customHeight="1">
      <c r="A139" s="8" t="s">
        <v>459</v>
      </c>
      <c r="B139" s="8" t="s">
        <v>460</v>
      </c>
      <c r="C139" s="8" t="s">
        <v>426</v>
      </c>
      <c r="D139" s="8" t="s">
        <v>446</v>
      </c>
      <c r="E139" s="8" t="s">
        <v>20</v>
      </c>
      <c r="F139" s="8" t="s">
        <v>461</v>
      </c>
      <c r="G139" s="8" t="s">
        <v>462</v>
      </c>
      <c r="H139" s="8" t="s">
        <v>419</v>
      </c>
      <c r="I139" s="8" t="s">
        <v>463</v>
      </c>
      <c r="J139" s="8" t="s">
        <v>432</v>
      </c>
      <c r="K139" s="8" t="s">
        <v>464</v>
      </c>
      <c r="L139" s="10">
        <v>44582.0</v>
      </c>
      <c r="N139" s="8" t="s">
        <v>434</v>
      </c>
      <c r="O139" s="8" t="s">
        <v>450</v>
      </c>
      <c r="P139" s="15">
        <v>45099.0</v>
      </c>
      <c r="Q139" s="13">
        <v>85345.0</v>
      </c>
      <c r="R139" s="8">
        <v>404100.0</v>
      </c>
    </row>
    <row r="140" ht="15.75" customHeight="1">
      <c r="A140" s="8" t="s">
        <v>459</v>
      </c>
      <c r="B140" s="8" t="s">
        <v>460</v>
      </c>
      <c r="C140" s="8" t="s">
        <v>426</v>
      </c>
      <c r="D140" s="8" t="s">
        <v>446</v>
      </c>
      <c r="E140" s="8" t="s">
        <v>20</v>
      </c>
      <c r="F140" s="8" t="s">
        <v>461</v>
      </c>
      <c r="G140" s="8" t="s">
        <v>462</v>
      </c>
      <c r="H140" s="8" t="s">
        <v>419</v>
      </c>
      <c r="I140" s="8" t="s">
        <v>463</v>
      </c>
      <c r="J140" s="8" t="s">
        <v>432</v>
      </c>
      <c r="K140" s="8" t="s">
        <v>464</v>
      </c>
      <c r="L140" s="10">
        <v>44582.0</v>
      </c>
      <c r="N140" s="8" t="s">
        <v>434</v>
      </c>
      <c r="O140" s="8" t="s">
        <v>450</v>
      </c>
      <c r="P140" s="15">
        <v>45128.0</v>
      </c>
      <c r="Q140" s="13">
        <v>774305.0</v>
      </c>
      <c r="R140" s="8">
        <v>404100.0</v>
      </c>
    </row>
    <row r="141" ht="15.75" customHeight="1">
      <c r="A141" s="8" t="s">
        <v>459</v>
      </c>
      <c r="B141" s="8" t="s">
        <v>460</v>
      </c>
      <c r="C141" s="8" t="s">
        <v>426</v>
      </c>
      <c r="D141" s="8" t="s">
        <v>446</v>
      </c>
      <c r="E141" s="8" t="s">
        <v>20</v>
      </c>
      <c r="F141" s="8" t="s">
        <v>461</v>
      </c>
      <c r="G141" s="8" t="s">
        <v>462</v>
      </c>
      <c r="H141" s="8" t="s">
        <v>419</v>
      </c>
      <c r="I141" s="8" t="s">
        <v>463</v>
      </c>
      <c r="J141" s="8" t="s">
        <v>432</v>
      </c>
      <c r="K141" s="8" t="s">
        <v>464</v>
      </c>
      <c r="L141" s="10">
        <v>44582.0</v>
      </c>
      <c r="N141" s="8" t="s">
        <v>434</v>
      </c>
      <c r="O141" s="8" t="s">
        <v>450</v>
      </c>
      <c r="P141" s="15">
        <v>45161.0</v>
      </c>
      <c r="Q141" s="13">
        <v>609982.0</v>
      </c>
      <c r="R141" s="8">
        <v>404100.0</v>
      </c>
    </row>
    <row r="142" ht="15.75" customHeight="1">
      <c r="A142" s="8" t="s">
        <v>459</v>
      </c>
      <c r="B142" s="8" t="s">
        <v>460</v>
      </c>
      <c r="C142" s="8" t="s">
        <v>426</v>
      </c>
      <c r="D142" s="8" t="s">
        <v>446</v>
      </c>
      <c r="E142" s="8" t="s">
        <v>20</v>
      </c>
      <c r="F142" s="8" t="s">
        <v>461</v>
      </c>
      <c r="G142" s="8" t="s">
        <v>462</v>
      </c>
      <c r="H142" s="8" t="s">
        <v>419</v>
      </c>
      <c r="I142" s="8" t="s">
        <v>463</v>
      </c>
      <c r="J142" s="8" t="s">
        <v>432</v>
      </c>
      <c r="K142" s="8" t="s">
        <v>464</v>
      </c>
      <c r="L142" s="10">
        <v>44582.0</v>
      </c>
      <c r="N142" s="8" t="s">
        <v>434</v>
      </c>
      <c r="O142" s="8" t="s">
        <v>450</v>
      </c>
      <c r="P142" s="15">
        <v>45190.0</v>
      </c>
      <c r="Q142" s="13">
        <v>680131.0</v>
      </c>
      <c r="R142" s="8">
        <v>404100.0</v>
      </c>
    </row>
    <row r="143" ht="15.75" customHeight="1">
      <c r="A143" s="8" t="s">
        <v>459</v>
      </c>
      <c r="B143" s="8" t="s">
        <v>460</v>
      </c>
      <c r="C143" s="8" t="s">
        <v>426</v>
      </c>
      <c r="D143" s="8" t="s">
        <v>446</v>
      </c>
      <c r="E143" s="8" t="s">
        <v>20</v>
      </c>
      <c r="F143" s="8" t="s">
        <v>461</v>
      </c>
      <c r="G143" s="8" t="s">
        <v>462</v>
      </c>
      <c r="H143" s="8" t="s">
        <v>419</v>
      </c>
      <c r="I143" s="8" t="s">
        <v>463</v>
      </c>
      <c r="J143" s="8" t="s">
        <v>432</v>
      </c>
      <c r="K143" s="8" t="s">
        <v>464</v>
      </c>
      <c r="L143" s="10">
        <v>44582.0</v>
      </c>
      <c r="N143" s="8" t="s">
        <v>434</v>
      </c>
      <c r="O143" s="8" t="s">
        <v>450</v>
      </c>
      <c r="P143" s="16">
        <v>45221.0</v>
      </c>
      <c r="Q143" s="13">
        <v>130889.0</v>
      </c>
      <c r="R143" s="8">
        <v>404100.0</v>
      </c>
    </row>
    <row r="144" ht="15.75" customHeight="1">
      <c r="A144" s="8" t="s">
        <v>459</v>
      </c>
      <c r="B144" s="8" t="s">
        <v>460</v>
      </c>
      <c r="C144" s="8" t="s">
        <v>426</v>
      </c>
      <c r="D144" s="8" t="s">
        <v>446</v>
      </c>
      <c r="E144" s="8" t="s">
        <v>20</v>
      </c>
      <c r="F144" s="8" t="s">
        <v>461</v>
      </c>
      <c r="G144" s="8" t="s">
        <v>462</v>
      </c>
      <c r="H144" s="8" t="s">
        <v>419</v>
      </c>
      <c r="I144" s="8" t="s">
        <v>463</v>
      </c>
      <c r="J144" s="8" t="s">
        <v>432</v>
      </c>
      <c r="K144" s="8" t="s">
        <v>464</v>
      </c>
      <c r="L144" s="10">
        <v>44582.0</v>
      </c>
      <c r="N144" s="8" t="s">
        <v>434</v>
      </c>
      <c r="O144" s="8" t="s">
        <v>450</v>
      </c>
      <c r="P144" s="16">
        <v>45251.0</v>
      </c>
      <c r="Q144" s="13">
        <v>760502.0</v>
      </c>
      <c r="R144" s="8">
        <v>404100.0</v>
      </c>
    </row>
    <row r="145" ht="15.75" customHeight="1">
      <c r="A145" s="8" t="s">
        <v>459</v>
      </c>
      <c r="B145" s="8" t="s">
        <v>460</v>
      </c>
      <c r="C145" s="8" t="s">
        <v>426</v>
      </c>
      <c r="D145" s="8" t="s">
        <v>446</v>
      </c>
      <c r="E145" s="8" t="s">
        <v>20</v>
      </c>
      <c r="F145" s="8" t="s">
        <v>461</v>
      </c>
      <c r="G145" s="8" t="s">
        <v>462</v>
      </c>
      <c r="H145" s="8" t="s">
        <v>419</v>
      </c>
      <c r="I145" s="8" t="s">
        <v>463</v>
      </c>
      <c r="J145" s="8" t="s">
        <v>432</v>
      </c>
      <c r="K145" s="8" t="s">
        <v>464</v>
      </c>
      <c r="L145" s="10">
        <v>44582.0</v>
      </c>
      <c r="N145" s="8" t="s">
        <v>434</v>
      </c>
      <c r="O145" s="8" t="s">
        <v>450</v>
      </c>
      <c r="P145" s="16">
        <v>45283.0</v>
      </c>
      <c r="Q145" s="13">
        <v>469510.0</v>
      </c>
      <c r="R145" s="8">
        <v>404100.0</v>
      </c>
    </row>
    <row r="146" ht="15.75" customHeight="1">
      <c r="A146" s="8" t="s">
        <v>459</v>
      </c>
      <c r="B146" s="8" t="s">
        <v>460</v>
      </c>
      <c r="C146" s="8" t="s">
        <v>426</v>
      </c>
      <c r="D146" s="8" t="s">
        <v>446</v>
      </c>
      <c r="E146" s="8" t="s">
        <v>20</v>
      </c>
      <c r="F146" s="8" t="s">
        <v>461</v>
      </c>
      <c r="G146" s="8" t="s">
        <v>462</v>
      </c>
      <c r="H146" s="8" t="s">
        <v>419</v>
      </c>
      <c r="I146" s="8" t="s">
        <v>463</v>
      </c>
      <c r="J146" s="8" t="s">
        <v>432</v>
      </c>
      <c r="K146" s="8" t="s">
        <v>464</v>
      </c>
      <c r="L146" s="10">
        <v>44582.0</v>
      </c>
      <c r="N146" s="8" t="s">
        <v>434</v>
      </c>
      <c r="O146" s="8" t="s">
        <v>450</v>
      </c>
      <c r="P146" s="15">
        <v>45312.0</v>
      </c>
      <c r="Q146" s="13">
        <v>577317.0</v>
      </c>
      <c r="R146" s="8">
        <v>404100.0</v>
      </c>
    </row>
    <row r="147" ht="15.75" customHeight="1">
      <c r="A147" s="8" t="s">
        <v>459</v>
      </c>
      <c r="B147" s="8" t="s">
        <v>460</v>
      </c>
      <c r="C147" s="8" t="s">
        <v>426</v>
      </c>
      <c r="D147" s="8" t="s">
        <v>446</v>
      </c>
      <c r="E147" s="8" t="s">
        <v>20</v>
      </c>
      <c r="F147" s="8" t="s">
        <v>461</v>
      </c>
      <c r="G147" s="8" t="s">
        <v>462</v>
      </c>
      <c r="H147" s="8" t="s">
        <v>419</v>
      </c>
      <c r="I147" s="8" t="s">
        <v>463</v>
      </c>
      <c r="J147" s="8" t="s">
        <v>432</v>
      </c>
      <c r="K147" s="8" t="s">
        <v>464</v>
      </c>
      <c r="L147" s="10">
        <v>44582.0</v>
      </c>
      <c r="N147" s="8" t="s">
        <v>434</v>
      </c>
      <c r="O147" s="8" t="s">
        <v>450</v>
      </c>
      <c r="P147" s="15">
        <v>45344.0</v>
      </c>
      <c r="Q147" s="13">
        <v>445942.0</v>
      </c>
      <c r="R147" s="8">
        <v>404100.0</v>
      </c>
    </row>
    <row r="148" ht="15.75" customHeight="1">
      <c r="A148" s="8" t="s">
        <v>459</v>
      </c>
      <c r="B148" s="8" t="s">
        <v>460</v>
      </c>
      <c r="C148" s="8" t="s">
        <v>426</v>
      </c>
      <c r="D148" s="8" t="s">
        <v>446</v>
      </c>
      <c r="E148" s="8" t="s">
        <v>20</v>
      </c>
      <c r="F148" s="8" t="s">
        <v>461</v>
      </c>
      <c r="G148" s="8" t="s">
        <v>462</v>
      </c>
      <c r="H148" s="8" t="s">
        <v>419</v>
      </c>
      <c r="I148" s="8" t="s">
        <v>463</v>
      </c>
      <c r="J148" s="8" t="s">
        <v>432</v>
      </c>
      <c r="K148" s="8" t="s">
        <v>464</v>
      </c>
      <c r="L148" s="10">
        <v>44582.0</v>
      </c>
      <c r="N148" s="8" t="s">
        <v>434</v>
      </c>
      <c r="O148" s="8" t="s">
        <v>450</v>
      </c>
      <c r="P148" s="15">
        <v>45372.0</v>
      </c>
      <c r="Q148" s="13">
        <v>239793.0</v>
      </c>
      <c r="R148" s="8">
        <v>404100.0</v>
      </c>
    </row>
    <row r="149" ht="15.75" customHeight="1">
      <c r="A149" s="8" t="s">
        <v>459</v>
      </c>
      <c r="B149" s="8" t="s">
        <v>460</v>
      </c>
      <c r="C149" s="8" t="s">
        <v>426</v>
      </c>
      <c r="D149" s="8" t="s">
        <v>446</v>
      </c>
      <c r="E149" s="8" t="s">
        <v>20</v>
      </c>
      <c r="F149" s="8" t="s">
        <v>461</v>
      </c>
      <c r="G149" s="8" t="s">
        <v>462</v>
      </c>
      <c r="H149" s="8" t="s">
        <v>419</v>
      </c>
      <c r="I149" s="8" t="s">
        <v>463</v>
      </c>
      <c r="J149" s="8" t="s">
        <v>432</v>
      </c>
      <c r="K149" s="8" t="s">
        <v>464</v>
      </c>
      <c r="L149" s="10">
        <v>44582.0</v>
      </c>
      <c r="N149" s="8" t="s">
        <v>434</v>
      </c>
      <c r="O149" s="8" t="s">
        <v>450</v>
      </c>
      <c r="P149" s="15">
        <v>45405.0</v>
      </c>
      <c r="Q149" s="13">
        <v>340346.0</v>
      </c>
      <c r="R149" s="8">
        <v>404100.0</v>
      </c>
    </row>
    <row r="150" ht="15.75" customHeight="1">
      <c r="A150" s="8" t="s">
        <v>459</v>
      </c>
      <c r="B150" s="8" t="s">
        <v>460</v>
      </c>
      <c r="C150" s="8" t="s">
        <v>426</v>
      </c>
      <c r="D150" s="8" t="s">
        <v>446</v>
      </c>
      <c r="E150" s="8" t="s">
        <v>20</v>
      </c>
      <c r="F150" s="8" t="s">
        <v>461</v>
      </c>
      <c r="G150" s="8" t="s">
        <v>462</v>
      </c>
      <c r="H150" s="8" t="s">
        <v>419</v>
      </c>
      <c r="I150" s="8" t="s">
        <v>463</v>
      </c>
      <c r="J150" s="8" t="s">
        <v>432</v>
      </c>
      <c r="K150" s="8" t="s">
        <v>464</v>
      </c>
      <c r="L150" s="10">
        <v>44582.0</v>
      </c>
      <c r="N150" s="8" t="s">
        <v>434</v>
      </c>
      <c r="O150" s="8" t="s">
        <v>450</v>
      </c>
      <c r="P150" s="15">
        <v>45433.0</v>
      </c>
      <c r="Q150" s="13">
        <v>178456.0</v>
      </c>
      <c r="R150" s="8">
        <v>404100.0</v>
      </c>
    </row>
    <row r="151" ht="15.75" customHeight="1">
      <c r="A151" s="8" t="s">
        <v>459</v>
      </c>
      <c r="B151" s="8" t="s">
        <v>460</v>
      </c>
      <c r="C151" s="8" t="s">
        <v>426</v>
      </c>
      <c r="D151" s="8" t="s">
        <v>446</v>
      </c>
      <c r="E151" s="8" t="s">
        <v>20</v>
      </c>
      <c r="F151" s="8" t="s">
        <v>461</v>
      </c>
      <c r="G151" s="8" t="s">
        <v>462</v>
      </c>
      <c r="H151" s="8" t="s">
        <v>419</v>
      </c>
      <c r="I151" s="8" t="s">
        <v>463</v>
      </c>
      <c r="J151" s="8" t="s">
        <v>432</v>
      </c>
      <c r="K151" s="8" t="s">
        <v>464</v>
      </c>
      <c r="L151" s="10">
        <v>44582.0</v>
      </c>
      <c r="N151" s="8" t="s">
        <v>434</v>
      </c>
      <c r="O151" s="8" t="s">
        <v>450</v>
      </c>
      <c r="P151" s="15">
        <v>45465.0</v>
      </c>
      <c r="Q151" s="13">
        <v>224200.0</v>
      </c>
      <c r="R151" s="8">
        <v>404100.0</v>
      </c>
    </row>
    <row r="152" ht="15.75" customHeight="1">
      <c r="A152" s="8" t="s">
        <v>459</v>
      </c>
      <c r="B152" s="8" t="s">
        <v>460</v>
      </c>
      <c r="C152" s="8" t="s">
        <v>426</v>
      </c>
      <c r="D152" s="8" t="s">
        <v>446</v>
      </c>
      <c r="E152" s="8" t="s">
        <v>20</v>
      </c>
      <c r="F152" s="8" t="s">
        <v>461</v>
      </c>
      <c r="G152" s="8" t="s">
        <v>462</v>
      </c>
      <c r="H152" s="8" t="s">
        <v>419</v>
      </c>
      <c r="I152" s="8" t="s">
        <v>463</v>
      </c>
      <c r="J152" s="8" t="s">
        <v>432</v>
      </c>
      <c r="K152" s="8" t="s">
        <v>464</v>
      </c>
      <c r="L152" s="10">
        <v>44582.0</v>
      </c>
      <c r="N152" s="8" t="s">
        <v>434</v>
      </c>
      <c r="O152" s="8" t="s">
        <v>450</v>
      </c>
      <c r="P152" s="15">
        <v>45494.0</v>
      </c>
      <c r="Q152" s="13">
        <v>609063.0</v>
      </c>
      <c r="R152" s="8">
        <v>404100.0</v>
      </c>
    </row>
    <row r="153" ht="15.75" customHeight="1">
      <c r="A153" s="8" t="s">
        <v>459</v>
      </c>
      <c r="B153" s="8" t="s">
        <v>460</v>
      </c>
      <c r="C153" s="8" t="s">
        <v>426</v>
      </c>
      <c r="D153" s="8" t="s">
        <v>446</v>
      </c>
      <c r="E153" s="8" t="s">
        <v>20</v>
      </c>
      <c r="F153" s="8" t="s">
        <v>461</v>
      </c>
      <c r="G153" s="8" t="s">
        <v>462</v>
      </c>
      <c r="H153" s="8" t="s">
        <v>419</v>
      </c>
      <c r="I153" s="8" t="s">
        <v>463</v>
      </c>
      <c r="J153" s="8" t="s">
        <v>432</v>
      </c>
      <c r="K153" s="8" t="s">
        <v>464</v>
      </c>
      <c r="L153" s="10">
        <v>44582.0</v>
      </c>
      <c r="N153" s="8" t="s">
        <v>434</v>
      </c>
      <c r="O153" s="8" t="s">
        <v>450</v>
      </c>
      <c r="P153" s="15">
        <v>45527.0</v>
      </c>
      <c r="Q153" s="13">
        <v>740873.0</v>
      </c>
      <c r="R153" s="8">
        <v>404100.0</v>
      </c>
    </row>
    <row r="154" ht="15.75" customHeight="1">
      <c r="A154" s="8" t="s">
        <v>459</v>
      </c>
      <c r="B154" s="8" t="s">
        <v>460</v>
      </c>
      <c r="C154" s="8" t="s">
        <v>426</v>
      </c>
      <c r="D154" s="8" t="s">
        <v>446</v>
      </c>
      <c r="E154" s="8" t="s">
        <v>20</v>
      </c>
      <c r="F154" s="8" t="s">
        <v>461</v>
      </c>
      <c r="G154" s="8" t="s">
        <v>462</v>
      </c>
      <c r="H154" s="8" t="s">
        <v>419</v>
      </c>
      <c r="I154" s="8" t="s">
        <v>463</v>
      </c>
      <c r="J154" s="8" t="s">
        <v>432</v>
      </c>
      <c r="K154" s="8" t="s">
        <v>464</v>
      </c>
      <c r="L154" s="10">
        <v>44582.0</v>
      </c>
      <c r="N154" s="8" t="s">
        <v>434</v>
      </c>
      <c r="O154" s="8" t="s">
        <v>450</v>
      </c>
      <c r="P154" s="17">
        <v>45536.0</v>
      </c>
      <c r="Q154" s="13">
        <v>508753.0</v>
      </c>
      <c r="R154" s="8">
        <v>404100.0</v>
      </c>
    </row>
    <row r="155" ht="15.75" customHeight="1">
      <c r="A155" s="8" t="s">
        <v>465</v>
      </c>
      <c r="B155" s="8" t="s">
        <v>466</v>
      </c>
      <c r="C155" s="8" t="s">
        <v>426</v>
      </c>
      <c r="D155" s="8" t="s">
        <v>467</v>
      </c>
      <c r="E155" s="8" t="s">
        <v>20</v>
      </c>
      <c r="F155" s="8" t="s">
        <v>468</v>
      </c>
      <c r="G155" s="8" t="s">
        <v>462</v>
      </c>
      <c r="H155" s="8" t="s">
        <v>20</v>
      </c>
      <c r="I155" s="8" t="s">
        <v>463</v>
      </c>
      <c r="J155" s="8" t="s">
        <v>432</v>
      </c>
      <c r="K155" s="8" t="s">
        <v>469</v>
      </c>
      <c r="L155" s="10">
        <v>43851.0</v>
      </c>
      <c r="M155" s="18">
        <v>44555.0</v>
      </c>
      <c r="N155" s="8" t="s">
        <v>422</v>
      </c>
      <c r="O155" s="8" t="s">
        <v>450</v>
      </c>
      <c r="P155" s="12">
        <v>44218.0</v>
      </c>
      <c r="Q155" s="13">
        <v>193728.0</v>
      </c>
      <c r="R155" s="8">
        <v>405100.0</v>
      </c>
    </row>
    <row r="156" ht="15.75" customHeight="1">
      <c r="A156" s="8" t="s">
        <v>465</v>
      </c>
      <c r="B156" s="8" t="s">
        <v>466</v>
      </c>
      <c r="C156" s="8" t="s">
        <v>426</v>
      </c>
      <c r="D156" s="8" t="s">
        <v>467</v>
      </c>
      <c r="E156" s="8" t="s">
        <v>20</v>
      </c>
      <c r="F156" s="8" t="s">
        <v>468</v>
      </c>
      <c r="G156" s="8" t="s">
        <v>462</v>
      </c>
      <c r="H156" s="8" t="s">
        <v>20</v>
      </c>
      <c r="I156" s="8" t="s">
        <v>463</v>
      </c>
      <c r="J156" s="8" t="s">
        <v>432</v>
      </c>
      <c r="K156" s="8" t="s">
        <v>469</v>
      </c>
      <c r="L156" s="10">
        <v>43851.0</v>
      </c>
      <c r="M156" s="18">
        <v>44555.0</v>
      </c>
      <c r="N156" s="8" t="s">
        <v>422</v>
      </c>
      <c r="O156" s="8" t="s">
        <v>450</v>
      </c>
      <c r="P156" s="12">
        <v>44250.0</v>
      </c>
      <c r="Q156" s="13">
        <v>139844.0</v>
      </c>
      <c r="R156" s="8">
        <v>405100.0</v>
      </c>
    </row>
    <row r="157" ht="15.75" customHeight="1">
      <c r="A157" s="8" t="s">
        <v>465</v>
      </c>
      <c r="B157" s="8" t="s">
        <v>466</v>
      </c>
      <c r="C157" s="8" t="s">
        <v>426</v>
      </c>
      <c r="D157" s="8" t="s">
        <v>467</v>
      </c>
      <c r="E157" s="8" t="s">
        <v>20</v>
      </c>
      <c r="F157" s="8" t="s">
        <v>468</v>
      </c>
      <c r="G157" s="8" t="s">
        <v>462</v>
      </c>
      <c r="H157" s="8" t="s">
        <v>20</v>
      </c>
      <c r="I157" s="8" t="s">
        <v>463</v>
      </c>
      <c r="J157" s="8" t="s">
        <v>432</v>
      </c>
      <c r="K157" s="8" t="s">
        <v>469</v>
      </c>
      <c r="L157" s="10">
        <v>43851.0</v>
      </c>
      <c r="M157" s="18">
        <v>44555.0</v>
      </c>
      <c r="N157" s="8" t="s">
        <v>422</v>
      </c>
      <c r="O157" s="8" t="s">
        <v>450</v>
      </c>
      <c r="P157" s="12">
        <v>44277.0</v>
      </c>
      <c r="Q157" s="13">
        <v>45549.0</v>
      </c>
      <c r="R157" s="8">
        <v>405100.0</v>
      </c>
    </row>
    <row r="158" ht="15.75" customHeight="1">
      <c r="A158" s="8" t="s">
        <v>465</v>
      </c>
      <c r="B158" s="8" t="s">
        <v>466</v>
      </c>
      <c r="C158" s="8" t="s">
        <v>426</v>
      </c>
      <c r="D158" s="8" t="s">
        <v>467</v>
      </c>
      <c r="E158" s="8" t="s">
        <v>20</v>
      </c>
      <c r="F158" s="8" t="s">
        <v>468</v>
      </c>
      <c r="G158" s="8" t="s">
        <v>462</v>
      </c>
      <c r="H158" s="8" t="s">
        <v>20</v>
      </c>
      <c r="I158" s="8" t="s">
        <v>463</v>
      </c>
      <c r="J158" s="8" t="s">
        <v>432</v>
      </c>
      <c r="K158" s="8" t="s">
        <v>469</v>
      </c>
      <c r="L158" s="10">
        <v>43851.0</v>
      </c>
      <c r="M158" s="18">
        <v>44555.0</v>
      </c>
      <c r="N158" s="8" t="s">
        <v>422</v>
      </c>
      <c r="O158" s="8" t="s">
        <v>450</v>
      </c>
      <c r="P158" s="12">
        <v>44310.0</v>
      </c>
      <c r="Q158" s="13">
        <v>87788.0</v>
      </c>
      <c r="R158" s="8">
        <v>405100.0</v>
      </c>
    </row>
    <row r="159" ht="15.75" customHeight="1">
      <c r="A159" s="8" t="s">
        <v>465</v>
      </c>
      <c r="B159" s="8" t="s">
        <v>466</v>
      </c>
      <c r="C159" s="8" t="s">
        <v>426</v>
      </c>
      <c r="D159" s="8" t="s">
        <v>467</v>
      </c>
      <c r="E159" s="8" t="s">
        <v>20</v>
      </c>
      <c r="F159" s="8" t="s">
        <v>468</v>
      </c>
      <c r="G159" s="8" t="s">
        <v>462</v>
      </c>
      <c r="H159" s="8" t="s">
        <v>20</v>
      </c>
      <c r="I159" s="8" t="s">
        <v>463</v>
      </c>
      <c r="J159" s="8" t="s">
        <v>432</v>
      </c>
      <c r="K159" s="8" t="s">
        <v>469</v>
      </c>
      <c r="L159" s="10">
        <v>43851.0</v>
      </c>
      <c r="M159" s="18">
        <v>44555.0</v>
      </c>
      <c r="N159" s="8" t="s">
        <v>422</v>
      </c>
      <c r="O159" s="8" t="s">
        <v>450</v>
      </c>
      <c r="P159" s="12">
        <v>44338.0</v>
      </c>
      <c r="Q159" s="13">
        <v>57471.0</v>
      </c>
      <c r="R159" s="8">
        <v>405100.0</v>
      </c>
    </row>
    <row r="160" ht="15.75" customHeight="1">
      <c r="A160" s="8" t="s">
        <v>465</v>
      </c>
      <c r="B160" s="8" t="s">
        <v>466</v>
      </c>
      <c r="C160" s="8" t="s">
        <v>426</v>
      </c>
      <c r="D160" s="8" t="s">
        <v>467</v>
      </c>
      <c r="E160" s="8" t="s">
        <v>20</v>
      </c>
      <c r="F160" s="8" t="s">
        <v>468</v>
      </c>
      <c r="G160" s="8" t="s">
        <v>462</v>
      </c>
      <c r="H160" s="8" t="s">
        <v>20</v>
      </c>
      <c r="I160" s="8" t="s">
        <v>463</v>
      </c>
      <c r="J160" s="8" t="s">
        <v>432</v>
      </c>
      <c r="K160" s="8" t="s">
        <v>469</v>
      </c>
      <c r="L160" s="10">
        <v>43851.0</v>
      </c>
      <c r="M160" s="18">
        <v>44555.0</v>
      </c>
      <c r="N160" s="8" t="s">
        <v>422</v>
      </c>
      <c r="O160" s="8" t="s">
        <v>450</v>
      </c>
      <c r="P160" s="12">
        <v>44370.0</v>
      </c>
      <c r="Q160" s="13">
        <v>40464.0</v>
      </c>
      <c r="R160" s="8">
        <v>405100.0</v>
      </c>
    </row>
    <row r="161" ht="15.75" customHeight="1">
      <c r="A161" s="8" t="s">
        <v>465</v>
      </c>
      <c r="B161" s="8" t="s">
        <v>466</v>
      </c>
      <c r="C161" s="8" t="s">
        <v>426</v>
      </c>
      <c r="D161" s="8" t="s">
        <v>467</v>
      </c>
      <c r="E161" s="8" t="s">
        <v>20</v>
      </c>
      <c r="F161" s="8" t="s">
        <v>468</v>
      </c>
      <c r="G161" s="8" t="s">
        <v>462</v>
      </c>
      <c r="H161" s="8" t="s">
        <v>20</v>
      </c>
      <c r="I161" s="8" t="s">
        <v>463</v>
      </c>
      <c r="J161" s="8" t="s">
        <v>432</v>
      </c>
      <c r="K161" s="8" t="s">
        <v>469</v>
      </c>
      <c r="L161" s="10">
        <v>43851.0</v>
      </c>
      <c r="M161" s="18">
        <v>44555.0</v>
      </c>
      <c r="N161" s="8" t="s">
        <v>422</v>
      </c>
      <c r="O161" s="8" t="s">
        <v>450</v>
      </c>
      <c r="P161" s="12">
        <v>44399.0</v>
      </c>
      <c r="Q161" s="13">
        <v>190604.0</v>
      </c>
      <c r="R161" s="8">
        <v>405100.0</v>
      </c>
    </row>
    <row r="162" ht="15.75" customHeight="1">
      <c r="A162" s="8" t="s">
        <v>465</v>
      </c>
      <c r="B162" s="8" t="s">
        <v>466</v>
      </c>
      <c r="C162" s="8" t="s">
        <v>426</v>
      </c>
      <c r="D162" s="8" t="s">
        <v>467</v>
      </c>
      <c r="E162" s="8" t="s">
        <v>20</v>
      </c>
      <c r="F162" s="8" t="s">
        <v>468</v>
      </c>
      <c r="G162" s="8" t="s">
        <v>462</v>
      </c>
      <c r="H162" s="8" t="s">
        <v>20</v>
      </c>
      <c r="I162" s="8" t="s">
        <v>463</v>
      </c>
      <c r="J162" s="8" t="s">
        <v>432</v>
      </c>
      <c r="K162" s="8" t="s">
        <v>469</v>
      </c>
      <c r="L162" s="10">
        <v>43851.0</v>
      </c>
      <c r="M162" s="18">
        <v>44555.0</v>
      </c>
      <c r="N162" s="8" t="s">
        <v>422</v>
      </c>
      <c r="O162" s="8" t="s">
        <v>450</v>
      </c>
      <c r="P162" s="12">
        <v>44431.0</v>
      </c>
      <c r="Q162" s="13">
        <v>197183.0</v>
      </c>
      <c r="R162" s="8">
        <v>405100.0</v>
      </c>
    </row>
    <row r="163" ht="15.75" customHeight="1">
      <c r="A163" s="8" t="s">
        <v>465</v>
      </c>
      <c r="B163" s="8" t="s">
        <v>466</v>
      </c>
      <c r="C163" s="8" t="s">
        <v>426</v>
      </c>
      <c r="D163" s="8" t="s">
        <v>467</v>
      </c>
      <c r="E163" s="8" t="s">
        <v>20</v>
      </c>
      <c r="F163" s="8" t="s">
        <v>468</v>
      </c>
      <c r="G163" s="8" t="s">
        <v>462</v>
      </c>
      <c r="H163" s="8" t="s">
        <v>20</v>
      </c>
      <c r="I163" s="8" t="s">
        <v>463</v>
      </c>
      <c r="J163" s="8" t="s">
        <v>432</v>
      </c>
      <c r="K163" s="8" t="s">
        <v>469</v>
      </c>
      <c r="L163" s="10">
        <v>43851.0</v>
      </c>
      <c r="M163" s="18">
        <v>44555.0</v>
      </c>
      <c r="N163" s="8" t="s">
        <v>422</v>
      </c>
      <c r="O163" s="8" t="s">
        <v>450</v>
      </c>
      <c r="P163" s="12">
        <v>44461.0</v>
      </c>
      <c r="Q163" s="13">
        <v>46112.0</v>
      </c>
      <c r="R163" s="8">
        <v>405100.0</v>
      </c>
    </row>
    <row r="164" ht="15.75" customHeight="1">
      <c r="A164" s="8" t="s">
        <v>465</v>
      </c>
      <c r="B164" s="8" t="s">
        <v>466</v>
      </c>
      <c r="C164" s="8" t="s">
        <v>426</v>
      </c>
      <c r="D164" s="8" t="s">
        <v>467</v>
      </c>
      <c r="E164" s="8" t="s">
        <v>20</v>
      </c>
      <c r="F164" s="8" t="s">
        <v>468</v>
      </c>
      <c r="G164" s="8" t="s">
        <v>462</v>
      </c>
      <c r="H164" s="8" t="s">
        <v>20</v>
      </c>
      <c r="I164" s="8" t="s">
        <v>463</v>
      </c>
      <c r="J164" s="8" t="s">
        <v>432</v>
      </c>
      <c r="K164" s="8" t="s">
        <v>469</v>
      </c>
      <c r="L164" s="10">
        <v>43851.0</v>
      </c>
      <c r="M164" s="18">
        <v>44555.0</v>
      </c>
      <c r="N164" s="8" t="s">
        <v>422</v>
      </c>
      <c r="O164" s="8" t="s">
        <v>450</v>
      </c>
      <c r="P164" s="14">
        <v>44492.0</v>
      </c>
      <c r="Q164" s="13">
        <v>132359.0</v>
      </c>
      <c r="R164" s="8">
        <v>405100.0</v>
      </c>
    </row>
    <row r="165" ht="15.75" customHeight="1">
      <c r="A165" s="8" t="s">
        <v>465</v>
      </c>
      <c r="B165" s="8" t="s">
        <v>466</v>
      </c>
      <c r="C165" s="8" t="s">
        <v>426</v>
      </c>
      <c r="D165" s="8" t="s">
        <v>467</v>
      </c>
      <c r="E165" s="8" t="s">
        <v>20</v>
      </c>
      <c r="F165" s="8" t="s">
        <v>468</v>
      </c>
      <c r="G165" s="8" t="s">
        <v>462</v>
      </c>
      <c r="H165" s="8" t="s">
        <v>20</v>
      </c>
      <c r="I165" s="8" t="s">
        <v>463</v>
      </c>
      <c r="J165" s="8" t="s">
        <v>432</v>
      </c>
      <c r="K165" s="8" t="s">
        <v>469</v>
      </c>
      <c r="L165" s="10">
        <v>43851.0</v>
      </c>
      <c r="M165" s="18">
        <v>44555.0</v>
      </c>
      <c r="N165" s="8" t="s">
        <v>422</v>
      </c>
      <c r="O165" s="8" t="s">
        <v>450</v>
      </c>
      <c r="P165" s="14">
        <v>44522.0</v>
      </c>
      <c r="Q165" s="13">
        <v>180459.0</v>
      </c>
      <c r="R165" s="8">
        <v>405100.0</v>
      </c>
    </row>
    <row r="166" ht="15.75" customHeight="1">
      <c r="A166" s="8" t="s">
        <v>465</v>
      </c>
      <c r="B166" s="8" t="s">
        <v>466</v>
      </c>
      <c r="C166" s="8" t="s">
        <v>426</v>
      </c>
      <c r="D166" s="8" t="s">
        <v>467</v>
      </c>
      <c r="E166" s="8" t="s">
        <v>20</v>
      </c>
      <c r="F166" s="8" t="s">
        <v>468</v>
      </c>
      <c r="G166" s="8" t="s">
        <v>462</v>
      </c>
      <c r="H166" s="8" t="s">
        <v>20</v>
      </c>
      <c r="I166" s="8" t="s">
        <v>463</v>
      </c>
      <c r="J166" s="8" t="s">
        <v>432</v>
      </c>
      <c r="K166" s="8" t="s">
        <v>469</v>
      </c>
      <c r="L166" s="10">
        <v>43851.0</v>
      </c>
      <c r="M166" s="18">
        <v>44555.0</v>
      </c>
      <c r="N166" s="8" t="s">
        <v>422</v>
      </c>
      <c r="O166" s="8" t="s">
        <v>450</v>
      </c>
      <c r="P166" s="14">
        <v>44553.0</v>
      </c>
      <c r="Q166" s="13">
        <v>113088.0</v>
      </c>
      <c r="R166" s="8">
        <v>405100.0</v>
      </c>
    </row>
    <row r="167" ht="15.75" customHeight="1">
      <c r="A167" s="8" t="s">
        <v>470</v>
      </c>
      <c r="B167" s="8" t="s">
        <v>471</v>
      </c>
      <c r="C167" s="8" t="s">
        <v>472</v>
      </c>
      <c r="D167" s="8" t="s">
        <v>473</v>
      </c>
      <c r="E167" s="8" t="s">
        <v>20</v>
      </c>
      <c r="F167" s="8" t="s">
        <v>474</v>
      </c>
      <c r="G167" s="8" t="s">
        <v>475</v>
      </c>
      <c r="H167" s="8" t="s">
        <v>476</v>
      </c>
      <c r="I167" s="8" t="s">
        <v>420</v>
      </c>
      <c r="J167" s="8" t="s">
        <v>137</v>
      </c>
      <c r="K167" s="8" t="s">
        <v>477</v>
      </c>
      <c r="L167" s="10">
        <v>44187.0</v>
      </c>
      <c r="N167" s="8" t="s">
        <v>434</v>
      </c>
      <c r="O167" s="8" t="s">
        <v>423</v>
      </c>
      <c r="P167" s="19">
        <v>44190.0</v>
      </c>
      <c r="Q167" s="13">
        <v>180488.0</v>
      </c>
      <c r="R167" s="8">
        <v>405100.0</v>
      </c>
    </row>
    <row r="168" ht="15.75" customHeight="1">
      <c r="A168" s="8" t="s">
        <v>470</v>
      </c>
      <c r="B168" s="8" t="s">
        <v>471</v>
      </c>
      <c r="C168" s="8" t="s">
        <v>472</v>
      </c>
      <c r="D168" s="8" t="s">
        <v>473</v>
      </c>
      <c r="E168" s="8" t="s">
        <v>20</v>
      </c>
      <c r="F168" s="8" t="s">
        <v>474</v>
      </c>
      <c r="G168" s="8" t="s">
        <v>475</v>
      </c>
      <c r="H168" s="8" t="s">
        <v>476</v>
      </c>
      <c r="I168" s="8" t="s">
        <v>420</v>
      </c>
      <c r="J168" s="8" t="s">
        <v>137</v>
      </c>
      <c r="K168" s="8" t="s">
        <v>477</v>
      </c>
      <c r="L168" s="10">
        <v>44187.0</v>
      </c>
      <c r="N168" s="8" t="s">
        <v>434</v>
      </c>
      <c r="O168" s="8" t="s">
        <v>423</v>
      </c>
      <c r="P168" s="15">
        <v>44237.0</v>
      </c>
      <c r="Q168" s="13">
        <v>79065.0</v>
      </c>
      <c r="R168" s="8">
        <v>405100.0</v>
      </c>
    </row>
    <row r="169" ht="15.75" customHeight="1">
      <c r="A169" s="8" t="s">
        <v>470</v>
      </c>
      <c r="B169" s="8" t="s">
        <v>471</v>
      </c>
      <c r="C169" s="8" t="s">
        <v>472</v>
      </c>
      <c r="D169" s="8" t="s">
        <v>473</v>
      </c>
      <c r="E169" s="8" t="s">
        <v>20</v>
      </c>
      <c r="F169" s="8" t="s">
        <v>474</v>
      </c>
      <c r="G169" s="8" t="s">
        <v>475</v>
      </c>
      <c r="H169" s="8" t="s">
        <v>476</v>
      </c>
      <c r="I169" s="8" t="s">
        <v>420</v>
      </c>
      <c r="J169" s="8" t="s">
        <v>137</v>
      </c>
      <c r="K169" s="8" t="s">
        <v>477</v>
      </c>
      <c r="L169" s="10">
        <v>44187.0</v>
      </c>
      <c r="N169" s="8" t="s">
        <v>434</v>
      </c>
      <c r="O169" s="8" t="s">
        <v>423</v>
      </c>
      <c r="P169" s="15">
        <v>44293.0</v>
      </c>
      <c r="Q169" s="13">
        <v>184185.0</v>
      </c>
      <c r="R169" s="8">
        <v>405100.0</v>
      </c>
    </row>
    <row r="170" ht="15.75" customHeight="1">
      <c r="A170" s="8" t="s">
        <v>470</v>
      </c>
      <c r="B170" s="8" t="s">
        <v>471</v>
      </c>
      <c r="C170" s="8" t="s">
        <v>472</v>
      </c>
      <c r="D170" s="8" t="s">
        <v>473</v>
      </c>
      <c r="E170" s="8" t="s">
        <v>20</v>
      </c>
      <c r="F170" s="8" t="s">
        <v>474</v>
      </c>
      <c r="G170" s="8" t="s">
        <v>475</v>
      </c>
      <c r="H170" s="8" t="s">
        <v>476</v>
      </c>
      <c r="I170" s="8" t="s">
        <v>420</v>
      </c>
      <c r="J170" s="8" t="s">
        <v>137</v>
      </c>
      <c r="K170" s="8" t="s">
        <v>477</v>
      </c>
      <c r="L170" s="10">
        <v>44187.0</v>
      </c>
      <c r="N170" s="8" t="s">
        <v>434</v>
      </c>
      <c r="O170" s="8" t="s">
        <v>423</v>
      </c>
      <c r="P170" s="15">
        <v>44366.0</v>
      </c>
      <c r="Q170" s="13">
        <v>65000.0</v>
      </c>
      <c r="R170" s="8">
        <v>405100.0</v>
      </c>
    </row>
    <row r="171" ht="15.75" customHeight="1">
      <c r="A171" s="8" t="s">
        <v>470</v>
      </c>
      <c r="B171" s="8" t="s">
        <v>471</v>
      </c>
      <c r="C171" s="8" t="s">
        <v>472</v>
      </c>
      <c r="D171" s="8" t="s">
        <v>473</v>
      </c>
      <c r="E171" s="8" t="s">
        <v>20</v>
      </c>
      <c r="F171" s="8" t="s">
        <v>474</v>
      </c>
      <c r="G171" s="8" t="s">
        <v>475</v>
      </c>
      <c r="H171" s="8" t="s">
        <v>476</v>
      </c>
      <c r="I171" s="8" t="s">
        <v>420</v>
      </c>
      <c r="J171" s="8" t="s">
        <v>137</v>
      </c>
      <c r="K171" s="8" t="s">
        <v>477</v>
      </c>
      <c r="L171" s="10">
        <v>44187.0</v>
      </c>
      <c r="N171" s="8" t="s">
        <v>434</v>
      </c>
      <c r="O171" s="8" t="s">
        <v>423</v>
      </c>
      <c r="P171" s="15">
        <v>44413.0</v>
      </c>
      <c r="Q171" s="13">
        <v>181635.0</v>
      </c>
      <c r="R171" s="8">
        <v>405100.0</v>
      </c>
    </row>
    <row r="172" ht="15.75" customHeight="1">
      <c r="A172" s="8" t="s">
        <v>470</v>
      </c>
      <c r="B172" s="8" t="s">
        <v>471</v>
      </c>
      <c r="C172" s="8" t="s">
        <v>472</v>
      </c>
      <c r="D172" s="8" t="s">
        <v>473</v>
      </c>
      <c r="E172" s="8" t="s">
        <v>20</v>
      </c>
      <c r="F172" s="8" t="s">
        <v>474</v>
      </c>
      <c r="G172" s="8" t="s">
        <v>475</v>
      </c>
      <c r="H172" s="8" t="s">
        <v>476</v>
      </c>
      <c r="I172" s="8" t="s">
        <v>420</v>
      </c>
      <c r="J172" s="8" t="s">
        <v>137</v>
      </c>
      <c r="K172" s="8" t="s">
        <v>477</v>
      </c>
      <c r="L172" s="10">
        <v>44187.0</v>
      </c>
      <c r="N172" s="8" t="s">
        <v>434</v>
      </c>
      <c r="O172" s="8" t="s">
        <v>423</v>
      </c>
      <c r="P172" s="16">
        <v>44491.0</v>
      </c>
      <c r="Q172" s="13">
        <v>66423.0</v>
      </c>
      <c r="R172" s="8">
        <v>405100.0</v>
      </c>
    </row>
    <row r="173" ht="15.75" customHeight="1">
      <c r="A173" s="8" t="s">
        <v>470</v>
      </c>
      <c r="B173" s="8" t="s">
        <v>471</v>
      </c>
      <c r="C173" s="8" t="s">
        <v>472</v>
      </c>
      <c r="D173" s="8" t="s">
        <v>473</v>
      </c>
      <c r="E173" s="8" t="s">
        <v>20</v>
      </c>
      <c r="F173" s="8" t="s">
        <v>474</v>
      </c>
      <c r="G173" s="8" t="s">
        <v>475</v>
      </c>
      <c r="H173" s="8" t="s">
        <v>476</v>
      </c>
      <c r="I173" s="8" t="s">
        <v>420</v>
      </c>
      <c r="J173" s="8" t="s">
        <v>137</v>
      </c>
      <c r="K173" s="8" t="s">
        <v>477</v>
      </c>
      <c r="L173" s="10">
        <v>44187.0</v>
      </c>
      <c r="N173" s="8" t="s">
        <v>434</v>
      </c>
      <c r="O173" s="8" t="s">
        <v>423</v>
      </c>
      <c r="P173" s="16">
        <v>44545.0</v>
      </c>
      <c r="Q173" s="13">
        <v>123625.0</v>
      </c>
      <c r="R173" s="8">
        <v>405100.0</v>
      </c>
    </row>
    <row r="174" ht="15.75" customHeight="1">
      <c r="A174" s="8" t="s">
        <v>470</v>
      </c>
      <c r="B174" s="8" t="s">
        <v>471</v>
      </c>
      <c r="C174" s="8" t="s">
        <v>472</v>
      </c>
      <c r="D174" s="8" t="s">
        <v>473</v>
      </c>
      <c r="E174" s="8" t="s">
        <v>20</v>
      </c>
      <c r="F174" s="8" t="s">
        <v>474</v>
      </c>
      <c r="G174" s="8" t="s">
        <v>475</v>
      </c>
      <c r="H174" s="8" t="s">
        <v>476</v>
      </c>
      <c r="I174" s="8" t="s">
        <v>420</v>
      </c>
      <c r="J174" s="8" t="s">
        <v>137</v>
      </c>
      <c r="K174" s="8" t="s">
        <v>477</v>
      </c>
      <c r="L174" s="10">
        <v>44187.0</v>
      </c>
      <c r="N174" s="8" t="s">
        <v>434</v>
      </c>
      <c r="O174" s="8" t="s">
        <v>423</v>
      </c>
      <c r="P174" s="15">
        <v>44595.0</v>
      </c>
      <c r="Q174" s="13">
        <v>89993.0</v>
      </c>
      <c r="R174" s="8">
        <v>405100.0</v>
      </c>
    </row>
    <row r="175" ht="15.75" customHeight="1">
      <c r="A175" s="8" t="s">
        <v>470</v>
      </c>
      <c r="B175" s="8" t="s">
        <v>471</v>
      </c>
      <c r="C175" s="8" t="s">
        <v>472</v>
      </c>
      <c r="D175" s="8" t="s">
        <v>473</v>
      </c>
      <c r="E175" s="8" t="s">
        <v>20</v>
      </c>
      <c r="F175" s="8" t="s">
        <v>474</v>
      </c>
      <c r="G175" s="8" t="s">
        <v>475</v>
      </c>
      <c r="H175" s="8" t="s">
        <v>476</v>
      </c>
      <c r="I175" s="8" t="s">
        <v>420</v>
      </c>
      <c r="J175" s="8" t="s">
        <v>137</v>
      </c>
      <c r="K175" s="8" t="s">
        <v>477</v>
      </c>
      <c r="L175" s="10">
        <v>44187.0</v>
      </c>
      <c r="N175" s="8" t="s">
        <v>434</v>
      </c>
      <c r="O175" s="8" t="s">
        <v>423</v>
      </c>
      <c r="P175" s="15">
        <v>44672.0</v>
      </c>
      <c r="Q175" s="13">
        <v>11747.0</v>
      </c>
      <c r="R175" s="8">
        <v>405100.0</v>
      </c>
    </row>
    <row r="176" ht="15.75" customHeight="1">
      <c r="A176" s="8" t="s">
        <v>470</v>
      </c>
      <c r="B176" s="8" t="s">
        <v>471</v>
      </c>
      <c r="C176" s="8" t="s">
        <v>472</v>
      </c>
      <c r="D176" s="8" t="s">
        <v>473</v>
      </c>
      <c r="E176" s="8" t="s">
        <v>20</v>
      </c>
      <c r="F176" s="8" t="s">
        <v>474</v>
      </c>
      <c r="G176" s="8" t="s">
        <v>475</v>
      </c>
      <c r="H176" s="8" t="s">
        <v>476</v>
      </c>
      <c r="I176" s="8" t="s">
        <v>420</v>
      </c>
      <c r="J176" s="8" t="s">
        <v>137</v>
      </c>
      <c r="K176" s="8" t="s">
        <v>477</v>
      </c>
      <c r="L176" s="10">
        <v>44187.0</v>
      </c>
      <c r="N176" s="8" t="s">
        <v>434</v>
      </c>
      <c r="O176" s="8" t="s">
        <v>423</v>
      </c>
      <c r="P176" s="15">
        <v>44721.0</v>
      </c>
      <c r="Q176" s="13">
        <v>43728.0</v>
      </c>
      <c r="R176" s="8">
        <v>405100.0</v>
      </c>
    </row>
    <row r="177" ht="15.75" customHeight="1">
      <c r="A177" s="8" t="s">
        <v>470</v>
      </c>
      <c r="B177" s="8" t="s">
        <v>471</v>
      </c>
      <c r="C177" s="8" t="s">
        <v>472</v>
      </c>
      <c r="D177" s="8" t="s">
        <v>473</v>
      </c>
      <c r="E177" s="8" t="s">
        <v>20</v>
      </c>
      <c r="F177" s="8" t="s">
        <v>474</v>
      </c>
      <c r="G177" s="8" t="s">
        <v>475</v>
      </c>
      <c r="H177" s="8" t="s">
        <v>476</v>
      </c>
      <c r="I177" s="8" t="s">
        <v>420</v>
      </c>
      <c r="J177" s="8" t="s">
        <v>137</v>
      </c>
      <c r="K177" s="8" t="s">
        <v>477</v>
      </c>
      <c r="L177" s="10">
        <v>44187.0</v>
      </c>
      <c r="N177" s="8" t="s">
        <v>434</v>
      </c>
      <c r="O177" s="8" t="s">
        <v>423</v>
      </c>
      <c r="P177" s="15">
        <v>44799.0</v>
      </c>
      <c r="Q177" s="13">
        <v>108254.0</v>
      </c>
      <c r="R177" s="8">
        <v>405100.0</v>
      </c>
    </row>
    <row r="178" ht="15.75" customHeight="1">
      <c r="A178" s="8" t="s">
        <v>470</v>
      </c>
      <c r="B178" s="8" t="s">
        <v>471</v>
      </c>
      <c r="C178" s="8" t="s">
        <v>472</v>
      </c>
      <c r="D178" s="8" t="s">
        <v>473</v>
      </c>
      <c r="E178" s="8" t="s">
        <v>20</v>
      </c>
      <c r="F178" s="8" t="s">
        <v>474</v>
      </c>
      <c r="G178" s="8" t="s">
        <v>475</v>
      </c>
      <c r="H178" s="8" t="s">
        <v>476</v>
      </c>
      <c r="I178" s="8" t="s">
        <v>420</v>
      </c>
      <c r="J178" s="8" t="s">
        <v>137</v>
      </c>
      <c r="K178" s="8" t="s">
        <v>477</v>
      </c>
      <c r="L178" s="10">
        <v>44187.0</v>
      </c>
      <c r="N178" s="8" t="s">
        <v>434</v>
      </c>
      <c r="O178" s="8" t="s">
        <v>423</v>
      </c>
      <c r="P178" s="16">
        <v>44848.0</v>
      </c>
      <c r="Q178" s="13">
        <v>53331.0</v>
      </c>
      <c r="R178" s="8">
        <v>405100.0</v>
      </c>
    </row>
    <row r="179" ht="15.75" customHeight="1">
      <c r="A179" s="8" t="s">
        <v>470</v>
      </c>
      <c r="B179" s="8" t="s">
        <v>471</v>
      </c>
      <c r="C179" s="8" t="s">
        <v>472</v>
      </c>
      <c r="D179" s="8" t="s">
        <v>473</v>
      </c>
      <c r="E179" s="8" t="s">
        <v>20</v>
      </c>
      <c r="F179" s="8" t="s">
        <v>474</v>
      </c>
      <c r="G179" s="8" t="s">
        <v>475</v>
      </c>
      <c r="H179" s="8" t="s">
        <v>476</v>
      </c>
      <c r="I179" s="8" t="s">
        <v>420</v>
      </c>
      <c r="J179" s="8" t="s">
        <v>137</v>
      </c>
      <c r="K179" s="8" t="s">
        <v>477</v>
      </c>
      <c r="L179" s="10">
        <v>44187.0</v>
      </c>
      <c r="N179" s="8" t="s">
        <v>434</v>
      </c>
      <c r="O179" s="8" t="s">
        <v>423</v>
      </c>
      <c r="P179" s="15">
        <v>44896.0</v>
      </c>
      <c r="Q179" s="13">
        <v>156418.0</v>
      </c>
      <c r="R179" s="8">
        <v>405100.0</v>
      </c>
    </row>
    <row r="180" ht="15.75" customHeight="1">
      <c r="A180" s="8" t="s">
        <v>470</v>
      </c>
      <c r="B180" s="8" t="s">
        <v>471</v>
      </c>
      <c r="C180" s="8" t="s">
        <v>472</v>
      </c>
      <c r="D180" s="8" t="s">
        <v>473</v>
      </c>
      <c r="E180" s="8" t="s">
        <v>20</v>
      </c>
      <c r="F180" s="8" t="s">
        <v>474</v>
      </c>
      <c r="G180" s="8" t="s">
        <v>475</v>
      </c>
      <c r="H180" s="8" t="s">
        <v>476</v>
      </c>
      <c r="I180" s="8" t="s">
        <v>420</v>
      </c>
      <c r="J180" s="8" t="s">
        <v>137</v>
      </c>
      <c r="K180" s="8" t="s">
        <v>477</v>
      </c>
      <c r="L180" s="10">
        <v>44187.0</v>
      </c>
      <c r="N180" s="8" t="s">
        <v>434</v>
      </c>
      <c r="O180" s="8" t="s">
        <v>423</v>
      </c>
      <c r="P180" s="15">
        <v>44945.0</v>
      </c>
      <c r="Q180" s="13">
        <v>172159.0</v>
      </c>
      <c r="R180" s="8">
        <v>405100.0</v>
      </c>
    </row>
    <row r="181" ht="15.75" customHeight="1">
      <c r="A181" s="8" t="s">
        <v>470</v>
      </c>
      <c r="B181" s="8" t="s">
        <v>471</v>
      </c>
      <c r="C181" s="8" t="s">
        <v>472</v>
      </c>
      <c r="D181" s="8" t="s">
        <v>473</v>
      </c>
      <c r="E181" s="8" t="s">
        <v>20</v>
      </c>
      <c r="F181" s="8" t="s">
        <v>474</v>
      </c>
      <c r="G181" s="8" t="s">
        <v>475</v>
      </c>
      <c r="H181" s="8" t="s">
        <v>476</v>
      </c>
      <c r="I181" s="8" t="s">
        <v>420</v>
      </c>
      <c r="J181" s="8" t="s">
        <v>137</v>
      </c>
      <c r="K181" s="8" t="s">
        <v>477</v>
      </c>
      <c r="L181" s="10">
        <v>44187.0</v>
      </c>
      <c r="N181" s="8" t="s">
        <v>434</v>
      </c>
      <c r="O181" s="8" t="s">
        <v>423</v>
      </c>
      <c r="P181" s="15">
        <v>44991.0</v>
      </c>
      <c r="Q181" s="13">
        <v>196425.0</v>
      </c>
      <c r="R181" s="8">
        <v>405100.0</v>
      </c>
    </row>
    <row r="182" ht="15.75" customHeight="1">
      <c r="A182" s="8" t="s">
        <v>470</v>
      </c>
      <c r="B182" s="8" t="s">
        <v>471</v>
      </c>
      <c r="C182" s="8" t="s">
        <v>472</v>
      </c>
      <c r="D182" s="8" t="s">
        <v>473</v>
      </c>
      <c r="E182" s="8" t="s">
        <v>20</v>
      </c>
      <c r="F182" s="8" t="s">
        <v>474</v>
      </c>
      <c r="G182" s="8" t="s">
        <v>475</v>
      </c>
      <c r="H182" s="8" t="s">
        <v>476</v>
      </c>
      <c r="I182" s="8" t="s">
        <v>420</v>
      </c>
      <c r="J182" s="8" t="s">
        <v>137</v>
      </c>
      <c r="K182" s="8" t="s">
        <v>477</v>
      </c>
      <c r="L182" s="10">
        <v>44187.0</v>
      </c>
      <c r="N182" s="8" t="s">
        <v>434</v>
      </c>
      <c r="O182" s="8" t="s">
        <v>423</v>
      </c>
      <c r="P182" s="15">
        <v>45068.0</v>
      </c>
      <c r="Q182" s="13">
        <v>43469.0</v>
      </c>
      <c r="R182" s="8">
        <v>405100.0</v>
      </c>
    </row>
    <row r="183" ht="15.75" customHeight="1">
      <c r="A183" s="8" t="s">
        <v>470</v>
      </c>
      <c r="B183" s="8" t="s">
        <v>471</v>
      </c>
      <c r="C183" s="8" t="s">
        <v>472</v>
      </c>
      <c r="D183" s="8" t="s">
        <v>473</v>
      </c>
      <c r="E183" s="8" t="s">
        <v>20</v>
      </c>
      <c r="F183" s="8" t="s">
        <v>474</v>
      </c>
      <c r="G183" s="8" t="s">
        <v>475</v>
      </c>
      <c r="H183" s="8" t="s">
        <v>476</v>
      </c>
      <c r="I183" s="8" t="s">
        <v>420</v>
      </c>
      <c r="J183" s="8" t="s">
        <v>137</v>
      </c>
      <c r="K183" s="8" t="s">
        <v>477</v>
      </c>
      <c r="L183" s="10">
        <v>44187.0</v>
      </c>
      <c r="N183" s="8" t="s">
        <v>434</v>
      </c>
      <c r="O183" s="8" t="s">
        <v>423</v>
      </c>
      <c r="P183" s="15">
        <v>45117.0</v>
      </c>
      <c r="Q183" s="13">
        <v>31692.0</v>
      </c>
      <c r="R183" s="8">
        <v>405100.0</v>
      </c>
    </row>
    <row r="184" ht="15.75" customHeight="1">
      <c r="A184" s="8" t="s">
        <v>470</v>
      </c>
      <c r="B184" s="8" t="s">
        <v>471</v>
      </c>
      <c r="C184" s="8" t="s">
        <v>472</v>
      </c>
      <c r="D184" s="8" t="s">
        <v>473</v>
      </c>
      <c r="E184" s="8" t="s">
        <v>20</v>
      </c>
      <c r="F184" s="8" t="s">
        <v>474</v>
      </c>
      <c r="G184" s="8" t="s">
        <v>475</v>
      </c>
      <c r="H184" s="8" t="s">
        <v>476</v>
      </c>
      <c r="I184" s="8" t="s">
        <v>420</v>
      </c>
      <c r="J184" s="8" t="s">
        <v>137</v>
      </c>
      <c r="K184" s="8" t="s">
        <v>477</v>
      </c>
      <c r="L184" s="10">
        <v>44187.0</v>
      </c>
      <c r="N184" s="8" t="s">
        <v>434</v>
      </c>
      <c r="O184" s="8" t="s">
        <v>423</v>
      </c>
      <c r="P184" s="15">
        <v>45194.0</v>
      </c>
      <c r="Q184" s="13">
        <v>92066.0</v>
      </c>
      <c r="R184" s="8">
        <v>405100.0</v>
      </c>
    </row>
    <row r="185" ht="15.75" customHeight="1">
      <c r="A185" s="8" t="s">
        <v>470</v>
      </c>
      <c r="B185" s="8" t="s">
        <v>471</v>
      </c>
      <c r="C185" s="8" t="s">
        <v>472</v>
      </c>
      <c r="D185" s="8" t="s">
        <v>473</v>
      </c>
      <c r="E185" s="8" t="s">
        <v>20</v>
      </c>
      <c r="F185" s="8" t="s">
        <v>474</v>
      </c>
      <c r="G185" s="8" t="s">
        <v>475</v>
      </c>
      <c r="H185" s="8" t="s">
        <v>476</v>
      </c>
      <c r="I185" s="8" t="s">
        <v>420</v>
      </c>
      <c r="J185" s="8" t="s">
        <v>137</v>
      </c>
      <c r="K185" s="8" t="s">
        <v>477</v>
      </c>
      <c r="L185" s="10">
        <v>44187.0</v>
      </c>
      <c r="N185" s="8" t="s">
        <v>434</v>
      </c>
      <c r="O185" s="8" t="s">
        <v>423</v>
      </c>
      <c r="P185" s="16">
        <v>45243.0</v>
      </c>
      <c r="Q185" s="13">
        <v>121690.0</v>
      </c>
      <c r="R185" s="8">
        <v>405100.0</v>
      </c>
    </row>
    <row r="186" ht="15.75" customHeight="1">
      <c r="A186" s="8" t="s">
        <v>470</v>
      </c>
      <c r="B186" s="8" t="s">
        <v>471</v>
      </c>
      <c r="C186" s="8" t="s">
        <v>472</v>
      </c>
      <c r="D186" s="8" t="s">
        <v>473</v>
      </c>
      <c r="E186" s="8" t="s">
        <v>20</v>
      </c>
      <c r="F186" s="8" t="s">
        <v>474</v>
      </c>
      <c r="G186" s="8" t="s">
        <v>475</v>
      </c>
      <c r="H186" s="8" t="s">
        <v>476</v>
      </c>
      <c r="I186" s="8" t="s">
        <v>420</v>
      </c>
      <c r="J186" s="8" t="s">
        <v>137</v>
      </c>
      <c r="K186" s="8" t="s">
        <v>477</v>
      </c>
      <c r="L186" s="10">
        <v>44187.0</v>
      </c>
      <c r="N186" s="8" t="s">
        <v>434</v>
      </c>
      <c r="O186" s="8" t="s">
        <v>423</v>
      </c>
      <c r="P186" s="16">
        <v>45290.0</v>
      </c>
      <c r="Q186" s="13">
        <v>87280.0</v>
      </c>
      <c r="R186" s="8">
        <v>405100.0</v>
      </c>
    </row>
    <row r="187" ht="15.75" customHeight="1">
      <c r="A187" s="8" t="s">
        <v>470</v>
      </c>
      <c r="B187" s="8" t="s">
        <v>471</v>
      </c>
      <c r="C187" s="8" t="s">
        <v>472</v>
      </c>
      <c r="D187" s="8" t="s">
        <v>473</v>
      </c>
      <c r="E187" s="8" t="s">
        <v>20</v>
      </c>
      <c r="F187" s="8" t="s">
        <v>474</v>
      </c>
      <c r="G187" s="8" t="s">
        <v>475</v>
      </c>
      <c r="H187" s="8" t="s">
        <v>476</v>
      </c>
      <c r="I187" s="8" t="s">
        <v>420</v>
      </c>
      <c r="J187" s="8" t="s">
        <v>137</v>
      </c>
      <c r="K187" s="8" t="s">
        <v>477</v>
      </c>
      <c r="L187" s="10">
        <v>44187.0</v>
      </c>
      <c r="N187" s="8" t="s">
        <v>434</v>
      </c>
      <c r="O187" s="8" t="s">
        <v>423</v>
      </c>
      <c r="P187" s="15">
        <v>45339.0</v>
      </c>
      <c r="Q187" s="13">
        <v>85785.0</v>
      </c>
      <c r="R187" s="8">
        <v>405100.0</v>
      </c>
    </row>
    <row r="188" ht="15.75" customHeight="1">
      <c r="A188" s="8" t="s">
        <v>470</v>
      </c>
      <c r="B188" s="8" t="s">
        <v>471</v>
      </c>
      <c r="C188" s="8" t="s">
        <v>472</v>
      </c>
      <c r="D188" s="8" t="s">
        <v>473</v>
      </c>
      <c r="E188" s="8" t="s">
        <v>20</v>
      </c>
      <c r="F188" s="8" t="s">
        <v>474</v>
      </c>
      <c r="G188" s="8" t="s">
        <v>475</v>
      </c>
      <c r="H188" s="8" t="s">
        <v>476</v>
      </c>
      <c r="I188" s="8" t="s">
        <v>420</v>
      </c>
      <c r="J188" s="8" t="s">
        <v>137</v>
      </c>
      <c r="K188" s="8" t="s">
        <v>477</v>
      </c>
      <c r="L188" s="10">
        <v>44187.0</v>
      </c>
      <c r="N188" s="8" t="s">
        <v>434</v>
      </c>
      <c r="O188" s="8" t="s">
        <v>423</v>
      </c>
      <c r="P188" s="15">
        <v>45386.0</v>
      </c>
      <c r="Q188" s="13">
        <v>149833.0</v>
      </c>
      <c r="R188" s="8">
        <v>405100.0</v>
      </c>
    </row>
    <row r="189" ht="15.75" customHeight="1">
      <c r="A189" s="8" t="s">
        <v>470</v>
      </c>
      <c r="B189" s="8" t="s">
        <v>471</v>
      </c>
      <c r="C189" s="8" t="s">
        <v>472</v>
      </c>
      <c r="D189" s="8" t="s">
        <v>473</v>
      </c>
      <c r="E189" s="8" t="s">
        <v>20</v>
      </c>
      <c r="F189" s="8" t="s">
        <v>474</v>
      </c>
      <c r="G189" s="8" t="s">
        <v>475</v>
      </c>
      <c r="H189" s="8" t="s">
        <v>476</v>
      </c>
      <c r="I189" s="8" t="s">
        <v>420</v>
      </c>
      <c r="J189" s="8" t="s">
        <v>137</v>
      </c>
      <c r="K189" s="8" t="s">
        <v>477</v>
      </c>
      <c r="L189" s="10">
        <v>44187.0</v>
      </c>
      <c r="N189" s="8" t="s">
        <v>434</v>
      </c>
      <c r="O189" s="8" t="s">
        <v>423</v>
      </c>
      <c r="P189" s="15">
        <v>45434.0</v>
      </c>
      <c r="Q189" s="13">
        <v>86746.0</v>
      </c>
      <c r="R189" s="8">
        <v>405100.0</v>
      </c>
    </row>
    <row r="190" ht="15.75" customHeight="1">
      <c r="A190" s="8" t="s">
        <v>470</v>
      </c>
      <c r="B190" s="8" t="s">
        <v>471</v>
      </c>
      <c r="C190" s="8" t="s">
        <v>472</v>
      </c>
      <c r="D190" s="8" t="s">
        <v>473</v>
      </c>
      <c r="E190" s="8" t="s">
        <v>20</v>
      </c>
      <c r="F190" s="8" t="s">
        <v>474</v>
      </c>
      <c r="G190" s="8" t="s">
        <v>475</v>
      </c>
      <c r="H190" s="8" t="s">
        <v>476</v>
      </c>
      <c r="I190" s="8" t="s">
        <v>420</v>
      </c>
      <c r="J190" s="8" t="s">
        <v>137</v>
      </c>
      <c r="K190" s="8" t="s">
        <v>477</v>
      </c>
      <c r="L190" s="10">
        <v>44187.0</v>
      </c>
      <c r="N190" s="8" t="s">
        <v>434</v>
      </c>
      <c r="O190" s="8" t="s">
        <v>423</v>
      </c>
      <c r="P190" s="15">
        <v>45483.0</v>
      </c>
      <c r="Q190" s="13">
        <v>66711.0</v>
      </c>
      <c r="R190" s="8">
        <v>405100.0</v>
      </c>
    </row>
    <row r="191" ht="15.75" customHeight="1">
      <c r="A191" s="8" t="s">
        <v>470</v>
      </c>
      <c r="B191" s="8" t="s">
        <v>471</v>
      </c>
      <c r="C191" s="8" t="s">
        <v>472</v>
      </c>
      <c r="D191" s="8" t="s">
        <v>473</v>
      </c>
      <c r="E191" s="8" t="s">
        <v>20</v>
      </c>
      <c r="F191" s="8" t="s">
        <v>474</v>
      </c>
      <c r="G191" s="8" t="s">
        <v>475</v>
      </c>
      <c r="H191" s="8" t="s">
        <v>476</v>
      </c>
      <c r="I191" s="8" t="s">
        <v>420</v>
      </c>
      <c r="J191" s="8" t="s">
        <v>137</v>
      </c>
      <c r="K191" s="8" t="s">
        <v>477</v>
      </c>
      <c r="L191" s="10">
        <v>44187.0</v>
      </c>
      <c r="N191" s="8" t="s">
        <v>434</v>
      </c>
      <c r="O191" s="8" t="s">
        <v>423</v>
      </c>
      <c r="P191" s="15">
        <v>45532.0</v>
      </c>
      <c r="Q191" s="13">
        <v>40287.0</v>
      </c>
      <c r="R191" s="8">
        <v>405100.0</v>
      </c>
    </row>
    <row r="192" ht="15.75" customHeight="1">
      <c r="A192" s="8" t="s">
        <v>478</v>
      </c>
      <c r="B192" s="8" t="s">
        <v>479</v>
      </c>
      <c r="C192" s="8" t="s">
        <v>415</v>
      </c>
      <c r="D192" s="8" t="s">
        <v>480</v>
      </c>
      <c r="E192" s="8" t="s">
        <v>20</v>
      </c>
      <c r="F192" s="8" t="s">
        <v>481</v>
      </c>
      <c r="G192" s="8" t="s">
        <v>482</v>
      </c>
      <c r="H192" s="8" t="s">
        <v>483</v>
      </c>
      <c r="I192" s="8" t="s">
        <v>431</v>
      </c>
      <c r="J192" s="8" t="s">
        <v>159</v>
      </c>
      <c r="K192" s="8" t="s">
        <v>484</v>
      </c>
      <c r="L192" s="10">
        <v>43457.0</v>
      </c>
      <c r="N192" s="8" t="s">
        <v>434</v>
      </c>
      <c r="O192" s="8" t="s">
        <v>458</v>
      </c>
      <c r="P192" s="16">
        <v>43457.0</v>
      </c>
      <c r="Q192" s="13">
        <v>72299.0</v>
      </c>
      <c r="R192" s="8">
        <v>403103.0</v>
      </c>
    </row>
    <row r="193" ht="15.75" customHeight="1">
      <c r="A193" s="8" t="s">
        <v>478</v>
      </c>
      <c r="B193" s="8" t="s">
        <v>479</v>
      </c>
      <c r="C193" s="8" t="s">
        <v>415</v>
      </c>
      <c r="D193" s="8" t="s">
        <v>480</v>
      </c>
      <c r="E193" s="8" t="s">
        <v>20</v>
      </c>
      <c r="F193" s="8" t="s">
        <v>481</v>
      </c>
      <c r="G193" s="8" t="s">
        <v>482</v>
      </c>
      <c r="H193" s="8" t="s">
        <v>483</v>
      </c>
      <c r="I193" s="8" t="s">
        <v>431</v>
      </c>
      <c r="J193" s="8" t="s">
        <v>159</v>
      </c>
      <c r="K193" s="8" t="s">
        <v>484</v>
      </c>
      <c r="L193" s="10">
        <v>43457.0</v>
      </c>
      <c r="N193" s="8" t="s">
        <v>434</v>
      </c>
      <c r="O193" s="8" t="s">
        <v>458</v>
      </c>
      <c r="P193" s="19">
        <v>43761.0</v>
      </c>
      <c r="Q193" s="13">
        <v>63458.0</v>
      </c>
      <c r="R193" s="8">
        <v>403103.0</v>
      </c>
    </row>
    <row r="194" ht="15.75" customHeight="1">
      <c r="A194" s="8" t="s">
        <v>478</v>
      </c>
      <c r="B194" s="8" t="s">
        <v>479</v>
      </c>
      <c r="C194" s="8" t="s">
        <v>415</v>
      </c>
      <c r="D194" s="8" t="s">
        <v>480</v>
      </c>
      <c r="E194" s="8" t="s">
        <v>20</v>
      </c>
      <c r="F194" s="8" t="s">
        <v>481</v>
      </c>
      <c r="G194" s="8" t="s">
        <v>482</v>
      </c>
      <c r="H194" s="8" t="s">
        <v>483</v>
      </c>
      <c r="I194" s="8" t="s">
        <v>431</v>
      </c>
      <c r="J194" s="8" t="s">
        <v>159</v>
      </c>
      <c r="K194" s="8" t="s">
        <v>484</v>
      </c>
      <c r="L194" s="10">
        <v>43457.0</v>
      </c>
      <c r="N194" s="8" t="s">
        <v>434</v>
      </c>
      <c r="O194" s="8" t="s">
        <v>458</v>
      </c>
      <c r="P194" s="19">
        <v>44150.0</v>
      </c>
      <c r="Q194" s="13">
        <v>173463.0</v>
      </c>
      <c r="R194" s="8">
        <v>403103.0</v>
      </c>
    </row>
    <row r="195" ht="15.75" customHeight="1">
      <c r="A195" s="8" t="s">
        <v>478</v>
      </c>
      <c r="B195" s="8" t="s">
        <v>479</v>
      </c>
      <c r="C195" s="8" t="s">
        <v>415</v>
      </c>
      <c r="D195" s="8" t="s">
        <v>480</v>
      </c>
      <c r="E195" s="8" t="s">
        <v>20</v>
      </c>
      <c r="F195" s="8" t="s">
        <v>481</v>
      </c>
      <c r="G195" s="8" t="s">
        <v>482</v>
      </c>
      <c r="H195" s="8" t="s">
        <v>483</v>
      </c>
      <c r="I195" s="8" t="s">
        <v>431</v>
      </c>
      <c r="J195" s="8" t="s">
        <v>159</v>
      </c>
      <c r="K195" s="8" t="s">
        <v>484</v>
      </c>
      <c r="L195" s="10">
        <v>43457.0</v>
      </c>
      <c r="N195" s="8" t="s">
        <v>434</v>
      </c>
      <c r="O195" s="8" t="s">
        <v>458</v>
      </c>
      <c r="P195" s="19">
        <v>44328.0</v>
      </c>
      <c r="Q195" s="13">
        <v>42590.0</v>
      </c>
      <c r="R195" s="8">
        <v>403103.0</v>
      </c>
    </row>
    <row r="196" ht="15.75" customHeight="1">
      <c r="A196" s="8" t="s">
        <v>478</v>
      </c>
      <c r="B196" s="8" t="s">
        <v>479</v>
      </c>
      <c r="C196" s="8" t="s">
        <v>415</v>
      </c>
      <c r="D196" s="8" t="s">
        <v>480</v>
      </c>
      <c r="E196" s="8" t="s">
        <v>20</v>
      </c>
      <c r="F196" s="8" t="s">
        <v>481</v>
      </c>
      <c r="G196" s="8" t="s">
        <v>482</v>
      </c>
      <c r="H196" s="8" t="s">
        <v>483</v>
      </c>
      <c r="I196" s="8" t="s">
        <v>431</v>
      </c>
      <c r="J196" s="8" t="s">
        <v>159</v>
      </c>
      <c r="K196" s="8" t="s">
        <v>484</v>
      </c>
      <c r="L196" s="10">
        <v>43457.0</v>
      </c>
      <c r="N196" s="8" t="s">
        <v>434</v>
      </c>
      <c r="O196" s="8" t="s">
        <v>458</v>
      </c>
      <c r="P196" s="16">
        <v>44918.0</v>
      </c>
      <c r="Q196" s="13">
        <v>58332.0</v>
      </c>
      <c r="R196" s="8">
        <v>403103.0</v>
      </c>
    </row>
    <row r="197" ht="15.75" customHeight="1">
      <c r="A197" s="8" t="s">
        <v>478</v>
      </c>
      <c r="B197" s="8" t="s">
        <v>479</v>
      </c>
      <c r="C197" s="8" t="s">
        <v>415</v>
      </c>
      <c r="D197" s="8" t="s">
        <v>480</v>
      </c>
      <c r="E197" s="8" t="s">
        <v>20</v>
      </c>
      <c r="F197" s="8" t="s">
        <v>481</v>
      </c>
      <c r="G197" s="8" t="s">
        <v>482</v>
      </c>
      <c r="H197" s="8" t="s">
        <v>483</v>
      </c>
      <c r="I197" s="8" t="s">
        <v>431</v>
      </c>
      <c r="J197" s="8" t="s">
        <v>159</v>
      </c>
      <c r="K197" s="8" t="s">
        <v>484</v>
      </c>
      <c r="L197" s="10">
        <v>43457.0</v>
      </c>
      <c r="N197" s="8" t="s">
        <v>434</v>
      </c>
      <c r="O197" s="8" t="s">
        <v>458</v>
      </c>
      <c r="P197" s="19">
        <v>45222.0</v>
      </c>
      <c r="Q197" s="13">
        <v>185679.0</v>
      </c>
      <c r="R197" s="8">
        <v>403103.0</v>
      </c>
    </row>
    <row r="198" ht="15.75" customHeight="1">
      <c r="A198" s="8" t="s">
        <v>478</v>
      </c>
      <c r="B198" s="8" t="s">
        <v>479</v>
      </c>
      <c r="C198" s="8" t="s">
        <v>415</v>
      </c>
      <c r="D198" s="8" t="s">
        <v>480</v>
      </c>
      <c r="E198" s="8" t="s">
        <v>20</v>
      </c>
      <c r="F198" s="8" t="s">
        <v>481</v>
      </c>
      <c r="G198" s="8" t="s">
        <v>482</v>
      </c>
      <c r="H198" s="8" t="s">
        <v>483</v>
      </c>
      <c r="I198" s="8" t="s">
        <v>431</v>
      </c>
      <c r="J198" s="8" t="s">
        <v>159</v>
      </c>
      <c r="K198" s="8" t="s">
        <v>484</v>
      </c>
      <c r="L198" s="10">
        <v>43457.0</v>
      </c>
      <c r="N198" s="8" t="s">
        <v>434</v>
      </c>
      <c r="O198" s="8" t="s">
        <v>458</v>
      </c>
      <c r="P198" s="16">
        <v>45444.0</v>
      </c>
      <c r="Q198" s="13">
        <v>43675.0</v>
      </c>
      <c r="R198" s="8">
        <v>403103.0</v>
      </c>
    </row>
    <row r="199" ht="15.75" customHeight="1">
      <c r="A199" s="8" t="s">
        <v>485</v>
      </c>
      <c r="B199" s="8" t="s">
        <v>486</v>
      </c>
      <c r="C199" s="8" t="s">
        <v>415</v>
      </c>
      <c r="D199" s="8" t="s">
        <v>487</v>
      </c>
      <c r="E199" s="8" t="s">
        <v>20</v>
      </c>
      <c r="F199" s="8" t="s">
        <v>488</v>
      </c>
      <c r="G199" s="8" t="s">
        <v>489</v>
      </c>
      <c r="H199" s="8" t="s">
        <v>490</v>
      </c>
      <c r="I199" s="8" t="s">
        <v>431</v>
      </c>
      <c r="J199" s="8" t="s">
        <v>159</v>
      </c>
      <c r="K199" s="8" t="s">
        <v>491</v>
      </c>
      <c r="L199" s="10">
        <v>43854.0</v>
      </c>
      <c r="M199" s="10">
        <v>45324.0</v>
      </c>
      <c r="N199" s="8" t="s">
        <v>422</v>
      </c>
      <c r="O199" s="8" t="s">
        <v>450</v>
      </c>
      <c r="P199" s="12">
        <v>43854.0</v>
      </c>
      <c r="Q199" s="13">
        <v>387885.0</v>
      </c>
      <c r="R199" s="8">
        <v>403103.0</v>
      </c>
    </row>
    <row r="200" ht="15.75" customHeight="1">
      <c r="A200" s="8" t="s">
        <v>485</v>
      </c>
      <c r="B200" s="8" t="s">
        <v>486</v>
      </c>
      <c r="C200" s="8" t="s">
        <v>415</v>
      </c>
      <c r="D200" s="8" t="s">
        <v>487</v>
      </c>
      <c r="E200" s="8" t="s">
        <v>20</v>
      </c>
      <c r="F200" s="8" t="s">
        <v>488</v>
      </c>
      <c r="G200" s="8" t="s">
        <v>489</v>
      </c>
      <c r="H200" s="8" t="s">
        <v>490</v>
      </c>
      <c r="I200" s="8" t="s">
        <v>431</v>
      </c>
      <c r="J200" s="8" t="s">
        <v>159</v>
      </c>
      <c r="K200" s="8" t="s">
        <v>491</v>
      </c>
      <c r="L200" s="10">
        <v>43854.0</v>
      </c>
      <c r="M200" s="10">
        <v>45324.0</v>
      </c>
      <c r="N200" s="8" t="s">
        <v>422</v>
      </c>
      <c r="O200" s="8" t="s">
        <v>450</v>
      </c>
      <c r="P200" s="12">
        <v>43885.0</v>
      </c>
      <c r="Q200" s="13">
        <v>540813.0</v>
      </c>
      <c r="R200" s="8">
        <v>403103.0</v>
      </c>
    </row>
    <row r="201" ht="15.75" customHeight="1">
      <c r="A201" s="8" t="s">
        <v>485</v>
      </c>
      <c r="B201" s="8" t="s">
        <v>486</v>
      </c>
      <c r="C201" s="8" t="s">
        <v>415</v>
      </c>
      <c r="D201" s="8" t="s">
        <v>487</v>
      </c>
      <c r="E201" s="8" t="s">
        <v>20</v>
      </c>
      <c r="F201" s="8" t="s">
        <v>488</v>
      </c>
      <c r="G201" s="8" t="s">
        <v>489</v>
      </c>
      <c r="H201" s="8" t="s">
        <v>490</v>
      </c>
      <c r="I201" s="8" t="s">
        <v>431</v>
      </c>
      <c r="J201" s="8" t="s">
        <v>159</v>
      </c>
      <c r="K201" s="8" t="s">
        <v>491</v>
      </c>
      <c r="L201" s="10">
        <v>43854.0</v>
      </c>
      <c r="M201" s="10">
        <v>45324.0</v>
      </c>
      <c r="N201" s="8" t="s">
        <v>422</v>
      </c>
      <c r="O201" s="8" t="s">
        <v>450</v>
      </c>
      <c r="P201" s="12">
        <v>43914.0</v>
      </c>
      <c r="Q201" s="13">
        <v>274968.0</v>
      </c>
      <c r="R201" s="8">
        <v>403103.0</v>
      </c>
    </row>
    <row r="202" ht="15.75" customHeight="1">
      <c r="A202" s="8" t="s">
        <v>485</v>
      </c>
      <c r="B202" s="8" t="s">
        <v>486</v>
      </c>
      <c r="C202" s="8" t="s">
        <v>415</v>
      </c>
      <c r="D202" s="8" t="s">
        <v>487</v>
      </c>
      <c r="E202" s="8" t="s">
        <v>20</v>
      </c>
      <c r="F202" s="8" t="s">
        <v>488</v>
      </c>
      <c r="G202" s="8" t="s">
        <v>489</v>
      </c>
      <c r="H202" s="8" t="s">
        <v>490</v>
      </c>
      <c r="I202" s="8" t="s">
        <v>431</v>
      </c>
      <c r="J202" s="8" t="s">
        <v>159</v>
      </c>
      <c r="K202" s="8" t="s">
        <v>491</v>
      </c>
      <c r="L202" s="10">
        <v>43854.0</v>
      </c>
      <c r="M202" s="10">
        <v>45324.0</v>
      </c>
      <c r="N202" s="8" t="s">
        <v>422</v>
      </c>
      <c r="O202" s="8" t="s">
        <v>450</v>
      </c>
      <c r="P202" s="12">
        <v>43945.0</v>
      </c>
      <c r="Q202" s="13">
        <v>276867.0</v>
      </c>
      <c r="R202" s="8">
        <v>403103.0</v>
      </c>
    </row>
    <row r="203" ht="15.75" customHeight="1">
      <c r="A203" s="8" t="s">
        <v>485</v>
      </c>
      <c r="B203" s="8" t="s">
        <v>486</v>
      </c>
      <c r="C203" s="8" t="s">
        <v>415</v>
      </c>
      <c r="D203" s="8" t="s">
        <v>487</v>
      </c>
      <c r="E203" s="8" t="s">
        <v>20</v>
      </c>
      <c r="F203" s="8" t="s">
        <v>488</v>
      </c>
      <c r="G203" s="8" t="s">
        <v>489</v>
      </c>
      <c r="H203" s="8" t="s">
        <v>490</v>
      </c>
      <c r="I203" s="8" t="s">
        <v>431</v>
      </c>
      <c r="J203" s="8" t="s">
        <v>159</v>
      </c>
      <c r="K203" s="8" t="s">
        <v>491</v>
      </c>
      <c r="L203" s="10">
        <v>43854.0</v>
      </c>
      <c r="M203" s="10">
        <v>45324.0</v>
      </c>
      <c r="N203" s="8" t="s">
        <v>422</v>
      </c>
      <c r="O203" s="8" t="s">
        <v>450</v>
      </c>
      <c r="P203" s="12">
        <v>43975.0</v>
      </c>
      <c r="Q203" s="13">
        <v>460149.0</v>
      </c>
      <c r="R203" s="8">
        <v>403103.0</v>
      </c>
    </row>
    <row r="204" ht="15.75" customHeight="1">
      <c r="A204" s="8" t="s">
        <v>485</v>
      </c>
      <c r="B204" s="8" t="s">
        <v>486</v>
      </c>
      <c r="C204" s="8" t="s">
        <v>415</v>
      </c>
      <c r="D204" s="8" t="s">
        <v>487</v>
      </c>
      <c r="E204" s="8" t="s">
        <v>20</v>
      </c>
      <c r="F204" s="8" t="s">
        <v>488</v>
      </c>
      <c r="G204" s="8" t="s">
        <v>489</v>
      </c>
      <c r="H204" s="8" t="s">
        <v>490</v>
      </c>
      <c r="I204" s="8" t="s">
        <v>431</v>
      </c>
      <c r="J204" s="8" t="s">
        <v>159</v>
      </c>
      <c r="K204" s="8" t="s">
        <v>491</v>
      </c>
      <c r="L204" s="10">
        <v>43854.0</v>
      </c>
      <c r="M204" s="10">
        <v>45324.0</v>
      </c>
      <c r="N204" s="8" t="s">
        <v>422</v>
      </c>
      <c r="O204" s="8" t="s">
        <v>450</v>
      </c>
      <c r="P204" s="12">
        <v>44006.0</v>
      </c>
      <c r="Q204" s="13">
        <v>247913.0</v>
      </c>
      <c r="R204" s="8">
        <v>403103.0</v>
      </c>
    </row>
    <row r="205" ht="15.75" customHeight="1">
      <c r="A205" s="8" t="s">
        <v>485</v>
      </c>
      <c r="B205" s="8" t="s">
        <v>486</v>
      </c>
      <c r="C205" s="8" t="s">
        <v>415</v>
      </c>
      <c r="D205" s="8" t="s">
        <v>487</v>
      </c>
      <c r="E205" s="8" t="s">
        <v>20</v>
      </c>
      <c r="F205" s="8" t="s">
        <v>488</v>
      </c>
      <c r="G205" s="8" t="s">
        <v>489</v>
      </c>
      <c r="H205" s="8" t="s">
        <v>490</v>
      </c>
      <c r="I205" s="8" t="s">
        <v>431</v>
      </c>
      <c r="J205" s="8" t="s">
        <v>159</v>
      </c>
      <c r="K205" s="8" t="s">
        <v>491</v>
      </c>
      <c r="L205" s="10">
        <v>43854.0</v>
      </c>
      <c r="M205" s="10">
        <v>45324.0</v>
      </c>
      <c r="N205" s="8" t="s">
        <v>422</v>
      </c>
      <c r="O205" s="8" t="s">
        <v>450</v>
      </c>
      <c r="P205" s="12">
        <v>44036.0</v>
      </c>
      <c r="Q205" s="13">
        <v>565616.0</v>
      </c>
      <c r="R205" s="8">
        <v>403103.0</v>
      </c>
    </row>
    <row r="206" ht="15.75" customHeight="1">
      <c r="A206" s="8" t="s">
        <v>485</v>
      </c>
      <c r="B206" s="8" t="s">
        <v>486</v>
      </c>
      <c r="C206" s="8" t="s">
        <v>415</v>
      </c>
      <c r="D206" s="8" t="s">
        <v>487</v>
      </c>
      <c r="E206" s="8" t="s">
        <v>20</v>
      </c>
      <c r="F206" s="8" t="s">
        <v>488</v>
      </c>
      <c r="G206" s="8" t="s">
        <v>489</v>
      </c>
      <c r="H206" s="8" t="s">
        <v>490</v>
      </c>
      <c r="I206" s="8" t="s">
        <v>431</v>
      </c>
      <c r="J206" s="8" t="s">
        <v>159</v>
      </c>
      <c r="K206" s="8" t="s">
        <v>491</v>
      </c>
      <c r="L206" s="10">
        <v>43854.0</v>
      </c>
      <c r="M206" s="10">
        <v>45324.0</v>
      </c>
      <c r="N206" s="8" t="s">
        <v>422</v>
      </c>
      <c r="O206" s="8" t="s">
        <v>450</v>
      </c>
      <c r="P206" s="12">
        <v>44067.0</v>
      </c>
      <c r="Q206" s="13">
        <v>219966.0</v>
      </c>
      <c r="R206" s="8">
        <v>403103.0</v>
      </c>
    </row>
    <row r="207" ht="15.75" customHeight="1">
      <c r="A207" s="8" t="s">
        <v>485</v>
      </c>
      <c r="B207" s="8" t="s">
        <v>486</v>
      </c>
      <c r="C207" s="8" t="s">
        <v>415</v>
      </c>
      <c r="D207" s="8" t="s">
        <v>487</v>
      </c>
      <c r="E207" s="8" t="s">
        <v>20</v>
      </c>
      <c r="F207" s="8" t="s">
        <v>488</v>
      </c>
      <c r="G207" s="8" t="s">
        <v>489</v>
      </c>
      <c r="H207" s="8" t="s">
        <v>490</v>
      </c>
      <c r="I207" s="8" t="s">
        <v>431</v>
      </c>
      <c r="J207" s="8" t="s">
        <v>159</v>
      </c>
      <c r="K207" s="8" t="s">
        <v>491</v>
      </c>
      <c r="L207" s="10">
        <v>43854.0</v>
      </c>
      <c r="M207" s="10">
        <v>45324.0</v>
      </c>
      <c r="N207" s="8" t="s">
        <v>422</v>
      </c>
      <c r="O207" s="8" t="s">
        <v>450</v>
      </c>
      <c r="P207" s="12">
        <v>44098.0</v>
      </c>
      <c r="Q207" s="13">
        <v>264022.0</v>
      </c>
      <c r="R207" s="8">
        <v>403103.0</v>
      </c>
    </row>
    <row r="208" ht="15.75" customHeight="1">
      <c r="A208" s="8" t="s">
        <v>485</v>
      </c>
      <c r="B208" s="8" t="s">
        <v>486</v>
      </c>
      <c r="C208" s="8" t="s">
        <v>415</v>
      </c>
      <c r="D208" s="8" t="s">
        <v>487</v>
      </c>
      <c r="E208" s="8" t="s">
        <v>20</v>
      </c>
      <c r="F208" s="8" t="s">
        <v>488</v>
      </c>
      <c r="G208" s="8" t="s">
        <v>489</v>
      </c>
      <c r="H208" s="8" t="s">
        <v>490</v>
      </c>
      <c r="I208" s="8" t="s">
        <v>431</v>
      </c>
      <c r="J208" s="8" t="s">
        <v>159</v>
      </c>
      <c r="K208" s="8" t="s">
        <v>491</v>
      </c>
      <c r="L208" s="10">
        <v>43854.0</v>
      </c>
      <c r="M208" s="10">
        <v>45324.0</v>
      </c>
      <c r="N208" s="8" t="s">
        <v>422</v>
      </c>
      <c r="O208" s="8" t="s">
        <v>450</v>
      </c>
      <c r="P208" s="14">
        <v>44128.0</v>
      </c>
      <c r="Q208" s="13">
        <v>354871.0</v>
      </c>
      <c r="R208" s="8">
        <v>403103.0</v>
      </c>
    </row>
    <row r="209" ht="15.75" customHeight="1">
      <c r="A209" s="8" t="s">
        <v>485</v>
      </c>
      <c r="B209" s="8" t="s">
        <v>486</v>
      </c>
      <c r="C209" s="8" t="s">
        <v>415</v>
      </c>
      <c r="D209" s="8" t="s">
        <v>487</v>
      </c>
      <c r="E209" s="8" t="s">
        <v>20</v>
      </c>
      <c r="F209" s="8" t="s">
        <v>488</v>
      </c>
      <c r="G209" s="8" t="s">
        <v>489</v>
      </c>
      <c r="H209" s="8" t="s">
        <v>490</v>
      </c>
      <c r="I209" s="8" t="s">
        <v>431</v>
      </c>
      <c r="J209" s="8" t="s">
        <v>159</v>
      </c>
      <c r="K209" s="8" t="s">
        <v>491</v>
      </c>
      <c r="L209" s="10">
        <v>43854.0</v>
      </c>
      <c r="M209" s="10">
        <v>45324.0</v>
      </c>
      <c r="N209" s="8" t="s">
        <v>422</v>
      </c>
      <c r="O209" s="8" t="s">
        <v>450</v>
      </c>
      <c r="P209" s="14">
        <v>44159.0</v>
      </c>
      <c r="Q209" s="13">
        <v>244865.0</v>
      </c>
      <c r="R209" s="8">
        <v>403103.0</v>
      </c>
    </row>
    <row r="210" ht="15.75" customHeight="1">
      <c r="A210" s="8" t="s">
        <v>485</v>
      </c>
      <c r="B210" s="8" t="s">
        <v>486</v>
      </c>
      <c r="C210" s="8" t="s">
        <v>415</v>
      </c>
      <c r="D210" s="8" t="s">
        <v>487</v>
      </c>
      <c r="E210" s="8" t="s">
        <v>20</v>
      </c>
      <c r="F210" s="8" t="s">
        <v>488</v>
      </c>
      <c r="G210" s="8" t="s">
        <v>489</v>
      </c>
      <c r="H210" s="8" t="s">
        <v>490</v>
      </c>
      <c r="I210" s="8" t="s">
        <v>431</v>
      </c>
      <c r="J210" s="8" t="s">
        <v>159</v>
      </c>
      <c r="K210" s="8" t="s">
        <v>491</v>
      </c>
      <c r="L210" s="10">
        <v>43854.0</v>
      </c>
      <c r="M210" s="10">
        <v>45324.0</v>
      </c>
      <c r="N210" s="8" t="s">
        <v>422</v>
      </c>
      <c r="O210" s="8" t="s">
        <v>450</v>
      </c>
      <c r="P210" s="14">
        <v>44189.0</v>
      </c>
      <c r="Q210" s="13">
        <v>325793.0</v>
      </c>
      <c r="R210" s="8">
        <v>403103.0</v>
      </c>
    </row>
    <row r="211" ht="15.75" customHeight="1">
      <c r="A211" s="8" t="s">
        <v>485</v>
      </c>
      <c r="B211" s="8" t="s">
        <v>486</v>
      </c>
      <c r="C211" s="8" t="s">
        <v>415</v>
      </c>
      <c r="D211" s="8" t="s">
        <v>487</v>
      </c>
      <c r="E211" s="8" t="s">
        <v>20</v>
      </c>
      <c r="F211" s="8" t="s">
        <v>488</v>
      </c>
      <c r="G211" s="8" t="s">
        <v>489</v>
      </c>
      <c r="H211" s="8" t="s">
        <v>490</v>
      </c>
      <c r="I211" s="8" t="s">
        <v>431</v>
      </c>
      <c r="J211" s="8" t="s">
        <v>159</v>
      </c>
      <c r="K211" s="8" t="s">
        <v>491</v>
      </c>
      <c r="L211" s="10">
        <v>43854.0</v>
      </c>
      <c r="M211" s="10">
        <v>45324.0</v>
      </c>
      <c r="N211" s="8" t="s">
        <v>422</v>
      </c>
      <c r="O211" s="8" t="s">
        <v>450</v>
      </c>
      <c r="P211" s="12">
        <v>44220.0</v>
      </c>
      <c r="Q211" s="13">
        <v>399685.0</v>
      </c>
      <c r="R211" s="8">
        <v>403103.0</v>
      </c>
    </row>
    <row r="212" ht="15.75" customHeight="1">
      <c r="A212" s="8" t="s">
        <v>485</v>
      </c>
      <c r="B212" s="8" t="s">
        <v>486</v>
      </c>
      <c r="C212" s="8" t="s">
        <v>415</v>
      </c>
      <c r="D212" s="8" t="s">
        <v>487</v>
      </c>
      <c r="E212" s="8" t="s">
        <v>20</v>
      </c>
      <c r="F212" s="8" t="s">
        <v>488</v>
      </c>
      <c r="G212" s="8" t="s">
        <v>489</v>
      </c>
      <c r="H212" s="8" t="s">
        <v>490</v>
      </c>
      <c r="I212" s="8" t="s">
        <v>431</v>
      </c>
      <c r="J212" s="8" t="s">
        <v>159</v>
      </c>
      <c r="K212" s="8" t="s">
        <v>491</v>
      </c>
      <c r="L212" s="10">
        <v>43854.0</v>
      </c>
      <c r="M212" s="10">
        <v>45324.0</v>
      </c>
      <c r="N212" s="8" t="s">
        <v>422</v>
      </c>
      <c r="O212" s="8" t="s">
        <v>450</v>
      </c>
      <c r="P212" s="12">
        <v>44251.0</v>
      </c>
      <c r="Q212" s="13">
        <v>486131.0</v>
      </c>
      <c r="R212" s="8">
        <v>403103.0</v>
      </c>
    </row>
    <row r="213" ht="15.75" customHeight="1">
      <c r="A213" s="8" t="s">
        <v>485</v>
      </c>
      <c r="B213" s="8" t="s">
        <v>486</v>
      </c>
      <c r="C213" s="8" t="s">
        <v>415</v>
      </c>
      <c r="D213" s="8" t="s">
        <v>487</v>
      </c>
      <c r="E213" s="8" t="s">
        <v>20</v>
      </c>
      <c r="F213" s="8" t="s">
        <v>488</v>
      </c>
      <c r="G213" s="8" t="s">
        <v>489</v>
      </c>
      <c r="H213" s="8" t="s">
        <v>490</v>
      </c>
      <c r="I213" s="8" t="s">
        <v>431</v>
      </c>
      <c r="J213" s="8" t="s">
        <v>159</v>
      </c>
      <c r="K213" s="8" t="s">
        <v>491</v>
      </c>
      <c r="L213" s="10">
        <v>43854.0</v>
      </c>
      <c r="M213" s="10">
        <v>45324.0</v>
      </c>
      <c r="N213" s="8" t="s">
        <v>422</v>
      </c>
      <c r="O213" s="8" t="s">
        <v>450</v>
      </c>
      <c r="P213" s="12">
        <v>44279.0</v>
      </c>
      <c r="Q213" s="13">
        <v>455211.0</v>
      </c>
      <c r="R213" s="8">
        <v>403103.0</v>
      </c>
    </row>
    <row r="214" ht="15.75" customHeight="1">
      <c r="A214" s="8" t="s">
        <v>485</v>
      </c>
      <c r="B214" s="8" t="s">
        <v>486</v>
      </c>
      <c r="C214" s="8" t="s">
        <v>415</v>
      </c>
      <c r="D214" s="8" t="s">
        <v>487</v>
      </c>
      <c r="E214" s="8" t="s">
        <v>20</v>
      </c>
      <c r="F214" s="8" t="s">
        <v>488</v>
      </c>
      <c r="G214" s="8" t="s">
        <v>489</v>
      </c>
      <c r="H214" s="8" t="s">
        <v>490</v>
      </c>
      <c r="I214" s="8" t="s">
        <v>431</v>
      </c>
      <c r="J214" s="8" t="s">
        <v>159</v>
      </c>
      <c r="K214" s="8" t="s">
        <v>491</v>
      </c>
      <c r="L214" s="10">
        <v>43854.0</v>
      </c>
      <c r="M214" s="10">
        <v>45324.0</v>
      </c>
      <c r="N214" s="8" t="s">
        <v>422</v>
      </c>
      <c r="O214" s="8" t="s">
        <v>450</v>
      </c>
      <c r="P214" s="12">
        <v>44310.0</v>
      </c>
      <c r="Q214" s="13">
        <v>334904.0</v>
      </c>
      <c r="R214" s="8">
        <v>403103.0</v>
      </c>
    </row>
    <row r="215" ht="15.75" customHeight="1">
      <c r="A215" s="8" t="s">
        <v>485</v>
      </c>
      <c r="B215" s="8" t="s">
        <v>486</v>
      </c>
      <c r="C215" s="8" t="s">
        <v>415</v>
      </c>
      <c r="D215" s="8" t="s">
        <v>487</v>
      </c>
      <c r="E215" s="8" t="s">
        <v>20</v>
      </c>
      <c r="F215" s="8" t="s">
        <v>488</v>
      </c>
      <c r="G215" s="8" t="s">
        <v>489</v>
      </c>
      <c r="H215" s="8" t="s">
        <v>490</v>
      </c>
      <c r="I215" s="8" t="s">
        <v>431</v>
      </c>
      <c r="J215" s="8" t="s">
        <v>159</v>
      </c>
      <c r="K215" s="8" t="s">
        <v>491</v>
      </c>
      <c r="L215" s="10">
        <v>43854.0</v>
      </c>
      <c r="M215" s="10">
        <v>45324.0</v>
      </c>
      <c r="N215" s="8" t="s">
        <v>422</v>
      </c>
      <c r="O215" s="8" t="s">
        <v>450</v>
      </c>
      <c r="P215" s="12">
        <v>44340.0</v>
      </c>
      <c r="Q215" s="13">
        <v>268278.0</v>
      </c>
      <c r="R215" s="8">
        <v>403103.0</v>
      </c>
    </row>
    <row r="216" ht="15.75" customHeight="1">
      <c r="A216" s="8" t="s">
        <v>485</v>
      </c>
      <c r="B216" s="8" t="s">
        <v>486</v>
      </c>
      <c r="C216" s="8" t="s">
        <v>415</v>
      </c>
      <c r="D216" s="8" t="s">
        <v>487</v>
      </c>
      <c r="E216" s="8" t="s">
        <v>20</v>
      </c>
      <c r="F216" s="8" t="s">
        <v>488</v>
      </c>
      <c r="G216" s="8" t="s">
        <v>489</v>
      </c>
      <c r="H216" s="8" t="s">
        <v>490</v>
      </c>
      <c r="I216" s="8" t="s">
        <v>431</v>
      </c>
      <c r="J216" s="8" t="s">
        <v>159</v>
      </c>
      <c r="K216" s="8" t="s">
        <v>491</v>
      </c>
      <c r="L216" s="10">
        <v>43854.0</v>
      </c>
      <c r="M216" s="10">
        <v>45324.0</v>
      </c>
      <c r="N216" s="8" t="s">
        <v>422</v>
      </c>
      <c r="O216" s="8" t="s">
        <v>450</v>
      </c>
      <c r="P216" s="12">
        <v>44371.0</v>
      </c>
      <c r="Q216" s="13">
        <v>486280.0</v>
      </c>
      <c r="R216" s="8">
        <v>403103.0</v>
      </c>
    </row>
    <row r="217" ht="15.75" customHeight="1">
      <c r="A217" s="8" t="s">
        <v>485</v>
      </c>
      <c r="B217" s="8" t="s">
        <v>486</v>
      </c>
      <c r="C217" s="8" t="s">
        <v>415</v>
      </c>
      <c r="D217" s="8" t="s">
        <v>487</v>
      </c>
      <c r="E217" s="8" t="s">
        <v>20</v>
      </c>
      <c r="F217" s="8" t="s">
        <v>488</v>
      </c>
      <c r="G217" s="8" t="s">
        <v>489</v>
      </c>
      <c r="H217" s="8" t="s">
        <v>490</v>
      </c>
      <c r="I217" s="8" t="s">
        <v>431</v>
      </c>
      <c r="J217" s="8" t="s">
        <v>159</v>
      </c>
      <c r="K217" s="8" t="s">
        <v>491</v>
      </c>
      <c r="L217" s="10">
        <v>43854.0</v>
      </c>
      <c r="M217" s="10">
        <v>45324.0</v>
      </c>
      <c r="N217" s="8" t="s">
        <v>422</v>
      </c>
      <c r="O217" s="8" t="s">
        <v>450</v>
      </c>
      <c r="P217" s="12">
        <v>44401.0</v>
      </c>
      <c r="Q217" s="13">
        <v>335920.0</v>
      </c>
      <c r="R217" s="8">
        <v>403103.0</v>
      </c>
    </row>
    <row r="218" ht="15.75" customHeight="1">
      <c r="A218" s="8" t="s">
        <v>485</v>
      </c>
      <c r="B218" s="8" t="s">
        <v>486</v>
      </c>
      <c r="C218" s="8" t="s">
        <v>415</v>
      </c>
      <c r="D218" s="8" t="s">
        <v>487</v>
      </c>
      <c r="E218" s="8" t="s">
        <v>20</v>
      </c>
      <c r="F218" s="8" t="s">
        <v>488</v>
      </c>
      <c r="G218" s="8" t="s">
        <v>489</v>
      </c>
      <c r="H218" s="8" t="s">
        <v>490</v>
      </c>
      <c r="I218" s="8" t="s">
        <v>431</v>
      </c>
      <c r="J218" s="8" t="s">
        <v>159</v>
      </c>
      <c r="K218" s="8" t="s">
        <v>491</v>
      </c>
      <c r="L218" s="10">
        <v>43854.0</v>
      </c>
      <c r="M218" s="10">
        <v>45324.0</v>
      </c>
      <c r="N218" s="8" t="s">
        <v>422</v>
      </c>
      <c r="O218" s="8" t="s">
        <v>450</v>
      </c>
      <c r="P218" s="12">
        <v>44432.0</v>
      </c>
      <c r="Q218" s="13">
        <v>581841.0</v>
      </c>
      <c r="R218" s="8">
        <v>403103.0</v>
      </c>
    </row>
    <row r="219" ht="15.75" customHeight="1">
      <c r="A219" s="8" t="s">
        <v>485</v>
      </c>
      <c r="B219" s="8" t="s">
        <v>486</v>
      </c>
      <c r="C219" s="8" t="s">
        <v>415</v>
      </c>
      <c r="D219" s="8" t="s">
        <v>487</v>
      </c>
      <c r="E219" s="8" t="s">
        <v>20</v>
      </c>
      <c r="F219" s="8" t="s">
        <v>488</v>
      </c>
      <c r="G219" s="8" t="s">
        <v>489</v>
      </c>
      <c r="H219" s="8" t="s">
        <v>490</v>
      </c>
      <c r="I219" s="8" t="s">
        <v>431</v>
      </c>
      <c r="J219" s="8" t="s">
        <v>159</v>
      </c>
      <c r="K219" s="8" t="s">
        <v>491</v>
      </c>
      <c r="L219" s="10">
        <v>43854.0</v>
      </c>
      <c r="M219" s="10">
        <v>45324.0</v>
      </c>
      <c r="N219" s="8" t="s">
        <v>422</v>
      </c>
      <c r="O219" s="8" t="s">
        <v>450</v>
      </c>
      <c r="P219" s="12">
        <v>44463.0</v>
      </c>
      <c r="Q219" s="13">
        <v>294729.0</v>
      </c>
      <c r="R219" s="8">
        <v>403103.0</v>
      </c>
    </row>
    <row r="220" ht="15.75" customHeight="1">
      <c r="A220" s="8" t="s">
        <v>485</v>
      </c>
      <c r="B220" s="8" t="s">
        <v>486</v>
      </c>
      <c r="C220" s="8" t="s">
        <v>415</v>
      </c>
      <c r="D220" s="8" t="s">
        <v>487</v>
      </c>
      <c r="E220" s="8" t="s">
        <v>20</v>
      </c>
      <c r="F220" s="8" t="s">
        <v>488</v>
      </c>
      <c r="G220" s="8" t="s">
        <v>489</v>
      </c>
      <c r="H220" s="8" t="s">
        <v>490</v>
      </c>
      <c r="I220" s="8" t="s">
        <v>431</v>
      </c>
      <c r="J220" s="8" t="s">
        <v>159</v>
      </c>
      <c r="K220" s="8" t="s">
        <v>491</v>
      </c>
      <c r="L220" s="10">
        <v>43854.0</v>
      </c>
      <c r="M220" s="10">
        <v>45324.0</v>
      </c>
      <c r="N220" s="8" t="s">
        <v>422</v>
      </c>
      <c r="O220" s="8" t="s">
        <v>450</v>
      </c>
      <c r="P220" s="14">
        <v>44493.0</v>
      </c>
      <c r="Q220" s="13">
        <v>545689.0</v>
      </c>
      <c r="R220" s="8">
        <v>403103.0</v>
      </c>
    </row>
    <row r="221" ht="15.75" customHeight="1">
      <c r="A221" s="8" t="s">
        <v>485</v>
      </c>
      <c r="B221" s="8" t="s">
        <v>486</v>
      </c>
      <c r="C221" s="8" t="s">
        <v>415</v>
      </c>
      <c r="D221" s="8" t="s">
        <v>487</v>
      </c>
      <c r="E221" s="8" t="s">
        <v>20</v>
      </c>
      <c r="F221" s="8" t="s">
        <v>488</v>
      </c>
      <c r="G221" s="8" t="s">
        <v>489</v>
      </c>
      <c r="H221" s="8" t="s">
        <v>490</v>
      </c>
      <c r="I221" s="8" t="s">
        <v>431</v>
      </c>
      <c r="J221" s="8" t="s">
        <v>159</v>
      </c>
      <c r="K221" s="8" t="s">
        <v>491</v>
      </c>
      <c r="L221" s="10">
        <v>43854.0</v>
      </c>
      <c r="M221" s="10">
        <v>45324.0</v>
      </c>
      <c r="N221" s="8" t="s">
        <v>422</v>
      </c>
      <c r="O221" s="8" t="s">
        <v>450</v>
      </c>
      <c r="P221" s="14">
        <v>44524.0</v>
      </c>
      <c r="Q221" s="13">
        <v>347660.0</v>
      </c>
      <c r="R221" s="8">
        <v>403103.0</v>
      </c>
    </row>
    <row r="222" ht="15.75" customHeight="1">
      <c r="A222" s="8" t="s">
        <v>485</v>
      </c>
      <c r="B222" s="8" t="s">
        <v>486</v>
      </c>
      <c r="C222" s="8" t="s">
        <v>415</v>
      </c>
      <c r="D222" s="8" t="s">
        <v>487</v>
      </c>
      <c r="E222" s="8" t="s">
        <v>20</v>
      </c>
      <c r="F222" s="8" t="s">
        <v>488</v>
      </c>
      <c r="G222" s="8" t="s">
        <v>489</v>
      </c>
      <c r="H222" s="8" t="s">
        <v>490</v>
      </c>
      <c r="I222" s="8" t="s">
        <v>431</v>
      </c>
      <c r="J222" s="8" t="s">
        <v>159</v>
      </c>
      <c r="K222" s="8" t="s">
        <v>491</v>
      </c>
      <c r="L222" s="10">
        <v>43854.0</v>
      </c>
      <c r="M222" s="10">
        <v>45324.0</v>
      </c>
      <c r="N222" s="8" t="s">
        <v>422</v>
      </c>
      <c r="O222" s="8" t="s">
        <v>450</v>
      </c>
      <c r="P222" s="14">
        <v>44554.0</v>
      </c>
      <c r="Q222" s="13">
        <v>416591.0</v>
      </c>
      <c r="R222" s="8">
        <v>403103.0</v>
      </c>
    </row>
    <row r="223" ht="15.75" customHeight="1">
      <c r="A223" s="8" t="s">
        <v>485</v>
      </c>
      <c r="B223" s="8" t="s">
        <v>486</v>
      </c>
      <c r="C223" s="8" t="s">
        <v>415</v>
      </c>
      <c r="D223" s="8" t="s">
        <v>487</v>
      </c>
      <c r="E223" s="8" t="s">
        <v>20</v>
      </c>
      <c r="F223" s="8" t="s">
        <v>488</v>
      </c>
      <c r="G223" s="8" t="s">
        <v>489</v>
      </c>
      <c r="H223" s="8" t="s">
        <v>490</v>
      </c>
      <c r="I223" s="8" t="s">
        <v>431</v>
      </c>
      <c r="J223" s="8" t="s">
        <v>159</v>
      </c>
      <c r="K223" s="8" t="s">
        <v>491</v>
      </c>
      <c r="L223" s="10">
        <v>43854.0</v>
      </c>
      <c r="M223" s="10">
        <v>45324.0</v>
      </c>
      <c r="N223" s="8" t="s">
        <v>422</v>
      </c>
      <c r="O223" s="8" t="s">
        <v>450</v>
      </c>
      <c r="P223" s="12">
        <v>44585.0</v>
      </c>
      <c r="Q223" s="13">
        <v>572610.0</v>
      </c>
      <c r="R223" s="8">
        <v>403103.0</v>
      </c>
    </row>
    <row r="224" ht="15.75" customHeight="1">
      <c r="A224" s="8" t="s">
        <v>485</v>
      </c>
      <c r="B224" s="8" t="s">
        <v>486</v>
      </c>
      <c r="C224" s="8" t="s">
        <v>415</v>
      </c>
      <c r="D224" s="8" t="s">
        <v>487</v>
      </c>
      <c r="E224" s="8" t="s">
        <v>20</v>
      </c>
      <c r="F224" s="8" t="s">
        <v>488</v>
      </c>
      <c r="G224" s="8" t="s">
        <v>489</v>
      </c>
      <c r="H224" s="8" t="s">
        <v>490</v>
      </c>
      <c r="I224" s="8" t="s">
        <v>431</v>
      </c>
      <c r="J224" s="8" t="s">
        <v>159</v>
      </c>
      <c r="K224" s="8" t="s">
        <v>491</v>
      </c>
      <c r="L224" s="10">
        <v>43854.0</v>
      </c>
      <c r="M224" s="10">
        <v>45324.0</v>
      </c>
      <c r="N224" s="8" t="s">
        <v>422</v>
      </c>
      <c r="O224" s="8" t="s">
        <v>450</v>
      </c>
      <c r="P224" s="12">
        <v>44616.0</v>
      </c>
      <c r="Q224" s="13">
        <v>317989.0</v>
      </c>
      <c r="R224" s="8">
        <v>403103.0</v>
      </c>
    </row>
    <row r="225" ht="15.75" customHeight="1">
      <c r="A225" s="8" t="s">
        <v>485</v>
      </c>
      <c r="B225" s="8" t="s">
        <v>486</v>
      </c>
      <c r="C225" s="8" t="s">
        <v>415</v>
      </c>
      <c r="D225" s="8" t="s">
        <v>487</v>
      </c>
      <c r="E225" s="8" t="s">
        <v>20</v>
      </c>
      <c r="F225" s="8" t="s">
        <v>488</v>
      </c>
      <c r="G225" s="8" t="s">
        <v>489</v>
      </c>
      <c r="H225" s="8" t="s">
        <v>490</v>
      </c>
      <c r="I225" s="8" t="s">
        <v>431</v>
      </c>
      <c r="J225" s="8" t="s">
        <v>159</v>
      </c>
      <c r="K225" s="8" t="s">
        <v>491</v>
      </c>
      <c r="L225" s="10">
        <v>43854.0</v>
      </c>
      <c r="M225" s="10">
        <v>45324.0</v>
      </c>
      <c r="N225" s="8" t="s">
        <v>422</v>
      </c>
      <c r="O225" s="8" t="s">
        <v>450</v>
      </c>
      <c r="P225" s="12">
        <v>44644.0</v>
      </c>
      <c r="Q225" s="13">
        <v>477604.0</v>
      </c>
      <c r="R225" s="8">
        <v>403103.0</v>
      </c>
    </row>
    <row r="226" ht="15.75" customHeight="1">
      <c r="A226" s="8" t="s">
        <v>485</v>
      </c>
      <c r="B226" s="8" t="s">
        <v>486</v>
      </c>
      <c r="C226" s="8" t="s">
        <v>415</v>
      </c>
      <c r="D226" s="8" t="s">
        <v>487</v>
      </c>
      <c r="E226" s="8" t="s">
        <v>20</v>
      </c>
      <c r="F226" s="8" t="s">
        <v>488</v>
      </c>
      <c r="G226" s="8" t="s">
        <v>489</v>
      </c>
      <c r="H226" s="8" t="s">
        <v>490</v>
      </c>
      <c r="I226" s="8" t="s">
        <v>431</v>
      </c>
      <c r="J226" s="8" t="s">
        <v>159</v>
      </c>
      <c r="K226" s="8" t="s">
        <v>491</v>
      </c>
      <c r="L226" s="10">
        <v>43854.0</v>
      </c>
      <c r="M226" s="10">
        <v>45324.0</v>
      </c>
      <c r="N226" s="8" t="s">
        <v>422</v>
      </c>
      <c r="O226" s="8" t="s">
        <v>450</v>
      </c>
      <c r="P226" s="12">
        <v>44675.0</v>
      </c>
      <c r="Q226" s="13">
        <v>484857.0</v>
      </c>
      <c r="R226" s="8">
        <v>403103.0</v>
      </c>
    </row>
    <row r="227" ht="15.75" customHeight="1">
      <c r="A227" s="8" t="s">
        <v>485</v>
      </c>
      <c r="B227" s="8" t="s">
        <v>486</v>
      </c>
      <c r="C227" s="8" t="s">
        <v>415</v>
      </c>
      <c r="D227" s="8" t="s">
        <v>487</v>
      </c>
      <c r="E227" s="8" t="s">
        <v>20</v>
      </c>
      <c r="F227" s="8" t="s">
        <v>488</v>
      </c>
      <c r="G227" s="8" t="s">
        <v>489</v>
      </c>
      <c r="H227" s="8" t="s">
        <v>490</v>
      </c>
      <c r="I227" s="8" t="s">
        <v>431</v>
      </c>
      <c r="J227" s="8" t="s">
        <v>159</v>
      </c>
      <c r="K227" s="8" t="s">
        <v>491</v>
      </c>
      <c r="L227" s="10">
        <v>43854.0</v>
      </c>
      <c r="M227" s="10">
        <v>45324.0</v>
      </c>
      <c r="N227" s="8" t="s">
        <v>422</v>
      </c>
      <c r="O227" s="8" t="s">
        <v>450</v>
      </c>
      <c r="P227" s="12">
        <v>44705.0</v>
      </c>
      <c r="Q227" s="13">
        <v>299187.0</v>
      </c>
      <c r="R227" s="8">
        <v>403103.0</v>
      </c>
    </row>
    <row r="228" ht="15.75" customHeight="1">
      <c r="A228" s="8" t="s">
        <v>485</v>
      </c>
      <c r="B228" s="8" t="s">
        <v>486</v>
      </c>
      <c r="C228" s="8" t="s">
        <v>415</v>
      </c>
      <c r="D228" s="8" t="s">
        <v>487</v>
      </c>
      <c r="E228" s="8" t="s">
        <v>20</v>
      </c>
      <c r="F228" s="8" t="s">
        <v>488</v>
      </c>
      <c r="G228" s="8" t="s">
        <v>489</v>
      </c>
      <c r="H228" s="8" t="s">
        <v>490</v>
      </c>
      <c r="I228" s="8" t="s">
        <v>431</v>
      </c>
      <c r="J228" s="8" t="s">
        <v>159</v>
      </c>
      <c r="K228" s="8" t="s">
        <v>491</v>
      </c>
      <c r="L228" s="10">
        <v>43854.0</v>
      </c>
      <c r="M228" s="10">
        <v>45324.0</v>
      </c>
      <c r="N228" s="8" t="s">
        <v>422</v>
      </c>
      <c r="O228" s="8" t="s">
        <v>450</v>
      </c>
      <c r="P228" s="12">
        <v>44736.0</v>
      </c>
      <c r="Q228" s="13">
        <v>361284.0</v>
      </c>
      <c r="R228" s="8">
        <v>403103.0</v>
      </c>
    </row>
    <row r="229" ht="15.75" customHeight="1">
      <c r="A229" s="8" t="s">
        <v>485</v>
      </c>
      <c r="B229" s="8" t="s">
        <v>486</v>
      </c>
      <c r="C229" s="8" t="s">
        <v>415</v>
      </c>
      <c r="D229" s="8" t="s">
        <v>487</v>
      </c>
      <c r="E229" s="8" t="s">
        <v>20</v>
      </c>
      <c r="F229" s="8" t="s">
        <v>488</v>
      </c>
      <c r="G229" s="8" t="s">
        <v>489</v>
      </c>
      <c r="H229" s="8" t="s">
        <v>490</v>
      </c>
      <c r="I229" s="8" t="s">
        <v>431</v>
      </c>
      <c r="J229" s="8" t="s">
        <v>159</v>
      </c>
      <c r="K229" s="8" t="s">
        <v>491</v>
      </c>
      <c r="L229" s="10">
        <v>43854.0</v>
      </c>
      <c r="M229" s="10">
        <v>45324.0</v>
      </c>
      <c r="N229" s="8" t="s">
        <v>422</v>
      </c>
      <c r="O229" s="8" t="s">
        <v>450</v>
      </c>
      <c r="P229" s="12">
        <v>44766.0</v>
      </c>
      <c r="Q229" s="13">
        <v>375092.0</v>
      </c>
      <c r="R229" s="8">
        <v>403103.0</v>
      </c>
    </row>
    <row r="230" ht="15.75" customHeight="1">
      <c r="A230" s="8" t="s">
        <v>485</v>
      </c>
      <c r="B230" s="8" t="s">
        <v>486</v>
      </c>
      <c r="C230" s="8" t="s">
        <v>415</v>
      </c>
      <c r="D230" s="8" t="s">
        <v>487</v>
      </c>
      <c r="E230" s="8" t="s">
        <v>20</v>
      </c>
      <c r="F230" s="8" t="s">
        <v>488</v>
      </c>
      <c r="G230" s="8" t="s">
        <v>489</v>
      </c>
      <c r="H230" s="8" t="s">
        <v>490</v>
      </c>
      <c r="I230" s="8" t="s">
        <v>431</v>
      </c>
      <c r="J230" s="8" t="s">
        <v>159</v>
      </c>
      <c r="K230" s="8" t="s">
        <v>491</v>
      </c>
      <c r="L230" s="10">
        <v>43854.0</v>
      </c>
      <c r="M230" s="10">
        <v>45324.0</v>
      </c>
      <c r="N230" s="8" t="s">
        <v>422</v>
      </c>
      <c r="O230" s="8" t="s">
        <v>450</v>
      </c>
      <c r="P230" s="12">
        <v>44797.0</v>
      </c>
      <c r="Q230" s="13">
        <v>378265.0</v>
      </c>
      <c r="R230" s="8">
        <v>403103.0</v>
      </c>
    </row>
    <row r="231" ht="15.75" customHeight="1">
      <c r="A231" s="8" t="s">
        <v>485</v>
      </c>
      <c r="B231" s="8" t="s">
        <v>486</v>
      </c>
      <c r="C231" s="8" t="s">
        <v>415</v>
      </c>
      <c r="D231" s="8" t="s">
        <v>487</v>
      </c>
      <c r="E231" s="8" t="s">
        <v>20</v>
      </c>
      <c r="F231" s="8" t="s">
        <v>488</v>
      </c>
      <c r="G231" s="8" t="s">
        <v>489</v>
      </c>
      <c r="H231" s="8" t="s">
        <v>490</v>
      </c>
      <c r="I231" s="8" t="s">
        <v>431</v>
      </c>
      <c r="J231" s="8" t="s">
        <v>159</v>
      </c>
      <c r="K231" s="8" t="s">
        <v>491</v>
      </c>
      <c r="L231" s="10">
        <v>43854.0</v>
      </c>
      <c r="M231" s="10">
        <v>45324.0</v>
      </c>
      <c r="N231" s="8" t="s">
        <v>422</v>
      </c>
      <c r="O231" s="8" t="s">
        <v>450</v>
      </c>
      <c r="P231" s="12">
        <v>44828.0</v>
      </c>
      <c r="Q231" s="13">
        <v>398047.0</v>
      </c>
      <c r="R231" s="8">
        <v>403103.0</v>
      </c>
    </row>
    <row r="232" ht="15.75" customHeight="1">
      <c r="A232" s="8" t="s">
        <v>485</v>
      </c>
      <c r="B232" s="8" t="s">
        <v>486</v>
      </c>
      <c r="C232" s="8" t="s">
        <v>415</v>
      </c>
      <c r="D232" s="8" t="s">
        <v>487</v>
      </c>
      <c r="E232" s="8" t="s">
        <v>20</v>
      </c>
      <c r="F232" s="8" t="s">
        <v>488</v>
      </c>
      <c r="G232" s="8" t="s">
        <v>489</v>
      </c>
      <c r="H232" s="8" t="s">
        <v>490</v>
      </c>
      <c r="I232" s="8" t="s">
        <v>431</v>
      </c>
      <c r="J232" s="8" t="s">
        <v>159</v>
      </c>
      <c r="K232" s="8" t="s">
        <v>491</v>
      </c>
      <c r="L232" s="10">
        <v>43854.0</v>
      </c>
      <c r="M232" s="10">
        <v>45324.0</v>
      </c>
      <c r="N232" s="8" t="s">
        <v>422</v>
      </c>
      <c r="O232" s="8" t="s">
        <v>450</v>
      </c>
      <c r="P232" s="14">
        <v>44858.0</v>
      </c>
      <c r="Q232" s="13">
        <v>529570.0</v>
      </c>
      <c r="R232" s="8">
        <v>403103.0</v>
      </c>
    </row>
    <row r="233" ht="15.75" customHeight="1">
      <c r="A233" s="8" t="s">
        <v>485</v>
      </c>
      <c r="B233" s="8" t="s">
        <v>486</v>
      </c>
      <c r="C233" s="8" t="s">
        <v>415</v>
      </c>
      <c r="D233" s="8" t="s">
        <v>487</v>
      </c>
      <c r="E233" s="8" t="s">
        <v>20</v>
      </c>
      <c r="F233" s="8" t="s">
        <v>488</v>
      </c>
      <c r="G233" s="8" t="s">
        <v>489</v>
      </c>
      <c r="H233" s="8" t="s">
        <v>490</v>
      </c>
      <c r="I233" s="8" t="s">
        <v>431</v>
      </c>
      <c r="J233" s="8" t="s">
        <v>159</v>
      </c>
      <c r="K233" s="8" t="s">
        <v>491</v>
      </c>
      <c r="L233" s="10">
        <v>43854.0</v>
      </c>
      <c r="M233" s="10">
        <v>45324.0</v>
      </c>
      <c r="N233" s="8" t="s">
        <v>422</v>
      </c>
      <c r="O233" s="8" t="s">
        <v>450</v>
      </c>
      <c r="P233" s="14">
        <v>44889.0</v>
      </c>
      <c r="Q233" s="13">
        <v>572356.0</v>
      </c>
      <c r="R233" s="8">
        <v>403103.0</v>
      </c>
    </row>
    <row r="234" ht="15.75" customHeight="1">
      <c r="A234" s="8" t="s">
        <v>485</v>
      </c>
      <c r="B234" s="8" t="s">
        <v>486</v>
      </c>
      <c r="C234" s="8" t="s">
        <v>415</v>
      </c>
      <c r="D234" s="8" t="s">
        <v>487</v>
      </c>
      <c r="E234" s="8" t="s">
        <v>20</v>
      </c>
      <c r="F234" s="8" t="s">
        <v>488</v>
      </c>
      <c r="G234" s="8" t="s">
        <v>489</v>
      </c>
      <c r="H234" s="8" t="s">
        <v>490</v>
      </c>
      <c r="I234" s="8" t="s">
        <v>431</v>
      </c>
      <c r="J234" s="8" t="s">
        <v>159</v>
      </c>
      <c r="K234" s="8" t="s">
        <v>491</v>
      </c>
      <c r="L234" s="10">
        <v>43854.0</v>
      </c>
      <c r="M234" s="10">
        <v>45324.0</v>
      </c>
      <c r="N234" s="8" t="s">
        <v>422</v>
      </c>
      <c r="O234" s="8" t="s">
        <v>450</v>
      </c>
      <c r="P234" s="14">
        <v>44919.0</v>
      </c>
      <c r="Q234" s="13">
        <v>280450.0</v>
      </c>
      <c r="R234" s="8">
        <v>403103.0</v>
      </c>
    </row>
    <row r="235" ht="15.75" customHeight="1">
      <c r="A235" s="8" t="s">
        <v>485</v>
      </c>
      <c r="B235" s="8" t="s">
        <v>486</v>
      </c>
      <c r="C235" s="8" t="s">
        <v>415</v>
      </c>
      <c r="D235" s="8" t="s">
        <v>487</v>
      </c>
      <c r="E235" s="8" t="s">
        <v>20</v>
      </c>
      <c r="F235" s="8" t="s">
        <v>488</v>
      </c>
      <c r="G235" s="8" t="s">
        <v>489</v>
      </c>
      <c r="H235" s="8" t="s">
        <v>490</v>
      </c>
      <c r="I235" s="8" t="s">
        <v>431</v>
      </c>
      <c r="J235" s="8" t="s">
        <v>159</v>
      </c>
      <c r="K235" s="8" t="s">
        <v>491</v>
      </c>
      <c r="L235" s="10">
        <v>43854.0</v>
      </c>
      <c r="M235" s="10">
        <v>45324.0</v>
      </c>
      <c r="N235" s="8" t="s">
        <v>422</v>
      </c>
      <c r="O235" s="8" t="s">
        <v>450</v>
      </c>
      <c r="P235" s="12">
        <v>44950.0</v>
      </c>
      <c r="Q235" s="13">
        <v>233279.0</v>
      </c>
      <c r="R235" s="8">
        <v>403103.0</v>
      </c>
    </row>
    <row r="236" ht="15.75" customHeight="1">
      <c r="A236" s="8" t="s">
        <v>492</v>
      </c>
      <c r="B236" s="8" t="s">
        <v>493</v>
      </c>
      <c r="C236" s="8" t="s">
        <v>415</v>
      </c>
      <c r="D236" s="8" t="s">
        <v>494</v>
      </c>
      <c r="E236" s="8" t="s">
        <v>20</v>
      </c>
      <c r="F236" s="8" t="s">
        <v>495</v>
      </c>
      <c r="G236" s="8" t="s">
        <v>496</v>
      </c>
      <c r="H236" s="8" t="s">
        <v>20</v>
      </c>
      <c r="I236" s="8" t="s">
        <v>20</v>
      </c>
      <c r="J236" s="8" t="s">
        <v>159</v>
      </c>
      <c r="K236" s="8" t="s">
        <v>497</v>
      </c>
      <c r="L236" s="10">
        <v>44951.0</v>
      </c>
      <c r="N236" s="8" t="s">
        <v>434</v>
      </c>
      <c r="O236" s="8" t="s">
        <v>423</v>
      </c>
      <c r="P236" s="12">
        <v>44951.0</v>
      </c>
      <c r="Q236" s="13">
        <v>329609.0</v>
      </c>
      <c r="R236" s="8">
        <v>403103.0</v>
      </c>
    </row>
    <row r="237" ht="15.75" customHeight="1">
      <c r="A237" s="8" t="s">
        <v>492</v>
      </c>
      <c r="B237" s="8" t="s">
        <v>493</v>
      </c>
      <c r="C237" s="8" t="s">
        <v>415</v>
      </c>
      <c r="D237" s="8" t="s">
        <v>494</v>
      </c>
      <c r="E237" s="8" t="s">
        <v>20</v>
      </c>
      <c r="F237" s="8" t="s">
        <v>495</v>
      </c>
      <c r="G237" s="8" t="s">
        <v>496</v>
      </c>
      <c r="H237" s="8" t="s">
        <v>20</v>
      </c>
      <c r="I237" s="8" t="s">
        <v>20</v>
      </c>
      <c r="J237" s="8" t="s">
        <v>159</v>
      </c>
      <c r="K237" s="8" t="s">
        <v>497</v>
      </c>
      <c r="L237" s="10">
        <v>44951.0</v>
      </c>
      <c r="N237" s="8" t="s">
        <v>434</v>
      </c>
      <c r="O237" s="8" t="s">
        <v>423</v>
      </c>
      <c r="P237" s="12">
        <v>44995.0</v>
      </c>
      <c r="Q237" s="13">
        <v>280069.0</v>
      </c>
      <c r="R237" s="8">
        <v>403103.0</v>
      </c>
    </row>
    <row r="238" ht="15.75" customHeight="1">
      <c r="A238" s="8" t="s">
        <v>492</v>
      </c>
      <c r="B238" s="8" t="s">
        <v>493</v>
      </c>
      <c r="C238" s="8" t="s">
        <v>415</v>
      </c>
      <c r="D238" s="8" t="s">
        <v>494</v>
      </c>
      <c r="E238" s="8" t="s">
        <v>20</v>
      </c>
      <c r="F238" s="8" t="s">
        <v>495</v>
      </c>
      <c r="G238" s="8" t="s">
        <v>496</v>
      </c>
      <c r="H238" s="8" t="s">
        <v>20</v>
      </c>
      <c r="I238" s="8" t="s">
        <v>20</v>
      </c>
      <c r="J238" s="8" t="s">
        <v>159</v>
      </c>
      <c r="K238" s="8" t="s">
        <v>497</v>
      </c>
      <c r="L238" s="10">
        <v>44951.0</v>
      </c>
      <c r="N238" s="8" t="s">
        <v>434</v>
      </c>
      <c r="O238" s="8" t="s">
        <v>423</v>
      </c>
      <c r="P238" s="12">
        <v>45064.0</v>
      </c>
      <c r="Q238" s="13">
        <v>258235.0</v>
      </c>
      <c r="R238" s="8">
        <v>403103.0</v>
      </c>
    </row>
    <row r="239" ht="15.75" customHeight="1">
      <c r="A239" s="8" t="s">
        <v>492</v>
      </c>
      <c r="B239" s="8" t="s">
        <v>493</v>
      </c>
      <c r="C239" s="8" t="s">
        <v>415</v>
      </c>
      <c r="D239" s="8" t="s">
        <v>494</v>
      </c>
      <c r="E239" s="8" t="s">
        <v>20</v>
      </c>
      <c r="F239" s="8" t="s">
        <v>495</v>
      </c>
      <c r="G239" s="8" t="s">
        <v>496</v>
      </c>
      <c r="H239" s="8" t="s">
        <v>20</v>
      </c>
      <c r="I239" s="8" t="s">
        <v>20</v>
      </c>
      <c r="J239" s="8" t="s">
        <v>159</v>
      </c>
      <c r="K239" s="8" t="s">
        <v>497</v>
      </c>
      <c r="L239" s="10">
        <v>44951.0</v>
      </c>
      <c r="N239" s="8" t="s">
        <v>434</v>
      </c>
      <c r="O239" s="8" t="s">
        <v>423</v>
      </c>
      <c r="P239" s="12">
        <v>45114.0</v>
      </c>
      <c r="Q239" s="13">
        <v>371932.0</v>
      </c>
      <c r="R239" s="8">
        <v>403103.0</v>
      </c>
    </row>
    <row r="240" ht="15.75" customHeight="1">
      <c r="A240" s="8" t="s">
        <v>492</v>
      </c>
      <c r="B240" s="8" t="s">
        <v>493</v>
      </c>
      <c r="C240" s="8" t="s">
        <v>415</v>
      </c>
      <c r="D240" s="8" t="s">
        <v>494</v>
      </c>
      <c r="E240" s="8" t="s">
        <v>20</v>
      </c>
      <c r="F240" s="8" t="s">
        <v>495</v>
      </c>
      <c r="G240" s="8" t="s">
        <v>496</v>
      </c>
      <c r="H240" s="8" t="s">
        <v>20</v>
      </c>
      <c r="I240" s="8" t="s">
        <v>20</v>
      </c>
      <c r="J240" s="8" t="s">
        <v>159</v>
      </c>
      <c r="K240" s="8" t="s">
        <v>497</v>
      </c>
      <c r="L240" s="10">
        <v>44951.0</v>
      </c>
      <c r="N240" s="8" t="s">
        <v>434</v>
      </c>
      <c r="O240" s="8" t="s">
        <v>423</v>
      </c>
      <c r="P240" s="12">
        <v>45191.0</v>
      </c>
      <c r="Q240" s="13">
        <v>488646.0</v>
      </c>
      <c r="R240" s="8">
        <v>403103.0</v>
      </c>
    </row>
    <row r="241" ht="15.75" customHeight="1">
      <c r="A241" s="8" t="s">
        <v>492</v>
      </c>
      <c r="B241" s="8" t="s">
        <v>493</v>
      </c>
      <c r="C241" s="8" t="s">
        <v>415</v>
      </c>
      <c r="D241" s="8" t="s">
        <v>494</v>
      </c>
      <c r="E241" s="8" t="s">
        <v>20</v>
      </c>
      <c r="F241" s="8" t="s">
        <v>495</v>
      </c>
      <c r="G241" s="8" t="s">
        <v>496</v>
      </c>
      <c r="H241" s="8" t="s">
        <v>20</v>
      </c>
      <c r="I241" s="8" t="s">
        <v>20</v>
      </c>
      <c r="J241" s="8" t="s">
        <v>159</v>
      </c>
      <c r="K241" s="8" t="s">
        <v>497</v>
      </c>
      <c r="L241" s="10">
        <v>44951.0</v>
      </c>
      <c r="N241" s="8" t="s">
        <v>434</v>
      </c>
      <c r="O241" s="8" t="s">
        <v>423</v>
      </c>
      <c r="P241" s="14">
        <v>45244.0</v>
      </c>
      <c r="Q241" s="13">
        <v>243430.0</v>
      </c>
      <c r="R241" s="8">
        <v>403103.0</v>
      </c>
    </row>
    <row r="242" ht="15.75" customHeight="1">
      <c r="A242" s="8" t="s">
        <v>492</v>
      </c>
      <c r="B242" s="8" t="s">
        <v>493</v>
      </c>
      <c r="C242" s="8" t="s">
        <v>415</v>
      </c>
      <c r="D242" s="8" t="s">
        <v>494</v>
      </c>
      <c r="E242" s="8" t="s">
        <v>20</v>
      </c>
      <c r="F242" s="8" t="s">
        <v>495</v>
      </c>
      <c r="G242" s="8" t="s">
        <v>496</v>
      </c>
      <c r="H242" s="8" t="s">
        <v>20</v>
      </c>
      <c r="I242" s="8" t="s">
        <v>20</v>
      </c>
      <c r="J242" s="8" t="s">
        <v>159</v>
      </c>
      <c r="K242" s="8" t="s">
        <v>497</v>
      </c>
      <c r="L242" s="10">
        <v>44951.0</v>
      </c>
      <c r="N242" s="8" t="s">
        <v>434</v>
      </c>
      <c r="O242" s="8" t="s">
        <v>423</v>
      </c>
      <c r="P242" s="12">
        <v>45294.0</v>
      </c>
      <c r="Q242" s="13">
        <v>435348.0</v>
      </c>
      <c r="R242" s="8">
        <v>403103.0</v>
      </c>
    </row>
    <row r="243" ht="15.75" customHeight="1">
      <c r="A243" s="8" t="s">
        <v>492</v>
      </c>
      <c r="B243" s="8" t="s">
        <v>493</v>
      </c>
      <c r="C243" s="8" t="s">
        <v>415</v>
      </c>
      <c r="D243" s="8" t="s">
        <v>494</v>
      </c>
      <c r="E243" s="8" t="s">
        <v>20</v>
      </c>
      <c r="F243" s="8" t="s">
        <v>495</v>
      </c>
      <c r="G243" s="8" t="s">
        <v>496</v>
      </c>
      <c r="H243" s="8" t="s">
        <v>20</v>
      </c>
      <c r="I243" s="8" t="s">
        <v>20</v>
      </c>
      <c r="J243" s="8" t="s">
        <v>159</v>
      </c>
      <c r="K243" s="8" t="s">
        <v>497</v>
      </c>
      <c r="L243" s="10">
        <v>44951.0</v>
      </c>
      <c r="N243" s="8" t="s">
        <v>434</v>
      </c>
      <c r="O243" s="8" t="s">
        <v>423</v>
      </c>
      <c r="P243" s="12">
        <v>45370.0</v>
      </c>
      <c r="Q243" s="13">
        <v>540812.0</v>
      </c>
      <c r="R243" s="8">
        <v>403103.0</v>
      </c>
    </row>
    <row r="244" ht="15.75" customHeight="1">
      <c r="A244" s="8" t="s">
        <v>492</v>
      </c>
      <c r="B244" s="8" t="s">
        <v>493</v>
      </c>
      <c r="C244" s="8" t="s">
        <v>415</v>
      </c>
      <c r="D244" s="8" t="s">
        <v>494</v>
      </c>
      <c r="E244" s="8" t="s">
        <v>20</v>
      </c>
      <c r="F244" s="8" t="s">
        <v>495</v>
      </c>
      <c r="G244" s="8" t="s">
        <v>496</v>
      </c>
      <c r="H244" s="8" t="s">
        <v>20</v>
      </c>
      <c r="I244" s="8" t="s">
        <v>20</v>
      </c>
      <c r="J244" s="8" t="s">
        <v>159</v>
      </c>
      <c r="K244" s="8" t="s">
        <v>497</v>
      </c>
      <c r="L244" s="10">
        <v>44951.0</v>
      </c>
      <c r="N244" s="8" t="s">
        <v>434</v>
      </c>
      <c r="O244" s="8" t="s">
        <v>423</v>
      </c>
      <c r="P244" s="12">
        <v>45424.0</v>
      </c>
      <c r="Q244" s="13">
        <v>515890.0</v>
      </c>
      <c r="R244" s="8">
        <v>403103.0</v>
      </c>
    </row>
    <row r="245" ht="15.75" customHeight="1">
      <c r="A245" s="8" t="s">
        <v>492</v>
      </c>
      <c r="B245" s="8" t="s">
        <v>493</v>
      </c>
      <c r="C245" s="8" t="s">
        <v>415</v>
      </c>
      <c r="D245" s="8" t="s">
        <v>494</v>
      </c>
      <c r="E245" s="8" t="s">
        <v>20</v>
      </c>
      <c r="F245" s="8" t="s">
        <v>495</v>
      </c>
      <c r="G245" s="8" t="s">
        <v>496</v>
      </c>
      <c r="H245" s="8" t="s">
        <v>20</v>
      </c>
      <c r="I245" s="8" t="s">
        <v>20</v>
      </c>
      <c r="J245" s="8" t="s">
        <v>159</v>
      </c>
      <c r="K245" s="8" t="s">
        <v>497</v>
      </c>
      <c r="L245" s="10">
        <v>44951.0</v>
      </c>
      <c r="N245" s="8" t="s">
        <v>434</v>
      </c>
      <c r="O245" s="8" t="s">
        <v>423</v>
      </c>
      <c r="P245" s="12">
        <v>45501.0</v>
      </c>
      <c r="Q245" s="13">
        <v>593821.0</v>
      </c>
      <c r="R245" s="8">
        <v>403103.0</v>
      </c>
    </row>
    <row r="246" ht="15.75" customHeight="1">
      <c r="A246" s="8" t="s">
        <v>498</v>
      </c>
      <c r="B246" s="8" t="s">
        <v>499</v>
      </c>
      <c r="C246" s="8" t="s">
        <v>426</v>
      </c>
      <c r="D246" s="8" t="s">
        <v>500</v>
      </c>
      <c r="E246" s="8" t="s">
        <v>20</v>
      </c>
      <c r="F246" s="8" t="s">
        <v>501</v>
      </c>
      <c r="G246" s="8" t="s">
        <v>502</v>
      </c>
      <c r="H246" s="8" t="s">
        <v>503</v>
      </c>
      <c r="I246" s="8" t="s">
        <v>463</v>
      </c>
      <c r="J246" s="8" t="s">
        <v>432</v>
      </c>
      <c r="K246" s="8" t="s">
        <v>504</v>
      </c>
      <c r="L246" s="10">
        <v>43126.0</v>
      </c>
      <c r="N246" s="8" t="s">
        <v>505</v>
      </c>
      <c r="O246" s="8" t="s">
        <v>458</v>
      </c>
      <c r="P246" s="12">
        <v>43126.0</v>
      </c>
      <c r="Q246" s="13">
        <v>243823.0</v>
      </c>
      <c r="R246" s="8">
        <v>404100.0</v>
      </c>
    </row>
    <row r="247" ht="15.75" customHeight="1">
      <c r="A247" s="8" t="s">
        <v>498</v>
      </c>
      <c r="B247" s="8" t="s">
        <v>499</v>
      </c>
      <c r="C247" s="8" t="s">
        <v>426</v>
      </c>
      <c r="D247" s="8" t="s">
        <v>500</v>
      </c>
      <c r="E247" s="8" t="s">
        <v>20</v>
      </c>
      <c r="F247" s="8" t="s">
        <v>501</v>
      </c>
      <c r="G247" s="8" t="s">
        <v>502</v>
      </c>
      <c r="H247" s="8" t="s">
        <v>503</v>
      </c>
      <c r="I247" s="8" t="s">
        <v>463</v>
      </c>
      <c r="J247" s="8" t="s">
        <v>432</v>
      </c>
      <c r="K247" s="8" t="s">
        <v>504</v>
      </c>
      <c r="L247" s="10">
        <v>43126.0</v>
      </c>
      <c r="N247" s="8" t="s">
        <v>505</v>
      </c>
      <c r="O247" s="8" t="s">
        <v>458</v>
      </c>
      <c r="P247" s="12">
        <v>43539.0</v>
      </c>
      <c r="Q247" s="13">
        <v>272276.0</v>
      </c>
      <c r="R247" s="8">
        <v>404100.0</v>
      </c>
    </row>
    <row r="248" ht="15.75" customHeight="1">
      <c r="A248" s="8" t="s">
        <v>498</v>
      </c>
      <c r="B248" s="8" t="s">
        <v>499</v>
      </c>
      <c r="C248" s="8" t="s">
        <v>426</v>
      </c>
      <c r="D248" s="8" t="s">
        <v>500</v>
      </c>
      <c r="E248" s="8" t="s">
        <v>20</v>
      </c>
      <c r="F248" s="8" t="s">
        <v>501</v>
      </c>
      <c r="G248" s="8" t="s">
        <v>502</v>
      </c>
      <c r="H248" s="8" t="s">
        <v>503</v>
      </c>
      <c r="I248" s="8" t="s">
        <v>463</v>
      </c>
      <c r="J248" s="8" t="s">
        <v>432</v>
      </c>
      <c r="K248" s="8" t="s">
        <v>504</v>
      </c>
      <c r="L248" s="10">
        <v>43126.0</v>
      </c>
      <c r="N248" s="8" t="s">
        <v>505</v>
      </c>
      <c r="O248" s="8" t="s">
        <v>458</v>
      </c>
      <c r="P248" s="12">
        <v>43986.0</v>
      </c>
      <c r="Q248" s="13">
        <v>205153.0</v>
      </c>
      <c r="R248" s="8">
        <v>404100.0</v>
      </c>
    </row>
    <row r="249" ht="15.75" customHeight="1">
      <c r="A249" s="8" t="s">
        <v>498</v>
      </c>
      <c r="B249" s="8" t="s">
        <v>499</v>
      </c>
      <c r="C249" s="8" t="s">
        <v>426</v>
      </c>
      <c r="D249" s="8" t="s">
        <v>500</v>
      </c>
      <c r="E249" s="8" t="s">
        <v>20</v>
      </c>
      <c r="F249" s="8" t="s">
        <v>501</v>
      </c>
      <c r="G249" s="8" t="s">
        <v>502</v>
      </c>
      <c r="H249" s="8" t="s">
        <v>503</v>
      </c>
      <c r="I249" s="8" t="s">
        <v>463</v>
      </c>
      <c r="J249" s="8" t="s">
        <v>432</v>
      </c>
      <c r="K249" s="8" t="s">
        <v>504</v>
      </c>
      <c r="L249" s="10">
        <v>43126.0</v>
      </c>
      <c r="N249" s="8" t="s">
        <v>505</v>
      </c>
      <c r="O249" s="8" t="s">
        <v>458</v>
      </c>
      <c r="P249" s="12">
        <v>44430.0</v>
      </c>
      <c r="Q249" s="13">
        <v>218438.0</v>
      </c>
      <c r="R249" s="8">
        <v>404100.0</v>
      </c>
    </row>
    <row r="250" ht="15.75" customHeight="1">
      <c r="A250" s="8" t="s">
        <v>498</v>
      </c>
      <c r="B250" s="8" t="s">
        <v>499</v>
      </c>
      <c r="C250" s="8" t="s">
        <v>426</v>
      </c>
      <c r="D250" s="8" t="s">
        <v>500</v>
      </c>
      <c r="E250" s="8" t="s">
        <v>20</v>
      </c>
      <c r="F250" s="8" t="s">
        <v>501</v>
      </c>
      <c r="G250" s="8" t="s">
        <v>502</v>
      </c>
      <c r="H250" s="8" t="s">
        <v>503</v>
      </c>
      <c r="I250" s="8" t="s">
        <v>463</v>
      </c>
      <c r="J250" s="8" t="s">
        <v>432</v>
      </c>
      <c r="K250" s="8" t="s">
        <v>504</v>
      </c>
      <c r="L250" s="10">
        <v>43126.0</v>
      </c>
      <c r="N250" s="8" t="s">
        <v>505</v>
      </c>
      <c r="O250" s="8" t="s">
        <v>458</v>
      </c>
      <c r="P250" s="14">
        <v>44876.0</v>
      </c>
      <c r="Q250" s="13">
        <v>135999.0</v>
      </c>
      <c r="R250" s="8">
        <v>404100.0</v>
      </c>
    </row>
    <row r="251" ht="15.75" customHeight="1">
      <c r="A251" s="8" t="s">
        <v>498</v>
      </c>
      <c r="B251" s="8" t="s">
        <v>499</v>
      </c>
      <c r="C251" s="8" t="s">
        <v>426</v>
      </c>
      <c r="D251" s="8" t="s">
        <v>500</v>
      </c>
      <c r="E251" s="8" t="s">
        <v>20</v>
      </c>
      <c r="F251" s="8" t="s">
        <v>501</v>
      </c>
      <c r="G251" s="8" t="s">
        <v>502</v>
      </c>
      <c r="H251" s="8" t="s">
        <v>503</v>
      </c>
      <c r="I251" s="8" t="s">
        <v>463</v>
      </c>
      <c r="J251" s="8" t="s">
        <v>432</v>
      </c>
      <c r="K251" s="8" t="s">
        <v>504</v>
      </c>
      <c r="L251" s="10">
        <v>43126.0</v>
      </c>
      <c r="N251" s="8" t="s">
        <v>505</v>
      </c>
      <c r="O251" s="8" t="s">
        <v>458</v>
      </c>
      <c r="P251" s="14">
        <v>45290.0</v>
      </c>
      <c r="Q251" s="13">
        <v>190938.0</v>
      </c>
      <c r="R251" s="8">
        <v>404100.0</v>
      </c>
    </row>
    <row r="252" ht="15.75" customHeight="1">
      <c r="A252" s="8" t="s">
        <v>506</v>
      </c>
      <c r="B252" s="8" t="s">
        <v>507</v>
      </c>
      <c r="C252" s="8" t="s">
        <v>415</v>
      </c>
      <c r="D252" s="8" t="s">
        <v>508</v>
      </c>
      <c r="E252" s="8" t="s">
        <v>20</v>
      </c>
      <c r="F252" s="8" t="s">
        <v>509</v>
      </c>
      <c r="G252" s="8" t="s">
        <v>510</v>
      </c>
      <c r="H252" s="8" t="s">
        <v>511</v>
      </c>
      <c r="I252" s="8" t="s">
        <v>512</v>
      </c>
      <c r="J252" s="8" t="s">
        <v>159</v>
      </c>
      <c r="K252" s="8" t="s">
        <v>513</v>
      </c>
      <c r="L252" s="10">
        <v>43101.0</v>
      </c>
      <c r="N252" s="8" t="s">
        <v>434</v>
      </c>
      <c r="O252" s="8" t="s">
        <v>514</v>
      </c>
      <c r="P252" s="12">
        <v>43103.0</v>
      </c>
      <c r="Q252" s="13">
        <v>66227.0</v>
      </c>
      <c r="R252" s="8">
        <v>403103.0</v>
      </c>
    </row>
    <row r="253" ht="15.75" customHeight="1">
      <c r="A253" s="8" t="s">
        <v>506</v>
      </c>
      <c r="B253" s="8" t="s">
        <v>507</v>
      </c>
      <c r="C253" s="8" t="s">
        <v>415</v>
      </c>
      <c r="D253" s="8" t="s">
        <v>508</v>
      </c>
      <c r="E253" s="8" t="s">
        <v>20</v>
      </c>
      <c r="F253" s="8" t="s">
        <v>509</v>
      </c>
      <c r="G253" s="8" t="s">
        <v>510</v>
      </c>
      <c r="H253" s="8" t="s">
        <v>511</v>
      </c>
      <c r="I253" s="8" t="s">
        <v>512</v>
      </c>
      <c r="J253" s="8" t="s">
        <v>159</v>
      </c>
      <c r="K253" s="8" t="s">
        <v>513</v>
      </c>
      <c r="L253" s="10">
        <v>43101.0</v>
      </c>
      <c r="N253" s="8" t="s">
        <v>434</v>
      </c>
      <c r="O253" s="8" t="s">
        <v>514</v>
      </c>
      <c r="P253" s="12">
        <v>43296.0</v>
      </c>
      <c r="Q253" s="13">
        <v>55300.0</v>
      </c>
      <c r="R253" s="8">
        <v>403103.0</v>
      </c>
    </row>
    <row r="254" ht="15.75" customHeight="1">
      <c r="A254" s="8" t="s">
        <v>506</v>
      </c>
      <c r="B254" s="8" t="s">
        <v>507</v>
      </c>
      <c r="C254" s="8" t="s">
        <v>415</v>
      </c>
      <c r="D254" s="8" t="s">
        <v>508</v>
      </c>
      <c r="E254" s="8" t="s">
        <v>20</v>
      </c>
      <c r="F254" s="8" t="s">
        <v>509</v>
      </c>
      <c r="G254" s="8" t="s">
        <v>510</v>
      </c>
      <c r="H254" s="8" t="s">
        <v>511</v>
      </c>
      <c r="I254" s="8" t="s">
        <v>512</v>
      </c>
      <c r="J254" s="8" t="s">
        <v>159</v>
      </c>
      <c r="K254" s="8" t="s">
        <v>513</v>
      </c>
      <c r="L254" s="10">
        <v>43101.0</v>
      </c>
      <c r="N254" s="8" t="s">
        <v>434</v>
      </c>
      <c r="O254" s="8" t="s">
        <v>514</v>
      </c>
      <c r="P254" s="12">
        <v>43473.0</v>
      </c>
      <c r="Q254" s="13">
        <v>84760.0</v>
      </c>
      <c r="R254" s="8">
        <v>403103.0</v>
      </c>
    </row>
    <row r="255" ht="15.75" customHeight="1">
      <c r="A255" s="8" t="s">
        <v>506</v>
      </c>
      <c r="B255" s="8" t="s">
        <v>507</v>
      </c>
      <c r="C255" s="8" t="s">
        <v>415</v>
      </c>
      <c r="D255" s="8" t="s">
        <v>508</v>
      </c>
      <c r="E255" s="8" t="s">
        <v>20</v>
      </c>
      <c r="F255" s="8" t="s">
        <v>509</v>
      </c>
      <c r="G255" s="8" t="s">
        <v>510</v>
      </c>
      <c r="H255" s="8" t="s">
        <v>511</v>
      </c>
      <c r="I255" s="8" t="s">
        <v>512</v>
      </c>
      <c r="J255" s="8" t="s">
        <v>159</v>
      </c>
      <c r="K255" s="8" t="s">
        <v>513</v>
      </c>
      <c r="L255" s="10">
        <v>43101.0</v>
      </c>
      <c r="N255" s="8" t="s">
        <v>434</v>
      </c>
      <c r="O255" s="8" t="s">
        <v>514</v>
      </c>
      <c r="P255" s="12">
        <v>43669.0</v>
      </c>
      <c r="Q255" s="13">
        <v>16137.0</v>
      </c>
      <c r="R255" s="8">
        <v>403103.0</v>
      </c>
    </row>
    <row r="256" ht="15.75" customHeight="1">
      <c r="A256" s="8" t="s">
        <v>506</v>
      </c>
      <c r="B256" s="8" t="s">
        <v>507</v>
      </c>
      <c r="C256" s="8" t="s">
        <v>415</v>
      </c>
      <c r="D256" s="8" t="s">
        <v>508</v>
      </c>
      <c r="E256" s="8" t="s">
        <v>20</v>
      </c>
      <c r="F256" s="8" t="s">
        <v>509</v>
      </c>
      <c r="G256" s="8" t="s">
        <v>510</v>
      </c>
      <c r="H256" s="8" t="s">
        <v>511</v>
      </c>
      <c r="I256" s="8" t="s">
        <v>512</v>
      </c>
      <c r="J256" s="8" t="s">
        <v>159</v>
      </c>
      <c r="K256" s="8" t="s">
        <v>513</v>
      </c>
      <c r="L256" s="10">
        <v>43101.0</v>
      </c>
      <c r="N256" s="8" t="s">
        <v>434</v>
      </c>
      <c r="O256" s="8" t="s">
        <v>514</v>
      </c>
      <c r="P256" s="12">
        <v>43842.0</v>
      </c>
      <c r="Q256" s="13">
        <v>18448.0</v>
      </c>
      <c r="R256" s="8">
        <v>403103.0</v>
      </c>
    </row>
    <row r="257" ht="15.75" customHeight="1">
      <c r="A257" s="8" t="s">
        <v>506</v>
      </c>
      <c r="B257" s="8" t="s">
        <v>507</v>
      </c>
      <c r="C257" s="8" t="s">
        <v>415</v>
      </c>
      <c r="D257" s="8" t="s">
        <v>508</v>
      </c>
      <c r="E257" s="8" t="s">
        <v>20</v>
      </c>
      <c r="F257" s="8" t="s">
        <v>509</v>
      </c>
      <c r="G257" s="8" t="s">
        <v>510</v>
      </c>
      <c r="H257" s="8" t="s">
        <v>511</v>
      </c>
      <c r="I257" s="8" t="s">
        <v>512</v>
      </c>
      <c r="J257" s="8" t="s">
        <v>159</v>
      </c>
      <c r="K257" s="8" t="s">
        <v>513</v>
      </c>
      <c r="L257" s="10">
        <v>43101.0</v>
      </c>
      <c r="N257" s="8" t="s">
        <v>434</v>
      </c>
      <c r="O257" s="8" t="s">
        <v>514</v>
      </c>
      <c r="P257" s="12">
        <v>44017.0</v>
      </c>
      <c r="Q257" s="13">
        <v>75788.0</v>
      </c>
      <c r="R257" s="8">
        <v>403103.0</v>
      </c>
    </row>
    <row r="258" ht="15.75" customHeight="1">
      <c r="A258" s="8" t="s">
        <v>506</v>
      </c>
      <c r="B258" s="8" t="s">
        <v>507</v>
      </c>
      <c r="C258" s="8" t="s">
        <v>415</v>
      </c>
      <c r="D258" s="8" t="s">
        <v>508</v>
      </c>
      <c r="E258" s="8" t="s">
        <v>20</v>
      </c>
      <c r="F258" s="8" t="s">
        <v>509</v>
      </c>
      <c r="G258" s="8" t="s">
        <v>510</v>
      </c>
      <c r="H258" s="8" t="s">
        <v>511</v>
      </c>
      <c r="I258" s="8" t="s">
        <v>512</v>
      </c>
      <c r="J258" s="8" t="s">
        <v>159</v>
      </c>
      <c r="K258" s="8" t="s">
        <v>513</v>
      </c>
      <c r="L258" s="10">
        <v>43101.0</v>
      </c>
      <c r="N258" s="8" t="s">
        <v>434</v>
      </c>
      <c r="O258" s="8" t="s">
        <v>514</v>
      </c>
      <c r="P258" s="12">
        <v>44214.0</v>
      </c>
      <c r="Q258" s="13">
        <v>24378.0</v>
      </c>
      <c r="R258" s="8">
        <v>403103.0</v>
      </c>
    </row>
    <row r="259" ht="15.75" customHeight="1">
      <c r="A259" s="8" t="s">
        <v>506</v>
      </c>
      <c r="B259" s="8" t="s">
        <v>507</v>
      </c>
      <c r="C259" s="8" t="s">
        <v>415</v>
      </c>
      <c r="D259" s="8" t="s">
        <v>508</v>
      </c>
      <c r="E259" s="8" t="s">
        <v>20</v>
      </c>
      <c r="F259" s="8" t="s">
        <v>509</v>
      </c>
      <c r="G259" s="8" t="s">
        <v>510</v>
      </c>
      <c r="H259" s="8" t="s">
        <v>511</v>
      </c>
      <c r="I259" s="8" t="s">
        <v>512</v>
      </c>
      <c r="J259" s="8" t="s">
        <v>159</v>
      </c>
      <c r="K259" s="8" t="s">
        <v>513</v>
      </c>
      <c r="L259" s="10">
        <v>43101.0</v>
      </c>
      <c r="N259" s="8" t="s">
        <v>434</v>
      </c>
      <c r="O259" s="8" t="s">
        <v>514</v>
      </c>
      <c r="P259" s="12">
        <v>44404.0</v>
      </c>
      <c r="Q259" s="13">
        <v>61986.0</v>
      </c>
      <c r="R259" s="8">
        <v>403103.0</v>
      </c>
    </row>
    <row r="260" ht="15.75" customHeight="1">
      <c r="A260" s="8" t="s">
        <v>506</v>
      </c>
      <c r="B260" s="8" t="s">
        <v>507</v>
      </c>
      <c r="C260" s="8" t="s">
        <v>415</v>
      </c>
      <c r="D260" s="8" t="s">
        <v>508</v>
      </c>
      <c r="E260" s="8" t="s">
        <v>20</v>
      </c>
      <c r="F260" s="8" t="s">
        <v>509</v>
      </c>
      <c r="G260" s="8" t="s">
        <v>510</v>
      </c>
      <c r="H260" s="8" t="s">
        <v>511</v>
      </c>
      <c r="I260" s="8" t="s">
        <v>512</v>
      </c>
      <c r="J260" s="8" t="s">
        <v>159</v>
      </c>
      <c r="K260" s="8" t="s">
        <v>513</v>
      </c>
      <c r="L260" s="10">
        <v>43101.0</v>
      </c>
      <c r="N260" s="8" t="s">
        <v>434</v>
      </c>
      <c r="O260" s="8" t="s">
        <v>514</v>
      </c>
      <c r="P260" s="12">
        <v>44583.0</v>
      </c>
      <c r="Q260" s="13">
        <v>82997.0</v>
      </c>
      <c r="R260" s="8">
        <v>403103.0</v>
      </c>
    </row>
    <row r="261" ht="15.75" customHeight="1">
      <c r="A261" s="8" t="s">
        <v>506</v>
      </c>
      <c r="B261" s="8" t="s">
        <v>507</v>
      </c>
      <c r="C261" s="8" t="s">
        <v>415</v>
      </c>
      <c r="D261" s="8" t="s">
        <v>508</v>
      </c>
      <c r="E261" s="8" t="s">
        <v>20</v>
      </c>
      <c r="F261" s="8" t="s">
        <v>509</v>
      </c>
      <c r="G261" s="8" t="s">
        <v>510</v>
      </c>
      <c r="H261" s="8" t="s">
        <v>511</v>
      </c>
      <c r="I261" s="8" t="s">
        <v>512</v>
      </c>
      <c r="J261" s="8" t="s">
        <v>159</v>
      </c>
      <c r="K261" s="8" t="s">
        <v>513</v>
      </c>
      <c r="L261" s="10">
        <v>43101.0</v>
      </c>
      <c r="N261" s="8" t="s">
        <v>434</v>
      </c>
      <c r="O261" s="8" t="s">
        <v>514</v>
      </c>
      <c r="P261" s="12">
        <v>44756.0</v>
      </c>
      <c r="Q261" s="13">
        <v>30913.0</v>
      </c>
      <c r="R261" s="8">
        <v>403103.0</v>
      </c>
    </row>
    <row r="262" ht="15.75" customHeight="1">
      <c r="A262" s="8" t="s">
        <v>506</v>
      </c>
      <c r="B262" s="8" t="s">
        <v>507</v>
      </c>
      <c r="C262" s="8" t="s">
        <v>415</v>
      </c>
      <c r="D262" s="8" t="s">
        <v>508</v>
      </c>
      <c r="E262" s="8" t="s">
        <v>20</v>
      </c>
      <c r="F262" s="8" t="s">
        <v>509</v>
      </c>
      <c r="G262" s="8" t="s">
        <v>510</v>
      </c>
      <c r="H262" s="8" t="s">
        <v>511</v>
      </c>
      <c r="I262" s="8" t="s">
        <v>512</v>
      </c>
      <c r="J262" s="8" t="s">
        <v>159</v>
      </c>
      <c r="K262" s="8" t="s">
        <v>513</v>
      </c>
      <c r="L262" s="10">
        <v>43101.0</v>
      </c>
      <c r="N262" s="8" t="s">
        <v>434</v>
      </c>
      <c r="O262" s="8" t="s">
        <v>514</v>
      </c>
      <c r="P262" s="12">
        <v>44933.0</v>
      </c>
      <c r="Q262" s="13">
        <v>92208.0</v>
      </c>
      <c r="R262" s="8">
        <v>403103.0</v>
      </c>
    </row>
    <row r="263" ht="15.75" customHeight="1">
      <c r="A263" s="8" t="s">
        <v>506</v>
      </c>
      <c r="B263" s="8" t="s">
        <v>507</v>
      </c>
      <c r="C263" s="8" t="s">
        <v>415</v>
      </c>
      <c r="D263" s="8" t="s">
        <v>508</v>
      </c>
      <c r="E263" s="8" t="s">
        <v>20</v>
      </c>
      <c r="F263" s="8" t="s">
        <v>509</v>
      </c>
      <c r="G263" s="8" t="s">
        <v>510</v>
      </c>
      <c r="H263" s="8" t="s">
        <v>511</v>
      </c>
      <c r="I263" s="8" t="s">
        <v>512</v>
      </c>
      <c r="J263" s="8" t="s">
        <v>159</v>
      </c>
      <c r="K263" s="8" t="s">
        <v>513</v>
      </c>
      <c r="L263" s="10">
        <v>43101.0</v>
      </c>
      <c r="N263" s="8" t="s">
        <v>434</v>
      </c>
      <c r="O263" s="8" t="s">
        <v>514</v>
      </c>
      <c r="P263" s="12">
        <v>45126.0</v>
      </c>
      <c r="Q263" s="13">
        <v>93637.0</v>
      </c>
      <c r="R263" s="8">
        <v>403103.0</v>
      </c>
    </row>
    <row r="264" ht="15.75" customHeight="1">
      <c r="A264" s="8" t="s">
        <v>506</v>
      </c>
      <c r="B264" s="8" t="s">
        <v>507</v>
      </c>
      <c r="C264" s="8" t="s">
        <v>415</v>
      </c>
      <c r="D264" s="8" t="s">
        <v>508</v>
      </c>
      <c r="E264" s="8" t="s">
        <v>20</v>
      </c>
      <c r="F264" s="8" t="s">
        <v>509</v>
      </c>
      <c r="G264" s="8" t="s">
        <v>510</v>
      </c>
      <c r="H264" s="8" t="s">
        <v>511</v>
      </c>
      <c r="I264" s="8" t="s">
        <v>512</v>
      </c>
      <c r="J264" s="8" t="s">
        <v>159</v>
      </c>
      <c r="K264" s="8" t="s">
        <v>513</v>
      </c>
      <c r="L264" s="10">
        <v>43101.0</v>
      </c>
      <c r="N264" s="8" t="s">
        <v>434</v>
      </c>
      <c r="O264" s="8" t="s">
        <v>514</v>
      </c>
      <c r="P264" s="12">
        <v>45293.0</v>
      </c>
      <c r="Q264" s="13">
        <v>16927.0</v>
      </c>
      <c r="R264" s="8">
        <v>403103.0</v>
      </c>
    </row>
    <row r="265" ht="15.75" customHeight="1">
      <c r="A265" s="8" t="s">
        <v>515</v>
      </c>
      <c r="B265" s="8" t="s">
        <v>516</v>
      </c>
      <c r="C265" s="8" t="s">
        <v>517</v>
      </c>
      <c r="D265" s="8" t="s">
        <v>20</v>
      </c>
      <c r="E265" s="8" t="s">
        <v>20</v>
      </c>
      <c r="F265" s="8" t="s">
        <v>518</v>
      </c>
      <c r="G265" s="8" t="s">
        <v>519</v>
      </c>
      <c r="H265" s="8" t="s">
        <v>419</v>
      </c>
      <c r="I265" s="8" t="s">
        <v>463</v>
      </c>
      <c r="J265" s="8" t="s">
        <v>137</v>
      </c>
      <c r="K265" s="8" t="s">
        <v>520</v>
      </c>
      <c r="L265" s="10">
        <v>44198.0</v>
      </c>
      <c r="N265" s="8" t="s">
        <v>434</v>
      </c>
      <c r="O265" s="8" t="s">
        <v>450</v>
      </c>
      <c r="P265" s="12">
        <v>44198.0</v>
      </c>
      <c r="Q265" s="13">
        <v>1121873.0</v>
      </c>
      <c r="R265" s="8">
        <v>405100.0</v>
      </c>
    </row>
    <row r="266" ht="15.75" customHeight="1">
      <c r="A266" s="8" t="s">
        <v>515</v>
      </c>
      <c r="B266" s="8" t="s">
        <v>516</v>
      </c>
      <c r="C266" s="8" t="s">
        <v>517</v>
      </c>
      <c r="D266" s="8" t="s">
        <v>20</v>
      </c>
      <c r="E266" s="8" t="s">
        <v>20</v>
      </c>
      <c r="F266" s="8" t="s">
        <v>518</v>
      </c>
      <c r="G266" s="8" t="s">
        <v>519</v>
      </c>
      <c r="H266" s="8" t="s">
        <v>419</v>
      </c>
      <c r="I266" s="8" t="s">
        <v>463</v>
      </c>
      <c r="J266" s="8" t="s">
        <v>137</v>
      </c>
      <c r="K266" s="8" t="s">
        <v>520</v>
      </c>
      <c r="L266" s="10">
        <v>44198.0</v>
      </c>
      <c r="N266" s="8" t="s">
        <v>434</v>
      </c>
      <c r="O266" s="8" t="s">
        <v>450</v>
      </c>
      <c r="P266" s="12">
        <v>44242.0</v>
      </c>
      <c r="Q266" s="13">
        <v>220940.0</v>
      </c>
      <c r="R266" s="8">
        <v>405100.0</v>
      </c>
    </row>
    <row r="267" ht="15.75" customHeight="1">
      <c r="A267" s="8" t="s">
        <v>515</v>
      </c>
      <c r="B267" s="8" t="s">
        <v>516</v>
      </c>
      <c r="C267" s="8" t="s">
        <v>517</v>
      </c>
      <c r="D267" s="8" t="s">
        <v>20</v>
      </c>
      <c r="E267" s="8" t="s">
        <v>20</v>
      </c>
      <c r="F267" s="8" t="s">
        <v>518</v>
      </c>
      <c r="G267" s="8" t="s">
        <v>519</v>
      </c>
      <c r="H267" s="8" t="s">
        <v>419</v>
      </c>
      <c r="I267" s="8" t="s">
        <v>463</v>
      </c>
      <c r="J267" s="8" t="s">
        <v>137</v>
      </c>
      <c r="K267" s="8" t="s">
        <v>520</v>
      </c>
      <c r="L267" s="10">
        <v>44198.0</v>
      </c>
      <c r="N267" s="8" t="s">
        <v>434</v>
      </c>
      <c r="O267" s="8" t="s">
        <v>450</v>
      </c>
      <c r="P267" s="12">
        <v>44262.0</v>
      </c>
      <c r="Q267" s="13">
        <v>570809.0</v>
      </c>
      <c r="R267" s="8">
        <v>405100.0</v>
      </c>
    </row>
    <row r="268" ht="15.75" customHeight="1">
      <c r="A268" s="8" t="s">
        <v>515</v>
      </c>
      <c r="B268" s="8" t="s">
        <v>516</v>
      </c>
      <c r="C268" s="8" t="s">
        <v>517</v>
      </c>
      <c r="D268" s="8" t="s">
        <v>20</v>
      </c>
      <c r="E268" s="8" t="s">
        <v>20</v>
      </c>
      <c r="F268" s="8" t="s">
        <v>518</v>
      </c>
      <c r="G268" s="8" t="s">
        <v>519</v>
      </c>
      <c r="H268" s="8" t="s">
        <v>419</v>
      </c>
      <c r="I268" s="8" t="s">
        <v>463</v>
      </c>
      <c r="J268" s="8" t="s">
        <v>137</v>
      </c>
      <c r="K268" s="8" t="s">
        <v>520</v>
      </c>
      <c r="L268" s="10">
        <v>44198.0</v>
      </c>
      <c r="N268" s="8" t="s">
        <v>434</v>
      </c>
      <c r="O268" s="8" t="s">
        <v>450</v>
      </c>
      <c r="P268" s="12">
        <v>44308.0</v>
      </c>
      <c r="Q268" s="13">
        <v>408684.0</v>
      </c>
      <c r="R268" s="8">
        <v>405100.0</v>
      </c>
    </row>
    <row r="269" ht="15.75" customHeight="1">
      <c r="A269" s="8" t="s">
        <v>515</v>
      </c>
      <c r="B269" s="8" t="s">
        <v>516</v>
      </c>
      <c r="C269" s="8" t="s">
        <v>517</v>
      </c>
      <c r="D269" s="8" t="s">
        <v>20</v>
      </c>
      <c r="E269" s="8" t="s">
        <v>20</v>
      </c>
      <c r="F269" s="8" t="s">
        <v>518</v>
      </c>
      <c r="G269" s="8" t="s">
        <v>519</v>
      </c>
      <c r="H269" s="8" t="s">
        <v>419</v>
      </c>
      <c r="I269" s="8" t="s">
        <v>463</v>
      </c>
      <c r="J269" s="8" t="s">
        <v>137</v>
      </c>
      <c r="K269" s="8" t="s">
        <v>520</v>
      </c>
      <c r="L269" s="10">
        <v>44198.0</v>
      </c>
      <c r="N269" s="8" t="s">
        <v>434</v>
      </c>
      <c r="O269" s="8" t="s">
        <v>450</v>
      </c>
      <c r="P269" s="12">
        <v>44326.0</v>
      </c>
      <c r="Q269" s="13">
        <v>451106.0</v>
      </c>
      <c r="R269" s="8">
        <v>405100.0</v>
      </c>
    </row>
    <row r="270" ht="15.75" customHeight="1">
      <c r="A270" s="8" t="s">
        <v>515</v>
      </c>
      <c r="B270" s="8" t="s">
        <v>516</v>
      </c>
      <c r="C270" s="8" t="s">
        <v>517</v>
      </c>
      <c r="D270" s="8" t="s">
        <v>20</v>
      </c>
      <c r="E270" s="8" t="s">
        <v>20</v>
      </c>
      <c r="F270" s="8" t="s">
        <v>518</v>
      </c>
      <c r="G270" s="8" t="s">
        <v>519</v>
      </c>
      <c r="H270" s="8" t="s">
        <v>419</v>
      </c>
      <c r="I270" s="8" t="s">
        <v>463</v>
      </c>
      <c r="J270" s="8" t="s">
        <v>137</v>
      </c>
      <c r="K270" s="8" t="s">
        <v>520</v>
      </c>
      <c r="L270" s="10">
        <v>44198.0</v>
      </c>
      <c r="N270" s="8" t="s">
        <v>434</v>
      </c>
      <c r="O270" s="8" t="s">
        <v>450</v>
      </c>
      <c r="P270" s="12">
        <v>44375.0</v>
      </c>
      <c r="Q270" s="13">
        <v>442684.0</v>
      </c>
      <c r="R270" s="8">
        <v>405100.0</v>
      </c>
    </row>
    <row r="271" ht="15.75" customHeight="1">
      <c r="A271" s="8" t="s">
        <v>515</v>
      </c>
      <c r="B271" s="8" t="s">
        <v>516</v>
      </c>
      <c r="C271" s="8" t="s">
        <v>517</v>
      </c>
      <c r="D271" s="8" t="s">
        <v>20</v>
      </c>
      <c r="E271" s="8" t="s">
        <v>20</v>
      </c>
      <c r="F271" s="8" t="s">
        <v>518</v>
      </c>
      <c r="G271" s="8" t="s">
        <v>519</v>
      </c>
      <c r="H271" s="8" t="s">
        <v>419</v>
      </c>
      <c r="I271" s="8" t="s">
        <v>463</v>
      </c>
      <c r="J271" s="8" t="s">
        <v>137</v>
      </c>
      <c r="K271" s="8" t="s">
        <v>520</v>
      </c>
      <c r="L271" s="10">
        <v>44198.0</v>
      </c>
      <c r="N271" s="8" t="s">
        <v>434</v>
      </c>
      <c r="O271" s="8" t="s">
        <v>450</v>
      </c>
      <c r="P271" s="12">
        <v>44382.0</v>
      </c>
      <c r="Q271" s="13">
        <v>404537.0</v>
      </c>
      <c r="R271" s="8">
        <v>405100.0</v>
      </c>
    </row>
    <row r="272" ht="15.75" customHeight="1">
      <c r="A272" s="8" t="s">
        <v>515</v>
      </c>
      <c r="B272" s="8" t="s">
        <v>516</v>
      </c>
      <c r="C272" s="8" t="s">
        <v>517</v>
      </c>
      <c r="D272" s="8" t="s">
        <v>20</v>
      </c>
      <c r="E272" s="8" t="s">
        <v>20</v>
      </c>
      <c r="F272" s="8" t="s">
        <v>518</v>
      </c>
      <c r="G272" s="8" t="s">
        <v>519</v>
      </c>
      <c r="H272" s="8" t="s">
        <v>419</v>
      </c>
      <c r="I272" s="8" t="s">
        <v>463</v>
      </c>
      <c r="J272" s="8" t="s">
        <v>137</v>
      </c>
      <c r="K272" s="8" t="s">
        <v>520</v>
      </c>
      <c r="L272" s="10">
        <v>44198.0</v>
      </c>
      <c r="N272" s="8" t="s">
        <v>434</v>
      </c>
      <c r="O272" s="8" t="s">
        <v>450</v>
      </c>
      <c r="P272" s="12">
        <v>44427.0</v>
      </c>
      <c r="Q272" s="13">
        <v>374870.0</v>
      </c>
      <c r="R272" s="8">
        <v>405100.0</v>
      </c>
    </row>
    <row r="273" ht="15.75" customHeight="1">
      <c r="A273" s="8" t="s">
        <v>515</v>
      </c>
      <c r="B273" s="8" t="s">
        <v>516</v>
      </c>
      <c r="C273" s="8" t="s">
        <v>517</v>
      </c>
      <c r="D273" s="8" t="s">
        <v>20</v>
      </c>
      <c r="E273" s="8" t="s">
        <v>20</v>
      </c>
      <c r="F273" s="8" t="s">
        <v>518</v>
      </c>
      <c r="G273" s="8" t="s">
        <v>519</v>
      </c>
      <c r="H273" s="8" t="s">
        <v>419</v>
      </c>
      <c r="I273" s="8" t="s">
        <v>463</v>
      </c>
      <c r="J273" s="8" t="s">
        <v>137</v>
      </c>
      <c r="K273" s="8" t="s">
        <v>520</v>
      </c>
      <c r="L273" s="10">
        <v>44198.0</v>
      </c>
      <c r="N273" s="8" t="s">
        <v>434</v>
      </c>
      <c r="O273" s="8" t="s">
        <v>450</v>
      </c>
      <c r="P273" s="12">
        <v>44451.0</v>
      </c>
      <c r="Q273" s="13">
        <v>496721.0</v>
      </c>
      <c r="R273" s="8">
        <v>405100.0</v>
      </c>
    </row>
    <row r="274" ht="15.75" customHeight="1">
      <c r="A274" s="8" t="s">
        <v>515</v>
      </c>
      <c r="B274" s="8" t="s">
        <v>516</v>
      </c>
      <c r="C274" s="8" t="s">
        <v>517</v>
      </c>
      <c r="D274" s="8" t="s">
        <v>20</v>
      </c>
      <c r="E274" s="8" t="s">
        <v>20</v>
      </c>
      <c r="F274" s="8" t="s">
        <v>518</v>
      </c>
      <c r="G274" s="8" t="s">
        <v>519</v>
      </c>
      <c r="H274" s="8" t="s">
        <v>419</v>
      </c>
      <c r="I274" s="8" t="s">
        <v>463</v>
      </c>
      <c r="J274" s="8" t="s">
        <v>137</v>
      </c>
      <c r="K274" s="8" t="s">
        <v>520</v>
      </c>
      <c r="L274" s="10">
        <v>44198.0</v>
      </c>
      <c r="N274" s="8" t="s">
        <v>434</v>
      </c>
      <c r="O274" s="8" t="s">
        <v>450</v>
      </c>
      <c r="P274" s="14">
        <v>44495.0</v>
      </c>
      <c r="Q274" s="13">
        <v>455378.0</v>
      </c>
      <c r="R274" s="8">
        <v>405100.0</v>
      </c>
    </row>
    <row r="275" ht="15.75" customHeight="1">
      <c r="A275" s="8" t="s">
        <v>515</v>
      </c>
      <c r="B275" s="8" t="s">
        <v>516</v>
      </c>
      <c r="C275" s="8" t="s">
        <v>517</v>
      </c>
      <c r="D275" s="8" t="s">
        <v>20</v>
      </c>
      <c r="E275" s="8" t="s">
        <v>20</v>
      </c>
      <c r="F275" s="8" t="s">
        <v>518</v>
      </c>
      <c r="G275" s="8" t="s">
        <v>519</v>
      </c>
      <c r="H275" s="8" t="s">
        <v>419</v>
      </c>
      <c r="I275" s="8" t="s">
        <v>463</v>
      </c>
      <c r="J275" s="8" t="s">
        <v>137</v>
      </c>
      <c r="K275" s="8" t="s">
        <v>520</v>
      </c>
      <c r="L275" s="10">
        <v>44198.0</v>
      </c>
      <c r="N275" s="8" t="s">
        <v>434</v>
      </c>
      <c r="O275" s="8" t="s">
        <v>450</v>
      </c>
      <c r="P275" s="12">
        <v>44503.0</v>
      </c>
      <c r="Q275" s="13">
        <v>329454.0</v>
      </c>
      <c r="R275" s="8">
        <v>405100.0</v>
      </c>
    </row>
    <row r="276" ht="15.75" customHeight="1">
      <c r="A276" s="8" t="s">
        <v>515</v>
      </c>
      <c r="B276" s="8" t="s">
        <v>516</v>
      </c>
      <c r="C276" s="8" t="s">
        <v>517</v>
      </c>
      <c r="D276" s="8" t="s">
        <v>20</v>
      </c>
      <c r="E276" s="8" t="s">
        <v>20</v>
      </c>
      <c r="F276" s="8" t="s">
        <v>518</v>
      </c>
      <c r="G276" s="8" t="s">
        <v>519</v>
      </c>
      <c r="H276" s="8" t="s">
        <v>419</v>
      </c>
      <c r="I276" s="8" t="s">
        <v>463</v>
      </c>
      <c r="J276" s="8" t="s">
        <v>137</v>
      </c>
      <c r="K276" s="8" t="s">
        <v>520</v>
      </c>
      <c r="L276" s="10">
        <v>44198.0</v>
      </c>
      <c r="N276" s="8" t="s">
        <v>434</v>
      </c>
      <c r="O276" s="8" t="s">
        <v>450</v>
      </c>
      <c r="P276" s="14">
        <v>44551.0</v>
      </c>
      <c r="Q276" s="13">
        <v>492165.0</v>
      </c>
      <c r="R276" s="8">
        <v>405100.0</v>
      </c>
    </row>
    <row r="277" ht="15.75" customHeight="1">
      <c r="A277" s="8" t="s">
        <v>521</v>
      </c>
      <c r="B277" s="8" t="s">
        <v>522</v>
      </c>
      <c r="C277" s="8" t="s">
        <v>517</v>
      </c>
      <c r="D277" s="8" t="s">
        <v>523</v>
      </c>
      <c r="E277" s="8" t="s">
        <v>20</v>
      </c>
      <c r="F277" s="8" t="s">
        <v>524</v>
      </c>
      <c r="G277" s="8" t="s">
        <v>525</v>
      </c>
      <c r="H277" s="8" t="s">
        <v>526</v>
      </c>
      <c r="I277" s="8" t="s">
        <v>517</v>
      </c>
      <c r="J277" s="8" t="s">
        <v>137</v>
      </c>
      <c r="K277" s="8" t="s">
        <v>135</v>
      </c>
      <c r="L277" s="10">
        <v>45323.0</v>
      </c>
      <c r="N277" s="8" t="s">
        <v>434</v>
      </c>
      <c r="O277" s="8" t="s">
        <v>450</v>
      </c>
      <c r="P277" s="15">
        <v>45323.0</v>
      </c>
      <c r="Q277" s="13">
        <v>221969.0</v>
      </c>
      <c r="R277" s="8">
        <v>405100.0</v>
      </c>
    </row>
    <row r="278" ht="15.75" customHeight="1">
      <c r="A278" s="8" t="s">
        <v>521</v>
      </c>
      <c r="B278" s="8" t="s">
        <v>522</v>
      </c>
      <c r="C278" s="8" t="s">
        <v>517</v>
      </c>
      <c r="D278" s="8" t="s">
        <v>523</v>
      </c>
      <c r="E278" s="8" t="s">
        <v>20</v>
      </c>
      <c r="F278" s="8" t="s">
        <v>524</v>
      </c>
      <c r="G278" s="8" t="s">
        <v>525</v>
      </c>
      <c r="H278" s="8" t="s">
        <v>526</v>
      </c>
      <c r="I278" s="8" t="s">
        <v>517</v>
      </c>
      <c r="J278" s="8" t="s">
        <v>137</v>
      </c>
      <c r="K278" s="8" t="s">
        <v>135</v>
      </c>
      <c r="L278" s="10">
        <v>45323.0</v>
      </c>
      <c r="N278" s="8" t="s">
        <v>434</v>
      </c>
      <c r="O278" s="8" t="s">
        <v>450</v>
      </c>
      <c r="P278" s="15">
        <v>45365.0</v>
      </c>
      <c r="Q278" s="13">
        <v>293230.0</v>
      </c>
      <c r="R278" s="8">
        <v>405100.0</v>
      </c>
    </row>
    <row r="279" ht="15.75" customHeight="1">
      <c r="A279" s="8" t="s">
        <v>521</v>
      </c>
      <c r="B279" s="8" t="s">
        <v>522</v>
      </c>
      <c r="C279" s="8" t="s">
        <v>517</v>
      </c>
      <c r="D279" s="8" t="s">
        <v>523</v>
      </c>
      <c r="E279" s="8" t="s">
        <v>20</v>
      </c>
      <c r="F279" s="8" t="s">
        <v>524</v>
      </c>
      <c r="G279" s="8" t="s">
        <v>525</v>
      </c>
      <c r="H279" s="8" t="s">
        <v>526</v>
      </c>
      <c r="I279" s="8" t="s">
        <v>517</v>
      </c>
      <c r="J279" s="8" t="s">
        <v>137</v>
      </c>
      <c r="K279" s="8" t="s">
        <v>135</v>
      </c>
      <c r="L279" s="10">
        <v>45323.0</v>
      </c>
      <c r="N279" s="8" t="s">
        <v>434</v>
      </c>
      <c r="O279" s="8" t="s">
        <v>450</v>
      </c>
      <c r="P279" s="15">
        <v>45391.0</v>
      </c>
      <c r="Q279" s="13">
        <v>568883.0</v>
      </c>
      <c r="R279" s="8">
        <v>405100.0</v>
      </c>
    </row>
    <row r="280" ht="15.75" customHeight="1">
      <c r="A280" s="8" t="s">
        <v>521</v>
      </c>
      <c r="B280" s="8" t="s">
        <v>522</v>
      </c>
      <c r="C280" s="8" t="s">
        <v>517</v>
      </c>
      <c r="D280" s="8" t="s">
        <v>523</v>
      </c>
      <c r="E280" s="8" t="s">
        <v>20</v>
      </c>
      <c r="F280" s="8" t="s">
        <v>524</v>
      </c>
      <c r="G280" s="8" t="s">
        <v>525</v>
      </c>
      <c r="H280" s="8" t="s">
        <v>526</v>
      </c>
      <c r="I280" s="8" t="s">
        <v>517</v>
      </c>
      <c r="J280" s="8" t="s">
        <v>137</v>
      </c>
      <c r="K280" s="8" t="s">
        <v>135</v>
      </c>
      <c r="L280" s="10">
        <v>45323.0</v>
      </c>
      <c r="N280" s="8" t="s">
        <v>434</v>
      </c>
      <c r="O280" s="8" t="s">
        <v>450</v>
      </c>
      <c r="P280" s="15">
        <v>45434.0</v>
      </c>
      <c r="Q280" s="13">
        <v>470187.0</v>
      </c>
      <c r="R280" s="8">
        <v>405100.0</v>
      </c>
    </row>
    <row r="281" ht="15.75" customHeight="1">
      <c r="A281" s="8" t="s">
        <v>521</v>
      </c>
      <c r="B281" s="8" t="s">
        <v>522</v>
      </c>
      <c r="C281" s="8" t="s">
        <v>517</v>
      </c>
      <c r="D281" s="8" t="s">
        <v>523</v>
      </c>
      <c r="E281" s="8" t="s">
        <v>20</v>
      </c>
      <c r="F281" s="8" t="s">
        <v>524</v>
      </c>
      <c r="G281" s="8" t="s">
        <v>525</v>
      </c>
      <c r="H281" s="8" t="s">
        <v>526</v>
      </c>
      <c r="I281" s="8" t="s">
        <v>517</v>
      </c>
      <c r="J281" s="8" t="s">
        <v>137</v>
      </c>
      <c r="K281" s="8" t="s">
        <v>135</v>
      </c>
      <c r="L281" s="10">
        <v>45323.0</v>
      </c>
      <c r="N281" s="8" t="s">
        <v>434</v>
      </c>
      <c r="O281" s="8" t="s">
        <v>450</v>
      </c>
      <c r="P281" s="15">
        <v>45450.0</v>
      </c>
      <c r="Q281" s="13">
        <v>347778.0</v>
      </c>
      <c r="R281" s="8">
        <v>405100.0</v>
      </c>
    </row>
    <row r="282" ht="15.75" customHeight="1">
      <c r="A282" s="8" t="s">
        <v>521</v>
      </c>
      <c r="B282" s="8" t="s">
        <v>522</v>
      </c>
      <c r="C282" s="8" t="s">
        <v>517</v>
      </c>
      <c r="D282" s="8" t="s">
        <v>523</v>
      </c>
      <c r="E282" s="8" t="s">
        <v>20</v>
      </c>
      <c r="F282" s="8" t="s">
        <v>524</v>
      </c>
      <c r="G282" s="8" t="s">
        <v>525</v>
      </c>
      <c r="H282" s="8" t="s">
        <v>526</v>
      </c>
      <c r="I282" s="8" t="s">
        <v>517</v>
      </c>
      <c r="J282" s="8" t="s">
        <v>137</v>
      </c>
      <c r="K282" s="8" t="s">
        <v>135</v>
      </c>
      <c r="L282" s="10">
        <v>45323.0</v>
      </c>
      <c r="N282" s="8" t="s">
        <v>434</v>
      </c>
      <c r="O282" s="8" t="s">
        <v>450</v>
      </c>
      <c r="P282" s="15">
        <v>45491.0</v>
      </c>
      <c r="Q282" s="13">
        <v>295364.0</v>
      </c>
      <c r="R282" s="8">
        <v>405100.0</v>
      </c>
    </row>
    <row r="283" ht="15.75" customHeight="1">
      <c r="A283" s="8" t="s">
        <v>521</v>
      </c>
      <c r="B283" s="8" t="s">
        <v>522</v>
      </c>
      <c r="C283" s="8" t="s">
        <v>517</v>
      </c>
      <c r="D283" s="8" t="s">
        <v>523</v>
      </c>
      <c r="E283" s="8" t="s">
        <v>20</v>
      </c>
      <c r="F283" s="8" t="s">
        <v>524</v>
      </c>
      <c r="G283" s="8" t="s">
        <v>525</v>
      </c>
      <c r="H283" s="8" t="s">
        <v>526</v>
      </c>
      <c r="I283" s="8" t="s">
        <v>517</v>
      </c>
      <c r="J283" s="8" t="s">
        <v>137</v>
      </c>
      <c r="K283" s="8" t="s">
        <v>135</v>
      </c>
      <c r="L283" s="10">
        <v>45323.0</v>
      </c>
      <c r="N283" s="8" t="s">
        <v>434</v>
      </c>
      <c r="O283" s="8" t="s">
        <v>450</v>
      </c>
      <c r="P283" s="15">
        <v>45507.0</v>
      </c>
      <c r="Q283" s="13">
        <v>250149.0</v>
      </c>
      <c r="R283" s="8">
        <v>405100.0</v>
      </c>
    </row>
    <row r="284" ht="15.75" customHeight="1">
      <c r="A284" s="8" t="s">
        <v>521</v>
      </c>
      <c r="B284" s="8" t="s">
        <v>522</v>
      </c>
      <c r="C284" s="8" t="s">
        <v>517</v>
      </c>
      <c r="D284" s="8" t="s">
        <v>523</v>
      </c>
      <c r="E284" s="8" t="s">
        <v>20</v>
      </c>
      <c r="F284" s="8" t="s">
        <v>524</v>
      </c>
      <c r="G284" s="8" t="s">
        <v>525</v>
      </c>
      <c r="H284" s="8" t="s">
        <v>526</v>
      </c>
      <c r="I284" s="8" t="s">
        <v>517</v>
      </c>
      <c r="J284" s="8" t="s">
        <v>137</v>
      </c>
      <c r="K284" s="8" t="s">
        <v>135</v>
      </c>
      <c r="L284" s="10">
        <v>45323.0</v>
      </c>
      <c r="N284" s="8" t="s">
        <v>434</v>
      </c>
      <c r="O284" s="8" t="s">
        <v>450</v>
      </c>
      <c r="P284" s="17">
        <v>45536.0</v>
      </c>
      <c r="Q284" s="13">
        <v>473575.0</v>
      </c>
      <c r="R284" s="8">
        <v>405100.0</v>
      </c>
    </row>
    <row r="285" ht="15.75" customHeight="1">
      <c r="A285" s="8" t="s">
        <v>527</v>
      </c>
      <c r="B285" s="8" t="s">
        <v>528</v>
      </c>
      <c r="C285" s="8" t="s">
        <v>415</v>
      </c>
      <c r="D285" s="8" t="s">
        <v>529</v>
      </c>
      <c r="E285" s="8" t="s">
        <v>20</v>
      </c>
      <c r="F285" s="8" t="s">
        <v>530</v>
      </c>
      <c r="G285" s="8" t="s">
        <v>531</v>
      </c>
      <c r="H285" s="8" t="s">
        <v>532</v>
      </c>
      <c r="I285" s="8" t="s">
        <v>431</v>
      </c>
      <c r="J285" s="8" t="s">
        <v>159</v>
      </c>
      <c r="K285" s="8" t="s">
        <v>150</v>
      </c>
      <c r="L285" s="10">
        <v>45324.0</v>
      </c>
      <c r="N285" s="8" t="s">
        <v>434</v>
      </c>
      <c r="O285" s="8" t="s">
        <v>450</v>
      </c>
      <c r="P285" s="12">
        <v>45324.0</v>
      </c>
      <c r="Q285" s="13">
        <v>35115.0</v>
      </c>
      <c r="R285" s="8">
        <v>403103.0</v>
      </c>
    </row>
    <row r="286" ht="15.75" customHeight="1">
      <c r="A286" s="8" t="s">
        <v>527</v>
      </c>
      <c r="B286" s="8" t="s">
        <v>528</v>
      </c>
      <c r="C286" s="8" t="s">
        <v>415</v>
      </c>
      <c r="D286" s="8" t="s">
        <v>529</v>
      </c>
      <c r="E286" s="8" t="s">
        <v>20</v>
      </c>
      <c r="F286" s="8" t="s">
        <v>530</v>
      </c>
      <c r="G286" s="8" t="s">
        <v>531</v>
      </c>
      <c r="H286" s="8" t="s">
        <v>532</v>
      </c>
      <c r="I286" s="8" t="s">
        <v>431</v>
      </c>
      <c r="J286" s="8" t="s">
        <v>159</v>
      </c>
      <c r="K286" s="8" t="s">
        <v>150</v>
      </c>
      <c r="L286" s="10">
        <v>45324.0</v>
      </c>
      <c r="N286" s="8" t="s">
        <v>434</v>
      </c>
      <c r="O286" s="8" t="s">
        <v>450</v>
      </c>
      <c r="P286" s="12">
        <v>45369.0</v>
      </c>
      <c r="Q286" s="13">
        <v>43290.0</v>
      </c>
      <c r="R286" s="8">
        <v>403103.0</v>
      </c>
    </row>
    <row r="287" ht="15.75" customHeight="1">
      <c r="A287" s="8" t="s">
        <v>527</v>
      </c>
      <c r="B287" s="8" t="s">
        <v>528</v>
      </c>
      <c r="C287" s="8" t="s">
        <v>415</v>
      </c>
      <c r="D287" s="8" t="s">
        <v>529</v>
      </c>
      <c r="E287" s="8" t="s">
        <v>20</v>
      </c>
      <c r="F287" s="8" t="s">
        <v>530</v>
      </c>
      <c r="G287" s="8" t="s">
        <v>531</v>
      </c>
      <c r="H287" s="8" t="s">
        <v>532</v>
      </c>
      <c r="I287" s="8" t="s">
        <v>431</v>
      </c>
      <c r="J287" s="8" t="s">
        <v>159</v>
      </c>
      <c r="K287" s="8" t="s">
        <v>150</v>
      </c>
      <c r="L287" s="10">
        <v>45324.0</v>
      </c>
      <c r="N287" s="8" t="s">
        <v>434</v>
      </c>
      <c r="O287" s="8" t="s">
        <v>450</v>
      </c>
      <c r="P287" s="12">
        <v>45389.0</v>
      </c>
      <c r="Q287" s="13">
        <v>60901.0</v>
      </c>
      <c r="R287" s="8">
        <v>403103.0</v>
      </c>
    </row>
    <row r="288" ht="15.75" customHeight="1">
      <c r="A288" s="8" t="s">
        <v>527</v>
      </c>
      <c r="B288" s="8" t="s">
        <v>528</v>
      </c>
      <c r="C288" s="8" t="s">
        <v>415</v>
      </c>
      <c r="D288" s="8" t="s">
        <v>529</v>
      </c>
      <c r="E288" s="8" t="s">
        <v>20</v>
      </c>
      <c r="F288" s="8" t="s">
        <v>530</v>
      </c>
      <c r="G288" s="8" t="s">
        <v>531</v>
      </c>
      <c r="H288" s="8" t="s">
        <v>532</v>
      </c>
      <c r="I288" s="8" t="s">
        <v>431</v>
      </c>
      <c r="J288" s="8" t="s">
        <v>159</v>
      </c>
      <c r="K288" s="8" t="s">
        <v>150</v>
      </c>
      <c r="L288" s="10">
        <v>45324.0</v>
      </c>
      <c r="N288" s="8" t="s">
        <v>434</v>
      </c>
      <c r="O288" s="8" t="s">
        <v>450</v>
      </c>
      <c r="P288" s="12">
        <v>45436.0</v>
      </c>
      <c r="Q288" s="13">
        <v>92342.0</v>
      </c>
      <c r="R288" s="8">
        <v>403103.0</v>
      </c>
    </row>
    <row r="289" ht="15.75" customHeight="1">
      <c r="A289" s="8" t="s">
        <v>527</v>
      </c>
      <c r="B289" s="8" t="s">
        <v>528</v>
      </c>
      <c r="C289" s="8" t="s">
        <v>415</v>
      </c>
      <c r="D289" s="8" t="s">
        <v>529</v>
      </c>
      <c r="E289" s="8" t="s">
        <v>20</v>
      </c>
      <c r="F289" s="8" t="s">
        <v>530</v>
      </c>
      <c r="G289" s="8" t="s">
        <v>531</v>
      </c>
      <c r="H289" s="8" t="s">
        <v>532</v>
      </c>
      <c r="I289" s="8" t="s">
        <v>431</v>
      </c>
      <c r="J289" s="8" t="s">
        <v>159</v>
      </c>
      <c r="K289" s="8" t="s">
        <v>150</v>
      </c>
      <c r="L289" s="10">
        <v>45324.0</v>
      </c>
      <c r="N289" s="8" t="s">
        <v>434</v>
      </c>
      <c r="O289" s="8" t="s">
        <v>450</v>
      </c>
      <c r="P289" s="12">
        <v>45453.0</v>
      </c>
      <c r="Q289" s="13">
        <v>17892.0</v>
      </c>
      <c r="R289" s="8">
        <v>403103.0</v>
      </c>
    </row>
    <row r="290" ht="15.75" customHeight="1">
      <c r="A290" s="8" t="s">
        <v>527</v>
      </c>
      <c r="B290" s="8" t="s">
        <v>528</v>
      </c>
      <c r="C290" s="8" t="s">
        <v>415</v>
      </c>
      <c r="D290" s="8" t="s">
        <v>529</v>
      </c>
      <c r="E290" s="8" t="s">
        <v>20</v>
      </c>
      <c r="F290" s="8" t="s">
        <v>530</v>
      </c>
      <c r="G290" s="8" t="s">
        <v>531</v>
      </c>
      <c r="H290" s="8" t="s">
        <v>532</v>
      </c>
      <c r="I290" s="8" t="s">
        <v>431</v>
      </c>
      <c r="J290" s="8" t="s">
        <v>159</v>
      </c>
      <c r="K290" s="8" t="s">
        <v>150</v>
      </c>
      <c r="L290" s="10">
        <v>45324.0</v>
      </c>
      <c r="N290" s="8" t="s">
        <v>434</v>
      </c>
      <c r="O290" s="8" t="s">
        <v>450</v>
      </c>
      <c r="P290" s="12">
        <v>45501.0</v>
      </c>
      <c r="Q290" s="13">
        <v>63032.0</v>
      </c>
      <c r="R290" s="8">
        <v>403103.0</v>
      </c>
    </row>
    <row r="291" ht="15.75" customHeight="1">
      <c r="A291" s="8" t="s">
        <v>527</v>
      </c>
      <c r="B291" s="8" t="s">
        <v>528</v>
      </c>
      <c r="C291" s="8" t="s">
        <v>415</v>
      </c>
      <c r="D291" s="8" t="s">
        <v>529</v>
      </c>
      <c r="E291" s="8" t="s">
        <v>20</v>
      </c>
      <c r="F291" s="8" t="s">
        <v>530</v>
      </c>
      <c r="G291" s="8" t="s">
        <v>531</v>
      </c>
      <c r="H291" s="8" t="s">
        <v>532</v>
      </c>
      <c r="I291" s="8" t="s">
        <v>431</v>
      </c>
      <c r="J291" s="8" t="s">
        <v>159</v>
      </c>
      <c r="K291" s="8" t="s">
        <v>150</v>
      </c>
      <c r="L291" s="10">
        <v>45324.0</v>
      </c>
      <c r="N291" s="8" t="s">
        <v>434</v>
      </c>
      <c r="O291" s="8" t="s">
        <v>450</v>
      </c>
      <c r="P291" s="12">
        <v>45519.0</v>
      </c>
      <c r="Q291" s="13">
        <v>29556.0</v>
      </c>
      <c r="R291" s="8">
        <v>403103.0</v>
      </c>
    </row>
    <row r="292" ht="15.75" customHeight="1">
      <c r="A292" s="8" t="s">
        <v>527</v>
      </c>
      <c r="B292" s="8" t="s">
        <v>528</v>
      </c>
      <c r="C292" s="8" t="s">
        <v>415</v>
      </c>
      <c r="D292" s="8" t="s">
        <v>529</v>
      </c>
      <c r="E292" s="8" t="s">
        <v>20</v>
      </c>
      <c r="F292" s="8" t="s">
        <v>530</v>
      </c>
      <c r="G292" s="8" t="s">
        <v>531</v>
      </c>
      <c r="H292" s="8" t="s">
        <v>532</v>
      </c>
      <c r="I292" s="8" t="s">
        <v>431</v>
      </c>
      <c r="J292" s="8" t="s">
        <v>159</v>
      </c>
      <c r="K292" s="8" t="s">
        <v>150</v>
      </c>
      <c r="L292" s="10">
        <v>45324.0</v>
      </c>
      <c r="N292" s="8" t="s">
        <v>434</v>
      </c>
      <c r="O292" s="8" t="s">
        <v>450</v>
      </c>
      <c r="P292" s="12">
        <v>45540.0</v>
      </c>
      <c r="Q292" s="13">
        <v>42628.0</v>
      </c>
      <c r="R292" s="8">
        <v>403103.0</v>
      </c>
    </row>
    <row r="293" ht="15.75" customHeight="1">
      <c r="A293" s="8" t="s">
        <v>533</v>
      </c>
      <c r="B293" s="8" t="s">
        <v>534</v>
      </c>
      <c r="C293" s="8" t="s">
        <v>415</v>
      </c>
      <c r="D293" s="8" t="s">
        <v>535</v>
      </c>
      <c r="E293" s="8" t="s">
        <v>20</v>
      </c>
      <c r="F293" s="8" t="s">
        <v>536</v>
      </c>
      <c r="G293" s="8" t="s">
        <v>537</v>
      </c>
      <c r="H293" s="8" t="s">
        <v>538</v>
      </c>
      <c r="I293" s="8" t="s">
        <v>420</v>
      </c>
      <c r="J293" s="8" t="s">
        <v>159</v>
      </c>
      <c r="K293" s="8" t="s">
        <v>539</v>
      </c>
      <c r="L293" s="10">
        <v>45325.0</v>
      </c>
      <c r="N293" s="8" t="s">
        <v>434</v>
      </c>
      <c r="O293" s="8" t="s">
        <v>450</v>
      </c>
      <c r="P293" s="12">
        <v>45325.0</v>
      </c>
      <c r="Q293" s="13">
        <v>64959.0</v>
      </c>
      <c r="R293" s="8">
        <v>403103.0</v>
      </c>
    </row>
    <row r="294" ht="15.75" customHeight="1">
      <c r="A294" s="8" t="s">
        <v>533</v>
      </c>
      <c r="B294" s="8" t="s">
        <v>534</v>
      </c>
      <c r="C294" s="8" t="s">
        <v>415</v>
      </c>
      <c r="D294" s="8" t="s">
        <v>535</v>
      </c>
      <c r="E294" s="8" t="s">
        <v>20</v>
      </c>
      <c r="F294" s="8" t="s">
        <v>536</v>
      </c>
      <c r="G294" s="8" t="s">
        <v>537</v>
      </c>
      <c r="H294" s="8" t="s">
        <v>538</v>
      </c>
      <c r="I294" s="8" t="s">
        <v>420</v>
      </c>
      <c r="J294" s="8" t="s">
        <v>159</v>
      </c>
      <c r="K294" s="8" t="s">
        <v>539</v>
      </c>
      <c r="L294" s="10">
        <v>45325.0</v>
      </c>
      <c r="N294" s="8" t="s">
        <v>434</v>
      </c>
      <c r="O294" s="8" t="s">
        <v>450</v>
      </c>
      <c r="P294" s="12">
        <v>45368.0</v>
      </c>
      <c r="Q294" s="13">
        <v>45976.0</v>
      </c>
      <c r="R294" s="8">
        <v>403103.0</v>
      </c>
    </row>
    <row r="295" ht="15.75" customHeight="1">
      <c r="A295" s="8" t="s">
        <v>533</v>
      </c>
      <c r="B295" s="8" t="s">
        <v>534</v>
      </c>
      <c r="C295" s="8" t="s">
        <v>415</v>
      </c>
      <c r="D295" s="8" t="s">
        <v>535</v>
      </c>
      <c r="E295" s="8" t="s">
        <v>20</v>
      </c>
      <c r="F295" s="8" t="s">
        <v>536</v>
      </c>
      <c r="G295" s="8" t="s">
        <v>537</v>
      </c>
      <c r="H295" s="8" t="s">
        <v>538</v>
      </c>
      <c r="I295" s="8" t="s">
        <v>420</v>
      </c>
      <c r="J295" s="8" t="s">
        <v>159</v>
      </c>
      <c r="K295" s="8" t="s">
        <v>539</v>
      </c>
      <c r="L295" s="10">
        <v>45325.0</v>
      </c>
      <c r="N295" s="8" t="s">
        <v>434</v>
      </c>
      <c r="O295" s="8" t="s">
        <v>450</v>
      </c>
      <c r="P295" s="12">
        <v>45390.0</v>
      </c>
      <c r="Q295" s="13">
        <v>173308.0</v>
      </c>
      <c r="R295" s="8">
        <v>403103.0</v>
      </c>
    </row>
    <row r="296" ht="15.75" customHeight="1">
      <c r="A296" s="8" t="s">
        <v>533</v>
      </c>
      <c r="B296" s="8" t="s">
        <v>534</v>
      </c>
      <c r="C296" s="8" t="s">
        <v>415</v>
      </c>
      <c r="D296" s="8" t="s">
        <v>535</v>
      </c>
      <c r="E296" s="8" t="s">
        <v>20</v>
      </c>
      <c r="F296" s="8" t="s">
        <v>536</v>
      </c>
      <c r="G296" s="8" t="s">
        <v>537</v>
      </c>
      <c r="H296" s="8" t="s">
        <v>538</v>
      </c>
      <c r="I296" s="8" t="s">
        <v>420</v>
      </c>
      <c r="J296" s="8" t="s">
        <v>159</v>
      </c>
      <c r="K296" s="8" t="s">
        <v>539</v>
      </c>
      <c r="L296" s="10">
        <v>45325.0</v>
      </c>
      <c r="N296" s="8" t="s">
        <v>434</v>
      </c>
      <c r="O296" s="8" t="s">
        <v>450</v>
      </c>
      <c r="P296" s="12">
        <v>45435.0</v>
      </c>
      <c r="Q296" s="13">
        <v>225900.0</v>
      </c>
      <c r="R296" s="8">
        <v>403103.0</v>
      </c>
    </row>
    <row r="297" ht="15.75" customHeight="1">
      <c r="A297" s="8" t="s">
        <v>533</v>
      </c>
      <c r="B297" s="8" t="s">
        <v>534</v>
      </c>
      <c r="C297" s="8" t="s">
        <v>415</v>
      </c>
      <c r="D297" s="8" t="s">
        <v>535</v>
      </c>
      <c r="E297" s="8" t="s">
        <v>20</v>
      </c>
      <c r="F297" s="8" t="s">
        <v>536</v>
      </c>
      <c r="G297" s="8" t="s">
        <v>537</v>
      </c>
      <c r="H297" s="8" t="s">
        <v>538</v>
      </c>
      <c r="I297" s="8" t="s">
        <v>420</v>
      </c>
      <c r="J297" s="8" t="s">
        <v>159</v>
      </c>
      <c r="K297" s="8" t="s">
        <v>539</v>
      </c>
      <c r="L297" s="10">
        <v>45325.0</v>
      </c>
      <c r="N297" s="8" t="s">
        <v>434</v>
      </c>
      <c r="O297" s="8" t="s">
        <v>450</v>
      </c>
      <c r="P297" s="12">
        <v>45455.0</v>
      </c>
      <c r="Q297" s="13">
        <v>244932.0</v>
      </c>
      <c r="R297" s="8">
        <v>403103.0</v>
      </c>
    </row>
    <row r="298" ht="15.75" customHeight="1">
      <c r="A298" s="8" t="s">
        <v>533</v>
      </c>
      <c r="B298" s="8" t="s">
        <v>534</v>
      </c>
      <c r="C298" s="8" t="s">
        <v>415</v>
      </c>
      <c r="D298" s="8" t="s">
        <v>535</v>
      </c>
      <c r="E298" s="8" t="s">
        <v>20</v>
      </c>
      <c r="F298" s="8" t="s">
        <v>536</v>
      </c>
      <c r="G298" s="8" t="s">
        <v>537</v>
      </c>
      <c r="H298" s="8" t="s">
        <v>538</v>
      </c>
      <c r="I298" s="8" t="s">
        <v>420</v>
      </c>
      <c r="J298" s="8" t="s">
        <v>159</v>
      </c>
      <c r="K298" s="8" t="s">
        <v>539</v>
      </c>
      <c r="L298" s="10">
        <v>45325.0</v>
      </c>
      <c r="N298" s="8" t="s">
        <v>434</v>
      </c>
      <c r="O298" s="8" t="s">
        <v>450</v>
      </c>
      <c r="P298" s="12">
        <v>45503.0</v>
      </c>
      <c r="Q298" s="13">
        <v>506437.0</v>
      </c>
      <c r="R298" s="8">
        <v>403103.0</v>
      </c>
    </row>
    <row r="299" ht="15.75" customHeight="1">
      <c r="A299" s="8" t="s">
        <v>533</v>
      </c>
      <c r="B299" s="8" t="s">
        <v>534</v>
      </c>
      <c r="C299" s="8" t="s">
        <v>415</v>
      </c>
      <c r="D299" s="8" t="s">
        <v>535</v>
      </c>
      <c r="E299" s="8" t="s">
        <v>20</v>
      </c>
      <c r="F299" s="8" t="s">
        <v>536</v>
      </c>
      <c r="G299" s="8" t="s">
        <v>537</v>
      </c>
      <c r="H299" s="8" t="s">
        <v>538</v>
      </c>
      <c r="I299" s="8" t="s">
        <v>420</v>
      </c>
      <c r="J299" s="8" t="s">
        <v>159</v>
      </c>
      <c r="K299" s="8" t="s">
        <v>539</v>
      </c>
      <c r="L299" s="10">
        <v>45325.0</v>
      </c>
      <c r="N299" s="8" t="s">
        <v>434</v>
      </c>
      <c r="O299" s="8" t="s">
        <v>450</v>
      </c>
      <c r="P299" s="12">
        <v>45519.0</v>
      </c>
      <c r="Q299" s="13">
        <v>234530.0</v>
      </c>
      <c r="R299" s="8">
        <v>403103.0</v>
      </c>
    </row>
    <row r="300" ht="15.75" customHeight="1">
      <c r="A300" s="8" t="s">
        <v>533</v>
      </c>
      <c r="B300" s="8" t="s">
        <v>534</v>
      </c>
      <c r="C300" s="8" t="s">
        <v>415</v>
      </c>
      <c r="D300" s="8" t="s">
        <v>535</v>
      </c>
      <c r="E300" s="8" t="s">
        <v>20</v>
      </c>
      <c r="F300" s="8" t="s">
        <v>536</v>
      </c>
      <c r="G300" s="8" t="s">
        <v>537</v>
      </c>
      <c r="H300" s="8" t="s">
        <v>538</v>
      </c>
      <c r="I300" s="8" t="s">
        <v>420</v>
      </c>
      <c r="J300" s="8" t="s">
        <v>159</v>
      </c>
      <c r="K300" s="8" t="s">
        <v>539</v>
      </c>
      <c r="L300" s="10">
        <v>45325.0</v>
      </c>
      <c r="N300" s="8" t="s">
        <v>434</v>
      </c>
      <c r="O300" s="8" t="s">
        <v>450</v>
      </c>
      <c r="P300" s="12">
        <v>45540.0</v>
      </c>
      <c r="Q300" s="13">
        <v>531085.0</v>
      </c>
      <c r="R300" s="8">
        <v>403103.0</v>
      </c>
    </row>
    <row r="301" ht="15.75" customHeight="1">
      <c r="A301" s="8" t="s">
        <v>540</v>
      </c>
      <c r="B301" s="8" t="s">
        <v>541</v>
      </c>
      <c r="C301" s="8" t="s">
        <v>517</v>
      </c>
      <c r="D301" s="8" t="s">
        <v>542</v>
      </c>
      <c r="E301" s="8" t="s">
        <v>20</v>
      </c>
      <c r="F301" s="8" t="s">
        <v>543</v>
      </c>
      <c r="G301" s="8" t="s">
        <v>544</v>
      </c>
      <c r="H301" s="8" t="s">
        <v>545</v>
      </c>
      <c r="I301" s="8" t="s">
        <v>517</v>
      </c>
      <c r="J301" s="8" t="s">
        <v>137</v>
      </c>
      <c r="K301" s="8" t="s">
        <v>157</v>
      </c>
      <c r="L301" s="18">
        <v>45295.0</v>
      </c>
      <c r="N301" s="8" t="s">
        <v>434</v>
      </c>
      <c r="O301" s="8" t="s">
        <v>450</v>
      </c>
      <c r="P301" s="12">
        <v>45295.0</v>
      </c>
      <c r="Q301" s="13">
        <v>487746.0</v>
      </c>
      <c r="R301" s="8">
        <v>405100.0</v>
      </c>
    </row>
    <row r="302" ht="15.75" customHeight="1">
      <c r="A302" s="8" t="s">
        <v>540</v>
      </c>
      <c r="B302" s="8" t="s">
        <v>541</v>
      </c>
      <c r="C302" s="8" t="s">
        <v>517</v>
      </c>
      <c r="D302" s="8" t="s">
        <v>542</v>
      </c>
      <c r="E302" s="8" t="s">
        <v>20</v>
      </c>
      <c r="F302" s="8" t="s">
        <v>543</v>
      </c>
      <c r="G302" s="8" t="s">
        <v>544</v>
      </c>
      <c r="H302" s="8" t="s">
        <v>545</v>
      </c>
      <c r="I302" s="8" t="s">
        <v>517</v>
      </c>
      <c r="J302" s="8" t="s">
        <v>137</v>
      </c>
      <c r="K302" s="8" t="s">
        <v>157</v>
      </c>
      <c r="L302" s="18">
        <v>45295.0</v>
      </c>
      <c r="N302" s="8" t="s">
        <v>434</v>
      </c>
      <c r="O302" s="8" t="s">
        <v>450</v>
      </c>
      <c r="P302" s="12">
        <v>45340.0</v>
      </c>
      <c r="Q302" s="13">
        <v>459222.0</v>
      </c>
      <c r="R302" s="8">
        <v>405100.0</v>
      </c>
    </row>
    <row r="303" ht="15.75" customHeight="1">
      <c r="A303" s="8" t="s">
        <v>540</v>
      </c>
      <c r="B303" s="8" t="s">
        <v>541</v>
      </c>
      <c r="C303" s="8" t="s">
        <v>517</v>
      </c>
      <c r="D303" s="8" t="s">
        <v>542</v>
      </c>
      <c r="E303" s="8" t="s">
        <v>20</v>
      </c>
      <c r="F303" s="8" t="s">
        <v>543</v>
      </c>
      <c r="G303" s="8" t="s">
        <v>544</v>
      </c>
      <c r="H303" s="8" t="s">
        <v>545</v>
      </c>
      <c r="I303" s="8" t="s">
        <v>517</v>
      </c>
      <c r="J303" s="8" t="s">
        <v>137</v>
      </c>
      <c r="K303" s="8" t="s">
        <v>157</v>
      </c>
      <c r="L303" s="18">
        <v>45295.0</v>
      </c>
      <c r="N303" s="8" t="s">
        <v>434</v>
      </c>
      <c r="O303" s="8" t="s">
        <v>450</v>
      </c>
      <c r="P303" s="12">
        <v>45358.0</v>
      </c>
      <c r="Q303" s="13">
        <v>232185.0</v>
      </c>
      <c r="R303" s="8">
        <v>405100.0</v>
      </c>
    </row>
    <row r="304" ht="15.75" customHeight="1">
      <c r="A304" s="8" t="s">
        <v>540</v>
      </c>
      <c r="B304" s="8" t="s">
        <v>541</v>
      </c>
      <c r="C304" s="8" t="s">
        <v>517</v>
      </c>
      <c r="D304" s="8" t="s">
        <v>542</v>
      </c>
      <c r="E304" s="8" t="s">
        <v>20</v>
      </c>
      <c r="F304" s="8" t="s">
        <v>543</v>
      </c>
      <c r="G304" s="8" t="s">
        <v>544</v>
      </c>
      <c r="H304" s="8" t="s">
        <v>545</v>
      </c>
      <c r="I304" s="8" t="s">
        <v>517</v>
      </c>
      <c r="J304" s="8" t="s">
        <v>137</v>
      </c>
      <c r="K304" s="8" t="s">
        <v>157</v>
      </c>
      <c r="L304" s="18">
        <v>45295.0</v>
      </c>
      <c r="N304" s="8" t="s">
        <v>434</v>
      </c>
      <c r="O304" s="8" t="s">
        <v>450</v>
      </c>
      <c r="P304" s="12">
        <v>45404.0</v>
      </c>
      <c r="Q304" s="13">
        <v>351798.0</v>
      </c>
      <c r="R304" s="8">
        <v>405100.0</v>
      </c>
    </row>
    <row r="305" ht="15.75" customHeight="1">
      <c r="A305" s="8" t="s">
        <v>540</v>
      </c>
      <c r="B305" s="8" t="s">
        <v>541</v>
      </c>
      <c r="C305" s="8" t="s">
        <v>517</v>
      </c>
      <c r="D305" s="8" t="s">
        <v>542</v>
      </c>
      <c r="E305" s="8" t="s">
        <v>20</v>
      </c>
      <c r="F305" s="8" t="s">
        <v>543</v>
      </c>
      <c r="G305" s="8" t="s">
        <v>544</v>
      </c>
      <c r="H305" s="8" t="s">
        <v>545</v>
      </c>
      <c r="I305" s="8" t="s">
        <v>517</v>
      </c>
      <c r="J305" s="8" t="s">
        <v>137</v>
      </c>
      <c r="K305" s="8" t="s">
        <v>157</v>
      </c>
      <c r="L305" s="18">
        <v>45295.0</v>
      </c>
      <c r="N305" s="8" t="s">
        <v>434</v>
      </c>
      <c r="O305" s="8" t="s">
        <v>450</v>
      </c>
      <c r="P305" s="12">
        <v>45422.0</v>
      </c>
      <c r="Q305" s="13">
        <v>546208.0</v>
      </c>
      <c r="R305" s="8">
        <v>405100.0</v>
      </c>
    </row>
    <row r="306" ht="15.75" customHeight="1">
      <c r="A306" s="8" t="s">
        <v>540</v>
      </c>
      <c r="B306" s="8" t="s">
        <v>541</v>
      </c>
      <c r="C306" s="8" t="s">
        <v>517</v>
      </c>
      <c r="D306" s="8" t="s">
        <v>542</v>
      </c>
      <c r="E306" s="8" t="s">
        <v>20</v>
      </c>
      <c r="F306" s="8" t="s">
        <v>543</v>
      </c>
      <c r="G306" s="8" t="s">
        <v>544</v>
      </c>
      <c r="H306" s="8" t="s">
        <v>545</v>
      </c>
      <c r="I306" s="8" t="s">
        <v>517</v>
      </c>
      <c r="J306" s="8" t="s">
        <v>137</v>
      </c>
      <c r="K306" s="8" t="s">
        <v>157</v>
      </c>
      <c r="L306" s="18">
        <v>45295.0</v>
      </c>
      <c r="N306" s="8" t="s">
        <v>434</v>
      </c>
      <c r="O306" s="8" t="s">
        <v>450</v>
      </c>
      <c r="P306" s="12">
        <v>45469.0</v>
      </c>
      <c r="Q306" s="13">
        <v>584457.0</v>
      </c>
      <c r="R306" s="8">
        <v>405100.0</v>
      </c>
    </row>
    <row r="307" ht="15.75" customHeight="1">
      <c r="A307" s="8" t="s">
        <v>540</v>
      </c>
      <c r="B307" s="8" t="s">
        <v>541</v>
      </c>
      <c r="C307" s="8" t="s">
        <v>517</v>
      </c>
      <c r="D307" s="8" t="s">
        <v>542</v>
      </c>
      <c r="E307" s="8" t="s">
        <v>20</v>
      </c>
      <c r="F307" s="8" t="s">
        <v>543</v>
      </c>
      <c r="G307" s="8" t="s">
        <v>544</v>
      </c>
      <c r="H307" s="8" t="s">
        <v>545</v>
      </c>
      <c r="I307" s="8" t="s">
        <v>517</v>
      </c>
      <c r="J307" s="8" t="s">
        <v>137</v>
      </c>
      <c r="K307" s="8" t="s">
        <v>157</v>
      </c>
      <c r="L307" s="18">
        <v>45295.0</v>
      </c>
      <c r="N307" s="8" t="s">
        <v>434</v>
      </c>
      <c r="O307" s="8" t="s">
        <v>450</v>
      </c>
      <c r="P307" s="12">
        <v>45488.0</v>
      </c>
      <c r="Q307" s="13">
        <v>420123.0</v>
      </c>
      <c r="R307" s="8">
        <v>405100.0</v>
      </c>
    </row>
    <row r="308" ht="15.75" customHeight="1">
      <c r="A308" s="8" t="s">
        <v>540</v>
      </c>
      <c r="B308" s="8" t="s">
        <v>541</v>
      </c>
      <c r="C308" s="8" t="s">
        <v>517</v>
      </c>
      <c r="D308" s="8" t="s">
        <v>542</v>
      </c>
      <c r="E308" s="8" t="s">
        <v>20</v>
      </c>
      <c r="F308" s="8" t="s">
        <v>543</v>
      </c>
      <c r="G308" s="8" t="s">
        <v>544</v>
      </c>
      <c r="H308" s="8" t="s">
        <v>545</v>
      </c>
      <c r="I308" s="8" t="s">
        <v>517</v>
      </c>
      <c r="J308" s="8" t="s">
        <v>137</v>
      </c>
      <c r="K308" s="8" t="s">
        <v>157</v>
      </c>
      <c r="L308" s="18">
        <v>45295.0</v>
      </c>
      <c r="N308" s="8" t="s">
        <v>434</v>
      </c>
      <c r="O308" s="8" t="s">
        <v>450</v>
      </c>
      <c r="P308" s="12">
        <v>45509.0</v>
      </c>
      <c r="Q308" s="13">
        <v>268596.0</v>
      </c>
      <c r="R308" s="8">
        <v>405100.0</v>
      </c>
    </row>
    <row r="309" ht="15.75" customHeight="1">
      <c r="A309" s="8" t="s">
        <v>546</v>
      </c>
      <c r="B309" s="8" t="s">
        <v>547</v>
      </c>
      <c r="C309" s="8" t="s">
        <v>517</v>
      </c>
      <c r="D309" s="8" t="s">
        <v>548</v>
      </c>
      <c r="E309" s="8" t="s">
        <v>20</v>
      </c>
      <c r="F309" s="8" t="s">
        <v>549</v>
      </c>
      <c r="G309" s="8" t="s">
        <v>550</v>
      </c>
      <c r="H309" s="8" t="s">
        <v>551</v>
      </c>
      <c r="I309" s="8" t="s">
        <v>517</v>
      </c>
      <c r="J309" s="8" t="s">
        <v>137</v>
      </c>
      <c r="K309" s="8" t="s">
        <v>164</v>
      </c>
      <c r="L309" s="10">
        <v>45327.0</v>
      </c>
      <c r="N309" s="8" t="s">
        <v>434</v>
      </c>
      <c r="O309" s="8" t="s">
        <v>450</v>
      </c>
      <c r="P309" s="12">
        <v>45327.0</v>
      </c>
      <c r="Q309" s="13">
        <v>90795.0</v>
      </c>
      <c r="R309" s="8">
        <v>405100.0</v>
      </c>
    </row>
    <row r="310" ht="15.75" customHeight="1">
      <c r="A310" s="8" t="s">
        <v>546</v>
      </c>
      <c r="B310" s="8" t="s">
        <v>547</v>
      </c>
      <c r="C310" s="8" t="s">
        <v>517</v>
      </c>
      <c r="D310" s="8" t="s">
        <v>548</v>
      </c>
      <c r="E310" s="8" t="s">
        <v>20</v>
      </c>
      <c r="F310" s="8" t="s">
        <v>549</v>
      </c>
      <c r="G310" s="8" t="s">
        <v>550</v>
      </c>
      <c r="H310" s="8" t="s">
        <v>551</v>
      </c>
      <c r="I310" s="8" t="s">
        <v>517</v>
      </c>
      <c r="J310" s="8" t="s">
        <v>137</v>
      </c>
      <c r="K310" s="8" t="s">
        <v>164</v>
      </c>
      <c r="L310" s="10">
        <v>45327.0</v>
      </c>
      <c r="N310" s="8" t="s">
        <v>434</v>
      </c>
      <c r="O310" s="8" t="s">
        <v>450</v>
      </c>
      <c r="P310" s="12">
        <v>45371.0</v>
      </c>
      <c r="Q310" s="13">
        <v>75887.0</v>
      </c>
      <c r="R310" s="8">
        <v>405100.0</v>
      </c>
    </row>
    <row r="311" ht="15.75" customHeight="1">
      <c r="A311" s="8" t="s">
        <v>546</v>
      </c>
      <c r="B311" s="8" t="s">
        <v>547</v>
      </c>
      <c r="C311" s="8" t="s">
        <v>517</v>
      </c>
      <c r="D311" s="8" t="s">
        <v>548</v>
      </c>
      <c r="E311" s="8" t="s">
        <v>20</v>
      </c>
      <c r="F311" s="8" t="s">
        <v>549</v>
      </c>
      <c r="G311" s="8" t="s">
        <v>550</v>
      </c>
      <c r="H311" s="8" t="s">
        <v>551</v>
      </c>
      <c r="I311" s="8" t="s">
        <v>517</v>
      </c>
      <c r="J311" s="8" t="s">
        <v>137</v>
      </c>
      <c r="K311" s="8" t="s">
        <v>164</v>
      </c>
      <c r="L311" s="10">
        <v>45327.0</v>
      </c>
      <c r="N311" s="8" t="s">
        <v>434</v>
      </c>
      <c r="O311" s="8" t="s">
        <v>450</v>
      </c>
      <c r="P311" s="12">
        <v>45390.0</v>
      </c>
      <c r="Q311" s="13">
        <v>97534.0</v>
      </c>
      <c r="R311" s="8">
        <v>405100.0</v>
      </c>
    </row>
    <row r="312" ht="15.75" customHeight="1">
      <c r="A312" s="8" t="s">
        <v>546</v>
      </c>
      <c r="B312" s="8" t="s">
        <v>547</v>
      </c>
      <c r="C312" s="8" t="s">
        <v>517</v>
      </c>
      <c r="D312" s="8" t="s">
        <v>548</v>
      </c>
      <c r="E312" s="8" t="s">
        <v>20</v>
      </c>
      <c r="F312" s="8" t="s">
        <v>549</v>
      </c>
      <c r="G312" s="8" t="s">
        <v>550</v>
      </c>
      <c r="H312" s="8" t="s">
        <v>551</v>
      </c>
      <c r="I312" s="8" t="s">
        <v>517</v>
      </c>
      <c r="J312" s="8" t="s">
        <v>137</v>
      </c>
      <c r="K312" s="8" t="s">
        <v>164</v>
      </c>
      <c r="L312" s="10">
        <v>45327.0</v>
      </c>
      <c r="N312" s="8" t="s">
        <v>434</v>
      </c>
      <c r="O312" s="8" t="s">
        <v>450</v>
      </c>
      <c r="P312" s="12">
        <v>45437.0</v>
      </c>
      <c r="Q312" s="13">
        <v>117968.0</v>
      </c>
      <c r="R312" s="8">
        <v>405100.0</v>
      </c>
    </row>
    <row r="313" ht="15.75" customHeight="1">
      <c r="A313" s="8" t="s">
        <v>546</v>
      </c>
      <c r="B313" s="8" t="s">
        <v>547</v>
      </c>
      <c r="C313" s="8" t="s">
        <v>517</v>
      </c>
      <c r="D313" s="8" t="s">
        <v>548</v>
      </c>
      <c r="E313" s="8" t="s">
        <v>20</v>
      </c>
      <c r="F313" s="8" t="s">
        <v>549</v>
      </c>
      <c r="G313" s="8" t="s">
        <v>550</v>
      </c>
      <c r="H313" s="8" t="s">
        <v>551</v>
      </c>
      <c r="I313" s="8" t="s">
        <v>517</v>
      </c>
      <c r="J313" s="8" t="s">
        <v>137</v>
      </c>
      <c r="K313" s="8" t="s">
        <v>164</v>
      </c>
      <c r="L313" s="10">
        <v>45327.0</v>
      </c>
      <c r="N313" s="8" t="s">
        <v>434</v>
      </c>
      <c r="O313" s="8" t="s">
        <v>450</v>
      </c>
      <c r="P313" s="12">
        <v>45455.0</v>
      </c>
      <c r="Q313" s="13">
        <v>359060.0</v>
      </c>
      <c r="R313" s="8">
        <v>405100.0</v>
      </c>
    </row>
    <row r="314" ht="15.75" customHeight="1">
      <c r="A314" s="8" t="s">
        <v>546</v>
      </c>
      <c r="B314" s="8" t="s">
        <v>547</v>
      </c>
      <c r="C314" s="8" t="s">
        <v>517</v>
      </c>
      <c r="D314" s="8" t="s">
        <v>548</v>
      </c>
      <c r="E314" s="8" t="s">
        <v>20</v>
      </c>
      <c r="F314" s="8" t="s">
        <v>549</v>
      </c>
      <c r="G314" s="8" t="s">
        <v>550</v>
      </c>
      <c r="H314" s="8" t="s">
        <v>551</v>
      </c>
      <c r="I314" s="8" t="s">
        <v>517</v>
      </c>
      <c r="J314" s="8" t="s">
        <v>137</v>
      </c>
      <c r="K314" s="8" t="s">
        <v>164</v>
      </c>
      <c r="L314" s="10">
        <v>45327.0</v>
      </c>
      <c r="N314" s="8" t="s">
        <v>434</v>
      </c>
      <c r="O314" s="8" t="s">
        <v>450</v>
      </c>
      <c r="P314" s="12">
        <v>45503.0</v>
      </c>
      <c r="Q314" s="13">
        <v>523200.0</v>
      </c>
      <c r="R314" s="8">
        <v>405100.0</v>
      </c>
    </row>
    <row r="315" ht="15.75" customHeight="1">
      <c r="A315" s="8" t="s">
        <v>546</v>
      </c>
      <c r="B315" s="8" t="s">
        <v>547</v>
      </c>
      <c r="C315" s="8" t="s">
        <v>517</v>
      </c>
      <c r="D315" s="8" t="s">
        <v>548</v>
      </c>
      <c r="E315" s="8" t="s">
        <v>20</v>
      </c>
      <c r="F315" s="8" t="s">
        <v>549</v>
      </c>
      <c r="G315" s="8" t="s">
        <v>550</v>
      </c>
      <c r="H315" s="8" t="s">
        <v>551</v>
      </c>
      <c r="I315" s="8" t="s">
        <v>517</v>
      </c>
      <c r="J315" s="8" t="s">
        <v>137</v>
      </c>
      <c r="K315" s="8" t="s">
        <v>164</v>
      </c>
      <c r="L315" s="10">
        <v>45327.0</v>
      </c>
      <c r="N315" s="8" t="s">
        <v>434</v>
      </c>
      <c r="O315" s="8" t="s">
        <v>450</v>
      </c>
      <c r="P315" s="12">
        <v>45519.0</v>
      </c>
      <c r="Q315" s="13">
        <v>329953.0</v>
      </c>
      <c r="R315" s="8">
        <v>405100.0</v>
      </c>
    </row>
    <row r="316" ht="15.75" customHeight="1">
      <c r="A316" s="8" t="s">
        <v>546</v>
      </c>
      <c r="B316" s="8" t="s">
        <v>547</v>
      </c>
      <c r="C316" s="8" t="s">
        <v>517</v>
      </c>
      <c r="D316" s="8" t="s">
        <v>548</v>
      </c>
      <c r="E316" s="8" t="s">
        <v>20</v>
      </c>
      <c r="F316" s="8" t="s">
        <v>549</v>
      </c>
      <c r="G316" s="8" t="s">
        <v>550</v>
      </c>
      <c r="H316" s="8" t="s">
        <v>551</v>
      </c>
      <c r="I316" s="8" t="s">
        <v>517</v>
      </c>
      <c r="J316" s="8" t="s">
        <v>137</v>
      </c>
      <c r="K316" s="8" t="s">
        <v>164</v>
      </c>
      <c r="L316" s="10">
        <v>45327.0</v>
      </c>
      <c r="N316" s="8" t="s">
        <v>434</v>
      </c>
      <c r="O316" s="8" t="s">
        <v>450</v>
      </c>
      <c r="P316" s="12">
        <v>45540.0</v>
      </c>
      <c r="Q316" s="13">
        <v>471594.0</v>
      </c>
      <c r="R316" s="8">
        <v>405100.0</v>
      </c>
    </row>
    <row r="317" ht="15.75" customHeight="1">
      <c r="A317" s="8" t="s">
        <v>552</v>
      </c>
      <c r="B317" s="8" t="s">
        <v>553</v>
      </c>
      <c r="C317" s="8" t="s">
        <v>415</v>
      </c>
      <c r="D317" s="8" t="s">
        <v>554</v>
      </c>
      <c r="E317" s="8" t="s">
        <v>20</v>
      </c>
      <c r="F317" s="8" t="s">
        <v>555</v>
      </c>
      <c r="G317" s="8" t="s">
        <v>550</v>
      </c>
      <c r="H317" s="8" t="s">
        <v>556</v>
      </c>
      <c r="I317" s="8" t="s">
        <v>431</v>
      </c>
      <c r="J317" s="8" t="s">
        <v>159</v>
      </c>
      <c r="K317" s="8" t="s">
        <v>85</v>
      </c>
      <c r="L317" s="10">
        <v>44927.0</v>
      </c>
      <c r="N317" s="8" t="s">
        <v>434</v>
      </c>
      <c r="O317" s="8" t="s">
        <v>450</v>
      </c>
      <c r="P317" s="12">
        <v>44927.0</v>
      </c>
      <c r="Q317" s="13">
        <v>298586.0</v>
      </c>
      <c r="R317" s="8">
        <v>403103.0</v>
      </c>
    </row>
    <row r="318" ht="15.75" customHeight="1">
      <c r="A318" s="8" t="s">
        <v>552</v>
      </c>
      <c r="B318" s="8" t="s">
        <v>553</v>
      </c>
      <c r="C318" s="8" t="s">
        <v>415</v>
      </c>
      <c r="D318" s="8" t="s">
        <v>554</v>
      </c>
      <c r="E318" s="8" t="s">
        <v>20</v>
      </c>
      <c r="F318" s="8" t="s">
        <v>555</v>
      </c>
      <c r="G318" s="8" t="s">
        <v>550</v>
      </c>
      <c r="H318" s="8" t="s">
        <v>556</v>
      </c>
      <c r="I318" s="8" t="s">
        <v>431</v>
      </c>
      <c r="J318" s="8" t="s">
        <v>159</v>
      </c>
      <c r="K318" s="8" t="s">
        <v>85</v>
      </c>
      <c r="L318" s="10">
        <v>44927.0</v>
      </c>
      <c r="N318" s="8" t="s">
        <v>434</v>
      </c>
      <c r="O318" s="8" t="s">
        <v>450</v>
      </c>
      <c r="P318" s="12">
        <v>44969.0</v>
      </c>
      <c r="Q318" s="13">
        <v>484258.0</v>
      </c>
      <c r="R318" s="8">
        <v>403103.0</v>
      </c>
    </row>
    <row r="319" ht="15.75" customHeight="1">
      <c r="A319" s="8" t="s">
        <v>552</v>
      </c>
      <c r="B319" s="8" t="s">
        <v>553</v>
      </c>
      <c r="C319" s="8" t="s">
        <v>415</v>
      </c>
      <c r="D319" s="8" t="s">
        <v>554</v>
      </c>
      <c r="E319" s="8" t="s">
        <v>20</v>
      </c>
      <c r="F319" s="8" t="s">
        <v>555</v>
      </c>
      <c r="G319" s="8" t="s">
        <v>550</v>
      </c>
      <c r="H319" s="8" t="s">
        <v>556</v>
      </c>
      <c r="I319" s="8" t="s">
        <v>431</v>
      </c>
      <c r="J319" s="8" t="s">
        <v>159</v>
      </c>
      <c r="K319" s="8" t="s">
        <v>85</v>
      </c>
      <c r="L319" s="10">
        <v>44927.0</v>
      </c>
      <c r="N319" s="8" t="s">
        <v>434</v>
      </c>
      <c r="O319" s="8" t="s">
        <v>450</v>
      </c>
      <c r="P319" s="12">
        <v>44992.0</v>
      </c>
      <c r="Q319" s="13">
        <v>445529.0</v>
      </c>
      <c r="R319" s="8">
        <v>403103.0</v>
      </c>
    </row>
    <row r="320" ht="15.75" customHeight="1">
      <c r="A320" s="8" t="s">
        <v>552</v>
      </c>
      <c r="B320" s="8" t="s">
        <v>553</v>
      </c>
      <c r="C320" s="8" t="s">
        <v>415</v>
      </c>
      <c r="D320" s="8" t="s">
        <v>554</v>
      </c>
      <c r="E320" s="8" t="s">
        <v>20</v>
      </c>
      <c r="F320" s="8" t="s">
        <v>555</v>
      </c>
      <c r="G320" s="8" t="s">
        <v>550</v>
      </c>
      <c r="H320" s="8" t="s">
        <v>556</v>
      </c>
      <c r="I320" s="8" t="s">
        <v>431</v>
      </c>
      <c r="J320" s="8" t="s">
        <v>159</v>
      </c>
      <c r="K320" s="8" t="s">
        <v>85</v>
      </c>
      <c r="L320" s="10">
        <v>44927.0</v>
      </c>
      <c r="N320" s="8" t="s">
        <v>434</v>
      </c>
      <c r="O320" s="8" t="s">
        <v>450</v>
      </c>
      <c r="P320" s="12">
        <v>45037.0</v>
      </c>
      <c r="Q320" s="13">
        <v>541508.0</v>
      </c>
      <c r="R320" s="8">
        <v>403103.0</v>
      </c>
    </row>
    <row r="321" ht="15.75" customHeight="1">
      <c r="A321" s="8" t="s">
        <v>552</v>
      </c>
      <c r="B321" s="8" t="s">
        <v>553</v>
      </c>
      <c r="C321" s="8" t="s">
        <v>415</v>
      </c>
      <c r="D321" s="8" t="s">
        <v>554</v>
      </c>
      <c r="E321" s="8" t="s">
        <v>20</v>
      </c>
      <c r="F321" s="8" t="s">
        <v>555</v>
      </c>
      <c r="G321" s="8" t="s">
        <v>550</v>
      </c>
      <c r="H321" s="8" t="s">
        <v>556</v>
      </c>
      <c r="I321" s="8" t="s">
        <v>431</v>
      </c>
      <c r="J321" s="8" t="s">
        <v>159</v>
      </c>
      <c r="K321" s="8" t="s">
        <v>85</v>
      </c>
      <c r="L321" s="10">
        <v>44927.0</v>
      </c>
      <c r="N321" s="8" t="s">
        <v>434</v>
      </c>
      <c r="O321" s="8" t="s">
        <v>450</v>
      </c>
      <c r="P321" s="12">
        <v>45056.0</v>
      </c>
      <c r="Q321" s="13">
        <v>440936.0</v>
      </c>
      <c r="R321" s="8">
        <v>403103.0</v>
      </c>
    </row>
    <row r="322" ht="15.75" customHeight="1">
      <c r="A322" s="8" t="s">
        <v>552</v>
      </c>
      <c r="B322" s="8" t="s">
        <v>553</v>
      </c>
      <c r="C322" s="8" t="s">
        <v>415</v>
      </c>
      <c r="D322" s="8" t="s">
        <v>554</v>
      </c>
      <c r="E322" s="8" t="s">
        <v>20</v>
      </c>
      <c r="F322" s="8" t="s">
        <v>555</v>
      </c>
      <c r="G322" s="8" t="s">
        <v>550</v>
      </c>
      <c r="H322" s="8" t="s">
        <v>556</v>
      </c>
      <c r="I322" s="8" t="s">
        <v>431</v>
      </c>
      <c r="J322" s="8" t="s">
        <v>159</v>
      </c>
      <c r="K322" s="8" t="s">
        <v>85</v>
      </c>
      <c r="L322" s="10">
        <v>44927.0</v>
      </c>
      <c r="N322" s="8" t="s">
        <v>434</v>
      </c>
      <c r="O322" s="8" t="s">
        <v>450</v>
      </c>
      <c r="P322" s="12">
        <v>45105.0</v>
      </c>
      <c r="Q322" s="13">
        <v>312491.0</v>
      </c>
      <c r="R322" s="8">
        <v>403103.0</v>
      </c>
    </row>
    <row r="323" ht="15.75" customHeight="1">
      <c r="A323" s="8" t="s">
        <v>552</v>
      </c>
      <c r="B323" s="8" t="s">
        <v>553</v>
      </c>
      <c r="C323" s="8" t="s">
        <v>415</v>
      </c>
      <c r="D323" s="8" t="s">
        <v>554</v>
      </c>
      <c r="E323" s="8" t="s">
        <v>20</v>
      </c>
      <c r="F323" s="8" t="s">
        <v>555</v>
      </c>
      <c r="G323" s="8" t="s">
        <v>550</v>
      </c>
      <c r="H323" s="8" t="s">
        <v>556</v>
      </c>
      <c r="I323" s="8" t="s">
        <v>431</v>
      </c>
      <c r="J323" s="8" t="s">
        <v>159</v>
      </c>
      <c r="K323" s="8" t="s">
        <v>85</v>
      </c>
      <c r="L323" s="10">
        <v>44927.0</v>
      </c>
      <c r="N323" s="8" t="s">
        <v>434</v>
      </c>
      <c r="O323" s="8" t="s">
        <v>450</v>
      </c>
      <c r="P323" s="12">
        <v>45122.0</v>
      </c>
      <c r="Q323" s="13">
        <v>269664.0</v>
      </c>
      <c r="R323" s="8">
        <v>403103.0</v>
      </c>
    </row>
    <row r="324" ht="15.75" customHeight="1">
      <c r="A324" s="8" t="s">
        <v>552</v>
      </c>
      <c r="B324" s="8" t="s">
        <v>553</v>
      </c>
      <c r="C324" s="8" t="s">
        <v>415</v>
      </c>
      <c r="D324" s="8" t="s">
        <v>554</v>
      </c>
      <c r="E324" s="8" t="s">
        <v>20</v>
      </c>
      <c r="F324" s="8" t="s">
        <v>555</v>
      </c>
      <c r="G324" s="8" t="s">
        <v>550</v>
      </c>
      <c r="H324" s="8" t="s">
        <v>556</v>
      </c>
      <c r="I324" s="8" t="s">
        <v>431</v>
      </c>
      <c r="J324" s="8" t="s">
        <v>159</v>
      </c>
      <c r="K324" s="8" t="s">
        <v>85</v>
      </c>
      <c r="L324" s="10">
        <v>44927.0</v>
      </c>
      <c r="N324" s="8" t="s">
        <v>434</v>
      </c>
      <c r="O324" s="8" t="s">
        <v>450</v>
      </c>
      <c r="P324" s="12">
        <v>45147.0</v>
      </c>
      <c r="Q324" s="13">
        <v>447841.0</v>
      </c>
      <c r="R324" s="8">
        <v>403103.0</v>
      </c>
    </row>
    <row r="325" ht="15.75" customHeight="1">
      <c r="A325" s="8" t="s">
        <v>552</v>
      </c>
      <c r="B325" s="8" t="s">
        <v>553</v>
      </c>
      <c r="C325" s="8" t="s">
        <v>415</v>
      </c>
      <c r="D325" s="8" t="s">
        <v>554</v>
      </c>
      <c r="E325" s="8" t="s">
        <v>20</v>
      </c>
      <c r="F325" s="8" t="s">
        <v>555</v>
      </c>
      <c r="G325" s="8" t="s">
        <v>550</v>
      </c>
      <c r="H325" s="8" t="s">
        <v>556</v>
      </c>
      <c r="I325" s="8" t="s">
        <v>431</v>
      </c>
      <c r="J325" s="8" t="s">
        <v>159</v>
      </c>
      <c r="K325" s="8" t="s">
        <v>85</v>
      </c>
      <c r="L325" s="10">
        <v>44927.0</v>
      </c>
      <c r="N325" s="8" t="s">
        <v>434</v>
      </c>
      <c r="O325" s="8" t="s">
        <v>450</v>
      </c>
      <c r="P325" s="12">
        <v>45171.0</v>
      </c>
      <c r="Q325" s="13">
        <v>500982.0</v>
      </c>
      <c r="R325" s="8">
        <v>403103.0</v>
      </c>
    </row>
    <row r="326" ht="15.75" customHeight="1">
      <c r="A326" s="8" t="s">
        <v>557</v>
      </c>
      <c r="B326" s="8" t="s">
        <v>558</v>
      </c>
      <c r="C326" s="8" t="s">
        <v>415</v>
      </c>
      <c r="D326" s="8" t="s">
        <v>559</v>
      </c>
      <c r="E326" s="8" t="s">
        <v>20</v>
      </c>
      <c r="F326" s="8" t="s">
        <v>560</v>
      </c>
      <c r="G326" s="8" t="s">
        <v>561</v>
      </c>
      <c r="H326" s="8" t="s">
        <v>562</v>
      </c>
      <c r="I326" s="8" t="s">
        <v>420</v>
      </c>
      <c r="J326" s="8" t="s">
        <v>159</v>
      </c>
      <c r="K326" s="8" t="s">
        <v>563</v>
      </c>
      <c r="L326" s="10">
        <v>44928.0</v>
      </c>
      <c r="N326" s="8" t="s">
        <v>434</v>
      </c>
      <c r="O326" s="8" t="s">
        <v>450</v>
      </c>
      <c r="P326" s="12">
        <v>44928.0</v>
      </c>
      <c r="Q326" s="13">
        <v>86419.0</v>
      </c>
      <c r="R326" s="8">
        <v>405100.0</v>
      </c>
    </row>
    <row r="327" ht="15.75" customHeight="1">
      <c r="A327" s="8" t="s">
        <v>557</v>
      </c>
      <c r="B327" s="8" t="s">
        <v>558</v>
      </c>
      <c r="C327" s="8" t="s">
        <v>415</v>
      </c>
      <c r="D327" s="8" t="s">
        <v>559</v>
      </c>
      <c r="E327" s="8" t="s">
        <v>20</v>
      </c>
      <c r="F327" s="8" t="s">
        <v>560</v>
      </c>
      <c r="G327" s="8" t="s">
        <v>561</v>
      </c>
      <c r="H327" s="8" t="s">
        <v>562</v>
      </c>
      <c r="I327" s="8" t="s">
        <v>420</v>
      </c>
      <c r="J327" s="8" t="s">
        <v>159</v>
      </c>
      <c r="K327" s="8" t="s">
        <v>563</v>
      </c>
      <c r="L327" s="10">
        <v>44928.0</v>
      </c>
      <c r="N327" s="8" t="s">
        <v>434</v>
      </c>
      <c r="O327" s="8" t="s">
        <v>450</v>
      </c>
      <c r="P327" s="12">
        <v>44973.0</v>
      </c>
      <c r="Q327" s="13">
        <v>18374.0</v>
      </c>
      <c r="R327" s="8">
        <v>405100.0</v>
      </c>
    </row>
    <row r="328" ht="15.75" customHeight="1">
      <c r="A328" s="8" t="s">
        <v>557</v>
      </c>
      <c r="B328" s="8" t="s">
        <v>558</v>
      </c>
      <c r="C328" s="8" t="s">
        <v>415</v>
      </c>
      <c r="D328" s="8" t="s">
        <v>559</v>
      </c>
      <c r="E328" s="8" t="s">
        <v>20</v>
      </c>
      <c r="F328" s="8" t="s">
        <v>560</v>
      </c>
      <c r="G328" s="8" t="s">
        <v>561</v>
      </c>
      <c r="H328" s="8" t="s">
        <v>562</v>
      </c>
      <c r="I328" s="8" t="s">
        <v>420</v>
      </c>
      <c r="J328" s="8" t="s">
        <v>159</v>
      </c>
      <c r="K328" s="8" t="s">
        <v>563</v>
      </c>
      <c r="L328" s="10">
        <v>44928.0</v>
      </c>
      <c r="N328" s="8" t="s">
        <v>434</v>
      </c>
      <c r="O328" s="8" t="s">
        <v>450</v>
      </c>
      <c r="P328" s="12">
        <v>44993.0</v>
      </c>
      <c r="Q328" s="13">
        <v>51045.0</v>
      </c>
      <c r="R328" s="8">
        <v>405100.0</v>
      </c>
    </row>
    <row r="329" ht="15.75" customHeight="1">
      <c r="A329" s="8" t="s">
        <v>557</v>
      </c>
      <c r="B329" s="8" t="s">
        <v>558</v>
      </c>
      <c r="C329" s="8" t="s">
        <v>415</v>
      </c>
      <c r="D329" s="8" t="s">
        <v>559</v>
      </c>
      <c r="E329" s="8" t="s">
        <v>20</v>
      </c>
      <c r="F329" s="8" t="s">
        <v>560</v>
      </c>
      <c r="G329" s="8" t="s">
        <v>561</v>
      </c>
      <c r="H329" s="8" t="s">
        <v>562</v>
      </c>
      <c r="I329" s="8" t="s">
        <v>420</v>
      </c>
      <c r="J329" s="8" t="s">
        <v>159</v>
      </c>
      <c r="K329" s="8" t="s">
        <v>563</v>
      </c>
      <c r="L329" s="10">
        <v>44928.0</v>
      </c>
      <c r="N329" s="8" t="s">
        <v>434</v>
      </c>
      <c r="O329" s="8" t="s">
        <v>450</v>
      </c>
      <c r="P329" s="12">
        <v>45038.0</v>
      </c>
      <c r="Q329" s="13">
        <v>76343.0</v>
      </c>
      <c r="R329" s="8">
        <v>405100.0</v>
      </c>
    </row>
    <row r="330" ht="15.75" customHeight="1">
      <c r="A330" s="8" t="s">
        <v>557</v>
      </c>
      <c r="B330" s="8" t="s">
        <v>558</v>
      </c>
      <c r="C330" s="8" t="s">
        <v>415</v>
      </c>
      <c r="D330" s="8" t="s">
        <v>559</v>
      </c>
      <c r="E330" s="8" t="s">
        <v>20</v>
      </c>
      <c r="F330" s="8" t="s">
        <v>560</v>
      </c>
      <c r="G330" s="8" t="s">
        <v>561</v>
      </c>
      <c r="H330" s="8" t="s">
        <v>562</v>
      </c>
      <c r="I330" s="8" t="s">
        <v>420</v>
      </c>
      <c r="J330" s="8" t="s">
        <v>159</v>
      </c>
      <c r="K330" s="8" t="s">
        <v>563</v>
      </c>
      <c r="L330" s="10">
        <v>44928.0</v>
      </c>
      <c r="N330" s="8" t="s">
        <v>434</v>
      </c>
      <c r="O330" s="8" t="s">
        <v>450</v>
      </c>
      <c r="P330" s="12">
        <v>45058.0</v>
      </c>
      <c r="Q330" s="13">
        <v>249539.0</v>
      </c>
      <c r="R330" s="8">
        <v>405100.0</v>
      </c>
    </row>
    <row r="331" ht="15.75" customHeight="1">
      <c r="A331" s="8" t="s">
        <v>557</v>
      </c>
      <c r="B331" s="8" t="s">
        <v>558</v>
      </c>
      <c r="C331" s="8" t="s">
        <v>415</v>
      </c>
      <c r="D331" s="8" t="s">
        <v>559</v>
      </c>
      <c r="E331" s="8" t="s">
        <v>20</v>
      </c>
      <c r="F331" s="8" t="s">
        <v>560</v>
      </c>
      <c r="G331" s="8" t="s">
        <v>561</v>
      </c>
      <c r="H331" s="8" t="s">
        <v>562</v>
      </c>
      <c r="I331" s="8" t="s">
        <v>420</v>
      </c>
      <c r="J331" s="8" t="s">
        <v>159</v>
      </c>
      <c r="K331" s="8" t="s">
        <v>563</v>
      </c>
      <c r="L331" s="10">
        <v>44928.0</v>
      </c>
      <c r="N331" s="8" t="s">
        <v>434</v>
      </c>
      <c r="O331" s="8" t="s">
        <v>450</v>
      </c>
      <c r="P331" s="12">
        <v>45107.0</v>
      </c>
      <c r="Q331" s="13">
        <v>251130.0</v>
      </c>
      <c r="R331" s="8">
        <v>405100.0</v>
      </c>
    </row>
    <row r="332" ht="15.75" customHeight="1">
      <c r="A332" s="8" t="s">
        <v>557</v>
      </c>
      <c r="B332" s="8" t="s">
        <v>558</v>
      </c>
      <c r="C332" s="8" t="s">
        <v>415</v>
      </c>
      <c r="D332" s="8" t="s">
        <v>559</v>
      </c>
      <c r="E332" s="8" t="s">
        <v>20</v>
      </c>
      <c r="F332" s="8" t="s">
        <v>560</v>
      </c>
      <c r="G332" s="8" t="s">
        <v>561</v>
      </c>
      <c r="H332" s="8" t="s">
        <v>562</v>
      </c>
      <c r="I332" s="8" t="s">
        <v>420</v>
      </c>
      <c r="J332" s="8" t="s">
        <v>159</v>
      </c>
      <c r="K332" s="8" t="s">
        <v>563</v>
      </c>
      <c r="L332" s="10">
        <v>44928.0</v>
      </c>
      <c r="N332" s="8" t="s">
        <v>434</v>
      </c>
      <c r="O332" s="8" t="s">
        <v>450</v>
      </c>
      <c r="P332" s="12">
        <v>45121.0</v>
      </c>
      <c r="Q332" s="13">
        <v>472790.0</v>
      </c>
      <c r="R332" s="8">
        <v>405100.0</v>
      </c>
    </row>
    <row r="333" ht="15.75" customHeight="1">
      <c r="A333" s="8" t="s">
        <v>557</v>
      </c>
      <c r="B333" s="8" t="s">
        <v>558</v>
      </c>
      <c r="C333" s="8" t="s">
        <v>415</v>
      </c>
      <c r="D333" s="8" t="s">
        <v>559</v>
      </c>
      <c r="E333" s="8" t="s">
        <v>20</v>
      </c>
      <c r="F333" s="8" t="s">
        <v>560</v>
      </c>
      <c r="G333" s="8" t="s">
        <v>561</v>
      </c>
      <c r="H333" s="8" t="s">
        <v>562</v>
      </c>
      <c r="I333" s="8" t="s">
        <v>420</v>
      </c>
      <c r="J333" s="8" t="s">
        <v>159</v>
      </c>
      <c r="K333" s="8" t="s">
        <v>563</v>
      </c>
      <c r="L333" s="10">
        <v>44928.0</v>
      </c>
      <c r="N333" s="8" t="s">
        <v>434</v>
      </c>
      <c r="O333" s="8" t="s">
        <v>450</v>
      </c>
      <c r="P333" s="12">
        <v>45143.0</v>
      </c>
      <c r="Q333" s="13">
        <v>470152.0</v>
      </c>
      <c r="R333" s="8">
        <v>405100.0</v>
      </c>
    </row>
    <row r="334" ht="15.75" customHeight="1">
      <c r="A334" s="8" t="s">
        <v>557</v>
      </c>
      <c r="B334" s="8" t="s">
        <v>558</v>
      </c>
      <c r="C334" s="8" t="s">
        <v>415</v>
      </c>
      <c r="D334" s="8" t="s">
        <v>559</v>
      </c>
      <c r="E334" s="8" t="s">
        <v>20</v>
      </c>
      <c r="F334" s="8" t="s">
        <v>560</v>
      </c>
      <c r="G334" s="8" t="s">
        <v>561</v>
      </c>
      <c r="H334" s="8" t="s">
        <v>564</v>
      </c>
      <c r="I334" s="8" t="s">
        <v>420</v>
      </c>
      <c r="J334" s="8" t="s">
        <v>159</v>
      </c>
      <c r="K334" s="8" t="s">
        <v>563</v>
      </c>
      <c r="L334" s="10">
        <v>44928.0</v>
      </c>
      <c r="N334" s="8" t="s">
        <v>434</v>
      </c>
      <c r="O334" s="8" t="s">
        <v>450</v>
      </c>
      <c r="P334" s="12">
        <v>45187.0</v>
      </c>
      <c r="Q334" s="13">
        <v>570995.0</v>
      </c>
      <c r="R334" s="8">
        <v>405100.0</v>
      </c>
    </row>
    <row r="335" ht="15.75" customHeight="1">
      <c r="A335" s="8" t="s">
        <v>565</v>
      </c>
      <c r="B335" s="8" t="s">
        <v>566</v>
      </c>
      <c r="C335" s="8" t="s">
        <v>472</v>
      </c>
      <c r="D335" s="8" t="s">
        <v>567</v>
      </c>
      <c r="E335" s="8" t="s">
        <v>20</v>
      </c>
      <c r="F335" s="8" t="s">
        <v>568</v>
      </c>
      <c r="G335" s="8" t="s">
        <v>569</v>
      </c>
      <c r="H335" s="8" t="s">
        <v>562</v>
      </c>
      <c r="I335" s="8" t="s">
        <v>431</v>
      </c>
      <c r="J335" s="8" t="s">
        <v>432</v>
      </c>
      <c r="K335" s="8" t="s">
        <v>570</v>
      </c>
      <c r="L335" s="10">
        <v>44927.0</v>
      </c>
      <c r="N335" s="8" t="s">
        <v>434</v>
      </c>
      <c r="O335" s="8" t="s">
        <v>423</v>
      </c>
      <c r="P335" s="12">
        <v>44927.0</v>
      </c>
      <c r="Q335" s="13">
        <v>329958.0</v>
      </c>
      <c r="R335" s="8">
        <v>405100.0</v>
      </c>
    </row>
    <row r="336" ht="15.75" customHeight="1">
      <c r="A336" s="8" t="s">
        <v>565</v>
      </c>
      <c r="B336" s="8" t="s">
        <v>566</v>
      </c>
      <c r="C336" s="8" t="s">
        <v>472</v>
      </c>
      <c r="D336" s="8" t="s">
        <v>567</v>
      </c>
      <c r="E336" s="8" t="s">
        <v>20</v>
      </c>
      <c r="F336" s="8" t="s">
        <v>568</v>
      </c>
      <c r="G336" s="8" t="s">
        <v>569</v>
      </c>
      <c r="H336" s="8" t="s">
        <v>562</v>
      </c>
      <c r="I336" s="8" t="s">
        <v>431</v>
      </c>
      <c r="J336" s="8" t="s">
        <v>432</v>
      </c>
      <c r="K336" s="8" t="s">
        <v>570</v>
      </c>
      <c r="L336" s="10">
        <v>44927.0</v>
      </c>
      <c r="N336" s="8" t="s">
        <v>434</v>
      </c>
      <c r="O336" s="8" t="s">
        <v>423</v>
      </c>
      <c r="P336" s="12">
        <v>44986.0</v>
      </c>
      <c r="Q336" s="13">
        <v>242085.0</v>
      </c>
      <c r="R336" s="8">
        <v>405100.0</v>
      </c>
    </row>
    <row r="337" ht="15.75" customHeight="1">
      <c r="A337" s="8" t="s">
        <v>565</v>
      </c>
      <c r="B337" s="8" t="s">
        <v>566</v>
      </c>
      <c r="C337" s="8" t="s">
        <v>472</v>
      </c>
      <c r="D337" s="8" t="s">
        <v>567</v>
      </c>
      <c r="E337" s="8" t="s">
        <v>20</v>
      </c>
      <c r="F337" s="8" t="s">
        <v>568</v>
      </c>
      <c r="G337" s="8" t="s">
        <v>569</v>
      </c>
      <c r="H337" s="8" t="s">
        <v>562</v>
      </c>
      <c r="I337" s="8" t="s">
        <v>431</v>
      </c>
      <c r="J337" s="8" t="s">
        <v>432</v>
      </c>
      <c r="K337" s="8" t="s">
        <v>570</v>
      </c>
      <c r="L337" s="10">
        <v>44927.0</v>
      </c>
      <c r="N337" s="8" t="s">
        <v>434</v>
      </c>
      <c r="O337" s="8" t="s">
        <v>423</v>
      </c>
      <c r="P337" s="12">
        <v>45047.0</v>
      </c>
      <c r="Q337" s="13">
        <v>460201.0</v>
      </c>
      <c r="R337" s="8">
        <v>405100.0</v>
      </c>
    </row>
    <row r="338" ht="15.75" customHeight="1">
      <c r="A338" s="8" t="s">
        <v>565</v>
      </c>
      <c r="B338" s="8" t="s">
        <v>566</v>
      </c>
      <c r="C338" s="8" t="s">
        <v>472</v>
      </c>
      <c r="D338" s="8" t="s">
        <v>567</v>
      </c>
      <c r="E338" s="8" t="s">
        <v>20</v>
      </c>
      <c r="F338" s="8" t="s">
        <v>568</v>
      </c>
      <c r="G338" s="8" t="s">
        <v>569</v>
      </c>
      <c r="H338" s="8" t="s">
        <v>562</v>
      </c>
      <c r="I338" s="8" t="s">
        <v>431</v>
      </c>
      <c r="J338" s="8" t="s">
        <v>432</v>
      </c>
      <c r="K338" s="8" t="s">
        <v>570</v>
      </c>
      <c r="L338" s="10">
        <v>44927.0</v>
      </c>
      <c r="N338" s="8" t="s">
        <v>434</v>
      </c>
      <c r="O338" s="8" t="s">
        <v>423</v>
      </c>
      <c r="P338" s="12">
        <v>45108.0</v>
      </c>
      <c r="Q338" s="13">
        <v>572372.0</v>
      </c>
      <c r="R338" s="8">
        <v>405100.0</v>
      </c>
    </row>
    <row r="339" ht="15.75" customHeight="1">
      <c r="A339" s="8" t="s">
        <v>565</v>
      </c>
      <c r="B339" s="8" t="s">
        <v>566</v>
      </c>
      <c r="C339" s="8" t="s">
        <v>472</v>
      </c>
      <c r="D339" s="8" t="s">
        <v>567</v>
      </c>
      <c r="E339" s="8" t="s">
        <v>20</v>
      </c>
      <c r="F339" s="8" t="s">
        <v>568</v>
      </c>
      <c r="G339" s="8" t="s">
        <v>569</v>
      </c>
      <c r="H339" s="8" t="s">
        <v>562</v>
      </c>
      <c r="I339" s="8" t="s">
        <v>431</v>
      </c>
      <c r="J339" s="8" t="s">
        <v>432</v>
      </c>
      <c r="K339" s="8" t="s">
        <v>570</v>
      </c>
      <c r="L339" s="10">
        <v>44927.0</v>
      </c>
      <c r="N339" s="8" t="s">
        <v>434</v>
      </c>
      <c r="O339" s="8" t="s">
        <v>423</v>
      </c>
      <c r="P339" s="12">
        <v>45170.0</v>
      </c>
      <c r="Q339" s="13">
        <v>408599.0</v>
      </c>
      <c r="R339" s="8">
        <v>405100.0</v>
      </c>
    </row>
    <row r="340" ht="15.75" customHeight="1">
      <c r="A340" s="8" t="s">
        <v>571</v>
      </c>
      <c r="B340" s="8" t="s">
        <v>572</v>
      </c>
      <c r="C340" s="8" t="s">
        <v>472</v>
      </c>
      <c r="D340" s="8" t="s">
        <v>573</v>
      </c>
      <c r="E340" s="8" t="s">
        <v>20</v>
      </c>
      <c r="F340" s="8" t="s">
        <v>574</v>
      </c>
      <c r="G340" s="8" t="s">
        <v>537</v>
      </c>
      <c r="H340" s="8" t="s">
        <v>20</v>
      </c>
      <c r="I340" s="8" t="s">
        <v>512</v>
      </c>
      <c r="J340" s="8" t="s">
        <v>159</v>
      </c>
      <c r="K340" s="8" t="s">
        <v>575</v>
      </c>
      <c r="L340" s="10">
        <v>44198.0</v>
      </c>
      <c r="M340" s="10">
        <v>44929.0</v>
      </c>
      <c r="N340" s="8" t="s">
        <v>422</v>
      </c>
      <c r="O340" s="8" t="s">
        <v>450</v>
      </c>
      <c r="P340" s="12">
        <v>44198.0</v>
      </c>
      <c r="Q340" s="13">
        <v>29120.0</v>
      </c>
      <c r="R340" s="8">
        <v>405100.0</v>
      </c>
    </row>
    <row r="341" ht="15.75" customHeight="1">
      <c r="A341" s="8" t="s">
        <v>571</v>
      </c>
      <c r="B341" s="8" t="s">
        <v>572</v>
      </c>
      <c r="C341" s="8" t="s">
        <v>472</v>
      </c>
      <c r="D341" s="8" t="s">
        <v>573</v>
      </c>
      <c r="E341" s="8" t="s">
        <v>20</v>
      </c>
      <c r="F341" s="8" t="s">
        <v>574</v>
      </c>
      <c r="G341" s="8" t="s">
        <v>537</v>
      </c>
      <c r="H341" s="8" t="s">
        <v>20</v>
      </c>
      <c r="I341" s="8" t="s">
        <v>512</v>
      </c>
      <c r="J341" s="8" t="s">
        <v>159</v>
      </c>
      <c r="K341" s="8" t="s">
        <v>575</v>
      </c>
      <c r="L341" s="10">
        <v>44198.0</v>
      </c>
      <c r="M341" s="10">
        <v>44929.0</v>
      </c>
      <c r="N341" s="8" t="s">
        <v>422</v>
      </c>
      <c r="O341" s="8" t="s">
        <v>450</v>
      </c>
      <c r="P341" s="12">
        <v>44243.0</v>
      </c>
      <c r="Q341" s="13">
        <v>88565.0</v>
      </c>
      <c r="R341" s="8">
        <v>405100.0</v>
      </c>
    </row>
    <row r="342" ht="15.75" customHeight="1">
      <c r="A342" s="8" t="s">
        <v>571</v>
      </c>
      <c r="B342" s="8" t="s">
        <v>572</v>
      </c>
      <c r="C342" s="8" t="s">
        <v>472</v>
      </c>
      <c r="D342" s="8" t="s">
        <v>573</v>
      </c>
      <c r="E342" s="8" t="s">
        <v>20</v>
      </c>
      <c r="F342" s="8" t="s">
        <v>574</v>
      </c>
      <c r="G342" s="8" t="s">
        <v>537</v>
      </c>
      <c r="H342" s="8" t="s">
        <v>20</v>
      </c>
      <c r="I342" s="8" t="s">
        <v>512</v>
      </c>
      <c r="J342" s="8" t="s">
        <v>159</v>
      </c>
      <c r="K342" s="8" t="s">
        <v>575</v>
      </c>
      <c r="L342" s="10">
        <v>44198.0</v>
      </c>
      <c r="M342" s="10">
        <v>44929.0</v>
      </c>
      <c r="N342" s="8" t="s">
        <v>422</v>
      </c>
      <c r="O342" s="8" t="s">
        <v>450</v>
      </c>
      <c r="P342" s="12">
        <v>44263.0</v>
      </c>
      <c r="Q342" s="13">
        <v>88682.0</v>
      </c>
      <c r="R342" s="8">
        <v>405100.0</v>
      </c>
    </row>
    <row r="343" ht="15.75" customHeight="1">
      <c r="A343" s="8" t="s">
        <v>571</v>
      </c>
      <c r="B343" s="8" t="s">
        <v>572</v>
      </c>
      <c r="C343" s="8" t="s">
        <v>472</v>
      </c>
      <c r="D343" s="8" t="s">
        <v>573</v>
      </c>
      <c r="E343" s="8" t="s">
        <v>20</v>
      </c>
      <c r="F343" s="8" t="s">
        <v>574</v>
      </c>
      <c r="G343" s="8" t="s">
        <v>537</v>
      </c>
      <c r="H343" s="8" t="s">
        <v>20</v>
      </c>
      <c r="I343" s="8" t="s">
        <v>512</v>
      </c>
      <c r="J343" s="8" t="s">
        <v>159</v>
      </c>
      <c r="K343" s="8" t="s">
        <v>575</v>
      </c>
      <c r="L343" s="10">
        <v>44198.0</v>
      </c>
      <c r="M343" s="10">
        <v>44929.0</v>
      </c>
      <c r="N343" s="8" t="s">
        <v>422</v>
      </c>
      <c r="O343" s="8" t="s">
        <v>450</v>
      </c>
      <c r="P343" s="12">
        <v>44308.0</v>
      </c>
      <c r="Q343" s="13">
        <v>28523.0</v>
      </c>
      <c r="R343" s="8">
        <v>405100.0</v>
      </c>
    </row>
    <row r="344" ht="15.75" customHeight="1">
      <c r="A344" s="8" t="s">
        <v>571</v>
      </c>
      <c r="B344" s="8" t="s">
        <v>572</v>
      </c>
      <c r="C344" s="8" t="s">
        <v>472</v>
      </c>
      <c r="D344" s="8" t="s">
        <v>573</v>
      </c>
      <c r="E344" s="8" t="s">
        <v>20</v>
      </c>
      <c r="F344" s="8" t="s">
        <v>574</v>
      </c>
      <c r="G344" s="8" t="s">
        <v>537</v>
      </c>
      <c r="H344" s="8" t="s">
        <v>20</v>
      </c>
      <c r="I344" s="8" t="s">
        <v>512</v>
      </c>
      <c r="J344" s="8" t="s">
        <v>159</v>
      </c>
      <c r="K344" s="8" t="s">
        <v>575</v>
      </c>
      <c r="L344" s="10">
        <v>44198.0</v>
      </c>
      <c r="M344" s="10">
        <v>44929.0</v>
      </c>
      <c r="N344" s="8" t="s">
        <v>422</v>
      </c>
      <c r="O344" s="8" t="s">
        <v>450</v>
      </c>
      <c r="P344" s="12">
        <v>44328.0</v>
      </c>
      <c r="Q344" s="13">
        <v>13240.0</v>
      </c>
      <c r="R344" s="8">
        <v>405100.0</v>
      </c>
    </row>
    <row r="345" ht="15.75" customHeight="1">
      <c r="A345" s="8" t="s">
        <v>571</v>
      </c>
      <c r="B345" s="8" t="s">
        <v>572</v>
      </c>
      <c r="C345" s="8" t="s">
        <v>472</v>
      </c>
      <c r="D345" s="8" t="s">
        <v>573</v>
      </c>
      <c r="E345" s="8" t="s">
        <v>20</v>
      </c>
      <c r="F345" s="8" t="s">
        <v>574</v>
      </c>
      <c r="G345" s="8" t="s">
        <v>537</v>
      </c>
      <c r="H345" s="8" t="s">
        <v>20</v>
      </c>
      <c r="I345" s="8" t="s">
        <v>512</v>
      </c>
      <c r="J345" s="8" t="s">
        <v>159</v>
      </c>
      <c r="K345" s="8" t="s">
        <v>575</v>
      </c>
      <c r="L345" s="10">
        <v>44198.0</v>
      </c>
      <c r="M345" s="10">
        <v>44929.0</v>
      </c>
      <c r="N345" s="8" t="s">
        <v>422</v>
      </c>
      <c r="O345" s="8" t="s">
        <v>450</v>
      </c>
      <c r="P345" s="12">
        <v>44377.0</v>
      </c>
      <c r="Q345" s="13">
        <v>27493.0</v>
      </c>
      <c r="R345" s="8">
        <v>405100.0</v>
      </c>
    </row>
    <row r="346" ht="15.75" customHeight="1">
      <c r="A346" s="8" t="s">
        <v>571</v>
      </c>
      <c r="B346" s="8" t="s">
        <v>572</v>
      </c>
      <c r="C346" s="8" t="s">
        <v>472</v>
      </c>
      <c r="D346" s="8" t="s">
        <v>573</v>
      </c>
      <c r="E346" s="8" t="s">
        <v>20</v>
      </c>
      <c r="F346" s="8" t="s">
        <v>574</v>
      </c>
      <c r="G346" s="8" t="s">
        <v>537</v>
      </c>
      <c r="H346" s="8" t="s">
        <v>20</v>
      </c>
      <c r="I346" s="8" t="s">
        <v>512</v>
      </c>
      <c r="J346" s="8" t="s">
        <v>159</v>
      </c>
      <c r="K346" s="8" t="s">
        <v>575</v>
      </c>
      <c r="L346" s="10">
        <v>44198.0</v>
      </c>
      <c r="M346" s="10">
        <v>44929.0</v>
      </c>
      <c r="N346" s="8" t="s">
        <v>422</v>
      </c>
      <c r="O346" s="8" t="s">
        <v>450</v>
      </c>
      <c r="P346" s="12">
        <v>44391.0</v>
      </c>
      <c r="Q346" s="13">
        <v>222261.0</v>
      </c>
      <c r="R346" s="8">
        <v>405100.0</v>
      </c>
    </row>
    <row r="347" ht="15.75" customHeight="1">
      <c r="A347" s="8" t="s">
        <v>571</v>
      </c>
      <c r="B347" s="8" t="s">
        <v>572</v>
      </c>
      <c r="C347" s="8" t="s">
        <v>472</v>
      </c>
      <c r="D347" s="8" t="s">
        <v>573</v>
      </c>
      <c r="E347" s="8" t="s">
        <v>20</v>
      </c>
      <c r="F347" s="8" t="s">
        <v>574</v>
      </c>
      <c r="G347" s="8" t="s">
        <v>537</v>
      </c>
      <c r="H347" s="8" t="s">
        <v>20</v>
      </c>
      <c r="I347" s="8" t="s">
        <v>512</v>
      </c>
      <c r="J347" s="8" t="s">
        <v>159</v>
      </c>
      <c r="K347" s="8" t="s">
        <v>575</v>
      </c>
      <c r="L347" s="10">
        <v>44198.0</v>
      </c>
      <c r="M347" s="10">
        <v>44929.0</v>
      </c>
      <c r="N347" s="8" t="s">
        <v>422</v>
      </c>
      <c r="O347" s="8" t="s">
        <v>450</v>
      </c>
      <c r="P347" s="12">
        <v>44413.0</v>
      </c>
      <c r="Q347" s="13">
        <v>102864.0</v>
      </c>
      <c r="R347" s="8">
        <v>405100.0</v>
      </c>
    </row>
    <row r="348" ht="15.75" customHeight="1">
      <c r="A348" s="8" t="s">
        <v>571</v>
      </c>
      <c r="B348" s="8" t="s">
        <v>572</v>
      </c>
      <c r="C348" s="8" t="s">
        <v>472</v>
      </c>
      <c r="D348" s="8" t="s">
        <v>573</v>
      </c>
      <c r="E348" s="8" t="s">
        <v>20</v>
      </c>
      <c r="F348" s="8" t="s">
        <v>574</v>
      </c>
      <c r="G348" s="8" t="s">
        <v>537</v>
      </c>
      <c r="H348" s="8" t="s">
        <v>20</v>
      </c>
      <c r="I348" s="8" t="s">
        <v>512</v>
      </c>
      <c r="J348" s="8" t="s">
        <v>159</v>
      </c>
      <c r="K348" s="8" t="s">
        <v>575</v>
      </c>
      <c r="L348" s="10">
        <v>44198.0</v>
      </c>
      <c r="M348" s="10">
        <v>44929.0</v>
      </c>
      <c r="N348" s="8" t="s">
        <v>422</v>
      </c>
      <c r="O348" s="8" t="s">
        <v>450</v>
      </c>
      <c r="P348" s="12">
        <v>44458.0</v>
      </c>
      <c r="Q348" s="13">
        <v>228710.0</v>
      </c>
      <c r="R348" s="8">
        <v>405100.0</v>
      </c>
    </row>
    <row r="349" ht="15.75" customHeight="1">
      <c r="A349" s="8" t="s">
        <v>571</v>
      </c>
      <c r="B349" s="8" t="s">
        <v>572</v>
      </c>
      <c r="C349" s="8" t="s">
        <v>472</v>
      </c>
      <c r="D349" s="8" t="s">
        <v>573</v>
      </c>
      <c r="E349" s="8" t="s">
        <v>20</v>
      </c>
      <c r="F349" s="8" t="s">
        <v>574</v>
      </c>
      <c r="G349" s="8" t="s">
        <v>537</v>
      </c>
      <c r="H349" s="8" t="s">
        <v>20</v>
      </c>
      <c r="I349" s="8" t="s">
        <v>512</v>
      </c>
      <c r="J349" s="8" t="s">
        <v>159</v>
      </c>
      <c r="K349" s="8" t="s">
        <v>575</v>
      </c>
      <c r="L349" s="10">
        <v>44198.0</v>
      </c>
      <c r="M349" s="10">
        <v>44929.0</v>
      </c>
      <c r="N349" s="8" t="s">
        <v>422</v>
      </c>
      <c r="O349" s="8" t="s">
        <v>450</v>
      </c>
      <c r="P349" s="12">
        <v>44472.0</v>
      </c>
      <c r="Q349" s="13">
        <v>291540.0</v>
      </c>
      <c r="R349" s="8">
        <v>405100.0</v>
      </c>
    </row>
    <row r="350" ht="15.75" customHeight="1">
      <c r="A350" s="8" t="s">
        <v>571</v>
      </c>
      <c r="B350" s="8" t="s">
        <v>572</v>
      </c>
      <c r="C350" s="8" t="s">
        <v>472</v>
      </c>
      <c r="D350" s="8" t="s">
        <v>573</v>
      </c>
      <c r="E350" s="8" t="s">
        <v>20</v>
      </c>
      <c r="F350" s="8" t="s">
        <v>574</v>
      </c>
      <c r="G350" s="8" t="s">
        <v>537</v>
      </c>
      <c r="H350" s="8" t="s">
        <v>20</v>
      </c>
      <c r="I350" s="8" t="s">
        <v>512</v>
      </c>
      <c r="J350" s="8" t="s">
        <v>159</v>
      </c>
      <c r="K350" s="8" t="s">
        <v>575</v>
      </c>
      <c r="L350" s="10">
        <v>44198.0</v>
      </c>
      <c r="M350" s="10">
        <v>44929.0</v>
      </c>
      <c r="N350" s="8" t="s">
        <v>422</v>
      </c>
      <c r="O350" s="8" t="s">
        <v>450</v>
      </c>
      <c r="P350" s="14">
        <v>44522.0</v>
      </c>
      <c r="Q350" s="13">
        <v>366630.0</v>
      </c>
      <c r="R350" s="8">
        <v>405100.0</v>
      </c>
    </row>
    <row r="351" ht="15.75" customHeight="1">
      <c r="A351" s="8" t="s">
        <v>571</v>
      </c>
      <c r="B351" s="8" t="s">
        <v>572</v>
      </c>
      <c r="C351" s="8" t="s">
        <v>472</v>
      </c>
      <c r="D351" s="8" t="s">
        <v>573</v>
      </c>
      <c r="E351" s="8" t="s">
        <v>20</v>
      </c>
      <c r="F351" s="8" t="s">
        <v>574</v>
      </c>
      <c r="G351" s="8" t="s">
        <v>537</v>
      </c>
      <c r="H351" s="8" t="s">
        <v>20</v>
      </c>
      <c r="I351" s="8" t="s">
        <v>512</v>
      </c>
      <c r="J351" s="8" t="s">
        <v>159</v>
      </c>
      <c r="K351" s="8" t="s">
        <v>575</v>
      </c>
      <c r="L351" s="10">
        <v>44198.0</v>
      </c>
      <c r="M351" s="10">
        <v>44929.0</v>
      </c>
      <c r="N351" s="8" t="s">
        <v>422</v>
      </c>
      <c r="O351" s="8" t="s">
        <v>450</v>
      </c>
      <c r="P351" s="12">
        <v>44539.0</v>
      </c>
      <c r="Q351" s="13">
        <v>446985.0</v>
      </c>
      <c r="R351" s="8">
        <v>405100.0</v>
      </c>
    </row>
    <row r="352" ht="15.75" customHeight="1">
      <c r="A352" s="8" t="s">
        <v>571</v>
      </c>
      <c r="B352" s="8" t="s">
        <v>572</v>
      </c>
      <c r="C352" s="8" t="s">
        <v>472</v>
      </c>
      <c r="D352" s="8" t="s">
        <v>573</v>
      </c>
      <c r="E352" s="8" t="s">
        <v>20</v>
      </c>
      <c r="F352" s="8" t="s">
        <v>574</v>
      </c>
      <c r="G352" s="8" t="s">
        <v>537</v>
      </c>
      <c r="H352" s="8" t="s">
        <v>20</v>
      </c>
      <c r="I352" s="8" t="s">
        <v>512</v>
      </c>
      <c r="J352" s="8" t="s">
        <v>159</v>
      </c>
      <c r="K352" s="8" t="s">
        <v>575</v>
      </c>
      <c r="L352" s="10">
        <v>44198.0</v>
      </c>
      <c r="M352" s="10">
        <v>44929.0</v>
      </c>
      <c r="N352" s="8" t="s">
        <v>422</v>
      </c>
      <c r="O352" s="8" t="s">
        <v>450</v>
      </c>
      <c r="P352" s="12">
        <v>44564.0</v>
      </c>
      <c r="Q352" s="13">
        <v>326348.0</v>
      </c>
      <c r="R352" s="8">
        <v>405100.0</v>
      </c>
    </row>
    <row r="353" ht="15.75" customHeight="1">
      <c r="A353" s="8" t="s">
        <v>571</v>
      </c>
      <c r="B353" s="8" t="s">
        <v>572</v>
      </c>
      <c r="C353" s="8" t="s">
        <v>472</v>
      </c>
      <c r="D353" s="8" t="s">
        <v>573</v>
      </c>
      <c r="E353" s="8" t="s">
        <v>20</v>
      </c>
      <c r="F353" s="8" t="s">
        <v>574</v>
      </c>
      <c r="G353" s="8" t="s">
        <v>537</v>
      </c>
      <c r="H353" s="8" t="s">
        <v>20</v>
      </c>
      <c r="I353" s="8" t="s">
        <v>512</v>
      </c>
      <c r="J353" s="8" t="s">
        <v>159</v>
      </c>
      <c r="K353" s="8" t="s">
        <v>575</v>
      </c>
      <c r="L353" s="10">
        <v>44198.0</v>
      </c>
      <c r="M353" s="10">
        <v>44929.0</v>
      </c>
      <c r="N353" s="8" t="s">
        <v>422</v>
      </c>
      <c r="O353" s="8" t="s">
        <v>450</v>
      </c>
      <c r="P353" s="12">
        <v>44610.0</v>
      </c>
      <c r="Q353" s="13">
        <v>429540.0</v>
      </c>
      <c r="R353" s="8">
        <v>405100.0</v>
      </c>
    </row>
    <row r="354" ht="15.75" customHeight="1">
      <c r="A354" s="8" t="s">
        <v>571</v>
      </c>
      <c r="B354" s="8" t="s">
        <v>572</v>
      </c>
      <c r="C354" s="8" t="s">
        <v>472</v>
      </c>
      <c r="D354" s="8" t="s">
        <v>573</v>
      </c>
      <c r="E354" s="8" t="s">
        <v>20</v>
      </c>
      <c r="F354" s="8" t="s">
        <v>574</v>
      </c>
      <c r="G354" s="8" t="s">
        <v>537</v>
      </c>
      <c r="H354" s="8" t="s">
        <v>20</v>
      </c>
      <c r="I354" s="8" t="s">
        <v>512</v>
      </c>
      <c r="J354" s="8" t="s">
        <v>159</v>
      </c>
      <c r="K354" s="8" t="s">
        <v>575</v>
      </c>
      <c r="L354" s="10">
        <v>44198.0</v>
      </c>
      <c r="M354" s="10">
        <v>44929.0</v>
      </c>
      <c r="N354" s="8" t="s">
        <v>422</v>
      </c>
      <c r="O354" s="8" t="s">
        <v>450</v>
      </c>
      <c r="P354" s="12">
        <v>44627.0</v>
      </c>
      <c r="Q354" s="13">
        <v>303796.0</v>
      </c>
      <c r="R354" s="8">
        <v>405100.0</v>
      </c>
    </row>
    <row r="355" ht="15.75" customHeight="1">
      <c r="A355" s="8" t="s">
        <v>571</v>
      </c>
      <c r="B355" s="8" t="s">
        <v>572</v>
      </c>
      <c r="C355" s="8" t="s">
        <v>472</v>
      </c>
      <c r="D355" s="8" t="s">
        <v>573</v>
      </c>
      <c r="E355" s="8" t="s">
        <v>20</v>
      </c>
      <c r="F355" s="8" t="s">
        <v>574</v>
      </c>
      <c r="G355" s="8" t="s">
        <v>537</v>
      </c>
      <c r="H355" s="8" t="s">
        <v>20</v>
      </c>
      <c r="I355" s="8" t="s">
        <v>512</v>
      </c>
      <c r="J355" s="8" t="s">
        <v>159</v>
      </c>
      <c r="K355" s="8" t="s">
        <v>575</v>
      </c>
      <c r="L355" s="10">
        <v>44198.0</v>
      </c>
      <c r="M355" s="10">
        <v>44929.0</v>
      </c>
      <c r="N355" s="8" t="s">
        <v>422</v>
      </c>
      <c r="O355" s="8" t="s">
        <v>450</v>
      </c>
      <c r="P355" s="12">
        <v>44676.0</v>
      </c>
      <c r="Q355" s="13">
        <v>262362.0</v>
      </c>
      <c r="R355" s="8">
        <v>405100.0</v>
      </c>
    </row>
    <row r="356" ht="15.75" customHeight="1">
      <c r="A356" s="8" t="s">
        <v>571</v>
      </c>
      <c r="B356" s="8" t="s">
        <v>572</v>
      </c>
      <c r="C356" s="8" t="s">
        <v>472</v>
      </c>
      <c r="D356" s="8" t="s">
        <v>573</v>
      </c>
      <c r="E356" s="8" t="s">
        <v>20</v>
      </c>
      <c r="F356" s="8" t="s">
        <v>574</v>
      </c>
      <c r="G356" s="8" t="s">
        <v>537</v>
      </c>
      <c r="H356" s="8" t="s">
        <v>20</v>
      </c>
      <c r="I356" s="8" t="s">
        <v>512</v>
      </c>
      <c r="J356" s="8" t="s">
        <v>159</v>
      </c>
      <c r="K356" s="8" t="s">
        <v>575</v>
      </c>
      <c r="L356" s="10">
        <v>44198.0</v>
      </c>
      <c r="M356" s="10">
        <v>44929.0</v>
      </c>
      <c r="N356" s="8" t="s">
        <v>422</v>
      </c>
      <c r="O356" s="8" t="s">
        <v>450</v>
      </c>
      <c r="P356" s="12">
        <v>44693.0</v>
      </c>
      <c r="Q356" s="13">
        <v>523067.0</v>
      </c>
      <c r="R356" s="8">
        <v>405100.0</v>
      </c>
    </row>
    <row r="357" ht="15.75" customHeight="1">
      <c r="A357" s="8" t="s">
        <v>571</v>
      </c>
      <c r="B357" s="8" t="s">
        <v>572</v>
      </c>
      <c r="C357" s="8" t="s">
        <v>472</v>
      </c>
      <c r="D357" s="8" t="s">
        <v>573</v>
      </c>
      <c r="E357" s="8" t="s">
        <v>20</v>
      </c>
      <c r="F357" s="8" t="s">
        <v>574</v>
      </c>
      <c r="G357" s="8" t="s">
        <v>537</v>
      </c>
      <c r="H357" s="8" t="s">
        <v>20</v>
      </c>
      <c r="I357" s="8" t="s">
        <v>512</v>
      </c>
      <c r="J357" s="8" t="s">
        <v>159</v>
      </c>
      <c r="K357" s="8" t="s">
        <v>575</v>
      </c>
      <c r="L357" s="10">
        <v>44198.0</v>
      </c>
      <c r="M357" s="10">
        <v>44929.0</v>
      </c>
      <c r="N357" s="8" t="s">
        <v>422</v>
      </c>
      <c r="O357" s="8" t="s">
        <v>450</v>
      </c>
      <c r="P357" s="12">
        <v>44742.0</v>
      </c>
      <c r="Q357" s="13">
        <v>534547.0</v>
      </c>
      <c r="R357" s="8">
        <v>405100.0</v>
      </c>
    </row>
    <row r="358" ht="15.75" customHeight="1">
      <c r="A358" s="8" t="s">
        <v>571</v>
      </c>
      <c r="B358" s="8" t="s">
        <v>572</v>
      </c>
      <c r="C358" s="8" t="s">
        <v>472</v>
      </c>
      <c r="D358" s="8" t="s">
        <v>573</v>
      </c>
      <c r="E358" s="8" t="s">
        <v>20</v>
      </c>
      <c r="F358" s="8" t="s">
        <v>574</v>
      </c>
      <c r="G358" s="8" t="s">
        <v>537</v>
      </c>
      <c r="H358" s="8" t="s">
        <v>20</v>
      </c>
      <c r="I358" s="8" t="s">
        <v>512</v>
      </c>
      <c r="J358" s="8" t="s">
        <v>159</v>
      </c>
      <c r="K358" s="8" t="s">
        <v>575</v>
      </c>
      <c r="L358" s="10">
        <v>44198.0</v>
      </c>
      <c r="M358" s="10">
        <v>44929.0</v>
      </c>
      <c r="N358" s="8" t="s">
        <v>422</v>
      </c>
      <c r="O358" s="8" t="s">
        <v>450</v>
      </c>
      <c r="P358" s="12">
        <v>44757.0</v>
      </c>
      <c r="Q358" s="13">
        <v>307194.0</v>
      </c>
      <c r="R358" s="8">
        <v>405100.0</v>
      </c>
    </row>
    <row r="359" ht="15.75" customHeight="1">
      <c r="A359" s="8" t="s">
        <v>571</v>
      </c>
      <c r="B359" s="8" t="s">
        <v>572</v>
      </c>
      <c r="C359" s="8" t="s">
        <v>472</v>
      </c>
      <c r="D359" s="8" t="s">
        <v>573</v>
      </c>
      <c r="E359" s="8" t="s">
        <v>20</v>
      </c>
      <c r="F359" s="8" t="s">
        <v>574</v>
      </c>
      <c r="G359" s="8" t="s">
        <v>537</v>
      </c>
      <c r="H359" s="8" t="s">
        <v>20</v>
      </c>
      <c r="I359" s="8" t="s">
        <v>512</v>
      </c>
      <c r="J359" s="8" t="s">
        <v>159</v>
      </c>
      <c r="K359" s="8" t="s">
        <v>575</v>
      </c>
      <c r="L359" s="10">
        <v>44198.0</v>
      </c>
      <c r="M359" s="10">
        <v>44929.0</v>
      </c>
      <c r="N359" s="8" t="s">
        <v>422</v>
      </c>
      <c r="O359" s="8" t="s">
        <v>450</v>
      </c>
      <c r="P359" s="12">
        <v>44782.0</v>
      </c>
      <c r="Q359" s="13">
        <v>462809.0</v>
      </c>
      <c r="R359" s="8">
        <v>405100.0</v>
      </c>
    </row>
    <row r="360" ht="15.75" customHeight="1">
      <c r="A360" s="8" t="s">
        <v>571</v>
      </c>
      <c r="B360" s="8" t="s">
        <v>572</v>
      </c>
      <c r="C360" s="8" t="s">
        <v>472</v>
      </c>
      <c r="D360" s="8" t="s">
        <v>573</v>
      </c>
      <c r="E360" s="8" t="s">
        <v>20</v>
      </c>
      <c r="F360" s="8" t="s">
        <v>574</v>
      </c>
      <c r="G360" s="8" t="s">
        <v>537</v>
      </c>
      <c r="H360" s="8" t="s">
        <v>20</v>
      </c>
      <c r="I360" s="8" t="s">
        <v>512</v>
      </c>
      <c r="J360" s="8" t="s">
        <v>159</v>
      </c>
      <c r="K360" s="8" t="s">
        <v>575</v>
      </c>
      <c r="L360" s="10">
        <v>44198.0</v>
      </c>
      <c r="M360" s="10">
        <v>44929.0</v>
      </c>
      <c r="N360" s="8" t="s">
        <v>422</v>
      </c>
      <c r="O360" s="8" t="s">
        <v>450</v>
      </c>
      <c r="P360" s="12">
        <v>44827.0</v>
      </c>
      <c r="Q360" s="13">
        <v>434394.0</v>
      </c>
      <c r="R360" s="8">
        <v>405100.0</v>
      </c>
    </row>
    <row r="361" ht="15.75" customHeight="1">
      <c r="A361" s="8" t="s">
        <v>571</v>
      </c>
      <c r="B361" s="8" t="s">
        <v>572</v>
      </c>
      <c r="C361" s="8" t="s">
        <v>472</v>
      </c>
      <c r="D361" s="8" t="s">
        <v>573</v>
      </c>
      <c r="E361" s="8" t="s">
        <v>20</v>
      </c>
      <c r="F361" s="8" t="s">
        <v>574</v>
      </c>
      <c r="G361" s="8" t="s">
        <v>537</v>
      </c>
      <c r="H361" s="8" t="s">
        <v>20</v>
      </c>
      <c r="I361" s="8" t="s">
        <v>512</v>
      </c>
      <c r="J361" s="8" t="s">
        <v>159</v>
      </c>
      <c r="K361" s="8" t="s">
        <v>575</v>
      </c>
      <c r="L361" s="10">
        <v>44198.0</v>
      </c>
      <c r="M361" s="10">
        <v>44929.0</v>
      </c>
      <c r="N361" s="8" t="s">
        <v>422</v>
      </c>
      <c r="O361" s="8" t="s">
        <v>450</v>
      </c>
      <c r="P361" s="12">
        <v>44841.0</v>
      </c>
      <c r="Q361" s="13">
        <v>291606.0</v>
      </c>
      <c r="R361" s="8">
        <v>405100.0</v>
      </c>
    </row>
    <row r="362" ht="15.75" customHeight="1">
      <c r="A362" s="8" t="s">
        <v>571</v>
      </c>
      <c r="B362" s="8" t="s">
        <v>572</v>
      </c>
      <c r="C362" s="8" t="s">
        <v>472</v>
      </c>
      <c r="D362" s="8" t="s">
        <v>573</v>
      </c>
      <c r="E362" s="8" t="s">
        <v>20</v>
      </c>
      <c r="F362" s="8" t="s">
        <v>574</v>
      </c>
      <c r="G362" s="8" t="s">
        <v>537</v>
      </c>
      <c r="H362" s="8" t="s">
        <v>20</v>
      </c>
      <c r="I362" s="8" t="s">
        <v>512</v>
      </c>
      <c r="J362" s="8" t="s">
        <v>159</v>
      </c>
      <c r="K362" s="8" t="s">
        <v>575</v>
      </c>
      <c r="L362" s="10">
        <v>44198.0</v>
      </c>
      <c r="M362" s="10">
        <v>44929.0</v>
      </c>
      <c r="N362" s="8" t="s">
        <v>422</v>
      </c>
      <c r="O362" s="8" t="s">
        <v>450</v>
      </c>
      <c r="P362" s="14">
        <v>44885.0</v>
      </c>
      <c r="Q362" s="13">
        <v>217008.0</v>
      </c>
      <c r="R362" s="8">
        <v>405100.0</v>
      </c>
    </row>
    <row r="363" ht="15.75" customHeight="1">
      <c r="A363" s="8" t="s">
        <v>571</v>
      </c>
      <c r="B363" s="8" t="s">
        <v>572</v>
      </c>
      <c r="C363" s="8" t="s">
        <v>472</v>
      </c>
      <c r="D363" s="8" t="s">
        <v>573</v>
      </c>
      <c r="E363" s="8" t="s">
        <v>20</v>
      </c>
      <c r="F363" s="8" t="s">
        <v>574</v>
      </c>
      <c r="G363" s="8" t="s">
        <v>537</v>
      </c>
      <c r="H363" s="8" t="s">
        <v>20</v>
      </c>
      <c r="I363" s="8" t="s">
        <v>512</v>
      </c>
      <c r="J363" s="8" t="s">
        <v>159</v>
      </c>
      <c r="K363" s="8" t="s">
        <v>575</v>
      </c>
      <c r="L363" s="10">
        <v>44198.0</v>
      </c>
      <c r="M363" s="10">
        <v>44929.0</v>
      </c>
      <c r="N363" s="8" t="s">
        <v>422</v>
      </c>
      <c r="O363" s="8" t="s">
        <v>450</v>
      </c>
      <c r="P363" s="12">
        <v>44900.0</v>
      </c>
      <c r="Q363" s="13">
        <v>592642.0</v>
      </c>
      <c r="R363" s="8">
        <v>405100.0</v>
      </c>
    </row>
    <row r="364" ht="15.75" customHeight="1">
      <c r="A364" s="8" t="s">
        <v>576</v>
      </c>
      <c r="B364" s="8" t="s">
        <v>577</v>
      </c>
      <c r="C364" s="8" t="s">
        <v>415</v>
      </c>
      <c r="D364" s="8" t="s">
        <v>578</v>
      </c>
      <c r="E364" s="8" t="s">
        <v>20</v>
      </c>
      <c r="F364" s="8" t="s">
        <v>579</v>
      </c>
      <c r="G364" s="8" t="s">
        <v>531</v>
      </c>
      <c r="H364" s="8" t="s">
        <v>580</v>
      </c>
      <c r="I364" s="8" t="s">
        <v>441</v>
      </c>
      <c r="J364" s="8" t="s">
        <v>581</v>
      </c>
      <c r="K364" s="8" t="s">
        <v>582</v>
      </c>
      <c r="L364" s="10">
        <v>44562.0</v>
      </c>
      <c r="M364" s="10">
        <v>45291.0</v>
      </c>
      <c r="N364" s="8" t="s">
        <v>422</v>
      </c>
      <c r="O364" s="8" t="s">
        <v>450</v>
      </c>
      <c r="P364" s="11">
        <v>44582.0</v>
      </c>
      <c r="Q364" s="13">
        <v>74488.0</v>
      </c>
      <c r="R364" s="8">
        <v>405100.0</v>
      </c>
    </row>
    <row r="365" ht="15.75" customHeight="1">
      <c r="A365" s="8" t="s">
        <v>576</v>
      </c>
      <c r="B365" s="8" t="s">
        <v>577</v>
      </c>
      <c r="C365" s="8" t="s">
        <v>415</v>
      </c>
      <c r="D365" s="8" t="s">
        <v>578</v>
      </c>
      <c r="E365" s="8" t="s">
        <v>20</v>
      </c>
      <c r="F365" s="8" t="s">
        <v>579</v>
      </c>
      <c r="G365" s="8" t="s">
        <v>531</v>
      </c>
      <c r="H365" s="8" t="s">
        <v>580</v>
      </c>
      <c r="I365" s="8" t="s">
        <v>441</v>
      </c>
      <c r="J365" s="8" t="s">
        <v>581</v>
      </c>
      <c r="K365" s="8" t="s">
        <v>582</v>
      </c>
      <c r="L365" s="10">
        <v>44562.0</v>
      </c>
      <c r="M365" s="10">
        <v>45291.0</v>
      </c>
      <c r="N365" s="8" t="s">
        <v>422</v>
      </c>
      <c r="O365" s="8" t="s">
        <v>450</v>
      </c>
      <c r="P365" s="12">
        <v>44606.0</v>
      </c>
      <c r="Q365" s="13">
        <v>14428.0</v>
      </c>
      <c r="R365" s="8">
        <v>405100.0</v>
      </c>
    </row>
    <row r="366" ht="15.75" customHeight="1">
      <c r="A366" s="8" t="s">
        <v>576</v>
      </c>
      <c r="B366" s="8" t="s">
        <v>577</v>
      </c>
      <c r="C366" s="8" t="s">
        <v>415</v>
      </c>
      <c r="D366" s="8" t="s">
        <v>578</v>
      </c>
      <c r="E366" s="8" t="s">
        <v>20</v>
      </c>
      <c r="F366" s="8" t="s">
        <v>579</v>
      </c>
      <c r="G366" s="8" t="s">
        <v>531</v>
      </c>
      <c r="H366" s="8" t="s">
        <v>580</v>
      </c>
      <c r="I366" s="8" t="s">
        <v>441</v>
      </c>
      <c r="J366" s="8" t="s">
        <v>581</v>
      </c>
      <c r="K366" s="8" t="s">
        <v>582</v>
      </c>
      <c r="L366" s="10">
        <v>44562.0</v>
      </c>
      <c r="M366" s="10">
        <v>45291.0</v>
      </c>
      <c r="N366" s="8" t="s">
        <v>422</v>
      </c>
      <c r="O366" s="8" t="s">
        <v>450</v>
      </c>
      <c r="P366" s="12">
        <v>44627.0</v>
      </c>
      <c r="Q366" s="13">
        <v>47448.0</v>
      </c>
      <c r="R366" s="8">
        <v>405100.0</v>
      </c>
    </row>
    <row r="367" ht="15.75" customHeight="1">
      <c r="A367" s="8" t="s">
        <v>576</v>
      </c>
      <c r="B367" s="8" t="s">
        <v>577</v>
      </c>
      <c r="C367" s="8" t="s">
        <v>415</v>
      </c>
      <c r="D367" s="8" t="s">
        <v>578</v>
      </c>
      <c r="E367" s="8" t="s">
        <v>20</v>
      </c>
      <c r="F367" s="8" t="s">
        <v>579</v>
      </c>
      <c r="G367" s="8" t="s">
        <v>531</v>
      </c>
      <c r="H367" s="8" t="s">
        <v>580</v>
      </c>
      <c r="I367" s="8" t="s">
        <v>441</v>
      </c>
      <c r="J367" s="8" t="s">
        <v>581</v>
      </c>
      <c r="K367" s="8" t="s">
        <v>582</v>
      </c>
      <c r="L367" s="10">
        <v>44562.0</v>
      </c>
      <c r="M367" s="10">
        <v>45291.0</v>
      </c>
      <c r="N367" s="8" t="s">
        <v>422</v>
      </c>
      <c r="O367" s="8" t="s">
        <v>450</v>
      </c>
      <c r="P367" s="12">
        <v>44673.0</v>
      </c>
      <c r="Q367" s="13">
        <v>67094.0</v>
      </c>
      <c r="R367" s="8">
        <v>405100.0</v>
      </c>
    </row>
    <row r="368" ht="15.75" customHeight="1">
      <c r="A368" s="8" t="s">
        <v>576</v>
      </c>
      <c r="B368" s="8" t="s">
        <v>577</v>
      </c>
      <c r="C368" s="8" t="s">
        <v>415</v>
      </c>
      <c r="D368" s="8" t="s">
        <v>578</v>
      </c>
      <c r="E368" s="8" t="s">
        <v>20</v>
      </c>
      <c r="F368" s="8" t="s">
        <v>579</v>
      </c>
      <c r="G368" s="8" t="s">
        <v>531</v>
      </c>
      <c r="H368" s="8" t="s">
        <v>580</v>
      </c>
      <c r="I368" s="8" t="s">
        <v>441</v>
      </c>
      <c r="J368" s="8" t="s">
        <v>581</v>
      </c>
      <c r="K368" s="8" t="s">
        <v>582</v>
      </c>
      <c r="L368" s="10">
        <v>44562.0</v>
      </c>
      <c r="M368" s="10">
        <v>45291.0</v>
      </c>
      <c r="N368" s="8" t="s">
        <v>422</v>
      </c>
      <c r="O368" s="8" t="s">
        <v>450</v>
      </c>
      <c r="P368" s="12">
        <v>44691.0</v>
      </c>
      <c r="Q368" s="13">
        <v>59924.0</v>
      </c>
      <c r="R368" s="8">
        <v>405100.0</v>
      </c>
    </row>
    <row r="369" ht="15.75" customHeight="1">
      <c r="A369" s="8" t="s">
        <v>576</v>
      </c>
      <c r="B369" s="8" t="s">
        <v>577</v>
      </c>
      <c r="C369" s="8" t="s">
        <v>415</v>
      </c>
      <c r="D369" s="8" t="s">
        <v>578</v>
      </c>
      <c r="E369" s="8" t="s">
        <v>20</v>
      </c>
      <c r="F369" s="8" t="s">
        <v>579</v>
      </c>
      <c r="G369" s="8" t="s">
        <v>531</v>
      </c>
      <c r="H369" s="8" t="s">
        <v>580</v>
      </c>
      <c r="I369" s="8" t="s">
        <v>441</v>
      </c>
      <c r="J369" s="8" t="s">
        <v>581</v>
      </c>
      <c r="K369" s="8" t="s">
        <v>582</v>
      </c>
      <c r="L369" s="10">
        <v>44562.0</v>
      </c>
      <c r="M369" s="10">
        <v>45291.0</v>
      </c>
      <c r="N369" s="8" t="s">
        <v>422</v>
      </c>
      <c r="O369" s="8" t="s">
        <v>450</v>
      </c>
      <c r="P369" s="12">
        <v>44742.0</v>
      </c>
      <c r="Q369" s="13">
        <v>46713.0</v>
      </c>
      <c r="R369" s="8">
        <v>405100.0</v>
      </c>
    </row>
    <row r="370" ht="15.75" customHeight="1">
      <c r="A370" s="8" t="s">
        <v>576</v>
      </c>
      <c r="B370" s="8" t="s">
        <v>577</v>
      </c>
      <c r="C370" s="8" t="s">
        <v>415</v>
      </c>
      <c r="D370" s="8" t="s">
        <v>578</v>
      </c>
      <c r="E370" s="8" t="s">
        <v>20</v>
      </c>
      <c r="F370" s="8" t="s">
        <v>579</v>
      </c>
      <c r="G370" s="8" t="s">
        <v>531</v>
      </c>
      <c r="H370" s="8" t="s">
        <v>580</v>
      </c>
      <c r="I370" s="8" t="s">
        <v>441</v>
      </c>
      <c r="J370" s="8" t="s">
        <v>581</v>
      </c>
      <c r="K370" s="8" t="s">
        <v>582</v>
      </c>
      <c r="L370" s="10">
        <v>44562.0</v>
      </c>
      <c r="M370" s="10">
        <v>45291.0</v>
      </c>
      <c r="N370" s="8" t="s">
        <v>422</v>
      </c>
      <c r="O370" s="8" t="s">
        <v>450</v>
      </c>
      <c r="P370" s="12">
        <v>44757.0</v>
      </c>
      <c r="Q370" s="13">
        <v>59286.0</v>
      </c>
      <c r="R370" s="8">
        <v>405100.0</v>
      </c>
    </row>
    <row r="371" ht="15.75" customHeight="1">
      <c r="A371" s="8" t="s">
        <v>576</v>
      </c>
      <c r="B371" s="8" t="s">
        <v>577</v>
      </c>
      <c r="C371" s="8" t="s">
        <v>415</v>
      </c>
      <c r="D371" s="8" t="s">
        <v>578</v>
      </c>
      <c r="E371" s="8" t="s">
        <v>20</v>
      </c>
      <c r="F371" s="8" t="s">
        <v>579</v>
      </c>
      <c r="G371" s="8" t="s">
        <v>531</v>
      </c>
      <c r="H371" s="8" t="s">
        <v>580</v>
      </c>
      <c r="I371" s="8" t="s">
        <v>441</v>
      </c>
      <c r="J371" s="8" t="s">
        <v>581</v>
      </c>
      <c r="K371" s="8" t="s">
        <v>582</v>
      </c>
      <c r="L371" s="10">
        <v>44562.0</v>
      </c>
      <c r="M371" s="10">
        <v>45291.0</v>
      </c>
      <c r="N371" s="8" t="s">
        <v>422</v>
      </c>
      <c r="O371" s="8" t="s">
        <v>450</v>
      </c>
      <c r="P371" s="12">
        <v>44777.0</v>
      </c>
      <c r="Q371" s="13">
        <v>89666.0</v>
      </c>
      <c r="R371" s="8">
        <v>405100.0</v>
      </c>
    </row>
    <row r="372" ht="15.75" customHeight="1">
      <c r="A372" s="8" t="s">
        <v>576</v>
      </c>
      <c r="B372" s="8" t="s">
        <v>577</v>
      </c>
      <c r="C372" s="8" t="s">
        <v>415</v>
      </c>
      <c r="D372" s="8" t="s">
        <v>578</v>
      </c>
      <c r="E372" s="8" t="s">
        <v>20</v>
      </c>
      <c r="F372" s="8" t="s">
        <v>579</v>
      </c>
      <c r="G372" s="8" t="s">
        <v>531</v>
      </c>
      <c r="H372" s="8" t="s">
        <v>580</v>
      </c>
      <c r="I372" s="8" t="s">
        <v>441</v>
      </c>
      <c r="J372" s="8" t="s">
        <v>581</v>
      </c>
      <c r="K372" s="8" t="s">
        <v>582</v>
      </c>
      <c r="L372" s="10">
        <v>44562.0</v>
      </c>
      <c r="M372" s="10">
        <v>45291.0</v>
      </c>
      <c r="N372" s="8" t="s">
        <v>422</v>
      </c>
      <c r="O372" s="8" t="s">
        <v>450</v>
      </c>
      <c r="P372" s="12">
        <v>44823.0</v>
      </c>
      <c r="Q372" s="13">
        <v>81847.0</v>
      </c>
      <c r="R372" s="8">
        <v>405100.0</v>
      </c>
    </row>
    <row r="373" ht="15.75" customHeight="1">
      <c r="A373" s="8" t="s">
        <v>576</v>
      </c>
      <c r="B373" s="8" t="s">
        <v>577</v>
      </c>
      <c r="C373" s="8" t="s">
        <v>415</v>
      </c>
      <c r="D373" s="8" t="s">
        <v>578</v>
      </c>
      <c r="E373" s="8" t="s">
        <v>20</v>
      </c>
      <c r="F373" s="8" t="s">
        <v>579</v>
      </c>
      <c r="G373" s="8" t="s">
        <v>531</v>
      </c>
      <c r="H373" s="8" t="s">
        <v>580</v>
      </c>
      <c r="I373" s="8" t="s">
        <v>441</v>
      </c>
      <c r="J373" s="8" t="s">
        <v>581</v>
      </c>
      <c r="K373" s="8" t="s">
        <v>582</v>
      </c>
      <c r="L373" s="10">
        <v>44562.0</v>
      </c>
      <c r="M373" s="10">
        <v>45291.0</v>
      </c>
      <c r="N373" s="8" t="s">
        <v>422</v>
      </c>
      <c r="O373" s="8" t="s">
        <v>450</v>
      </c>
      <c r="P373" s="12">
        <v>44839.0</v>
      </c>
      <c r="Q373" s="13">
        <v>83619.0</v>
      </c>
      <c r="R373" s="8">
        <v>405100.0</v>
      </c>
    </row>
    <row r="374" ht="15.75" customHeight="1">
      <c r="A374" s="8" t="s">
        <v>576</v>
      </c>
      <c r="B374" s="8" t="s">
        <v>577</v>
      </c>
      <c r="C374" s="8" t="s">
        <v>415</v>
      </c>
      <c r="D374" s="8" t="s">
        <v>578</v>
      </c>
      <c r="E374" s="8" t="s">
        <v>20</v>
      </c>
      <c r="F374" s="8" t="s">
        <v>579</v>
      </c>
      <c r="G374" s="8" t="s">
        <v>531</v>
      </c>
      <c r="H374" s="8" t="s">
        <v>580</v>
      </c>
      <c r="I374" s="8" t="s">
        <v>441</v>
      </c>
      <c r="J374" s="8" t="s">
        <v>581</v>
      </c>
      <c r="K374" s="8" t="s">
        <v>582</v>
      </c>
      <c r="L374" s="10">
        <v>44562.0</v>
      </c>
      <c r="M374" s="10">
        <v>45291.0</v>
      </c>
      <c r="N374" s="8" t="s">
        <v>422</v>
      </c>
      <c r="O374" s="8" t="s">
        <v>450</v>
      </c>
      <c r="P374" s="14">
        <v>44888.0</v>
      </c>
      <c r="Q374" s="13">
        <v>166344.0</v>
      </c>
      <c r="R374" s="8">
        <v>405100.0</v>
      </c>
    </row>
    <row r="375" ht="15.75" customHeight="1">
      <c r="A375" s="8" t="s">
        <v>576</v>
      </c>
      <c r="B375" s="8" t="s">
        <v>577</v>
      </c>
      <c r="C375" s="8" t="s">
        <v>415</v>
      </c>
      <c r="D375" s="8" t="s">
        <v>578</v>
      </c>
      <c r="E375" s="8" t="s">
        <v>20</v>
      </c>
      <c r="F375" s="8" t="s">
        <v>579</v>
      </c>
      <c r="G375" s="8" t="s">
        <v>531</v>
      </c>
      <c r="H375" s="8" t="s">
        <v>580</v>
      </c>
      <c r="I375" s="8" t="s">
        <v>441</v>
      </c>
      <c r="J375" s="8" t="s">
        <v>581</v>
      </c>
      <c r="K375" s="8" t="s">
        <v>582</v>
      </c>
      <c r="L375" s="10">
        <v>44562.0</v>
      </c>
      <c r="M375" s="10">
        <v>45291.0</v>
      </c>
      <c r="N375" s="8" t="s">
        <v>422</v>
      </c>
      <c r="O375" s="8" t="s">
        <v>450</v>
      </c>
      <c r="P375" s="12">
        <v>44904.0</v>
      </c>
      <c r="Q375" s="13">
        <v>174132.0</v>
      </c>
      <c r="R375" s="8">
        <v>405100.0</v>
      </c>
    </row>
    <row r="376" ht="15.75" customHeight="1">
      <c r="A376" s="8" t="s">
        <v>576</v>
      </c>
      <c r="B376" s="8" t="s">
        <v>577</v>
      </c>
      <c r="C376" s="8" t="s">
        <v>415</v>
      </c>
      <c r="D376" s="8" t="s">
        <v>578</v>
      </c>
      <c r="E376" s="8" t="s">
        <v>20</v>
      </c>
      <c r="F376" s="8" t="s">
        <v>579</v>
      </c>
      <c r="G376" s="8" t="s">
        <v>531</v>
      </c>
      <c r="H376" s="8" t="s">
        <v>580</v>
      </c>
      <c r="I376" s="8" t="s">
        <v>441</v>
      </c>
      <c r="J376" s="8" t="s">
        <v>581</v>
      </c>
      <c r="K376" s="8" t="s">
        <v>582</v>
      </c>
      <c r="L376" s="10">
        <v>44562.0</v>
      </c>
      <c r="M376" s="10">
        <v>45291.0</v>
      </c>
      <c r="N376" s="8" t="s">
        <v>422</v>
      </c>
      <c r="O376" s="8" t="s">
        <v>450</v>
      </c>
      <c r="P376" s="12">
        <v>44928.0</v>
      </c>
      <c r="Q376" s="13">
        <v>570388.0</v>
      </c>
      <c r="R376" s="8">
        <v>405100.0</v>
      </c>
    </row>
    <row r="377" ht="15.75" customHeight="1">
      <c r="A377" s="8" t="s">
        <v>576</v>
      </c>
      <c r="B377" s="8" t="s">
        <v>577</v>
      </c>
      <c r="C377" s="8" t="s">
        <v>415</v>
      </c>
      <c r="D377" s="8" t="s">
        <v>578</v>
      </c>
      <c r="E377" s="8" t="s">
        <v>20</v>
      </c>
      <c r="F377" s="8" t="s">
        <v>579</v>
      </c>
      <c r="G377" s="8" t="s">
        <v>531</v>
      </c>
      <c r="H377" s="8" t="s">
        <v>580</v>
      </c>
      <c r="I377" s="8" t="s">
        <v>441</v>
      </c>
      <c r="J377" s="8" t="s">
        <v>581</v>
      </c>
      <c r="K377" s="8" t="s">
        <v>582</v>
      </c>
      <c r="L377" s="10">
        <v>44562.0</v>
      </c>
      <c r="M377" s="10">
        <v>45291.0</v>
      </c>
      <c r="N377" s="8" t="s">
        <v>422</v>
      </c>
      <c r="O377" s="8" t="s">
        <v>450</v>
      </c>
      <c r="P377" s="12">
        <v>44973.0</v>
      </c>
      <c r="Q377" s="13">
        <v>349275.0</v>
      </c>
      <c r="R377" s="8">
        <v>405100.0</v>
      </c>
    </row>
    <row r="378" ht="15.75" customHeight="1">
      <c r="A378" s="8" t="s">
        <v>576</v>
      </c>
      <c r="B378" s="8" t="s">
        <v>577</v>
      </c>
      <c r="C378" s="8" t="s">
        <v>415</v>
      </c>
      <c r="D378" s="8" t="s">
        <v>578</v>
      </c>
      <c r="E378" s="8" t="s">
        <v>20</v>
      </c>
      <c r="F378" s="8" t="s">
        <v>579</v>
      </c>
      <c r="G378" s="8" t="s">
        <v>531</v>
      </c>
      <c r="H378" s="8" t="s">
        <v>580</v>
      </c>
      <c r="I378" s="8" t="s">
        <v>441</v>
      </c>
      <c r="J378" s="8" t="s">
        <v>581</v>
      </c>
      <c r="K378" s="8" t="s">
        <v>582</v>
      </c>
      <c r="L378" s="10">
        <v>44562.0</v>
      </c>
      <c r="M378" s="10">
        <v>45291.0</v>
      </c>
      <c r="N378" s="8" t="s">
        <v>422</v>
      </c>
      <c r="O378" s="8" t="s">
        <v>450</v>
      </c>
      <c r="P378" s="12">
        <v>44993.0</v>
      </c>
      <c r="Q378" s="13">
        <v>561428.0</v>
      </c>
      <c r="R378" s="8">
        <v>405100.0</v>
      </c>
    </row>
    <row r="379" ht="15.75" customHeight="1">
      <c r="A379" s="8" t="s">
        <v>576</v>
      </c>
      <c r="B379" s="8" t="s">
        <v>577</v>
      </c>
      <c r="C379" s="8" t="s">
        <v>415</v>
      </c>
      <c r="D379" s="8" t="s">
        <v>578</v>
      </c>
      <c r="E379" s="8" t="s">
        <v>20</v>
      </c>
      <c r="F379" s="8" t="s">
        <v>579</v>
      </c>
      <c r="G379" s="8" t="s">
        <v>531</v>
      </c>
      <c r="H379" s="8" t="s">
        <v>580</v>
      </c>
      <c r="I379" s="8" t="s">
        <v>441</v>
      </c>
      <c r="J379" s="8" t="s">
        <v>581</v>
      </c>
      <c r="K379" s="8" t="s">
        <v>582</v>
      </c>
      <c r="L379" s="10">
        <v>44562.0</v>
      </c>
      <c r="M379" s="10">
        <v>45291.0</v>
      </c>
      <c r="N379" s="8" t="s">
        <v>422</v>
      </c>
      <c r="O379" s="8" t="s">
        <v>450</v>
      </c>
      <c r="P379" s="12">
        <v>45041.0</v>
      </c>
      <c r="Q379" s="13">
        <v>579438.0</v>
      </c>
      <c r="R379" s="8">
        <v>405100.0</v>
      </c>
    </row>
    <row r="380" ht="15.75" customHeight="1">
      <c r="A380" s="8" t="s">
        <v>576</v>
      </c>
      <c r="B380" s="8" t="s">
        <v>577</v>
      </c>
      <c r="C380" s="8" t="s">
        <v>415</v>
      </c>
      <c r="D380" s="8" t="s">
        <v>578</v>
      </c>
      <c r="E380" s="8" t="s">
        <v>20</v>
      </c>
      <c r="F380" s="8" t="s">
        <v>579</v>
      </c>
      <c r="G380" s="8" t="s">
        <v>531</v>
      </c>
      <c r="H380" s="8" t="s">
        <v>580</v>
      </c>
      <c r="I380" s="8" t="s">
        <v>441</v>
      </c>
      <c r="J380" s="8" t="s">
        <v>581</v>
      </c>
      <c r="K380" s="8" t="s">
        <v>582</v>
      </c>
      <c r="L380" s="10">
        <v>44562.0</v>
      </c>
      <c r="M380" s="10">
        <v>45291.0</v>
      </c>
      <c r="N380" s="8" t="s">
        <v>422</v>
      </c>
      <c r="O380" s="8" t="s">
        <v>450</v>
      </c>
      <c r="P380" s="12">
        <v>45058.0</v>
      </c>
      <c r="Q380" s="13">
        <v>359406.0</v>
      </c>
      <c r="R380" s="8">
        <v>405100.0</v>
      </c>
    </row>
    <row r="381" ht="15.75" customHeight="1">
      <c r="A381" s="8" t="s">
        <v>576</v>
      </c>
      <c r="B381" s="8" t="s">
        <v>577</v>
      </c>
      <c r="C381" s="8" t="s">
        <v>415</v>
      </c>
      <c r="D381" s="8" t="s">
        <v>578</v>
      </c>
      <c r="E381" s="8" t="s">
        <v>20</v>
      </c>
      <c r="F381" s="8" t="s">
        <v>579</v>
      </c>
      <c r="G381" s="8" t="s">
        <v>531</v>
      </c>
      <c r="H381" s="8" t="s">
        <v>580</v>
      </c>
      <c r="I381" s="8" t="s">
        <v>441</v>
      </c>
      <c r="J381" s="8" t="s">
        <v>581</v>
      </c>
      <c r="K381" s="8" t="s">
        <v>582</v>
      </c>
      <c r="L381" s="10">
        <v>44562.0</v>
      </c>
      <c r="M381" s="10">
        <v>45291.0</v>
      </c>
      <c r="N381" s="8" t="s">
        <v>422</v>
      </c>
      <c r="O381" s="8" t="s">
        <v>450</v>
      </c>
      <c r="P381" s="12">
        <v>45107.0</v>
      </c>
      <c r="Q381" s="13">
        <v>590415.0</v>
      </c>
      <c r="R381" s="8">
        <v>405100.0</v>
      </c>
    </row>
    <row r="382" ht="15.75" customHeight="1">
      <c r="A382" s="8" t="s">
        <v>576</v>
      </c>
      <c r="B382" s="8" t="s">
        <v>577</v>
      </c>
      <c r="C382" s="8" t="s">
        <v>415</v>
      </c>
      <c r="D382" s="8" t="s">
        <v>578</v>
      </c>
      <c r="E382" s="8" t="s">
        <v>20</v>
      </c>
      <c r="F382" s="8" t="s">
        <v>579</v>
      </c>
      <c r="G382" s="8" t="s">
        <v>531</v>
      </c>
      <c r="H382" s="8" t="s">
        <v>580</v>
      </c>
      <c r="I382" s="8" t="s">
        <v>441</v>
      </c>
      <c r="J382" s="8" t="s">
        <v>581</v>
      </c>
      <c r="K382" s="8" t="s">
        <v>582</v>
      </c>
      <c r="L382" s="10">
        <v>44562.0</v>
      </c>
      <c r="M382" s="10">
        <v>45291.0</v>
      </c>
      <c r="N382" s="8" t="s">
        <v>422</v>
      </c>
      <c r="O382" s="8" t="s">
        <v>450</v>
      </c>
      <c r="P382" s="12">
        <v>45121.0</v>
      </c>
      <c r="Q382" s="13">
        <v>410481.0</v>
      </c>
      <c r="R382" s="8">
        <v>405100.0</v>
      </c>
    </row>
    <row r="383" ht="15.75" customHeight="1">
      <c r="A383" s="8" t="s">
        <v>576</v>
      </c>
      <c r="B383" s="8" t="s">
        <v>577</v>
      </c>
      <c r="C383" s="8" t="s">
        <v>415</v>
      </c>
      <c r="D383" s="8" t="s">
        <v>578</v>
      </c>
      <c r="E383" s="8" t="s">
        <v>20</v>
      </c>
      <c r="F383" s="8" t="s">
        <v>579</v>
      </c>
      <c r="G383" s="8" t="s">
        <v>531</v>
      </c>
      <c r="H383" s="8" t="s">
        <v>580</v>
      </c>
      <c r="I383" s="8" t="s">
        <v>441</v>
      </c>
      <c r="J383" s="8" t="s">
        <v>581</v>
      </c>
      <c r="K383" s="8" t="s">
        <v>582</v>
      </c>
      <c r="L383" s="10">
        <v>44562.0</v>
      </c>
      <c r="M383" s="10">
        <v>45291.0</v>
      </c>
      <c r="N383" s="8" t="s">
        <v>422</v>
      </c>
      <c r="O383" s="8" t="s">
        <v>450</v>
      </c>
      <c r="P383" s="12">
        <v>45147.0</v>
      </c>
      <c r="Q383" s="13">
        <v>234722.0</v>
      </c>
      <c r="R383" s="8">
        <v>405100.0</v>
      </c>
    </row>
    <row r="384" ht="15.75" customHeight="1">
      <c r="A384" s="8" t="s">
        <v>576</v>
      </c>
      <c r="B384" s="8" t="s">
        <v>577</v>
      </c>
      <c r="C384" s="8" t="s">
        <v>415</v>
      </c>
      <c r="D384" s="8" t="s">
        <v>578</v>
      </c>
      <c r="E384" s="8" t="s">
        <v>20</v>
      </c>
      <c r="F384" s="8" t="s">
        <v>579</v>
      </c>
      <c r="G384" s="8" t="s">
        <v>531</v>
      </c>
      <c r="H384" s="8" t="s">
        <v>580</v>
      </c>
      <c r="I384" s="8" t="s">
        <v>441</v>
      </c>
      <c r="J384" s="8" t="s">
        <v>581</v>
      </c>
      <c r="K384" s="8" t="s">
        <v>582</v>
      </c>
      <c r="L384" s="10">
        <v>44562.0</v>
      </c>
      <c r="M384" s="10">
        <v>45291.0</v>
      </c>
      <c r="N384" s="8" t="s">
        <v>422</v>
      </c>
      <c r="O384" s="8" t="s">
        <v>450</v>
      </c>
      <c r="P384" s="12">
        <v>45191.0</v>
      </c>
      <c r="Q384" s="13">
        <v>334523.0</v>
      </c>
      <c r="R384" s="8">
        <v>405100.0</v>
      </c>
    </row>
    <row r="385" ht="15.75" customHeight="1">
      <c r="A385" s="8" t="s">
        <v>576</v>
      </c>
      <c r="B385" s="8" t="s">
        <v>577</v>
      </c>
      <c r="C385" s="8" t="s">
        <v>415</v>
      </c>
      <c r="D385" s="8" t="s">
        <v>578</v>
      </c>
      <c r="E385" s="8" t="s">
        <v>20</v>
      </c>
      <c r="F385" s="8" t="s">
        <v>579</v>
      </c>
      <c r="G385" s="8" t="s">
        <v>531</v>
      </c>
      <c r="H385" s="8" t="s">
        <v>580</v>
      </c>
      <c r="I385" s="8" t="s">
        <v>441</v>
      </c>
      <c r="J385" s="8" t="s">
        <v>581</v>
      </c>
      <c r="K385" s="8" t="s">
        <v>582</v>
      </c>
      <c r="L385" s="10">
        <v>44562.0</v>
      </c>
      <c r="M385" s="10">
        <v>45291.0</v>
      </c>
      <c r="N385" s="8" t="s">
        <v>422</v>
      </c>
      <c r="O385" s="8" t="s">
        <v>450</v>
      </c>
      <c r="P385" s="12">
        <v>45206.0</v>
      </c>
      <c r="Q385" s="13">
        <v>366542.0</v>
      </c>
      <c r="R385" s="8">
        <v>405100.0</v>
      </c>
    </row>
    <row r="386" ht="15.75" customHeight="1">
      <c r="A386" s="8" t="s">
        <v>576</v>
      </c>
      <c r="B386" s="8" t="s">
        <v>577</v>
      </c>
      <c r="C386" s="8" t="s">
        <v>415</v>
      </c>
      <c r="D386" s="8" t="s">
        <v>578</v>
      </c>
      <c r="E386" s="8" t="s">
        <v>20</v>
      </c>
      <c r="F386" s="8" t="s">
        <v>579</v>
      </c>
      <c r="G386" s="8" t="s">
        <v>531</v>
      </c>
      <c r="H386" s="8" t="s">
        <v>580</v>
      </c>
      <c r="I386" s="8" t="s">
        <v>441</v>
      </c>
      <c r="J386" s="8" t="s">
        <v>581</v>
      </c>
      <c r="K386" s="8" t="s">
        <v>582</v>
      </c>
      <c r="L386" s="10">
        <v>44562.0</v>
      </c>
      <c r="M386" s="10">
        <v>45291.0</v>
      </c>
      <c r="N386" s="8" t="s">
        <v>422</v>
      </c>
      <c r="O386" s="8" t="s">
        <v>450</v>
      </c>
      <c r="P386" s="14">
        <v>45249.0</v>
      </c>
      <c r="Q386" s="13">
        <v>537160.0</v>
      </c>
      <c r="R386" s="8">
        <v>405100.0</v>
      </c>
    </row>
    <row r="387" ht="15.75" customHeight="1">
      <c r="A387" s="8" t="s">
        <v>576</v>
      </c>
      <c r="B387" s="8" t="s">
        <v>577</v>
      </c>
      <c r="C387" s="8" t="s">
        <v>415</v>
      </c>
      <c r="D387" s="8" t="s">
        <v>578</v>
      </c>
      <c r="E387" s="8" t="s">
        <v>20</v>
      </c>
      <c r="F387" s="8" t="s">
        <v>579</v>
      </c>
      <c r="G387" s="8" t="s">
        <v>531</v>
      </c>
      <c r="H387" s="8" t="s">
        <v>580</v>
      </c>
      <c r="I387" s="8" t="s">
        <v>441</v>
      </c>
      <c r="J387" s="8" t="s">
        <v>581</v>
      </c>
      <c r="K387" s="8" t="s">
        <v>582</v>
      </c>
      <c r="L387" s="10">
        <v>44562.0</v>
      </c>
      <c r="M387" s="10">
        <v>45291.0</v>
      </c>
      <c r="N387" s="8" t="s">
        <v>422</v>
      </c>
      <c r="O387" s="8" t="s">
        <v>450</v>
      </c>
      <c r="P387" s="12">
        <v>45265.0</v>
      </c>
      <c r="Q387" s="13">
        <v>553331.0</v>
      </c>
      <c r="R387" s="8">
        <v>405100.0</v>
      </c>
    </row>
    <row r="388" ht="15.75" customHeight="1">
      <c r="A388" s="8" t="s">
        <v>583</v>
      </c>
      <c r="B388" s="8" t="s">
        <v>584</v>
      </c>
      <c r="C388" s="8" t="s">
        <v>472</v>
      </c>
      <c r="D388" s="8" t="s">
        <v>585</v>
      </c>
      <c r="E388" s="8" t="s">
        <v>20</v>
      </c>
      <c r="F388" s="8" t="s">
        <v>586</v>
      </c>
      <c r="G388" s="8" t="s">
        <v>531</v>
      </c>
      <c r="H388" s="8" t="s">
        <v>580</v>
      </c>
      <c r="I388" s="8" t="s">
        <v>431</v>
      </c>
      <c r="J388" s="8" t="s">
        <v>159</v>
      </c>
      <c r="K388" s="8" t="s">
        <v>284</v>
      </c>
      <c r="L388" s="10">
        <v>44927.0</v>
      </c>
      <c r="M388" s="10">
        <v>45291.0</v>
      </c>
      <c r="N388" s="8" t="s">
        <v>422</v>
      </c>
      <c r="O388" s="8" t="s">
        <v>450</v>
      </c>
      <c r="P388" s="12">
        <v>44927.0</v>
      </c>
      <c r="Q388" s="13">
        <v>356962.0</v>
      </c>
      <c r="R388" s="8">
        <v>405100.0</v>
      </c>
    </row>
    <row r="389" ht="15.75" customHeight="1">
      <c r="A389" s="8" t="s">
        <v>583</v>
      </c>
      <c r="B389" s="8" t="s">
        <v>584</v>
      </c>
      <c r="C389" s="8" t="s">
        <v>472</v>
      </c>
      <c r="D389" s="8" t="s">
        <v>585</v>
      </c>
      <c r="E389" s="8" t="s">
        <v>20</v>
      </c>
      <c r="F389" s="8" t="s">
        <v>586</v>
      </c>
      <c r="G389" s="8" t="s">
        <v>531</v>
      </c>
      <c r="H389" s="8" t="s">
        <v>580</v>
      </c>
      <c r="I389" s="8" t="s">
        <v>431</v>
      </c>
      <c r="J389" s="8" t="s">
        <v>159</v>
      </c>
      <c r="K389" s="8" t="s">
        <v>284</v>
      </c>
      <c r="L389" s="10">
        <v>44927.0</v>
      </c>
      <c r="M389" s="10">
        <v>45291.0</v>
      </c>
      <c r="N389" s="8" t="s">
        <v>422</v>
      </c>
      <c r="O389" s="8" t="s">
        <v>450</v>
      </c>
      <c r="P389" s="12">
        <v>44972.0</v>
      </c>
      <c r="Q389" s="13">
        <v>263071.0</v>
      </c>
      <c r="R389" s="8">
        <v>405100.0</v>
      </c>
    </row>
    <row r="390" ht="15.75" customHeight="1">
      <c r="A390" s="8" t="s">
        <v>583</v>
      </c>
      <c r="B390" s="8" t="s">
        <v>584</v>
      </c>
      <c r="C390" s="8" t="s">
        <v>472</v>
      </c>
      <c r="D390" s="8" t="s">
        <v>585</v>
      </c>
      <c r="E390" s="8" t="s">
        <v>20</v>
      </c>
      <c r="F390" s="8" t="s">
        <v>586</v>
      </c>
      <c r="G390" s="8" t="s">
        <v>531</v>
      </c>
      <c r="H390" s="8" t="s">
        <v>580</v>
      </c>
      <c r="I390" s="8" t="s">
        <v>431</v>
      </c>
      <c r="J390" s="8" t="s">
        <v>159</v>
      </c>
      <c r="K390" s="8" t="s">
        <v>284</v>
      </c>
      <c r="L390" s="10">
        <v>44927.0</v>
      </c>
      <c r="M390" s="10">
        <v>45291.0</v>
      </c>
      <c r="N390" s="8" t="s">
        <v>422</v>
      </c>
      <c r="O390" s="8" t="s">
        <v>450</v>
      </c>
      <c r="P390" s="12">
        <v>44993.0</v>
      </c>
      <c r="Q390" s="13">
        <v>525330.0</v>
      </c>
      <c r="R390" s="8">
        <v>405100.0</v>
      </c>
    </row>
    <row r="391" ht="15.75" customHeight="1">
      <c r="A391" s="8" t="s">
        <v>583</v>
      </c>
      <c r="B391" s="8" t="s">
        <v>584</v>
      </c>
      <c r="C391" s="8" t="s">
        <v>472</v>
      </c>
      <c r="D391" s="8" t="s">
        <v>585</v>
      </c>
      <c r="E391" s="8" t="s">
        <v>20</v>
      </c>
      <c r="F391" s="8" t="s">
        <v>586</v>
      </c>
      <c r="G391" s="8" t="s">
        <v>531</v>
      </c>
      <c r="H391" s="8" t="s">
        <v>580</v>
      </c>
      <c r="I391" s="8" t="s">
        <v>431</v>
      </c>
      <c r="J391" s="8" t="s">
        <v>159</v>
      </c>
      <c r="K391" s="8" t="s">
        <v>284</v>
      </c>
      <c r="L391" s="10">
        <v>44927.0</v>
      </c>
      <c r="M391" s="10">
        <v>45291.0</v>
      </c>
      <c r="N391" s="8" t="s">
        <v>422</v>
      </c>
      <c r="O391" s="8" t="s">
        <v>450</v>
      </c>
      <c r="P391" s="12">
        <v>45039.0</v>
      </c>
      <c r="Q391" s="13">
        <v>508349.0</v>
      </c>
      <c r="R391" s="8">
        <v>405100.0</v>
      </c>
    </row>
    <row r="392" ht="15.75" customHeight="1">
      <c r="A392" s="8" t="s">
        <v>583</v>
      </c>
      <c r="B392" s="8" t="s">
        <v>584</v>
      </c>
      <c r="C392" s="8" t="s">
        <v>472</v>
      </c>
      <c r="D392" s="8" t="s">
        <v>585</v>
      </c>
      <c r="E392" s="8" t="s">
        <v>20</v>
      </c>
      <c r="F392" s="8" t="s">
        <v>586</v>
      </c>
      <c r="G392" s="8" t="s">
        <v>531</v>
      </c>
      <c r="H392" s="8" t="s">
        <v>580</v>
      </c>
      <c r="I392" s="8" t="s">
        <v>431</v>
      </c>
      <c r="J392" s="8" t="s">
        <v>159</v>
      </c>
      <c r="K392" s="8" t="s">
        <v>284</v>
      </c>
      <c r="L392" s="10">
        <v>44927.0</v>
      </c>
      <c r="M392" s="10">
        <v>45291.0</v>
      </c>
      <c r="N392" s="8" t="s">
        <v>422</v>
      </c>
      <c r="O392" s="8" t="s">
        <v>450</v>
      </c>
      <c r="P392" s="12">
        <v>45058.0</v>
      </c>
      <c r="Q392" s="13">
        <v>501922.0</v>
      </c>
      <c r="R392" s="8">
        <v>405100.0</v>
      </c>
    </row>
    <row r="393" ht="15.75" customHeight="1">
      <c r="A393" s="8" t="s">
        <v>583</v>
      </c>
      <c r="B393" s="8" t="s">
        <v>584</v>
      </c>
      <c r="C393" s="8" t="s">
        <v>472</v>
      </c>
      <c r="D393" s="8" t="s">
        <v>585</v>
      </c>
      <c r="E393" s="8" t="s">
        <v>20</v>
      </c>
      <c r="F393" s="8" t="s">
        <v>586</v>
      </c>
      <c r="G393" s="8" t="s">
        <v>531</v>
      </c>
      <c r="H393" s="8" t="s">
        <v>580</v>
      </c>
      <c r="I393" s="8" t="s">
        <v>431</v>
      </c>
      <c r="J393" s="8" t="s">
        <v>159</v>
      </c>
      <c r="K393" s="8" t="s">
        <v>284</v>
      </c>
      <c r="L393" s="10">
        <v>44927.0</v>
      </c>
      <c r="M393" s="10">
        <v>45291.0</v>
      </c>
      <c r="N393" s="8" t="s">
        <v>422</v>
      </c>
      <c r="O393" s="8" t="s">
        <v>450</v>
      </c>
      <c r="P393" s="12">
        <v>45107.0</v>
      </c>
      <c r="Q393" s="13">
        <v>462336.0</v>
      </c>
      <c r="R393" s="8">
        <v>405100.0</v>
      </c>
    </row>
    <row r="394" ht="15.75" customHeight="1">
      <c r="A394" s="8" t="s">
        <v>583</v>
      </c>
      <c r="B394" s="8" t="s">
        <v>584</v>
      </c>
      <c r="C394" s="8" t="s">
        <v>472</v>
      </c>
      <c r="D394" s="8" t="s">
        <v>585</v>
      </c>
      <c r="E394" s="8" t="s">
        <v>20</v>
      </c>
      <c r="F394" s="8" t="s">
        <v>586</v>
      </c>
      <c r="G394" s="8" t="s">
        <v>531</v>
      </c>
      <c r="H394" s="8" t="s">
        <v>580</v>
      </c>
      <c r="I394" s="8" t="s">
        <v>431</v>
      </c>
      <c r="J394" s="8" t="s">
        <v>159</v>
      </c>
      <c r="K394" s="8" t="s">
        <v>284</v>
      </c>
      <c r="L394" s="10">
        <v>44927.0</v>
      </c>
      <c r="M394" s="10">
        <v>45291.0</v>
      </c>
      <c r="N394" s="8" t="s">
        <v>422</v>
      </c>
      <c r="O394" s="8" t="s">
        <v>450</v>
      </c>
      <c r="P394" s="12">
        <v>45121.0</v>
      </c>
      <c r="Q394" s="13">
        <v>445924.0</v>
      </c>
      <c r="R394" s="8">
        <v>405100.0</v>
      </c>
    </row>
    <row r="395" ht="15.75" customHeight="1">
      <c r="A395" s="8" t="s">
        <v>583</v>
      </c>
      <c r="B395" s="8" t="s">
        <v>584</v>
      </c>
      <c r="C395" s="8" t="s">
        <v>472</v>
      </c>
      <c r="D395" s="8" t="s">
        <v>585</v>
      </c>
      <c r="E395" s="8" t="s">
        <v>20</v>
      </c>
      <c r="F395" s="8" t="s">
        <v>586</v>
      </c>
      <c r="G395" s="8" t="s">
        <v>531</v>
      </c>
      <c r="H395" s="8" t="s">
        <v>580</v>
      </c>
      <c r="I395" s="8" t="s">
        <v>431</v>
      </c>
      <c r="J395" s="8" t="s">
        <v>159</v>
      </c>
      <c r="K395" s="8" t="s">
        <v>284</v>
      </c>
      <c r="L395" s="10">
        <v>44927.0</v>
      </c>
      <c r="M395" s="10">
        <v>45291.0</v>
      </c>
      <c r="N395" s="8" t="s">
        <v>422</v>
      </c>
      <c r="O395" s="8" t="s">
        <v>450</v>
      </c>
      <c r="P395" s="12">
        <v>45143.0</v>
      </c>
      <c r="Q395" s="13">
        <v>341986.0</v>
      </c>
      <c r="R395" s="8">
        <v>405100.0</v>
      </c>
    </row>
    <row r="396" ht="15.75" customHeight="1">
      <c r="A396" s="8" t="s">
        <v>583</v>
      </c>
      <c r="B396" s="8" t="s">
        <v>584</v>
      </c>
      <c r="C396" s="8" t="s">
        <v>472</v>
      </c>
      <c r="D396" s="8" t="s">
        <v>585</v>
      </c>
      <c r="E396" s="8" t="s">
        <v>20</v>
      </c>
      <c r="F396" s="8" t="s">
        <v>586</v>
      </c>
      <c r="G396" s="8" t="s">
        <v>531</v>
      </c>
      <c r="H396" s="8" t="s">
        <v>580</v>
      </c>
      <c r="I396" s="8" t="s">
        <v>431</v>
      </c>
      <c r="J396" s="8" t="s">
        <v>159</v>
      </c>
      <c r="K396" s="8" t="s">
        <v>284</v>
      </c>
      <c r="L396" s="10">
        <v>44927.0</v>
      </c>
      <c r="M396" s="10">
        <v>45291.0</v>
      </c>
      <c r="N396" s="8" t="s">
        <v>422</v>
      </c>
      <c r="O396" s="8" t="s">
        <v>450</v>
      </c>
      <c r="P396" s="12">
        <v>45188.0</v>
      </c>
      <c r="Q396" s="13">
        <v>307348.0</v>
      </c>
      <c r="R396" s="8">
        <v>405100.0</v>
      </c>
    </row>
    <row r="397" ht="15.75" customHeight="1">
      <c r="A397" s="8" t="s">
        <v>583</v>
      </c>
      <c r="B397" s="8" t="s">
        <v>584</v>
      </c>
      <c r="C397" s="8" t="s">
        <v>472</v>
      </c>
      <c r="D397" s="8" t="s">
        <v>585</v>
      </c>
      <c r="E397" s="8" t="s">
        <v>20</v>
      </c>
      <c r="F397" s="8" t="s">
        <v>586</v>
      </c>
      <c r="G397" s="8" t="s">
        <v>531</v>
      </c>
      <c r="H397" s="8" t="s">
        <v>580</v>
      </c>
      <c r="I397" s="8" t="s">
        <v>431</v>
      </c>
      <c r="J397" s="8" t="s">
        <v>159</v>
      </c>
      <c r="K397" s="8" t="s">
        <v>284</v>
      </c>
      <c r="L397" s="10">
        <v>44927.0</v>
      </c>
      <c r="M397" s="10">
        <v>45291.0</v>
      </c>
      <c r="N397" s="8" t="s">
        <v>422</v>
      </c>
      <c r="O397" s="8" t="s">
        <v>450</v>
      </c>
      <c r="P397" s="12">
        <v>45202.0</v>
      </c>
      <c r="Q397" s="13">
        <v>449104.0</v>
      </c>
      <c r="R397" s="8">
        <v>405100.0</v>
      </c>
    </row>
    <row r="398" ht="15.75" customHeight="1">
      <c r="A398" s="8" t="s">
        <v>583</v>
      </c>
      <c r="B398" s="8" t="s">
        <v>584</v>
      </c>
      <c r="C398" s="8" t="s">
        <v>472</v>
      </c>
      <c r="D398" s="8" t="s">
        <v>585</v>
      </c>
      <c r="E398" s="8" t="s">
        <v>20</v>
      </c>
      <c r="F398" s="8" t="s">
        <v>586</v>
      </c>
      <c r="G398" s="8" t="s">
        <v>531</v>
      </c>
      <c r="H398" s="8" t="s">
        <v>580</v>
      </c>
      <c r="I398" s="8" t="s">
        <v>431</v>
      </c>
      <c r="J398" s="8" t="s">
        <v>159</v>
      </c>
      <c r="K398" s="8" t="s">
        <v>284</v>
      </c>
      <c r="L398" s="10">
        <v>44927.0</v>
      </c>
      <c r="M398" s="10">
        <v>45291.0</v>
      </c>
      <c r="N398" s="8" t="s">
        <v>422</v>
      </c>
      <c r="O398" s="8" t="s">
        <v>450</v>
      </c>
      <c r="P398" s="14">
        <v>45252.0</v>
      </c>
      <c r="Q398" s="13">
        <v>265027.0</v>
      </c>
      <c r="R398" s="8">
        <v>405100.0</v>
      </c>
    </row>
    <row r="399" ht="15.75" customHeight="1">
      <c r="A399" s="8" t="s">
        <v>583</v>
      </c>
      <c r="B399" s="8" t="s">
        <v>584</v>
      </c>
      <c r="C399" s="8" t="s">
        <v>472</v>
      </c>
      <c r="D399" s="8" t="s">
        <v>585</v>
      </c>
      <c r="E399" s="8" t="s">
        <v>20</v>
      </c>
      <c r="F399" s="8" t="s">
        <v>586</v>
      </c>
      <c r="G399" s="8" t="s">
        <v>531</v>
      </c>
      <c r="H399" s="8" t="s">
        <v>580</v>
      </c>
      <c r="I399" s="8" t="s">
        <v>431</v>
      </c>
      <c r="J399" s="8" t="s">
        <v>159</v>
      </c>
      <c r="K399" s="8" t="s">
        <v>284</v>
      </c>
      <c r="L399" s="10">
        <v>44927.0</v>
      </c>
      <c r="M399" s="10">
        <v>45291.0</v>
      </c>
      <c r="N399" s="8" t="s">
        <v>422</v>
      </c>
      <c r="O399" s="8" t="s">
        <v>450</v>
      </c>
      <c r="P399" s="12">
        <v>45269.0</v>
      </c>
      <c r="Q399" s="13">
        <v>547298.0</v>
      </c>
      <c r="R399" s="8">
        <v>405100.0</v>
      </c>
    </row>
    <row r="400" ht="15.75" customHeight="1">
      <c r="A400" s="8" t="s">
        <v>587</v>
      </c>
      <c r="B400" s="8" t="s">
        <v>588</v>
      </c>
      <c r="C400" s="8" t="s">
        <v>472</v>
      </c>
      <c r="D400" s="8" t="s">
        <v>589</v>
      </c>
      <c r="E400" s="8" t="s">
        <v>20</v>
      </c>
      <c r="F400" s="8" t="s">
        <v>590</v>
      </c>
      <c r="G400" s="8" t="s">
        <v>591</v>
      </c>
      <c r="H400" s="8" t="s">
        <v>592</v>
      </c>
      <c r="I400" s="8" t="s">
        <v>512</v>
      </c>
      <c r="J400" s="8" t="s">
        <v>137</v>
      </c>
      <c r="K400" s="8" t="s">
        <v>593</v>
      </c>
      <c r="L400" s="10">
        <v>43831.0</v>
      </c>
      <c r="N400" s="8" t="s">
        <v>434</v>
      </c>
      <c r="O400" s="8" t="s">
        <v>423</v>
      </c>
      <c r="P400" s="12">
        <v>43831.0</v>
      </c>
      <c r="Q400" s="13">
        <v>60805.0</v>
      </c>
      <c r="R400" s="8">
        <v>405100.0</v>
      </c>
    </row>
    <row r="401" ht="15.75" customHeight="1">
      <c r="A401" s="8" t="s">
        <v>587</v>
      </c>
      <c r="B401" s="8" t="s">
        <v>588</v>
      </c>
      <c r="C401" s="8" t="s">
        <v>472</v>
      </c>
      <c r="D401" s="8" t="s">
        <v>589</v>
      </c>
      <c r="E401" s="8" t="s">
        <v>20</v>
      </c>
      <c r="F401" s="8" t="s">
        <v>590</v>
      </c>
      <c r="G401" s="8" t="s">
        <v>591</v>
      </c>
      <c r="H401" s="8" t="s">
        <v>592</v>
      </c>
      <c r="I401" s="8" t="s">
        <v>512</v>
      </c>
      <c r="J401" s="8" t="s">
        <v>137</v>
      </c>
      <c r="K401" s="8" t="s">
        <v>593</v>
      </c>
      <c r="L401" s="10">
        <v>43831.0</v>
      </c>
      <c r="N401" s="8" t="s">
        <v>434</v>
      </c>
      <c r="O401" s="8" t="s">
        <v>423</v>
      </c>
      <c r="P401" s="12">
        <v>43891.0</v>
      </c>
      <c r="Q401" s="13">
        <v>32127.0</v>
      </c>
      <c r="R401" s="8">
        <v>405100.0</v>
      </c>
    </row>
    <row r="402" ht="15.75" customHeight="1">
      <c r="A402" s="8" t="s">
        <v>587</v>
      </c>
      <c r="B402" s="8" t="s">
        <v>588</v>
      </c>
      <c r="C402" s="8" t="s">
        <v>472</v>
      </c>
      <c r="D402" s="8" t="s">
        <v>589</v>
      </c>
      <c r="E402" s="8" t="s">
        <v>20</v>
      </c>
      <c r="F402" s="8" t="s">
        <v>590</v>
      </c>
      <c r="G402" s="8" t="s">
        <v>591</v>
      </c>
      <c r="H402" s="8" t="s">
        <v>592</v>
      </c>
      <c r="I402" s="8" t="s">
        <v>512</v>
      </c>
      <c r="J402" s="8" t="s">
        <v>137</v>
      </c>
      <c r="K402" s="8" t="s">
        <v>593</v>
      </c>
      <c r="L402" s="10">
        <v>43831.0</v>
      </c>
      <c r="N402" s="8" t="s">
        <v>434</v>
      </c>
      <c r="O402" s="8" t="s">
        <v>423</v>
      </c>
      <c r="P402" s="12">
        <v>43952.0</v>
      </c>
      <c r="Q402" s="13">
        <v>63835.0</v>
      </c>
      <c r="R402" s="8">
        <v>405100.0</v>
      </c>
    </row>
    <row r="403" ht="15.75" customHeight="1">
      <c r="A403" s="8" t="s">
        <v>587</v>
      </c>
      <c r="B403" s="8" t="s">
        <v>588</v>
      </c>
      <c r="C403" s="8" t="s">
        <v>472</v>
      </c>
      <c r="D403" s="8" t="s">
        <v>589</v>
      </c>
      <c r="E403" s="8" t="s">
        <v>20</v>
      </c>
      <c r="F403" s="8" t="s">
        <v>590</v>
      </c>
      <c r="G403" s="8" t="s">
        <v>591</v>
      </c>
      <c r="H403" s="8" t="s">
        <v>592</v>
      </c>
      <c r="I403" s="8" t="s">
        <v>512</v>
      </c>
      <c r="J403" s="8" t="s">
        <v>137</v>
      </c>
      <c r="K403" s="8" t="s">
        <v>593</v>
      </c>
      <c r="L403" s="10">
        <v>43831.0</v>
      </c>
      <c r="N403" s="8" t="s">
        <v>434</v>
      </c>
      <c r="O403" s="8" t="s">
        <v>423</v>
      </c>
      <c r="P403" s="12">
        <v>44013.0</v>
      </c>
      <c r="Q403" s="13">
        <v>84204.0</v>
      </c>
      <c r="R403" s="8">
        <v>405100.0</v>
      </c>
    </row>
    <row r="404" ht="15.75" customHeight="1">
      <c r="A404" s="8" t="s">
        <v>587</v>
      </c>
      <c r="B404" s="8" t="s">
        <v>588</v>
      </c>
      <c r="C404" s="8" t="s">
        <v>472</v>
      </c>
      <c r="D404" s="8" t="s">
        <v>589</v>
      </c>
      <c r="E404" s="8" t="s">
        <v>20</v>
      </c>
      <c r="F404" s="8" t="s">
        <v>590</v>
      </c>
      <c r="G404" s="8" t="s">
        <v>591</v>
      </c>
      <c r="H404" s="8" t="s">
        <v>592</v>
      </c>
      <c r="I404" s="8" t="s">
        <v>512</v>
      </c>
      <c r="J404" s="8" t="s">
        <v>137</v>
      </c>
      <c r="K404" s="8" t="s">
        <v>593</v>
      </c>
      <c r="L404" s="10">
        <v>43831.0</v>
      </c>
      <c r="N404" s="8" t="s">
        <v>434</v>
      </c>
      <c r="O404" s="8" t="s">
        <v>423</v>
      </c>
      <c r="P404" s="12">
        <v>44075.0</v>
      </c>
      <c r="Q404" s="13">
        <v>121573.0</v>
      </c>
      <c r="R404" s="8">
        <v>405100.0</v>
      </c>
    </row>
    <row r="405" ht="15.75" customHeight="1">
      <c r="A405" s="8" t="s">
        <v>587</v>
      </c>
      <c r="B405" s="8" t="s">
        <v>588</v>
      </c>
      <c r="C405" s="8" t="s">
        <v>472</v>
      </c>
      <c r="D405" s="8" t="s">
        <v>589</v>
      </c>
      <c r="E405" s="8" t="s">
        <v>20</v>
      </c>
      <c r="F405" s="8" t="s">
        <v>590</v>
      </c>
      <c r="G405" s="8" t="s">
        <v>591</v>
      </c>
      <c r="H405" s="8" t="s">
        <v>592</v>
      </c>
      <c r="I405" s="8" t="s">
        <v>512</v>
      </c>
      <c r="J405" s="8" t="s">
        <v>137</v>
      </c>
      <c r="K405" s="8" t="s">
        <v>593</v>
      </c>
      <c r="L405" s="10">
        <v>43831.0</v>
      </c>
      <c r="N405" s="8" t="s">
        <v>434</v>
      </c>
      <c r="O405" s="8" t="s">
        <v>423</v>
      </c>
      <c r="P405" s="12">
        <v>44136.0</v>
      </c>
      <c r="Q405" s="13">
        <v>179927.0</v>
      </c>
      <c r="R405" s="8">
        <v>405100.0</v>
      </c>
    </row>
    <row r="406" ht="15.75" customHeight="1">
      <c r="A406" s="8" t="s">
        <v>587</v>
      </c>
      <c r="B406" s="8" t="s">
        <v>588</v>
      </c>
      <c r="C406" s="8" t="s">
        <v>472</v>
      </c>
      <c r="D406" s="8" t="s">
        <v>589</v>
      </c>
      <c r="E406" s="8" t="s">
        <v>20</v>
      </c>
      <c r="F406" s="8" t="s">
        <v>590</v>
      </c>
      <c r="G406" s="8" t="s">
        <v>591</v>
      </c>
      <c r="H406" s="8" t="s">
        <v>592</v>
      </c>
      <c r="I406" s="8" t="s">
        <v>512</v>
      </c>
      <c r="J406" s="8" t="s">
        <v>137</v>
      </c>
      <c r="K406" s="8" t="s">
        <v>593</v>
      </c>
      <c r="L406" s="10">
        <v>43831.0</v>
      </c>
      <c r="N406" s="8" t="s">
        <v>434</v>
      </c>
      <c r="O406" s="8" t="s">
        <v>423</v>
      </c>
      <c r="P406" s="12">
        <v>44197.0</v>
      </c>
      <c r="Q406" s="13">
        <v>433438.0</v>
      </c>
      <c r="R406" s="8">
        <v>405100.0</v>
      </c>
    </row>
    <row r="407" ht="15.75" customHeight="1">
      <c r="A407" s="8" t="s">
        <v>587</v>
      </c>
      <c r="B407" s="8" t="s">
        <v>588</v>
      </c>
      <c r="C407" s="8" t="s">
        <v>472</v>
      </c>
      <c r="D407" s="8" t="s">
        <v>589</v>
      </c>
      <c r="E407" s="8" t="s">
        <v>20</v>
      </c>
      <c r="F407" s="8" t="s">
        <v>590</v>
      </c>
      <c r="G407" s="8" t="s">
        <v>591</v>
      </c>
      <c r="H407" s="8" t="s">
        <v>592</v>
      </c>
      <c r="I407" s="8" t="s">
        <v>512</v>
      </c>
      <c r="J407" s="8" t="s">
        <v>137</v>
      </c>
      <c r="K407" s="8" t="s">
        <v>593</v>
      </c>
      <c r="L407" s="10">
        <v>43831.0</v>
      </c>
      <c r="N407" s="8" t="s">
        <v>434</v>
      </c>
      <c r="O407" s="8" t="s">
        <v>423</v>
      </c>
      <c r="P407" s="12">
        <v>44256.0</v>
      </c>
      <c r="Q407" s="13">
        <v>526926.0</v>
      </c>
      <c r="R407" s="8">
        <v>405100.0</v>
      </c>
    </row>
    <row r="408" ht="15.75" customHeight="1">
      <c r="A408" s="8" t="s">
        <v>587</v>
      </c>
      <c r="B408" s="8" t="s">
        <v>588</v>
      </c>
      <c r="C408" s="8" t="s">
        <v>472</v>
      </c>
      <c r="D408" s="8" t="s">
        <v>589</v>
      </c>
      <c r="E408" s="8" t="s">
        <v>20</v>
      </c>
      <c r="F408" s="8" t="s">
        <v>590</v>
      </c>
      <c r="G408" s="8" t="s">
        <v>591</v>
      </c>
      <c r="H408" s="8" t="s">
        <v>592</v>
      </c>
      <c r="I408" s="8" t="s">
        <v>512</v>
      </c>
      <c r="J408" s="8" t="s">
        <v>137</v>
      </c>
      <c r="K408" s="8" t="s">
        <v>593</v>
      </c>
      <c r="L408" s="10">
        <v>43831.0</v>
      </c>
      <c r="N408" s="8" t="s">
        <v>434</v>
      </c>
      <c r="O408" s="8" t="s">
        <v>423</v>
      </c>
      <c r="P408" s="12">
        <v>44317.0</v>
      </c>
      <c r="Q408" s="13">
        <v>271642.0</v>
      </c>
      <c r="R408" s="8">
        <v>405100.0</v>
      </c>
    </row>
    <row r="409" ht="15.75" customHeight="1">
      <c r="A409" s="8" t="s">
        <v>587</v>
      </c>
      <c r="B409" s="8" t="s">
        <v>588</v>
      </c>
      <c r="C409" s="8" t="s">
        <v>472</v>
      </c>
      <c r="D409" s="8" t="s">
        <v>589</v>
      </c>
      <c r="E409" s="8" t="s">
        <v>20</v>
      </c>
      <c r="F409" s="8" t="s">
        <v>590</v>
      </c>
      <c r="G409" s="8" t="s">
        <v>591</v>
      </c>
      <c r="H409" s="8" t="s">
        <v>592</v>
      </c>
      <c r="I409" s="8" t="s">
        <v>512</v>
      </c>
      <c r="J409" s="8" t="s">
        <v>137</v>
      </c>
      <c r="K409" s="8" t="s">
        <v>593</v>
      </c>
      <c r="L409" s="10">
        <v>43831.0</v>
      </c>
      <c r="N409" s="8" t="s">
        <v>434</v>
      </c>
      <c r="O409" s="8" t="s">
        <v>423</v>
      </c>
      <c r="P409" s="12">
        <v>44378.0</v>
      </c>
      <c r="Q409" s="13">
        <v>400338.0</v>
      </c>
      <c r="R409" s="8">
        <v>405100.0</v>
      </c>
    </row>
    <row r="410" ht="15.75" customHeight="1">
      <c r="A410" s="8" t="s">
        <v>587</v>
      </c>
      <c r="B410" s="8" t="s">
        <v>588</v>
      </c>
      <c r="C410" s="8" t="s">
        <v>472</v>
      </c>
      <c r="D410" s="8" t="s">
        <v>589</v>
      </c>
      <c r="E410" s="8" t="s">
        <v>20</v>
      </c>
      <c r="F410" s="8" t="s">
        <v>590</v>
      </c>
      <c r="G410" s="8" t="s">
        <v>591</v>
      </c>
      <c r="H410" s="8" t="s">
        <v>592</v>
      </c>
      <c r="I410" s="8" t="s">
        <v>512</v>
      </c>
      <c r="J410" s="8" t="s">
        <v>137</v>
      </c>
      <c r="K410" s="8" t="s">
        <v>593</v>
      </c>
      <c r="L410" s="10">
        <v>43831.0</v>
      </c>
      <c r="N410" s="8" t="s">
        <v>434</v>
      </c>
      <c r="O410" s="8" t="s">
        <v>423</v>
      </c>
      <c r="P410" s="12">
        <v>44440.0</v>
      </c>
      <c r="Q410" s="13">
        <v>545228.0</v>
      </c>
      <c r="R410" s="8">
        <v>405100.0</v>
      </c>
    </row>
    <row r="411" ht="15.75" customHeight="1">
      <c r="A411" s="8" t="s">
        <v>587</v>
      </c>
      <c r="B411" s="8" t="s">
        <v>588</v>
      </c>
      <c r="C411" s="8" t="s">
        <v>472</v>
      </c>
      <c r="D411" s="8" t="s">
        <v>589</v>
      </c>
      <c r="E411" s="8" t="s">
        <v>20</v>
      </c>
      <c r="F411" s="8" t="s">
        <v>590</v>
      </c>
      <c r="G411" s="8" t="s">
        <v>591</v>
      </c>
      <c r="H411" s="8" t="s">
        <v>592</v>
      </c>
      <c r="I411" s="8" t="s">
        <v>512</v>
      </c>
      <c r="J411" s="8" t="s">
        <v>137</v>
      </c>
      <c r="K411" s="8" t="s">
        <v>593</v>
      </c>
      <c r="L411" s="10">
        <v>43831.0</v>
      </c>
      <c r="N411" s="8" t="s">
        <v>434</v>
      </c>
      <c r="O411" s="8" t="s">
        <v>423</v>
      </c>
      <c r="P411" s="12">
        <v>44501.0</v>
      </c>
      <c r="Q411" s="13">
        <v>244089.0</v>
      </c>
      <c r="R411" s="8">
        <v>405100.0</v>
      </c>
    </row>
    <row r="412" ht="15.75" customHeight="1">
      <c r="A412" s="8" t="s">
        <v>587</v>
      </c>
      <c r="B412" s="8" t="s">
        <v>588</v>
      </c>
      <c r="C412" s="8" t="s">
        <v>472</v>
      </c>
      <c r="D412" s="8" t="s">
        <v>589</v>
      </c>
      <c r="E412" s="8" t="s">
        <v>20</v>
      </c>
      <c r="F412" s="8" t="s">
        <v>590</v>
      </c>
      <c r="G412" s="8" t="s">
        <v>591</v>
      </c>
      <c r="H412" s="8" t="s">
        <v>592</v>
      </c>
      <c r="I412" s="8" t="s">
        <v>512</v>
      </c>
      <c r="J412" s="8" t="s">
        <v>137</v>
      </c>
      <c r="K412" s="8" t="s">
        <v>593</v>
      </c>
      <c r="L412" s="10">
        <v>43831.0</v>
      </c>
      <c r="N412" s="8" t="s">
        <v>434</v>
      </c>
      <c r="O412" s="8" t="s">
        <v>423</v>
      </c>
      <c r="P412" s="12">
        <v>44562.0</v>
      </c>
      <c r="Q412" s="13">
        <v>569863.0</v>
      </c>
      <c r="R412" s="8">
        <v>405100.0</v>
      </c>
    </row>
    <row r="413" ht="15.75" customHeight="1">
      <c r="A413" s="8" t="s">
        <v>587</v>
      </c>
      <c r="B413" s="8" t="s">
        <v>588</v>
      </c>
      <c r="C413" s="8" t="s">
        <v>472</v>
      </c>
      <c r="D413" s="8" t="s">
        <v>589</v>
      </c>
      <c r="E413" s="8" t="s">
        <v>20</v>
      </c>
      <c r="F413" s="8" t="s">
        <v>590</v>
      </c>
      <c r="G413" s="8" t="s">
        <v>591</v>
      </c>
      <c r="H413" s="8" t="s">
        <v>592</v>
      </c>
      <c r="I413" s="8" t="s">
        <v>512</v>
      </c>
      <c r="J413" s="8" t="s">
        <v>137</v>
      </c>
      <c r="K413" s="8" t="s">
        <v>593</v>
      </c>
      <c r="L413" s="10">
        <v>43831.0</v>
      </c>
      <c r="N413" s="8" t="s">
        <v>434</v>
      </c>
      <c r="O413" s="8" t="s">
        <v>423</v>
      </c>
      <c r="P413" s="12">
        <v>44621.0</v>
      </c>
      <c r="Q413" s="13">
        <v>465762.0</v>
      </c>
      <c r="R413" s="8">
        <v>405100.0</v>
      </c>
    </row>
    <row r="414" ht="15.75" customHeight="1">
      <c r="A414" s="8" t="s">
        <v>587</v>
      </c>
      <c r="B414" s="8" t="s">
        <v>588</v>
      </c>
      <c r="C414" s="8" t="s">
        <v>472</v>
      </c>
      <c r="D414" s="8" t="s">
        <v>589</v>
      </c>
      <c r="E414" s="8" t="s">
        <v>20</v>
      </c>
      <c r="F414" s="8" t="s">
        <v>590</v>
      </c>
      <c r="G414" s="8" t="s">
        <v>591</v>
      </c>
      <c r="H414" s="8" t="s">
        <v>592</v>
      </c>
      <c r="I414" s="8" t="s">
        <v>512</v>
      </c>
      <c r="J414" s="8" t="s">
        <v>137</v>
      </c>
      <c r="K414" s="8" t="s">
        <v>593</v>
      </c>
      <c r="L414" s="10">
        <v>43831.0</v>
      </c>
      <c r="N414" s="8" t="s">
        <v>434</v>
      </c>
      <c r="O414" s="8" t="s">
        <v>423</v>
      </c>
      <c r="P414" s="12">
        <v>44682.0</v>
      </c>
      <c r="Q414" s="13">
        <v>268395.0</v>
      </c>
      <c r="R414" s="8">
        <v>405100.0</v>
      </c>
    </row>
    <row r="415" ht="15.75" customHeight="1">
      <c r="A415" s="8" t="s">
        <v>587</v>
      </c>
      <c r="B415" s="8" t="s">
        <v>588</v>
      </c>
      <c r="C415" s="8" t="s">
        <v>472</v>
      </c>
      <c r="D415" s="8" t="s">
        <v>589</v>
      </c>
      <c r="E415" s="8" t="s">
        <v>20</v>
      </c>
      <c r="F415" s="8" t="s">
        <v>590</v>
      </c>
      <c r="G415" s="8" t="s">
        <v>591</v>
      </c>
      <c r="H415" s="8" t="s">
        <v>592</v>
      </c>
      <c r="I415" s="8" t="s">
        <v>512</v>
      </c>
      <c r="J415" s="8" t="s">
        <v>137</v>
      </c>
      <c r="K415" s="8" t="s">
        <v>593</v>
      </c>
      <c r="L415" s="10">
        <v>43831.0</v>
      </c>
      <c r="N415" s="8" t="s">
        <v>434</v>
      </c>
      <c r="O415" s="8" t="s">
        <v>423</v>
      </c>
      <c r="P415" s="12">
        <v>44743.0</v>
      </c>
      <c r="Q415" s="13">
        <v>694300.0</v>
      </c>
      <c r="R415" s="8">
        <v>405100.0</v>
      </c>
    </row>
    <row r="416" ht="15.75" customHeight="1">
      <c r="A416" s="8" t="s">
        <v>587</v>
      </c>
      <c r="B416" s="8" t="s">
        <v>588</v>
      </c>
      <c r="C416" s="8" t="s">
        <v>472</v>
      </c>
      <c r="D416" s="8" t="s">
        <v>589</v>
      </c>
      <c r="E416" s="8" t="s">
        <v>20</v>
      </c>
      <c r="F416" s="8" t="s">
        <v>590</v>
      </c>
      <c r="G416" s="8" t="s">
        <v>591</v>
      </c>
      <c r="H416" s="8" t="s">
        <v>592</v>
      </c>
      <c r="I416" s="8" t="s">
        <v>512</v>
      </c>
      <c r="J416" s="8" t="s">
        <v>137</v>
      </c>
      <c r="K416" s="8" t="s">
        <v>593</v>
      </c>
      <c r="L416" s="10">
        <v>43831.0</v>
      </c>
      <c r="N416" s="8" t="s">
        <v>434</v>
      </c>
      <c r="O416" s="8" t="s">
        <v>423</v>
      </c>
      <c r="P416" s="12">
        <v>44805.0</v>
      </c>
      <c r="Q416" s="13">
        <v>676067.0</v>
      </c>
      <c r="R416" s="8">
        <v>405100.0</v>
      </c>
    </row>
    <row r="417" ht="15.75" customHeight="1">
      <c r="A417" s="8" t="s">
        <v>587</v>
      </c>
      <c r="B417" s="8" t="s">
        <v>588</v>
      </c>
      <c r="C417" s="8" t="s">
        <v>472</v>
      </c>
      <c r="D417" s="8" t="s">
        <v>589</v>
      </c>
      <c r="E417" s="8" t="s">
        <v>20</v>
      </c>
      <c r="F417" s="8" t="s">
        <v>590</v>
      </c>
      <c r="G417" s="8" t="s">
        <v>591</v>
      </c>
      <c r="H417" s="8" t="s">
        <v>592</v>
      </c>
      <c r="I417" s="8" t="s">
        <v>512</v>
      </c>
      <c r="J417" s="8" t="s">
        <v>137</v>
      </c>
      <c r="K417" s="8" t="s">
        <v>593</v>
      </c>
      <c r="L417" s="10">
        <v>43831.0</v>
      </c>
      <c r="N417" s="8" t="s">
        <v>434</v>
      </c>
      <c r="O417" s="8" t="s">
        <v>423</v>
      </c>
      <c r="P417" s="12">
        <v>44866.0</v>
      </c>
      <c r="Q417" s="13">
        <v>727911.0</v>
      </c>
      <c r="R417" s="8">
        <v>405100.0</v>
      </c>
    </row>
    <row r="418" ht="15.75" customHeight="1">
      <c r="A418" s="8" t="s">
        <v>587</v>
      </c>
      <c r="B418" s="8" t="s">
        <v>588</v>
      </c>
      <c r="C418" s="8" t="s">
        <v>472</v>
      </c>
      <c r="D418" s="8" t="s">
        <v>589</v>
      </c>
      <c r="E418" s="8" t="s">
        <v>20</v>
      </c>
      <c r="F418" s="8" t="s">
        <v>590</v>
      </c>
      <c r="G418" s="8" t="s">
        <v>591</v>
      </c>
      <c r="H418" s="8" t="s">
        <v>592</v>
      </c>
      <c r="I418" s="8" t="s">
        <v>512</v>
      </c>
      <c r="J418" s="8" t="s">
        <v>137</v>
      </c>
      <c r="K418" s="8" t="s">
        <v>593</v>
      </c>
      <c r="L418" s="10">
        <v>43831.0</v>
      </c>
      <c r="N418" s="8" t="s">
        <v>434</v>
      </c>
      <c r="O418" s="8" t="s">
        <v>423</v>
      </c>
      <c r="P418" s="12">
        <v>44927.0</v>
      </c>
      <c r="Q418" s="13">
        <v>538554.0</v>
      </c>
      <c r="R418" s="8">
        <v>405100.0</v>
      </c>
    </row>
    <row r="419" ht="15.75" customHeight="1">
      <c r="A419" s="8" t="s">
        <v>587</v>
      </c>
      <c r="B419" s="8" t="s">
        <v>588</v>
      </c>
      <c r="C419" s="8" t="s">
        <v>472</v>
      </c>
      <c r="D419" s="8" t="s">
        <v>589</v>
      </c>
      <c r="E419" s="8" t="s">
        <v>20</v>
      </c>
      <c r="F419" s="8" t="s">
        <v>590</v>
      </c>
      <c r="G419" s="8" t="s">
        <v>591</v>
      </c>
      <c r="H419" s="8" t="s">
        <v>592</v>
      </c>
      <c r="I419" s="8" t="s">
        <v>512</v>
      </c>
      <c r="J419" s="8" t="s">
        <v>137</v>
      </c>
      <c r="K419" s="8" t="s">
        <v>593</v>
      </c>
      <c r="L419" s="10">
        <v>43831.0</v>
      </c>
      <c r="N419" s="8" t="s">
        <v>434</v>
      </c>
      <c r="O419" s="8" t="s">
        <v>423</v>
      </c>
      <c r="P419" s="12">
        <v>44986.0</v>
      </c>
      <c r="Q419" s="13">
        <v>572337.0</v>
      </c>
      <c r="R419" s="8">
        <v>405100.0</v>
      </c>
    </row>
    <row r="420" ht="15.75" customHeight="1">
      <c r="A420" s="8" t="s">
        <v>587</v>
      </c>
      <c r="B420" s="8" t="s">
        <v>588</v>
      </c>
      <c r="C420" s="8" t="s">
        <v>472</v>
      </c>
      <c r="D420" s="8" t="s">
        <v>589</v>
      </c>
      <c r="E420" s="8" t="s">
        <v>20</v>
      </c>
      <c r="F420" s="8" t="s">
        <v>590</v>
      </c>
      <c r="G420" s="8" t="s">
        <v>591</v>
      </c>
      <c r="H420" s="8" t="s">
        <v>592</v>
      </c>
      <c r="I420" s="8" t="s">
        <v>512</v>
      </c>
      <c r="J420" s="8" t="s">
        <v>137</v>
      </c>
      <c r="K420" s="8" t="s">
        <v>593</v>
      </c>
      <c r="L420" s="10">
        <v>43831.0</v>
      </c>
      <c r="N420" s="8" t="s">
        <v>434</v>
      </c>
      <c r="O420" s="8" t="s">
        <v>423</v>
      </c>
      <c r="P420" s="12">
        <v>45047.0</v>
      </c>
      <c r="Q420" s="13">
        <v>604351.0</v>
      </c>
      <c r="R420" s="8">
        <v>405100.0</v>
      </c>
    </row>
    <row r="421" ht="15.75" customHeight="1">
      <c r="A421" s="8" t="s">
        <v>587</v>
      </c>
      <c r="B421" s="8" t="s">
        <v>588</v>
      </c>
      <c r="C421" s="8" t="s">
        <v>472</v>
      </c>
      <c r="D421" s="8" t="s">
        <v>589</v>
      </c>
      <c r="E421" s="8" t="s">
        <v>20</v>
      </c>
      <c r="F421" s="8" t="s">
        <v>590</v>
      </c>
      <c r="G421" s="8" t="s">
        <v>591</v>
      </c>
      <c r="H421" s="8" t="s">
        <v>592</v>
      </c>
      <c r="I421" s="8" t="s">
        <v>512</v>
      </c>
      <c r="J421" s="8" t="s">
        <v>137</v>
      </c>
      <c r="K421" s="8" t="s">
        <v>593</v>
      </c>
      <c r="L421" s="10">
        <v>43831.0</v>
      </c>
      <c r="N421" s="8" t="s">
        <v>434</v>
      </c>
      <c r="O421" s="8" t="s">
        <v>423</v>
      </c>
      <c r="P421" s="12">
        <v>45108.0</v>
      </c>
      <c r="Q421" s="13">
        <v>563349.0</v>
      </c>
      <c r="R421" s="8">
        <v>405100.0</v>
      </c>
    </row>
    <row r="422" ht="15.75" customHeight="1">
      <c r="A422" s="8" t="s">
        <v>587</v>
      </c>
      <c r="B422" s="8" t="s">
        <v>588</v>
      </c>
      <c r="C422" s="8" t="s">
        <v>472</v>
      </c>
      <c r="D422" s="8" t="s">
        <v>589</v>
      </c>
      <c r="E422" s="8" t="s">
        <v>20</v>
      </c>
      <c r="F422" s="8" t="s">
        <v>590</v>
      </c>
      <c r="G422" s="8" t="s">
        <v>591</v>
      </c>
      <c r="H422" s="8" t="s">
        <v>592</v>
      </c>
      <c r="I422" s="8" t="s">
        <v>512</v>
      </c>
      <c r="J422" s="8" t="s">
        <v>137</v>
      </c>
      <c r="K422" s="8" t="s">
        <v>593</v>
      </c>
      <c r="L422" s="10">
        <v>43831.0</v>
      </c>
      <c r="N422" s="8" t="s">
        <v>434</v>
      </c>
      <c r="O422" s="8" t="s">
        <v>423</v>
      </c>
      <c r="P422" s="12">
        <v>45170.0</v>
      </c>
      <c r="Q422" s="13">
        <v>697998.0</v>
      </c>
      <c r="R422" s="8">
        <v>405100.0</v>
      </c>
    </row>
    <row r="423" ht="15.75" customHeight="1">
      <c r="A423" s="8" t="s">
        <v>587</v>
      </c>
      <c r="B423" s="8" t="s">
        <v>588</v>
      </c>
      <c r="C423" s="8" t="s">
        <v>472</v>
      </c>
      <c r="D423" s="8" t="s">
        <v>589</v>
      </c>
      <c r="E423" s="8" t="s">
        <v>20</v>
      </c>
      <c r="F423" s="8" t="s">
        <v>590</v>
      </c>
      <c r="G423" s="8" t="s">
        <v>591</v>
      </c>
      <c r="H423" s="8" t="s">
        <v>592</v>
      </c>
      <c r="I423" s="8" t="s">
        <v>512</v>
      </c>
      <c r="J423" s="8" t="s">
        <v>137</v>
      </c>
      <c r="K423" s="8" t="s">
        <v>593</v>
      </c>
      <c r="L423" s="10">
        <v>43831.0</v>
      </c>
      <c r="N423" s="8" t="s">
        <v>434</v>
      </c>
      <c r="O423" s="8" t="s">
        <v>423</v>
      </c>
      <c r="P423" s="12">
        <v>45231.0</v>
      </c>
      <c r="Q423" s="13">
        <v>675277.0</v>
      </c>
      <c r="R423" s="8">
        <v>405100.0</v>
      </c>
    </row>
    <row r="424" ht="15.75" customHeight="1">
      <c r="A424" s="8" t="s">
        <v>587</v>
      </c>
      <c r="B424" s="8" t="s">
        <v>588</v>
      </c>
      <c r="C424" s="8" t="s">
        <v>472</v>
      </c>
      <c r="D424" s="8" t="s">
        <v>589</v>
      </c>
      <c r="E424" s="8" t="s">
        <v>20</v>
      </c>
      <c r="F424" s="8" t="s">
        <v>590</v>
      </c>
      <c r="G424" s="8" t="s">
        <v>591</v>
      </c>
      <c r="H424" s="8" t="s">
        <v>592</v>
      </c>
      <c r="I424" s="8" t="s">
        <v>512</v>
      </c>
      <c r="J424" s="8" t="s">
        <v>137</v>
      </c>
      <c r="K424" s="8" t="s">
        <v>593</v>
      </c>
      <c r="L424" s="10">
        <v>43831.0</v>
      </c>
      <c r="N424" s="8" t="s">
        <v>434</v>
      </c>
      <c r="O424" s="8" t="s">
        <v>423</v>
      </c>
      <c r="P424" s="12">
        <v>45292.0</v>
      </c>
      <c r="Q424" s="13">
        <v>747671.0</v>
      </c>
      <c r="R424" s="8">
        <v>405100.0</v>
      </c>
    </row>
    <row r="425" ht="15.75" customHeight="1">
      <c r="A425" s="8" t="s">
        <v>587</v>
      </c>
      <c r="B425" s="8" t="s">
        <v>588</v>
      </c>
      <c r="C425" s="8" t="s">
        <v>472</v>
      </c>
      <c r="D425" s="8" t="s">
        <v>589</v>
      </c>
      <c r="E425" s="8" t="s">
        <v>20</v>
      </c>
      <c r="F425" s="8" t="s">
        <v>590</v>
      </c>
      <c r="G425" s="8" t="s">
        <v>591</v>
      </c>
      <c r="H425" s="8" t="s">
        <v>592</v>
      </c>
      <c r="I425" s="8" t="s">
        <v>512</v>
      </c>
      <c r="J425" s="8" t="s">
        <v>137</v>
      </c>
      <c r="K425" s="8" t="s">
        <v>593</v>
      </c>
      <c r="L425" s="10">
        <v>43831.0</v>
      </c>
      <c r="N425" s="8" t="s">
        <v>434</v>
      </c>
      <c r="O425" s="8" t="s">
        <v>423</v>
      </c>
      <c r="P425" s="12">
        <v>45352.0</v>
      </c>
      <c r="Q425" s="13">
        <v>607880.0</v>
      </c>
      <c r="R425" s="8">
        <v>405100.0</v>
      </c>
    </row>
    <row r="426" ht="15.75" customHeight="1">
      <c r="A426" s="8" t="s">
        <v>587</v>
      </c>
      <c r="B426" s="8" t="s">
        <v>588</v>
      </c>
      <c r="C426" s="8" t="s">
        <v>472</v>
      </c>
      <c r="D426" s="8" t="s">
        <v>589</v>
      </c>
      <c r="E426" s="8" t="s">
        <v>20</v>
      </c>
      <c r="F426" s="8" t="s">
        <v>590</v>
      </c>
      <c r="G426" s="8" t="s">
        <v>591</v>
      </c>
      <c r="H426" s="8" t="s">
        <v>592</v>
      </c>
      <c r="I426" s="8" t="s">
        <v>512</v>
      </c>
      <c r="J426" s="8" t="s">
        <v>137</v>
      </c>
      <c r="K426" s="8" t="s">
        <v>593</v>
      </c>
      <c r="L426" s="10">
        <v>43831.0</v>
      </c>
      <c r="N426" s="8" t="s">
        <v>434</v>
      </c>
      <c r="O426" s="8" t="s">
        <v>423</v>
      </c>
      <c r="P426" s="12">
        <v>45413.0</v>
      </c>
      <c r="Q426" s="13">
        <v>668347.0</v>
      </c>
      <c r="R426" s="8">
        <v>405100.0</v>
      </c>
    </row>
    <row r="427" ht="15.75" customHeight="1">
      <c r="A427" s="8" t="s">
        <v>587</v>
      </c>
      <c r="B427" s="8" t="s">
        <v>588</v>
      </c>
      <c r="C427" s="8" t="s">
        <v>472</v>
      </c>
      <c r="D427" s="8" t="s">
        <v>589</v>
      </c>
      <c r="E427" s="8" t="s">
        <v>20</v>
      </c>
      <c r="F427" s="8" t="s">
        <v>590</v>
      </c>
      <c r="G427" s="8" t="s">
        <v>591</v>
      </c>
      <c r="H427" s="8" t="s">
        <v>592</v>
      </c>
      <c r="I427" s="8" t="s">
        <v>512</v>
      </c>
      <c r="J427" s="8" t="s">
        <v>137</v>
      </c>
      <c r="K427" s="8" t="s">
        <v>593</v>
      </c>
      <c r="L427" s="10">
        <v>43831.0</v>
      </c>
      <c r="N427" s="8" t="s">
        <v>434</v>
      </c>
      <c r="O427" s="8" t="s">
        <v>423</v>
      </c>
      <c r="P427" s="12">
        <v>45474.0</v>
      </c>
      <c r="Q427" s="13">
        <v>761671.0</v>
      </c>
      <c r="R427" s="8">
        <v>405100.0</v>
      </c>
    </row>
    <row r="428" ht="15.75" customHeight="1">
      <c r="A428" s="8" t="s">
        <v>594</v>
      </c>
      <c r="B428" s="8" t="s">
        <v>595</v>
      </c>
      <c r="C428" s="8" t="s">
        <v>173</v>
      </c>
      <c r="D428" s="8" t="s">
        <v>596</v>
      </c>
      <c r="E428" s="8" t="s">
        <v>20</v>
      </c>
      <c r="F428" s="8" t="s">
        <v>597</v>
      </c>
      <c r="G428" s="8" t="s">
        <v>598</v>
      </c>
      <c r="H428" s="8" t="s">
        <v>599</v>
      </c>
      <c r="I428" s="8" t="s">
        <v>441</v>
      </c>
      <c r="J428" s="8" t="s">
        <v>581</v>
      </c>
      <c r="K428" s="8" t="s">
        <v>600</v>
      </c>
      <c r="L428" s="10">
        <v>45292.0</v>
      </c>
      <c r="N428" s="8" t="s">
        <v>434</v>
      </c>
      <c r="O428" s="8" t="s">
        <v>450</v>
      </c>
      <c r="P428" s="12">
        <v>45292.0</v>
      </c>
      <c r="Q428" s="13">
        <v>771106.0</v>
      </c>
      <c r="R428" s="8">
        <v>405100.0</v>
      </c>
    </row>
    <row r="429" ht="15.75" customHeight="1">
      <c r="A429" s="8" t="s">
        <v>594</v>
      </c>
      <c r="B429" s="8" t="s">
        <v>595</v>
      </c>
      <c r="C429" s="8" t="s">
        <v>173</v>
      </c>
      <c r="D429" s="8" t="s">
        <v>596</v>
      </c>
      <c r="E429" s="8" t="s">
        <v>20</v>
      </c>
      <c r="F429" s="8" t="s">
        <v>597</v>
      </c>
      <c r="G429" s="8" t="s">
        <v>598</v>
      </c>
      <c r="H429" s="8" t="s">
        <v>599</v>
      </c>
      <c r="I429" s="8" t="s">
        <v>441</v>
      </c>
      <c r="J429" s="8" t="s">
        <v>581</v>
      </c>
      <c r="K429" s="8" t="s">
        <v>600</v>
      </c>
      <c r="L429" s="10">
        <v>45292.0</v>
      </c>
      <c r="N429" s="8" t="s">
        <v>434</v>
      </c>
      <c r="O429" s="8" t="s">
        <v>450</v>
      </c>
      <c r="P429" s="12">
        <v>45337.0</v>
      </c>
      <c r="Q429" s="13">
        <v>626668.0</v>
      </c>
      <c r="R429" s="8">
        <v>405100.0</v>
      </c>
    </row>
    <row r="430" ht="15.75" customHeight="1">
      <c r="A430" s="8" t="s">
        <v>594</v>
      </c>
      <c r="B430" s="8" t="s">
        <v>595</v>
      </c>
      <c r="C430" s="8" t="s">
        <v>173</v>
      </c>
      <c r="D430" s="8" t="s">
        <v>596</v>
      </c>
      <c r="E430" s="8" t="s">
        <v>20</v>
      </c>
      <c r="F430" s="8" t="s">
        <v>597</v>
      </c>
      <c r="G430" s="8" t="s">
        <v>598</v>
      </c>
      <c r="H430" s="8" t="s">
        <v>599</v>
      </c>
      <c r="I430" s="8" t="s">
        <v>441</v>
      </c>
      <c r="J430" s="8" t="s">
        <v>581</v>
      </c>
      <c r="K430" s="8" t="s">
        <v>600</v>
      </c>
      <c r="L430" s="10">
        <v>45292.0</v>
      </c>
      <c r="N430" s="8" t="s">
        <v>434</v>
      </c>
      <c r="O430" s="8" t="s">
        <v>450</v>
      </c>
      <c r="P430" s="12">
        <v>45359.0</v>
      </c>
      <c r="Q430" s="13">
        <v>647753.0</v>
      </c>
      <c r="R430" s="8">
        <v>405100.0</v>
      </c>
    </row>
    <row r="431" ht="15.75" customHeight="1">
      <c r="A431" s="8" t="s">
        <v>594</v>
      </c>
      <c r="B431" s="8" t="s">
        <v>595</v>
      </c>
      <c r="C431" s="8" t="s">
        <v>173</v>
      </c>
      <c r="D431" s="8" t="s">
        <v>596</v>
      </c>
      <c r="E431" s="8" t="s">
        <v>20</v>
      </c>
      <c r="F431" s="8" t="s">
        <v>597</v>
      </c>
      <c r="G431" s="8" t="s">
        <v>598</v>
      </c>
      <c r="H431" s="8" t="s">
        <v>599</v>
      </c>
      <c r="I431" s="8" t="s">
        <v>441</v>
      </c>
      <c r="J431" s="8" t="s">
        <v>581</v>
      </c>
      <c r="K431" s="8" t="s">
        <v>600</v>
      </c>
      <c r="L431" s="10">
        <v>45292.0</v>
      </c>
      <c r="N431" s="8" t="s">
        <v>434</v>
      </c>
      <c r="O431" s="8" t="s">
        <v>450</v>
      </c>
      <c r="P431" s="12">
        <v>45404.0</v>
      </c>
      <c r="Q431" s="13">
        <v>571778.0</v>
      </c>
      <c r="R431" s="8">
        <v>405100.0</v>
      </c>
    </row>
    <row r="432" ht="15.75" customHeight="1">
      <c r="A432" s="8" t="s">
        <v>594</v>
      </c>
      <c r="B432" s="8" t="s">
        <v>595</v>
      </c>
      <c r="C432" s="8" t="s">
        <v>173</v>
      </c>
      <c r="D432" s="8" t="s">
        <v>596</v>
      </c>
      <c r="E432" s="8" t="s">
        <v>20</v>
      </c>
      <c r="F432" s="8" t="s">
        <v>597</v>
      </c>
      <c r="G432" s="8" t="s">
        <v>598</v>
      </c>
      <c r="H432" s="8" t="s">
        <v>599</v>
      </c>
      <c r="I432" s="8" t="s">
        <v>441</v>
      </c>
      <c r="J432" s="8" t="s">
        <v>581</v>
      </c>
      <c r="K432" s="8" t="s">
        <v>600</v>
      </c>
      <c r="L432" s="10">
        <v>45292.0</v>
      </c>
      <c r="N432" s="8" t="s">
        <v>434</v>
      </c>
      <c r="O432" s="8" t="s">
        <v>450</v>
      </c>
      <c r="P432" s="12">
        <v>45422.0</v>
      </c>
      <c r="Q432" s="13">
        <v>783804.0</v>
      </c>
      <c r="R432" s="8">
        <v>405100.0</v>
      </c>
    </row>
    <row r="433" ht="15.75" customHeight="1">
      <c r="A433" s="8" t="s">
        <v>594</v>
      </c>
      <c r="B433" s="8" t="s">
        <v>595</v>
      </c>
      <c r="C433" s="8" t="s">
        <v>173</v>
      </c>
      <c r="D433" s="8" t="s">
        <v>596</v>
      </c>
      <c r="E433" s="8" t="s">
        <v>20</v>
      </c>
      <c r="F433" s="8" t="s">
        <v>597</v>
      </c>
      <c r="G433" s="8" t="s">
        <v>598</v>
      </c>
      <c r="H433" s="8" t="s">
        <v>599</v>
      </c>
      <c r="I433" s="8" t="s">
        <v>441</v>
      </c>
      <c r="J433" s="8" t="s">
        <v>581</v>
      </c>
      <c r="K433" s="8" t="s">
        <v>600</v>
      </c>
      <c r="L433" s="10">
        <v>45292.0</v>
      </c>
      <c r="N433" s="8" t="s">
        <v>434</v>
      </c>
      <c r="O433" s="8" t="s">
        <v>450</v>
      </c>
      <c r="P433" s="12">
        <v>45473.0</v>
      </c>
      <c r="Q433" s="13">
        <v>578491.0</v>
      </c>
      <c r="R433" s="8">
        <v>405100.0</v>
      </c>
    </row>
    <row r="434" ht="15.75" customHeight="1">
      <c r="A434" s="8" t="s">
        <v>594</v>
      </c>
      <c r="B434" s="8" t="s">
        <v>595</v>
      </c>
      <c r="C434" s="8" t="s">
        <v>173</v>
      </c>
      <c r="D434" s="8" t="s">
        <v>596</v>
      </c>
      <c r="E434" s="8" t="s">
        <v>20</v>
      </c>
      <c r="F434" s="8" t="s">
        <v>597</v>
      </c>
      <c r="G434" s="8" t="s">
        <v>598</v>
      </c>
      <c r="H434" s="8" t="s">
        <v>599</v>
      </c>
      <c r="I434" s="8" t="s">
        <v>441</v>
      </c>
      <c r="J434" s="8" t="s">
        <v>581</v>
      </c>
      <c r="K434" s="8" t="s">
        <v>600</v>
      </c>
      <c r="L434" s="10">
        <v>45292.0</v>
      </c>
      <c r="N434" s="8" t="s">
        <v>434</v>
      </c>
      <c r="O434" s="8" t="s">
        <v>450</v>
      </c>
      <c r="P434" s="12">
        <v>45487.0</v>
      </c>
      <c r="Q434" s="13">
        <v>770156.0</v>
      </c>
      <c r="R434" s="8">
        <v>405100.0</v>
      </c>
    </row>
    <row r="435" ht="15.75" customHeight="1">
      <c r="A435" s="8" t="s">
        <v>594</v>
      </c>
      <c r="B435" s="8" t="s">
        <v>595</v>
      </c>
      <c r="C435" s="8" t="s">
        <v>173</v>
      </c>
      <c r="D435" s="8" t="s">
        <v>596</v>
      </c>
      <c r="E435" s="8" t="s">
        <v>20</v>
      </c>
      <c r="F435" s="8" t="s">
        <v>597</v>
      </c>
      <c r="G435" s="8" t="s">
        <v>598</v>
      </c>
      <c r="H435" s="8" t="s">
        <v>599</v>
      </c>
      <c r="I435" s="8" t="s">
        <v>441</v>
      </c>
      <c r="J435" s="8" t="s">
        <v>581</v>
      </c>
      <c r="K435" s="8" t="s">
        <v>600</v>
      </c>
      <c r="L435" s="10">
        <v>45292.0</v>
      </c>
      <c r="N435" s="8" t="s">
        <v>434</v>
      </c>
      <c r="O435" s="8" t="s">
        <v>450</v>
      </c>
      <c r="P435" s="12">
        <v>45509.0</v>
      </c>
      <c r="Q435" s="13">
        <v>648108.0</v>
      </c>
      <c r="R435" s="8">
        <v>405100.0</v>
      </c>
    </row>
    <row r="436" ht="15.75" customHeight="1">
      <c r="A436" s="8" t="s">
        <v>594</v>
      </c>
      <c r="B436" s="8" t="s">
        <v>595</v>
      </c>
      <c r="C436" s="8" t="s">
        <v>173</v>
      </c>
      <c r="D436" s="8" t="s">
        <v>596</v>
      </c>
      <c r="E436" s="8" t="s">
        <v>20</v>
      </c>
      <c r="F436" s="8" t="s">
        <v>597</v>
      </c>
      <c r="G436" s="8" t="s">
        <v>598</v>
      </c>
      <c r="H436" s="8" t="s">
        <v>599</v>
      </c>
      <c r="I436" s="8" t="s">
        <v>441</v>
      </c>
      <c r="J436" s="8" t="s">
        <v>581</v>
      </c>
      <c r="K436" s="8" t="s">
        <v>600</v>
      </c>
      <c r="L436" s="10">
        <v>45292.0</v>
      </c>
      <c r="N436" s="8" t="s">
        <v>434</v>
      </c>
      <c r="O436" s="8" t="s">
        <v>450</v>
      </c>
      <c r="P436" s="11">
        <v>45537.0</v>
      </c>
      <c r="Q436" s="13">
        <v>556901.0</v>
      </c>
      <c r="R436" s="8">
        <v>405100.0</v>
      </c>
    </row>
    <row r="437" ht="15.75" customHeight="1">
      <c r="A437" s="8" t="s">
        <v>601</v>
      </c>
      <c r="B437" s="8" t="s">
        <v>602</v>
      </c>
      <c r="C437" s="8" t="s">
        <v>136</v>
      </c>
      <c r="D437" s="8" t="s">
        <v>603</v>
      </c>
      <c r="E437" s="8" t="s">
        <v>20</v>
      </c>
      <c r="F437" s="8" t="s">
        <v>604</v>
      </c>
      <c r="G437" s="8" t="s">
        <v>605</v>
      </c>
      <c r="H437" s="8" t="s">
        <v>606</v>
      </c>
      <c r="I437" s="8" t="s">
        <v>512</v>
      </c>
      <c r="J437" s="8" t="s">
        <v>137</v>
      </c>
      <c r="K437" s="8" t="s">
        <v>607</v>
      </c>
      <c r="L437" s="10">
        <v>44717.0</v>
      </c>
      <c r="N437" s="8" t="s">
        <v>434</v>
      </c>
      <c r="O437" s="8" t="s">
        <v>450</v>
      </c>
      <c r="P437" s="12">
        <v>44717.0</v>
      </c>
      <c r="Q437" s="13">
        <v>46148.0</v>
      </c>
      <c r="R437" s="8">
        <v>405100.0</v>
      </c>
    </row>
    <row r="438" ht="15.75" customHeight="1">
      <c r="A438" s="8" t="s">
        <v>601</v>
      </c>
      <c r="B438" s="8" t="s">
        <v>602</v>
      </c>
      <c r="C438" s="8" t="s">
        <v>136</v>
      </c>
      <c r="D438" s="8" t="s">
        <v>603</v>
      </c>
      <c r="E438" s="8" t="s">
        <v>20</v>
      </c>
      <c r="F438" s="8" t="s">
        <v>604</v>
      </c>
      <c r="G438" s="8" t="s">
        <v>605</v>
      </c>
      <c r="H438" s="8" t="s">
        <v>606</v>
      </c>
      <c r="I438" s="8" t="s">
        <v>512</v>
      </c>
      <c r="J438" s="8" t="s">
        <v>137</v>
      </c>
      <c r="K438" s="8" t="s">
        <v>607</v>
      </c>
      <c r="L438" s="10">
        <v>44717.0</v>
      </c>
      <c r="N438" s="8" t="s">
        <v>434</v>
      </c>
      <c r="O438" s="8" t="s">
        <v>450</v>
      </c>
      <c r="P438" s="12">
        <v>44747.0</v>
      </c>
      <c r="Q438" s="13">
        <v>23153.0</v>
      </c>
      <c r="R438" s="8">
        <v>405100.0</v>
      </c>
    </row>
    <row r="439" ht="15.75" customHeight="1">
      <c r="A439" s="8" t="s">
        <v>601</v>
      </c>
      <c r="B439" s="8" t="s">
        <v>602</v>
      </c>
      <c r="C439" s="8" t="s">
        <v>136</v>
      </c>
      <c r="D439" s="8" t="s">
        <v>603</v>
      </c>
      <c r="E439" s="8" t="s">
        <v>20</v>
      </c>
      <c r="F439" s="8" t="s">
        <v>604</v>
      </c>
      <c r="G439" s="8" t="s">
        <v>605</v>
      </c>
      <c r="H439" s="8" t="s">
        <v>606</v>
      </c>
      <c r="I439" s="8" t="s">
        <v>512</v>
      </c>
      <c r="J439" s="8" t="s">
        <v>137</v>
      </c>
      <c r="K439" s="8" t="s">
        <v>607</v>
      </c>
      <c r="L439" s="10">
        <v>44717.0</v>
      </c>
      <c r="N439" s="8" t="s">
        <v>434</v>
      </c>
      <c r="O439" s="8" t="s">
        <v>450</v>
      </c>
      <c r="P439" s="12">
        <v>44778.0</v>
      </c>
      <c r="Q439" s="13">
        <v>83712.0</v>
      </c>
      <c r="R439" s="8">
        <v>405100.0</v>
      </c>
    </row>
    <row r="440" ht="15.75" customHeight="1">
      <c r="A440" s="8" t="s">
        <v>601</v>
      </c>
      <c r="B440" s="8" t="s">
        <v>602</v>
      </c>
      <c r="C440" s="8" t="s">
        <v>136</v>
      </c>
      <c r="D440" s="8" t="s">
        <v>603</v>
      </c>
      <c r="E440" s="8" t="s">
        <v>20</v>
      </c>
      <c r="F440" s="8" t="s">
        <v>604</v>
      </c>
      <c r="G440" s="8" t="s">
        <v>605</v>
      </c>
      <c r="H440" s="8" t="s">
        <v>606</v>
      </c>
      <c r="I440" s="8" t="s">
        <v>512</v>
      </c>
      <c r="J440" s="8" t="s">
        <v>137</v>
      </c>
      <c r="K440" s="8" t="s">
        <v>607</v>
      </c>
      <c r="L440" s="10">
        <v>44717.0</v>
      </c>
      <c r="N440" s="8" t="s">
        <v>434</v>
      </c>
      <c r="O440" s="8" t="s">
        <v>450</v>
      </c>
      <c r="P440" s="12">
        <v>44809.0</v>
      </c>
      <c r="Q440" s="13">
        <v>55339.0</v>
      </c>
      <c r="R440" s="8">
        <v>405100.0</v>
      </c>
    </row>
    <row r="441" ht="15.75" customHeight="1">
      <c r="A441" s="8" t="s">
        <v>601</v>
      </c>
      <c r="B441" s="8" t="s">
        <v>602</v>
      </c>
      <c r="C441" s="8" t="s">
        <v>136</v>
      </c>
      <c r="D441" s="8" t="s">
        <v>603</v>
      </c>
      <c r="E441" s="8" t="s">
        <v>20</v>
      </c>
      <c r="F441" s="8" t="s">
        <v>604</v>
      </c>
      <c r="G441" s="8" t="s">
        <v>605</v>
      </c>
      <c r="H441" s="8" t="s">
        <v>606</v>
      </c>
      <c r="I441" s="8" t="s">
        <v>512</v>
      </c>
      <c r="J441" s="8" t="s">
        <v>137</v>
      </c>
      <c r="K441" s="8" t="s">
        <v>607</v>
      </c>
      <c r="L441" s="10">
        <v>44717.0</v>
      </c>
      <c r="N441" s="8" t="s">
        <v>434</v>
      </c>
      <c r="O441" s="8" t="s">
        <v>450</v>
      </c>
      <c r="P441" s="12">
        <v>44839.0</v>
      </c>
      <c r="Q441" s="13">
        <v>65179.0</v>
      </c>
      <c r="R441" s="8">
        <v>405100.0</v>
      </c>
    </row>
    <row r="442" ht="15.75" customHeight="1">
      <c r="A442" s="8" t="s">
        <v>601</v>
      </c>
      <c r="B442" s="8" t="s">
        <v>602</v>
      </c>
      <c r="C442" s="8" t="s">
        <v>136</v>
      </c>
      <c r="D442" s="8" t="s">
        <v>603</v>
      </c>
      <c r="E442" s="8" t="s">
        <v>20</v>
      </c>
      <c r="F442" s="8" t="s">
        <v>604</v>
      </c>
      <c r="G442" s="8" t="s">
        <v>605</v>
      </c>
      <c r="H442" s="8" t="s">
        <v>606</v>
      </c>
      <c r="I442" s="8" t="s">
        <v>512</v>
      </c>
      <c r="J442" s="8" t="s">
        <v>137</v>
      </c>
      <c r="K442" s="8" t="s">
        <v>607</v>
      </c>
      <c r="L442" s="10">
        <v>44717.0</v>
      </c>
      <c r="N442" s="8" t="s">
        <v>434</v>
      </c>
      <c r="O442" s="8" t="s">
        <v>450</v>
      </c>
      <c r="P442" s="12">
        <v>44870.0</v>
      </c>
      <c r="Q442" s="13">
        <v>173595.0</v>
      </c>
      <c r="R442" s="8">
        <v>405100.0</v>
      </c>
    </row>
    <row r="443" ht="15.75" customHeight="1">
      <c r="A443" s="8" t="s">
        <v>601</v>
      </c>
      <c r="B443" s="8" t="s">
        <v>602</v>
      </c>
      <c r="C443" s="8" t="s">
        <v>136</v>
      </c>
      <c r="D443" s="8" t="s">
        <v>603</v>
      </c>
      <c r="E443" s="8" t="s">
        <v>20</v>
      </c>
      <c r="F443" s="8" t="s">
        <v>604</v>
      </c>
      <c r="G443" s="8" t="s">
        <v>605</v>
      </c>
      <c r="H443" s="8" t="s">
        <v>606</v>
      </c>
      <c r="I443" s="8" t="s">
        <v>512</v>
      </c>
      <c r="J443" s="8" t="s">
        <v>137</v>
      </c>
      <c r="K443" s="8" t="s">
        <v>607</v>
      </c>
      <c r="L443" s="10">
        <v>44717.0</v>
      </c>
      <c r="N443" s="8" t="s">
        <v>434</v>
      </c>
      <c r="O443" s="8" t="s">
        <v>450</v>
      </c>
      <c r="P443" s="12">
        <v>44900.0</v>
      </c>
      <c r="Q443" s="13">
        <v>116913.0</v>
      </c>
      <c r="R443" s="8">
        <v>405100.0</v>
      </c>
    </row>
    <row r="444" ht="15.75" customHeight="1">
      <c r="A444" s="8" t="s">
        <v>601</v>
      </c>
      <c r="B444" s="8" t="s">
        <v>602</v>
      </c>
      <c r="C444" s="8" t="s">
        <v>136</v>
      </c>
      <c r="D444" s="8" t="s">
        <v>603</v>
      </c>
      <c r="E444" s="8" t="s">
        <v>20</v>
      </c>
      <c r="F444" s="8" t="s">
        <v>604</v>
      </c>
      <c r="G444" s="8" t="s">
        <v>605</v>
      </c>
      <c r="H444" s="8" t="s">
        <v>606</v>
      </c>
      <c r="I444" s="8" t="s">
        <v>512</v>
      </c>
      <c r="J444" s="8" t="s">
        <v>137</v>
      </c>
      <c r="K444" s="8" t="s">
        <v>607</v>
      </c>
      <c r="L444" s="10">
        <v>44717.0</v>
      </c>
      <c r="N444" s="8" t="s">
        <v>434</v>
      </c>
      <c r="O444" s="8" t="s">
        <v>450</v>
      </c>
      <c r="P444" s="12">
        <v>44931.0</v>
      </c>
      <c r="Q444" s="13">
        <v>447298.0</v>
      </c>
      <c r="R444" s="8">
        <v>405100.0</v>
      </c>
    </row>
    <row r="445" ht="15.75" customHeight="1">
      <c r="A445" s="8" t="s">
        <v>601</v>
      </c>
      <c r="B445" s="8" t="s">
        <v>602</v>
      </c>
      <c r="C445" s="8" t="s">
        <v>136</v>
      </c>
      <c r="D445" s="8" t="s">
        <v>603</v>
      </c>
      <c r="E445" s="8" t="s">
        <v>20</v>
      </c>
      <c r="F445" s="8" t="s">
        <v>604</v>
      </c>
      <c r="G445" s="8" t="s">
        <v>605</v>
      </c>
      <c r="H445" s="8" t="s">
        <v>606</v>
      </c>
      <c r="I445" s="8" t="s">
        <v>512</v>
      </c>
      <c r="J445" s="8" t="s">
        <v>137</v>
      </c>
      <c r="K445" s="8" t="s">
        <v>607</v>
      </c>
      <c r="L445" s="10">
        <v>44717.0</v>
      </c>
      <c r="N445" s="8" t="s">
        <v>434</v>
      </c>
      <c r="O445" s="8" t="s">
        <v>450</v>
      </c>
      <c r="P445" s="12">
        <v>44962.0</v>
      </c>
      <c r="Q445" s="13">
        <v>307698.0</v>
      </c>
      <c r="R445" s="8">
        <v>405100.0</v>
      </c>
    </row>
    <row r="446" ht="15.75" customHeight="1">
      <c r="A446" s="8" t="s">
        <v>601</v>
      </c>
      <c r="B446" s="8" t="s">
        <v>602</v>
      </c>
      <c r="C446" s="8" t="s">
        <v>136</v>
      </c>
      <c r="D446" s="8" t="s">
        <v>603</v>
      </c>
      <c r="E446" s="8" t="s">
        <v>20</v>
      </c>
      <c r="F446" s="8" t="s">
        <v>604</v>
      </c>
      <c r="G446" s="8" t="s">
        <v>605</v>
      </c>
      <c r="H446" s="8" t="s">
        <v>606</v>
      </c>
      <c r="I446" s="8" t="s">
        <v>512</v>
      </c>
      <c r="J446" s="8" t="s">
        <v>137</v>
      </c>
      <c r="K446" s="8" t="s">
        <v>607</v>
      </c>
      <c r="L446" s="10">
        <v>44717.0</v>
      </c>
      <c r="N446" s="8" t="s">
        <v>434</v>
      </c>
      <c r="O446" s="8" t="s">
        <v>450</v>
      </c>
      <c r="P446" s="12">
        <v>44990.0</v>
      </c>
      <c r="Q446" s="13">
        <v>464627.0</v>
      </c>
      <c r="R446" s="8">
        <v>405100.0</v>
      </c>
    </row>
    <row r="447" ht="15.75" customHeight="1">
      <c r="A447" s="8" t="s">
        <v>601</v>
      </c>
      <c r="B447" s="8" t="s">
        <v>602</v>
      </c>
      <c r="C447" s="8" t="s">
        <v>136</v>
      </c>
      <c r="D447" s="8" t="s">
        <v>603</v>
      </c>
      <c r="E447" s="8" t="s">
        <v>20</v>
      </c>
      <c r="F447" s="8" t="s">
        <v>604</v>
      </c>
      <c r="G447" s="8" t="s">
        <v>605</v>
      </c>
      <c r="H447" s="8" t="s">
        <v>606</v>
      </c>
      <c r="I447" s="8" t="s">
        <v>512</v>
      </c>
      <c r="J447" s="8" t="s">
        <v>137</v>
      </c>
      <c r="K447" s="8" t="s">
        <v>607</v>
      </c>
      <c r="L447" s="10">
        <v>44717.0</v>
      </c>
      <c r="N447" s="8" t="s">
        <v>434</v>
      </c>
      <c r="O447" s="8" t="s">
        <v>450</v>
      </c>
      <c r="P447" s="12">
        <v>45021.0</v>
      </c>
      <c r="Q447" s="13">
        <v>294917.0</v>
      </c>
      <c r="R447" s="8">
        <v>405100.0</v>
      </c>
    </row>
    <row r="448" ht="15.75" customHeight="1">
      <c r="A448" s="8" t="s">
        <v>601</v>
      </c>
      <c r="B448" s="8" t="s">
        <v>602</v>
      </c>
      <c r="C448" s="8" t="s">
        <v>136</v>
      </c>
      <c r="D448" s="8" t="s">
        <v>603</v>
      </c>
      <c r="E448" s="8" t="s">
        <v>20</v>
      </c>
      <c r="F448" s="8" t="s">
        <v>604</v>
      </c>
      <c r="G448" s="8" t="s">
        <v>605</v>
      </c>
      <c r="H448" s="8" t="s">
        <v>606</v>
      </c>
      <c r="I448" s="8" t="s">
        <v>512</v>
      </c>
      <c r="J448" s="8" t="s">
        <v>137</v>
      </c>
      <c r="K448" s="8" t="s">
        <v>607</v>
      </c>
      <c r="L448" s="10">
        <v>44717.0</v>
      </c>
      <c r="N448" s="8" t="s">
        <v>434</v>
      </c>
      <c r="O448" s="8" t="s">
        <v>450</v>
      </c>
      <c r="P448" s="12">
        <v>45051.0</v>
      </c>
      <c r="Q448" s="13">
        <v>273536.0</v>
      </c>
      <c r="R448" s="8">
        <v>405100.0</v>
      </c>
    </row>
    <row r="449" ht="15.75" customHeight="1">
      <c r="A449" s="8" t="s">
        <v>601</v>
      </c>
      <c r="B449" s="8" t="s">
        <v>602</v>
      </c>
      <c r="C449" s="8" t="s">
        <v>136</v>
      </c>
      <c r="D449" s="8" t="s">
        <v>603</v>
      </c>
      <c r="E449" s="8" t="s">
        <v>20</v>
      </c>
      <c r="F449" s="8" t="s">
        <v>604</v>
      </c>
      <c r="G449" s="8" t="s">
        <v>605</v>
      </c>
      <c r="H449" s="8" t="s">
        <v>606</v>
      </c>
      <c r="I449" s="8" t="s">
        <v>512</v>
      </c>
      <c r="J449" s="8" t="s">
        <v>137</v>
      </c>
      <c r="K449" s="8" t="s">
        <v>607</v>
      </c>
      <c r="L449" s="10">
        <v>44717.0</v>
      </c>
      <c r="N449" s="8" t="s">
        <v>434</v>
      </c>
      <c r="O449" s="8" t="s">
        <v>450</v>
      </c>
      <c r="P449" s="12">
        <v>45082.0</v>
      </c>
      <c r="Q449" s="13">
        <v>477167.0</v>
      </c>
      <c r="R449" s="8">
        <v>405100.0</v>
      </c>
    </row>
    <row r="450" ht="15.75" customHeight="1">
      <c r="A450" s="8" t="s">
        <v>601</v>
      </c>
      <c r="B450" s="8" t="s">
        <v>602</v>
      </c>
      <c r="C450" s="8" t="s">
        <v>136</v>
      </c>
      <c r="D450" s="8" t="s">
        <v>603</v>
      </c>
      <c r="E450" s="8" t="s">
        <v>20</v>
      </c>
      <c r="F450" s="8" t="s">
        <v>604</v>
      </c>
      <c r="G450" s="8" t="s">
        <v>605</v>
      </c>
      <c r="H450" s="8" t="s">
        <v>606</v>
      </c>
      <c r="I450" s="8" t="s">
        <v>512</v>
      </c>
      <c r="J450" s="8" t="s">
        <v>137</v>
      </c>
      <c r="K450" s="8" t="s">
        <v>607</v>
      </c>
      <c r="L450" s="10">
        <v>44717.0</v>
      </c>
      <c r="N450" s="8" t="s">
        <v>434</v>
      </c>
      <c r="O450" s="8" t="s">
        <v>450</v>
      </c>
      <c r="P450" s="12">
        <v>45112.0</v>
      </c>
      <c r="Q450" s="13">
        <v>345240.0</v>
      </c>
      <c r="R450" s="8">
        <v>405100.0</v>
      </c>
    </row>
    <row r="451" ht="15.75" customHeight="1">
      <c r="A451" s="8" t="s">
        <v>601</v>
      </c>
      <c r="B451" s="8" t="s">
        <v>602</v>
      </c>
      <c r="C451" s="8" t="s">
        <v>136</v>
      </c>
      <c r="D451" s="8" t="s">
        <v>603</v>
      </c>
      <c r="E451" s="8" t="s">
        <v>20</v>
      </c>
      <c r="F451" s="8" t="s">
        <v>604</v>
      </c>
      <c r="G451" s="8" t="s">
        <v>605</v>
      </c>
      <c r="H451" s="8" t="s">
        <v>606</v>
      </c>
      <c r="I451" s="8" t="s">
        <v>512</v>
      </c>
      <c r="J451" s="8" t="s">
        <v>137</v>
      </c>
      <c r="K451" s="8" t="s">
        <v>607</v>
      </c>
      <c r="L451" s="10">
        <v>44717.0</v>
      </c>
      <c r="N451" s="8" t="s">
        <v>434</v>
      </c>
      <c r="O451" s="8" t="s">
        <v>450</v>
      </c>
      <c r="P451" s="12">
        <v>45143.0</v>
      </c>
      <c r="Q451" s="13">
        <v>578153.0</v>
      </c>
      <c r="R451" s="8">
        <v>405100.0</v>
      </c>
    </row>
    <row r="452" ht="15.75" customHeight="1">
      <c r="A452" s="8" t="s">
        <v>601</v>
      </c>
      <c r="B452" s="8" t="s">
        <v>602</v>
      </c>
      <c r="C452" s="8" t="s">
        <v>136</v>
      </c>
      <c r="D452" s="8" t="s">
        <v>603</v>
      </c>
      <c r="E452" s="8" t="s">
        <v>20</v>
      </c>
      <c r="F452" s="8" t="s">
        <v>604</v>
      </c>
      <c r="G452" s="8" t="s">
        <v>605</v>
      </c>
      <c r="H452" s="8" t="s">
        <v>606</v>
      </c>
      <c r="I452" s="8" t="s">
        <v>512</v>
      </c>
      <c r="J452" s="8" t="s">
        <v>137</v>
      </c>
      <c r="K452" s="8" t="s">
        <v>607</v>
      </c>
      <c r="L452" s="10">
        <v>44717.0</v>
      </c>
      <c r="N452" s="8" t="s">
        <v>434</v>
      </c>
      <c r="O452" s="8" t="s">
        <v>450</v>
      </c>
      <c r="P452" s="12">
        <v>45174.0</v>
      </c>
      <c r="Q452" s="13">
        <v>255436.0</v>
      </c>
      <c r="R452" s="8">
        <v>405100.0</v>
      </c>
    </row>
    <row r="453" ht="15.75" customHeight="1">
      <c r="A453" s="8" t="s">
        <v>601</v>
      </c>
      <c r="B453" s="8" t="s">
        <v>602</v>
      </c>
      <c r="C453" s="8" t="s">
        <v>136</v>
      </c>
      <c r="D453" s="8" t="s">
        <v>603</v>
      </c>
      <c r="E453" s="8" t="s">
        <v>20</v>
      </c>
      <c r="F453" s="8" t="s">
        <v>604</v>
      </c>
      <c r="G453" s="8" t="s">
        <v>605</v>
      </c>
      <c r="H453" s="8" t="s">
        <v>606</v>
      </c>
      <c r="I453" s="8" t="s">
        <v>512</v>
      </c>
      <c r="J453" s="8" t="s">
        <v>137</v>
      </c>
      <c r="K453" s="8" t="s">
        <v>607</v>
      </c>
      <c r="L453" s="10">
        <v>44717.0</v>
      </c>
      <c r="N453" s="8" t="s">
        <v>434</v>
      </c>
      <c r="O453" s="8" t="s">
        <v>450</v>
      </c>
      <c r="P453" s="12">
        <v>45204.0</v>
      </c>
      <c r="Q453" s="13">
        <v>630203.0</v>
      </c>
      <c r="R453" s="8">
        <v>405100.0</v>
      </c>
    </row>
    <row r="454" ht="15.75" customHeight="1">
      <c r="A454" s="8" t="s">
        <v>601</v>
      </c>
      <c r="B454" s="8" t="s">
        <v>602</v>
      </c>
      <c r="C454" s="8" t="s">
        <v>136</v>
      </c>
      <c r="D454" s="8" t="s">
        <v>603</v>
      </c>
      <c r="E454" s="8" t="s">
        <v>20</v>
      </c>
      <c r="F454" s="8" t="s">
        <v>604</v>
      </c>
      <c r="G454" s="8" t="s">
        <v>605</v>
      </c>
      <c r="H454" s="8" t="s">
        <v>606</v>
      </c>
      <c r="I454" s="8" t="s">
        <v>512</v>
      </c>
      <c r="J454" s="8" t="s">
        <v>137</v>
      </c>
      <c r="K454" s="8" t="s">
        <v>607</v>
      </c>
      <c r="L454" s="10">
        <v>44717.0</v>
      </c>
      <c r="N454" s="8" t="s">
        <v>434</v>
      </c>
      <c r="O454" s="8" t="s">
        <v>450</v>
      </c>
      <c r="P454" s="12">
        <v>45235.0</v>
      </c>
      <c r="Q454" s="13">
        <v>788229.0</v>
      </c>
      <c r="R454" s="8">
        <v>405100.0</v>
      </c>
    </row>
    <row r="455" ht="15.75" customHeight="1">
      <c r="A455" s="8" t="s">
        <v>601</v>
      </c>
      <c r="B455" s="8" t="s">
        <v>602</v>
      </c>
      <c r="C455" s="8" t="s">
        <v>136</v>
      </c>
      <c r="D455" s="8" t="s">
        <v>603</v>
      </c>
      <c r="E455" s="8" t="s">
        <v>20</v>
      </c>
      <c r="F455" s="8" t="s">
        <v>604</v>
      </c>
      <c r="G455" s="8" t="s">
        <v>605</v>
      </c>
      <c r="H455" s="8" t="s">
        <v>606</v>
      </c>
      <c r="I455" s="8" t="s">
        <v>512</v>
      </c>
      <c r="J455" s="8" t="s">
        <v>137</v>
      </c>
      <c r="K455" s="8" t="s">
        <v>607</v>
      </c>
      <c r="L455" s="10">
        <v>44717.0</v>
      </c>
      <c r="N455" s="8" t="s">
        <v>434</v>
      </c>
      <c r="O455" s="8" t="s">
        <v>450</v>
      </c>
      <c r="P455" s="12">
        <v>45265.0</v>
      </c>
      <c r="Q455" s="13">
        <v>667281.0</v>
      </c>
      <c r="R455" s="8">
        <v>405100.0</v>
      </c>
    </row>
    <row r="456" ht="15.75" customHeight="1">
      <c r="A456" s="8" t="s">
        <v>601</v>
      </c>
      <c r="B456" s="8" t="s">
        <v>602</v>
      </c>
      <c r="C456" s="8" t="s">
        <v>136</v>
      </c>
      <c r="D456" s="8" t="s">
        <v>603</v>
      </c>
      <c r="E456" s="8" t="s">
        <v>20</v>
      </c>
      <c r="F456" s="8" t="s">
        <v>604</v>
      </c>
      <c r="G456" s="8" t="s">
        <v>605</v>
      </c>
      <c r="H456" s="8" t="s">
        <v>606</v>
      </c>
      <c r="I456" s="8" t="s">
        <v>512</v>
      </c>
      <c r="J456" s="8" t="s">
        <v>137</v>
      </c>
      <c r="K456" s="8" t="s">
        <v>607</v>
      </c>
      <c r="L456" s="10">
        <v>44717.0</v>
      </c>
      <c r="N456" s="8" t="s">
        <v>434</v>
      </c>
      <c r="O456" s="8" t="s">
        <v>450</v>
      </c>
      <c r="P456" s="12">
        <v>45296.0</v>
      </c>
      <c r="Q456" s="13">
        <v>663026.0</v>
      </c>
      <c r="R456" s="8">
        <v>405100.0</v>
      </c>
    </row>
    <row r="457" ht="15.75" customHeight="1">
      <c r="A457" s="8" t="s">
        <v>601</v>
      </c>
      <c r="B457" s="8" t="s">
        <v>602</v>
      </c>
      <c r="C457" s="8" t="s">
        <v>136</v>
      </c>
      <c r="D457" s="8" t="s">
        <v>603</v>
      </c>
      <c r="E457" s="8" t="s">
        <v>20</v>
      </c>
      <c r="F457" s="8" t="s">
        <v>604</v>
      </c>
      <c r="G457" s="8" t="s">
        <v>605</v>
      </c>
      <c r="H457" s="8" t="s">
        <v>606</v>
      </c>
      <c r="I457" s="8" t="s">
        <v>512</v>
      </c>
      <c r="J457" s="8" t="s">
        <v>137</v>
      </c>
      <c r="K457" s="8" t="s">
        <v>607</v>
      </c>
      <c r="L457" s="10">
        <v>44717.0</v>
      </c>
      <c r="N457" s="8" t="s">
        <v>434</v>
      </c>
      <c r="O457" s="8" t="s">
        <v>450</v>
      </c>
      <c r="P457" s="12">
        <v>45327.0</v>
      </c>
      <c r="Q457" s="13">
        <v>575890.0</v>
      </c>
      <c r="R457" s="8">
        <v>405100.0</v>
      </c>
    </row>
    <row r="458" ht="15.75" customHeight="1">
      <c r="A458" s="8" t="s">
        <v>601</v>
      </c>
      <c r="B458" s="8" t="s">
        <v>602</v>
      </c>
      <c r="C458" s="8" t="s">
        <v>136</v>
      </c>
      <c r="D458" s="8" t="s">
        <v>603</v>
      </c>
      <c r="E458" s="8" t="s">
        <v>20</v>
      </c>
      <c r="F458" s="8" t="s">
        <v>604</v>
      </c>
      <c r="G458" s="8" t="s">
        <v>605</v>
      </c>
      <c r="H458" s="8" t="s">
        <v>606</v>
      </c>
      <c r="I458" s="8" t="s">
        <v>512</v>
      </c>
      <c r="J458" s="8" t="s">
        <v>137</v>
      </c>
      <c r="K458" s="8" t="s">
        <v>607</v>
      </c>
      <c r="L458" s="10">
        <v>44717.0</v>
      </c>
      <c r="N458" s="8" t="s">
        <v>434</v>
      </c>
      <c r="O458" s="8" t="s">
        <v>450</v>
      </c>
      <c r="P458" s="12">
        <v>45356.0</v>
      </c>
      <c r="Q458" s="13">
        <v>704002.0</v>
      </c>
      <c r="R458" s="8">
        <v>405100.0</v>
      </c>
    </row>
    <row r="459" ht="15.75" customHeight="1">
      <c r="A459" s="8" t="s">
        <v>601</v>
      </c>
      <c r="B459" s="8" t="s">
        <v>602</v>
      </c>
      <c r="C459" s="8" t="s">
        <v>136</v>
      </c>
      <c r="D459" s="8" t="s">
        <v>603</v>
      </c>
      <c r="E459" s="8" t="s">
        <v>20</v>
      </c>
      <c r="F459" s="8" t="s">
        <v>604</v>
      </c>
      <c r="G459" s="8" t="s">
        <v>605</v>
      </c>
      <c r="H459" s="8" t="s">
        <v>606</v>
      </c>
      <c r="I459" s="8" t="s">
        <v>512</v>
      </c>
      <c r="J459" s="8" t="s">
        <v>137</v>
      </c>
      <c r="K459" s="8" t="s">
        <v>607</v>
      </c>
      <c r="L459" s="10">
        <v>44717.0</v>
      </c>
      <c r="N459" s="8" t="s">
        <v>434</v>
      </c>
      <c r="O459" s="8" t="s">
        <v>450</v>
      </c>
      <c r="P459" s="12">
        <v>45387.0</v>
      </c>
      <c r="Q459" s="13">
        <v>776587.0</v>
      </c>
      <c r="R459" s="8">
        <v>405100.0</v>
      </c>
    </row>
    <row r="460" ht="15.75" customHeight="1">
      <c r="A460" s="8" t="s">
        <v>601</v>
      </c>
      <c r="B460" s="8" t="s">
        <v>602</v>
      </c>
      <c r="C460" s="8" t="s">
        <v>136</v>
      </c>
      <c r="D460" s="8" t="s">
        <v>603</v>
      </c>
      <c r="E460" s="8" t="s">
        <v>20</v>
      </c>
      <c r="F460" s="8" t="s">
        <v>604</v>
      </c>
      <c r="G460" s="8" t="s">
        <v>605</v>
      </c>
      <c r="H460" s="8" t="s">
        <v>606</v>
      </c>
      <c r="I460" s="8" t="s">
        <v>512</v>
      </c>
      <c r="J460" s="8" t="s">
        <v>137</v>
      </c>
      <c r="K460" s="8" t="s">
        <v>607</v>
      </c>
      <c r="L460" s="10">
        <v>44717.0</v>
      </c>
      <c r="N460" s="8" t="s">
        <v>434</v>
      </c>
      <c r="O460" s="8" t="s">
        <v>450</v>
      </c>
      <c r="P460" s="12">
        <v>45417.0</v>
      </c>
      <c r="Q460" s="13">
        <v>700318.0</v>
      </c>
      <c r="R460" s="8">
        <v>405100.0</v>
      </c>
    </row>
    <row r="461" ht="15.75" customHeight="1">
      <c r="A461" s="8" t="s">
        <v>601</v>
      </c>
      <c r="B461" s="8" t="s">
        <v>602</v>
      </c>
      <c r="C461" s="8" t="s">
        <v>136</v>
      </c>
      <c r="D461" s="8" t="s">
        <v>603</v>
      </c>
      <c r="E461" s="8" t="s">
        <v>20</v>
      </c>
      <c r="F461" s="8" t="s">
        <v>604</v>
      </c>
      <c r="G461" s="8" t="s">
        <v>605</v>
      </c>
      <c r="H461" s="8" t="s">
        <v>606</v>
      </c>
      <c r="I461" s="8" t="s">
        <v>512</v>
      </c>
      <c r="J461" s="8" t="s">
        <v>137</v>
      </c>
      <c r="K461" s="8" t="s">
        <v>607</v>
      </c>
      <c r="L461" s="10">
        <v>44717.0</v>
      </c>
      <c r="N461" s="8" t="s">
        <v>434</v>
      </c>
      <c r="O461" s="8" t="s">
        <v>450</v>
      </c>
      <c r="P461" s="12">
        <v>45448.0</v>
      </c>
      <c r="Q461" s="13">
        <v>782687.0</v>
      </c>
      <c r="R461" s="8">
        <v>405100.0</v>
      </c>
    </row>
    <row r="462" ht="15.75" customHeight="1">
      <c r="A462" s="8" t="s">
        <v>601</v>
      </c>
      <c r="B462" s="8" t="s">
        <v>602</v>
      </c>
      <c r="C462" s="8" t="s">
        <v>136</v>
      </c>
      <c r="D462" s="8" t="s">
        <v>603</v>
      </c>
      <c r="E462" s="8" t="s">
        <v>20</v>
      </c>
      <c r="F462" s="8" t="s">
        <v>604</v>
      </c>
      <c r="G462" s="8" t="s">
        <v>605</v>
      </c>
      <c r="H462" s="8" t="s">
        <v>606</v>
      </c>
      <c r="I462" s="8" t="s">
        <v>512</v>
      </c>
      <c r="J462" s="8" t="s">
        <v>137</v>
      </c>
      <c r="K462" s="8" t="s">
        <v>607</v>
      </c>
      <c r="L462" s="10">
        <v>44717.0</v>
      </c>
      <c r="N462" s="8" t="s">
        <v>434</v>
      </c>
      <c r="O462" s="8" t="s">
        <v>450</v>
      </c>
      <c r="P462" s="12">
        <v>45478.0</v>
      </c>
      <c r="Q462" s="13">
        <v>711560.0</v>
      </c>
      <c r="R462" s="8">
        <v>405100.0</v>
      </c>
    </row>
    <row r="463" ht="15.75" customHeight="1">
      <c r="A463" s="8" t="s">
        <v>601</v>
      </c>
      <c r="B463" s="8" t="s">
        <v>602</v>
      </c>
      <c r="C463" s="8" t="s">
        <v>136</v>
      </c>
      <c r="D463" s="8" t="s">
        <v>603</v>
      </c>
      <c r="E463" s="8" t="s">
        <v>20</v>
      </c>
      <c r="F463" s="8" t="s">
        <v>604</v>
      </c>
      <c r="G463" s="8" t="s">
        <v>605</v>
      </c>
      <c r="H463" s="8" t="s">
        <v>606</v>
      </c>
      <c r="I463" s="8" t="s">
        <v>512</v>
      </c>
      <c r="J463" s="8" t="s">
        <v>137</v>
      </c>
      <c r="K463" s="8" t="s">
        <v>607</v>
      </c>
      <c r="L463" s="10">
        <v>44717.0</v>
      </c>
      <c r="N463" s="8" t="s">
        <v>434</v>
      </c>
      <c r="O463" s="8" t="s">
        <v>450</v>
      </c>
      <c r="P463" s="12">
        <v>45509.0</v>
      </c>
      <c r="Q463" s="13">
        <v>768202.0</v>
      </c>
      <c r="R463" s="8">
        <v>405100.0</v>
      </c>
    </row>
    <row r="464" ht="15.75" customHeight="1">
      <c r="A464" s="8" t="s">
        <v>608</v>
      </c>
      <c r="B464" s="8" t="s">
        <v>609</v>
      </c>
      <c r="C464" s="8" t="s">
        <v>472</v>
      </c>
      <c r="D464" s="8" t="s">
        <v>610</v>
      </c>
      <c r="E464" s="8" t="s">
        <v>20</v>
      </c>
      <c r="F464" s="8" t="s">
        <v>611</v>
      </c>
      <c r="G464" s="8" t="s">
        <v>544</v>
      </c>
      <c r="H464" s="8" t="s">
        <v>612</v>
      </c>
      <c r="I464" s="8" t="s">
        <v>431</v>
      </c>
      <c r="J464" s="8" t="s">
        <v>159</v>
      </c>
      <c r="K464" s="8" t="s">
        <v>613</v>
      </c>
      <c r="L464" s="10">
        <v>45324.0</v>
      </c>
      <c r="N464" s="8" t="s">
        <v>434</v>
      </c>
      <c r="O464" s="8" t="s">
        <v>450</v>
      </c>
      <c r="P464" s="12">
        <v>45324.0</v>
      </c>
      <c r="Q464" s="13">
        <v>71381.0</v>
      </c>
      <c r="R464" s="8">
        <v>405100.0</v>
      </c>
    </row>
    <row r="465" ht="15.75" customHeight="1">
      <c r="A465" s="8" t="s">
        <v>608</v>
      </c>
      <c r="B465" s="8" t="s">
        <v>609</v>
      </c>
      <c r="C465" s="8" t="s">
        <v>472</v>
      </c>
      <c r="D465" s="8" t="s">
        <v>610</v>
      </c>
      <c r="E465" s="8" t="s">
        <v>20</v>
      </c>
      <c r="F465" s="8" t="s">
        <v>611</v>
      </c>
      <c r="G465" s="8" t="s">
        <v>544</v>
      </c>
      <c r="H465" s="8" t="s">
        <v>612</v>
      </c>
      <c r="I465" s="8" t="s">
        <v>431</v>
      </c>
      <c r="J465" s="8" t="s">
        <v>159</v>
      </c>
      <c r="K465" s="8" t="s">
        <v>613</v>
      </c>
      <c r="L465" s="10">
        <v>45324.0</v>
      </c>
      <c r="N465" s="8" t="s">
        <v>434</v>
      </c>
      <c r="O465" s="8" t="s">
        <v>450</v>
      </c>
      <c r="P465" s="12">
        <v>45363.0</v>
      </c>
      <c r="Q465" s="13">
        <v>55346.0</v>
      </c>
      <c r="R465" s="8">
        <v>405100.0</v>
      </c>
    </row>
    <row r="466" ht="15.75" customHeight="1">
      <c r="A466" s="8" t="s">
        <v>608</v>
      </c>
      <c r="B466" s="8" t="s">
        <v>609</v>
      </c>
      <c r="C466" s="8" t="s">
        <v>472</v>
      </c>
      <c r="D466" s="8" t="s">
        <v>610</v>
      </c>
      <c r="E466" s="8" t="s">
        <v>20</v>
      </c>
      <c r="F466" s="8" t="s">
        <v>611</v>
      </c>
      <c r="G466" s="8" t="s">
        <v>544</v>
      </c>
      <c r="H466" s="8" t="s">
        <v>612</v>
      </c>
      <c r="I466" s="8" t="s">
        <v>431</v>
      </c>
      <c r="J466" s="8" t="s">
        <v>159</v>
      </c>
      <c r="K466" s="8" t="s">
        <v>613</v>
      </c>
      <c r="L466" s="10">
        <v>45324.0</v>
      </c>
      <c r="N466" s="8" t="s">
        <v>434</v>
      </c>
      <c r="O466" s="8" t="s">
        <v>450</v>
      </c>
      <c r="P466" s="12">
        <v>45390.0</v>
      </c>
      <c r="Q466" s="13">
        <v>66576.0</v>
      </c>
      <c r="R466" s="8">
        <v>405100.0</v>
      </c>
    </row>
    <row r="467" ht="15.75" customHeight="1">
      <c r="A467" s="8" t="s">
        <v>608</v>
      </c>
      <c r="B467" s="8" t="s">
        <v>609</v>
      </c>
      <c r="C467" s="8" t="s">
        <v>472</v>
      </c>
      <c r="D467" s="8" t="s">
        <v>610</v>
      </c>
      <c r="E467" s="8" t="s">
        <v>20</v>
      </c>
      <c r="F467" s="8" t="s">
        <v>611</v>
      </c>
      <c r="G467" s="8" t="s">
        <v>544</v>
      </c>
      <c r="H467" s="8" t="s">
        <v>612</v>
      </c>
      <c r="I467" s="8" t="s">
        <v>431</v>
      </c>
      <c r="J467" s="8" t="s">
        <v>159</v>
      </c>
      <c r="K467" s="8" t="s">
        <v>613</v>
      </c>
      <c r="L467" s="10">
        <v>45324.0</v>
      </c>
      <c r="N467" s="8" t="s">
        <v>434</v>
      </c>
      <c r="O467" s="8" t="s">
        <v>450</v>
      </c>
      <c r="P467" s="12">
        <v>45437.0</v>
      </c>
      <c r="Q467" s="13">
        <v>83697.0</v>
      </c>
      <c r="R467" s="8">
        <v>405100.0</v>
      </c>
    </row>
    <row r="468" ht="15.75" customHeight="1">
      <c r="A468" s="8" t="s">
        <v>608</v>
      </c>
      <c r="B468" s="8" t="s">
        <v>609</v>
      </c>
      <c r="C468" s="8" t="s">
        <v>472</v>
      </c>
      <c r="D468" s="8" t="s">
        <v>610</v>
      </c>
      <c r="E468" s="8" t="s">
        <v>20</v>
      </c>
      <c r="F468" s="8" t="s">
        <v>611</v>
      </c>
      <c r="G468" s="8" t="s">
        <v>544</v>
      </c>
      <c r="H468" s="8" t="s">
        <v>612</v>
      </c>
      <c r="I468" s="8" t="s">
        <v>431</v>
      </c>
      <c r="J468" s="8" t="s">
        <v>159</v>
      </c>
      <c r="K468" s="8" t="s">
        <v>613</v>
      </c>
      <c r="L468" s="10">
        <v>45324.0</v>
      </c>
      <c r="N468" s="8" t="s">
        <v>434</v>
      </c>
      <c r="O468" s="8" t="s">
        <v>450</v>
      </c>
      <c r="P468" s="12">
        <v>45453.0</v>
      </c>
      <c r="Q468" s="13">
        <v>40499.0</v>
      </c>
      <c r="R468" s="8">
        <v>405100.0</v>
      </c>
    </row>
    <row r="469" ht="15.75" customHeight="1">
      <c r="A469" s="8" t="s">
        <v>608</v>
      </c>
      <c r="B469" s="8" t="s">
        <v>609</v>
      </c>
      <c r="C469" s="8" t="s">
        <v>472</v>
      </c>
      <c r="D469" s="8" t="s">
        <v>610</v>
      </c>
      <c r="E469" s="8" t="s">
        <v>20</v>
      </c>
      <c r="F469" s="8" t="s">
        <v>611</v>
      </c>
      <c r="G469" s="8" t="s">
        <v>544</v>
      </c>
      <c r="H469" s="8" t="s">
        <v>612</v>
      </c>
      <c r="I469" s="8" t="s">
        <v>431</v>
      </c>
      <c r="J469" s="8" t="s">
        <v>159</v>
      </c>
      <c r="K469" s="8" t="s">
        <v>613</v>
      </c>
      <c r="L469" s="10">
        <v>45324.0</v>
      </c>
      <c r="N469" s="8" t="s">
        <v>434</v>
      </c>
      <c r="O469" s="8" t="s">
        <v>450</v>
      </c>
      <c r="P469" s="12">
        <v>45501.0</v>
      </c>
      <c r="Q469" s="13">
        <v>41123.0</v>
      </c>
      <c r="R469" s="8">
        <v>405100.0</v>
      </c>
    </row>
    <row r="470" ht="15.75" customHeight="1">
      <c r="A470" s="8" t="s">
        <v>608</v>
      </c>
      <c r="B470" s="8" t="s">
        <v>609</v>
      </c>
      <c r="C470" s="8" t="s">
        <v>472</v>
      </c>
      <c r="D470" s="8" t="s">
        <v>610</v>
      </c>
      <c r="E470" s="8" t="s">
        <v>20</v>
      </c>
      <c r="F470" s="8" t="s">
        <v>611</v>
      </c>
      <c r="G470" s="8" t="s">
        <v>544</v>
      </c>
      <c r="H470" s="8" t="s">
        <v>612</v>
      </c>
      <c r="I470" s="8" t="s">
        <v>431</v>
      </c>
      <c r="J470" s="8" t="s">
        <v>159</v>
      </c>
      <c r="K470" s="8" t="s">
        <v>613</v>
      </c>
      <c r="L470" s="10">
        <v>45324.0</v>
      </c>
      <c r="N470" s="8" t="s">
        <v>434</v>
      </c>
      <c r="O470" s="8" t="s">
        <v>450</v>
      </c>
      <c r="P470" s="12">
        <v>45519.0</v>
      </c>
      <c r="Q470" s="13">
        <v>15614.0</v>
      </c>
      <c r="R470" s="8">
        <v>405100.0</v>
      </c>
    </row>
    <row r="471" ht="15.75" customHeight="1">
      <c r="A471" s="8" t="s">
        <v>608</v>
      </c>
      <c r="B471" s="8" t="s">
        <v>609</v>
      </c>
      <c r="C471" s="8" t="s">
        <v>472</v>
      </c>
      <c r="D471" s="8" t="s">
        <v>610</v>
      </c>
      <c r="E471" s="8" t="s">
        <v>20</v>
      </c>
      <c r="F471" s="8" t="s">
        <v>611</v>
      </c>
      <c r="G471" s="8" t="s">
        <v>544</v>
      </c>
      <c r="H471" s="8" t="s">
        <v>612</v>
      </c>
      <c r="I471" s="8" t="s">
        <v>431</v>
      </c>
      <c r="J471" s="8" t="s">
        <v>159</v>
      </c>
      <c r="K471" s="8" t="s">
        <v>613</v>
      </c>
      <c r="L471" s="10">
        <v>45324.0</v>
      </c>
      <c r="N471" s="8" t="s">
        <v>434</v>
      </c>
      <c r="O471" s="8" t="s">
        <v>450</v>
      </c>
      <c r="P471" s="12">
        <v>45540.0</v>
      </c>
      <c r="Q471" s="13">
        <v>34964.0</v>
      </c>
      <c r="R471" s="8">
        <v>405100.0</v>
      </c>
    </row>
    <row r="472" ht="15.75" customHeight="1">
      <c r="A472" s="8" t="s">
        <v>614</v>
      </c>
      <c r="B472" s="8" t="s">
        <v>615</v>
      </c>
      <c r="C472" s="8" t="s">
        <v>173</v>
      </c>
      <c r="D472" s="8" t="s">
        <v>616</v>
      </c>
      <c r="E472" s="8" t="s">
        <v>20</v>
      </c>
      <c r="F472" s="8" t="s">
        <v>617</v>
      </c>
      <c r="G472" s="8" t="s">
        <v>618</v>
      </c>
      <c r="H472" s="8" t="s">
        <v>619</v>
      </c>
      <c r="I472" s="8" t="s">
        <v>512</v>
      </c>
      <c r="J472" s="8" t="s">
        <v>581</v>
      </c>
      <c r="K472" s="8" t="s">
        <v>620</v>
      </c>
      <c r="L472" s="10">
        <v>45383.0</v>
      </c>
      <c r="N472" s="8" t="s">
        <v>434</v>
      </c>
      <c r="O472" s="8" t="s">
        <v>450</v>
      </c>
      <c r="P472" s="12">
        <v>45383.0</v>
      </c>
      <c r="Q472" s="13">
        <v>551050.0</v>
      </c>
      <c r="R472" s="8">
        <v>405100.0</v>
      </c>
    </row>
    <row r="473" ht="15.75" customHeight="1">
      <c r="A473" s="8" t="s">
        <v>614</v>
      </c>
      <c r="B473" s="8" t="s">
        <v>615</v>
      </c>
      <c r="C473" s="8" t="s">
        <v>173</v>
      </c>
      <c r="D473" s="8" t="s">
        <v>616</v>
      </c>
      <c r="E473" s="8" t="s">
        <v>20</v>
      </c>
      <c r="F473" s="8" t="s">
        <v>617</v>
      </c>
      <c r="G473" s="8" t="s">
        <v>618</v>
      </c>
      <c r="H473" s="8" t="s">
        <v>619</v>
      </c>
      <c r="I473" s="8" t="s">
        <v>512</v>
      </c>
      <c r="J473" s="8" t="s">
        <v>581</v>
      </c>
      <c r="K473" s="8" t="s">
        <v>620</v>
      </c>
      <c r="L473" s="10">
        <v>45383.0</v>
      </c>
      <c r="N473" s="8" t="s">
        <v>434</v>
      </c>
      <c r="O473" s="8" t="s">
        <v>450</v>
      </c>
      <c r="P473" s="12">
        <v>45427.0</v>
      </c>
      <c r="Q473" s="13">
        <v>700290.0</v>
      </c>
      <c r="R473" s="8">
        <v>405100.0</v>
      </c>
    </row>
    <row r="474" ht="15.75" customHeight="1">
      <c r="A474" s="8" t="s">
        <v>614</v>
      </c>
      <c r="B474" s="8" t="s">
        <v>615</v>
      </c>
      <c r="C474" s="8" t="s">
        <v>173</v>
      </c>
      <c r="D474" s="8" t="s">
        <v>616</v>
      </c>
      <c r="E474" s="8" t="s">
        <v>20</v>
      </c>
      <c r="F474" s="8" t="s">
        <v>617</v>
      </c>
      <c r="G474" s="8" t="s">
        <v>618</v>
      </c>
      <c r="H474" s="8" t="s">
        <v>619</v>
      </c>
      <c r="I474" s="8" t="s">
        <v>512</v>
      </c>
      <c r="J474" s="8" t="s">
        <v>581</v>
      </c>
      <c r="K474" s="8" t="s">
        <v>620</v>
      </c>
      <c r="L474" s="10">
        <v>45383.0</v>
      </c>
      <c r="N474" s="8" t="s">
        <v>434</v>
      </c>
      <c r="O474" s="8" t="s">
        <v>450</v>
      </c>
      <c r="P474" s="12">
        <v>45451.0</v>
      </c>
      <c r="Q474" s="13">
        <v>565167.0</v>
      </c>
      <c r="R474" s="8">
        <v>405100.0</v>
      </c>
    </row>
    <row r="475" ht="15.75" customHeight="1">
      <c r="A475" s="8" t="s">
        <v>614</v>
      </c>
      <c r="B475" s="8" t="s">
        <v>615</v>
      </c>
      <c r="C475" s="8" t="s">
        <v>173</v>
      </c>
      <c r="D475" s="8" t="s">
        <v>616</v>
      </c>
      <c r="E475" s="8" t="s">
        <v>20</v>
      </c>
      <c r="F475" s="8" t="s">
        <v>617</v>
      </c>
      <c r="G475" s="8" t="s">
        <v>618</v>
      </c>
      <c r="H475" s="8" t="s">
        <v>619</v>
      </c>
      <c r="I475" s="8" t="s">
        <v>512</v>
      </c>
      <c r="J475" s="8" t="s">
        <v>581</v>
      </c>
      <c r="K475" s="8" t="s">
        <v>620</v>
      </c>
      <c r="L475" s="10">
        <v>45383.0</v>
      </c>
      <c r="N475" s="8" t="s">
        <v>434</v>
      </c>
      <c r="O475" s="8" t="s">
        <v>450</v>
      </c>
      <c r="P475" s="12">
        <v>45495.0</v>
      </c>
      <c r="Q475" s="13">
        <v>635642.0</v>
      </c>
      <c r="R475" s="8">
        <v>405100.0</v>
      </c>
    </row>
    <row r="476" ht="15.75" customHeight="1">
      <c r="A476" s="8" t="s">
        <v>614</v>
      </c>
      <c r="B476" s="8" t="s">
        <v>615</v>
      </c>
      <c r="C476" s="8" t="s">
        <v>173</v>
      </c>
      <c r="D476" s="8" t="s">
        <v>616</v>
      </c>
      <c r="E476" s="8" t="s">
        <v>20</v>
      </c>
      <c r="F476" s="8" t="s">
        <v>617</v>
      </c>
      <c r="G476" s="8" t="s">
        <v>618</v>
      </c>
      <c r="H476" s="8" t="s">
        <v>619</v>
      </c>
      <c r="I476" s="8" t="s">
        <v>512</v>
      </c>
      <c r="J476" s="8" t="s">
        <v>581</v>
      </c>
      <c r="K476" s="8" t="s">
        <v>620</v>
      </c>
      <c r="L476" s="10">
        <v>45383.0</v>
      </c>
      <c r="N476" s="8" t="s">
        <v>434</v>
      </c>
      <c r="O476" s="8" t="s">
        <v>450</v>
      </c>
      <c r="P476" s="12">
        <v>45514.0</v>
      </c>
      <c r="Q476" s="13">
        <v>642222.0</v>
      </c>
      <c r="R476" s="8">
        <v>405100.0</v>
      </c>
    </row>
    <row r="477" ht="15.75" customHeight="1">
      <c r="A477" s="8" t="s">
        <v>614</v>
      </c>
      <c r="B477" s="8" t="s">
        <v>615</v>
      </c>
      <c r="C477" s="8" t="s">
        <v>173</v>
      </c>
      <c r="D477" s="8" t="s">
        <v>616</v>
      </c>
      <c r="E477" s="8" t="s">
        <v>20</v>
      </c>
      <c r="F477" s="8" t="s">
        <v>617</v>
      </c>
      <c r="G477" s="8" t="s">
        <v>618</v>
      </c>
      <c r="H477" s="8" t="s">
        <v>619</v>
      </c>
      <c r="I477" s="8" t="s">
        <v>512</v>
      </c>
      <c r="J477" s="8" t="s">
        <v>581</v>
      </c>
      <c r="K477" s="8" t="s">
        <v>620</v>
      </c>
      <c r="L477" s="10">
        <v>45383.0</v>
      </c>
      <c r="N477" s="8" t="s">
        <v>434</v>
      </c>
      <c r="O477" s="8" t="s">
        <v>450</v>
      </c>
      <c r="P477" s="11">
        <v>45536.0</v>
      </c>
      <c r="Q477" s="13">
        <v>514844.0</v>
      </c>
      <c r="R477" s="8">
        <v>405100.0</v>
      </c>
    </row>
    <row r="478" ht="15.75" customHeight="1">
      <c r="A478" s="8" t="s">
        <v>621</v>
      </c>
      <c r="B478" s="8" t="s">
        <v>622</v>
      </c>
      <c r="C478" s="8" t="s">
        <v>426</v>
      </c>
      <c r="D478" s="8" t="s">
        <v>623</v>
      </c>
      <c r="E478" s="8" t="s">
        <v>20</v>
      </c>
      <c r="F478" s="8" t="s">
        <v>624</v>
      </c>
      <c r="G478" s="8" t="s">
        <v>625</v>
      </c>
      <c r="H478" s="8" t="s">
        <v>626</v>
      </c>
      <c r="I478" s="8" t="s">
        <v>441</v>
      </c>
      <c r="J478" s="8" t="s">
        <v>432</v>
      </c>
      <c r="K478" s="8" t="s">
        <v>627</v>
      </c>
      <c r="L478" s="10">
        <v>44652.0</v>
      </c>
      <c r="M478" s="10">
        <v>45261.0</v>
      </c>
      <c r="N478" s="8" t="s">
        <v>422</v>
      </c>
      <c r="O478" s="8" t="s">
        <v>514</v>
      </c>
      <c r="P478" s="17">
        <v>44652.0</v>
      </c>
      <c r="Q478" s="13">
        <v>496574.0</v>
      </c>
      <c r="R478" s="8">
        <v>405100.0</v>
      </c>
    </row>
    <row r="479" ht="15.75" customHeight="1">
      <c r="A479" s="8" t="s">
        <v>621</v>
      </c>
      <c r="B479" s="8" t="s">
        <v>622</v>
      </c>
      <c r="C479" s="8" t="s">
        <v>426</v>
      </c>
      <c r="D479" s="8" t="s">
        <v>623</v>
      </c>
      <c r="E479" s="8" t="s">
        <v>20</v>
      </c>
      <c r="F479" s="8" t="s">
        <v>624</v>
      </c>
      <c r="G479" s="8" t="s">
        <v>625</v>
      </c>
      <c r="H479" s="8" t="s">
        <v>626</v>
      </c>
      <c r="I479" s="8" t="s">
        <v>441</v>
      </c>
      <c r="J479" s="8" t="s">
        <v>432</v>
      </c>
      <c r="K479" s="8" t="s">
        <v>627</v>
      </c>
      <c r="L479" s="10">
        <v>44652.0</v>
      </c>
      <c r="M479" s="10">
        <v>45261.0</v>
      </c>
      <c r="N479" s="8" t="s">
        <v>422</v>
      </c>
      <c r="O479" s="8" t="s">
        <v>514</v>
      </c>
      <c r="P479" s="17">
        <v>44835.0</v>
      </c>
      <c r="Q479" s="13">
        <v>444382.0</v>
      </c>
      <c r="R479" s="8">
        <v>405100.0</v>
      </c>
    </row>
    <row r="480" ht="15.75" customHeight="1">
      <c r="A480" s="8" t="s">
        <v>621</v>
      </c>
      <c r="B480" s="8" t="s">
        <v>622</v>
      </c>
      <c r="C480" s="8" t="s">
        <v>426</v>
      </c>
      <c r="D480" s="8" t="s">
        <v>623</v>
      </c>
      <c r="E480" s="8" t="s">
        <v>20</v>
      </c>
      <c r="F480" s="8" t="s">
        <v>624</v>
      </c>
      <c r="G480" s="8" t="s">
        <v>625</v>
      </c>
      <c r="H480" s="8" t="s">
        <v>626</v>
      </c>
      <c r="I480" s="8" t="s">
        <v>441</v>
      </c>
      <c r="J480" s="8" t="s">
        <v>432</v>
      </c>
      <c r="K480" s="8" t="s">
        <v>627</v>
      </c>
      <c r="L480" s="10">
        <v>44652.0</v>
      </c>
      <c r="M480" s="10">
        <v>45261.0</v>
      </c>
      <c r="N480" s="8" t="s">
        <v>422</v>
      </c>
      <c r="O480" s="8" t="s">
        <v>514</v>
      </c>
      <c r="P480" s="17">
        <v>45017.0</v>
      </c>
      <c r="Q480" s="13">
        <v>488440.0</v>
      </c>
      <c r="R480" s="8">
        <v>405100.0</v>
      </c>
    </row>
    <row r="481" ht="15.75" customHeight="1">
      <c r="A481" s="8" t="s">
        <v>621</v>
      </c>
      <c r="B481" s="8" t="s">
        <v>622</v>
      </c>
      <c r="C481" s="8" t="s">
        <v>426</v>
      </c>
      <c r="D481" s="8" t="s">
        <v>623</v>
      </c>
      <c r="E481" s="8" t="s">
        <v>20</v>
      </c>
      <c r="F481" s="8" t="s">
        <v>624</v>
      </c>
      <c r="G481" s="8" t="s">
        <v>625</v>
      </c>
      <c r="H481" s="8" t="s">
        <v>626</v>
      </c>
      <c r="I481" s="8" t="s">
        <v>441</v>
      </c>
      <c r="J481" s="8" t="s">
        <v>432</v>
      </c>
      <c r="K481" s="8" t="s">
        <v>627</v>
      </c>
      <c r="L481" s="10">
        <v>44652.0</v>
      </c>
      <c r="M481" s="10">
        <v>45261.0</v>
      </c>
      <c r="N481" s="8" t="s">
        <v>422</v>
      </c>
      <c r="O481" s="8" t="s">
        <v>514</v>
      </c>
      <c r="P481" s="17">
        <v>45200.0</v>
      </c>
      <c r="Q481" s="13">
        <v>309601.0</v>
      </c>
      <c r="R481" s="8">
        <v>405100.0</v>
      </c>
    </row>
    <row r="482" ht="15.75" customHeight="1">
      <c r="A482" s="8" t="s">
        <v>628</v>
      </c>
      <c r="B482" s="8" t="s">
        <v>629</v>
      </c>
      <c r="C482" s="8" t="s">
        <v>426</v>
      </c>
      <c r="D482" s="8" t="s">
        <v>630</v>
      </c>
      <c r="E482" s="8" t="s">
        <v>20</v>
      </c>
      <c r="F482" s="8" t="s">
        <v>631</v>
      </c>
      <c r="G482" s="8" t="s">
        <v>632</v>
      </c>
      <c r="H482" s="8" t="s">
        <v>633</v>
      </c>
      <c r="I482" s="8" t="s">
        <v>463</v>
      </c>
      <c r="J482" s="8" t="s">
        <v>432</v>
      </c>
      <c r="K482" s="8" t="s">
        <v>634</v>
      </c>
      <c r="L482" s="10">
        <v>44197.0</v>
      </c>
      <c r="M482" s="10">
        <v>45444.0</v>
      </c>
      <c r="N482" s="8" t="s">
        <v>422</v>
      </c>
      <c r="O482" s="8" t="s">
        <v>443</v>
      </c>
      <c r="P482" s="12">
        <v>44197.0</v>
      </c>
      <c r="Q482" s="13">
        <v>51713.0</v>
      </c>
      <c r="R482" s="8">
        <v>405100.0</v>
      </c>
    </row>
    <row r="483" ht="15.75" customHeight="1">
      <c r="A483" s="8" t="s">
        <v>628</v>
      </c>
      <c r="B483" s="8" t="s">
        <v>629</v>
      </c>
      <c r="C483" s="8" t="s">
        <v>426</v>
      </c>
      <c r="D483" s="8" t="s">
        <v>630</v>
      </c>
      <c r="E483" s="8" t="s">
        <v>20</v>
      </c>
      <c r="F483" s="8" t="s">
        <v>631</v>
      </c>
      <c r="G483" s="8" t="s">
        <v>632</v>
      </c>
      <c r="H483" s="8" t="s">
        <v>633</v>
      </c>
      <c r="I483" s="8" t="s">
        <v>463</v>
      </c>
      <c r="J483" s="8" t="s">
        <v>432</v>
      </c>
      <c r="K483" s="8" t="s">
        <v>634</v>
      </c>
      <c r="L483" s="10">
        <v>44197.0</v>
      </c>
      <c r="M483" s="10">
        <v>45444.0</v>
      </c>
      <c r="N483" s="8" t="s">
        <v>422</v>
      </c>
      <c r="O483" s="8" t="s">
        <v>443</v>
      </c>
      <c r="P483" s="12">
        <v>44287.0</v>
      </c>
      <c r="Q483" s="13">
        <v>109533.0</v>
      </c>
      <c r="R483" s="8">
        <v>405100.0</v>
      </c>
    </row>
    <row r="484" ht="15.75" customHeight="1">
      <c r="A484" s="8" t="s">
        <v>628</v>
      </c>
      <c r="B484" s="8" t="s">
        <v>629</v>
      </c>
      <c r="C484" s="8" t="s">
        <v>426</v>
      </c>
      <c r="D484" s="8" t="s">
        <v>630</v>
      </c>
      <c r="E484" s="8" t="s">
        <v>20</v>
      </c>
      <c r="F484" s="8" t="s">
        <v>631</v>
      </c>
      <c r="G484" s="8" t="s">
        <v>632</v>
      </c>
      <c r="H484" s="8" t="s">
        <v>633</v>
      </c>
      <c r="I484" s="8" t="s">
        <v>463</v>
      </c>
      <c r="J484" s="8" t="s">
        <v>432</v>
      </c>
      <c r="K484" s="8" t="s">
        <v>634</v>
      </c>
      <c r="L484" s="10">
        <v>44197.0</v>
      </c>
      <c r="M484" s="10">
        <v>45444.0</v>
      </c>
      <c r="N484" s="8" t="s">
        <v>422</v>
      </c>
      <c r="O484" s="8" t="s">
        <v>443</v>
      </c>
      <c r="P484" s="12">
        <v>44378.0</v>
      </c>
      <c r="Q484" s="13">
        <v>117472.0</v>
      </c>
      <c r="R484" s="8">
        <v>405100.0</v>
      </c>
    </row>
    <row r="485" ht="15.75" customHeight="1">
      <c r="A485" s="8" t="s">
        <v>628</v>
      </c>
      <c r="B485" s="8" t="s">
        <v>629</v>
      </c>
      <c r="C485" s="8" t="s">
        <v>426</v>
      </c>
      <c r="D485" s="8" t="s">
        <v>630</v>
      </c>
      <c r="E485" s="8" t="s">
        <v>20</v>
      </c>
      <c r="F485" s="8" t="s">
        <v>631</v>
      </c>
      <c r="G485" s="8" t="s">
        <v>632</v>
      </c>
      <c r="H485" s="8" t="s">
        <v>633</v>
      </c>
      <c r="I485" s="8" t="s">
        <v>463</v>
      </c>
      <c r="J485" s="8" t="s">
        <v>432</v>
      </c>
      <c r="K485" s="8" t="s">
        <v>634</v>
      </c>
      <c r="L485" s="10">
        <v>44197.0</v>
      </c>
      <c r="M485" s="10">
        <v>45444.0</v>
      </c>
      <c r="N485" s="8" t="s">
        <v>422</v>
      </c>
      <c r="O485" s="8" t="s">
        <v>443</v>
      </c>
      <c r="P485" s="12">
        <v>44470.0</v>
      </c>
      <c r="Q485" s="13">
        <v>104618.0</v>
      </c>
      <c r="R485" s="8">
        <v>405100.0</v>
      </c>
    </row>
    <row r="486" ht="15.75" customHeight="1">
      <c r="A486" s="8" t="s">
        <v>628</v>
      </c>
      <c r="B486" s="8" t="s">
        <v>629</v>
      </c>
      <c r="C486" s="8" t="s">
        <v>426</v>
      </c>
      <c r="D486" s="8" t="s">
        <v>630</v>
      </c>
      <c r="E486" s="8" t="s">
        <v>20</v>
      </c>
      <c r="F486" s="8" t="s">
        <v>631</v>
      </c>
      <c r="G486" s="8" t="s">
        <v>632</v>
      </c>
      <c r="H486" s="8" t="s">
        <v>633</v>
      </c>
      <c r="I486" s="8" t="s">
        <v>463</v>
      </c>
      <c r="J486" s="8" t="s">
        <v>432</v>
      </c>
      <c r="K486" s="8" t="s">
        <v>634</v>
      </c>
      <c r="L486" s="10">
        <v>44197.0</v>
      </c>
      <c r="M486" s="10">
        <v>45444.0</v>
      </c>
      <c r="N486" s="8" t="s">
        <v>422</v>
      </c>
      <c r="O486" s="8" t="s">
        <v>443</v>
      </c>
      <c r="P486" s="12">
        <v>44562.0</v>
      </c>
      <c r="Q486" s="13">
        <v>39420.0</v>
      </c>
      <c r="R486" s="8">
        <v>405100.0</v>
      </c>
    </row>
    <row r="487" ht="15.75" customHeight="1">
      <c r="A487" s="8" t="s">
        <v>628</v>
      </c>
      <c r="B487" s="8" t="s">
        <v>629</v>
      </c>
      <c r="C487" s="8" t="s">
        <v>426</v>
      </c>
      <c r="D487" s="8" t="s">
        <v>630</v>
      </c>
      <c r="E487" s="8" t="s">
        <v>20</v>
      </c>
      <c r="F487" s="8" t="s">
        <v>631</v>
      </c>
      <c r="G487" s="8" t="s">
        <v>632</v>
      </c>
      <c r="H487" s="8" t="s">
        <v>633</v>
      </c>
      <c r="I487" s="8" t="s">
        <v>463</v>
      </c>
      <c r="J487" s="8" t="s">
        <v>432</v>
      </c>
      <c r="K487" s="8" t="s">
        <v>634</v>
      </c>
      <c r="L487" s="10">
        <v>44197.0</v>
      </c>
      <c r="M487" s="10">
        <v>45444.0</v>
      </c>
      <c r="N487" s="8" t="s">
        <v>422</v>
      </c>
      <c r="O487" s="8" t="s">
        <v>443</v>
      </c>
      <c r="P487" s="12">
        <v>44652.0</v>
      </c>
      <c r="Q487" s="13">
        <v>46331.0</v>
      </c>
      <c r="R487" s="8">
        <v>405100.0</v>
      </c>
    </row>
    <row r="488" ht="15.75" customHeight="1">
      <c r="A488" s="8" t="s">
        <v>628</v>
      </c>
      <c r="B488" s="8" t="s">
        <v>629</v>
      </c>
      <c r="C488" s="8" t="s">
        <v>426</v>
      </c>
      <c r="D488" s="8" t="s">
        <v>630</v>
      </c>
      <c r="E488" s="8" t="s">
        <v>20</v>
      </c>
      <c r="F488" s="8" t="s">
        <v>631</v>
      </c>
      <c r="G488" s="8" t="s">
        <v>632</v>
      </c>
      <c r="H488" s="8" t="s">
        <v>633</v>
      </c>
      <c r="I488" s="8" t="s">
        <v>463</v>
      </c>
      <c r="J488" s="8" t="s">
        <v>432</v>
      </c>
      <c r="K488" s="8" t="s">
        <v>634</v>
      </c>
      <c r="L488" s="10">
        <v>44197.0</v>
      </c>
      <c r="M488" s="10">
        <v>45444.0</v>
      </c>
      <c r="N488" s="8" t="s">
        <v>422</v>
      </c>
      <c r="O488" s="8" t="s">
        <v>443</v>
      </c>
      <c r="P488" s="12">
        <v>44743.0</v>
      </c>
      <c r="Q488" s="13">
        <v>40212.0</v>
      </c>
      <c r="R488" s="8">
        <v>405100.0</v>
      </c>
    </row>
    <row r="489" ht="15.75" customHeight="1">
      <c r="A489" s="8" t="s">
        <v>628</v>
      </c>
      <c r="B489" s="8" t="s">
        <v>629</v>
      </c>
      <c r="C489" s="8" t="s">
        <v>426</v>
      </c>
      <c r="D489" s="8" t="s">
        <v>630</v>
      </c>
      <c r="E489" s="8" t="s">
        <v>20</v>
      </c>
      <c r="F489" s="8" t="s">
        <v>631</v>
      </c>
      <c r="G489" s="8" t="s">
        <v>632</v>
      </c>
      <c r="H489" s="8" t="s">
        <v>633</v>
      </c>
      <c r="I489" s="8" t="s">
        <v>463</v>
      </c>
      <c r="J489" s="8" t="s">
        <v>432</v>
      </c>
      <c r="K489" s="8" t="s">
        <v>634</v>
      </c>
      <c r="L489" s="10">
        <v>44197.0</v>
      </c>
      <c r="M489" s="10">
        <v>45444.0</v>
      </c>
      <c r="N489" s="8" t="s">
        <v>422</v>
      </c>
      <c r="O489" s="8" t="s">
        <v>443</v>
      </c>
      <c r="P489" s="12">
        <v>44835.0</v>
      </c>
      <c r="Q489" s="13">
        <v>64932.0</v>
      </c>
      <c r="R489" s="8">
        <v>405100.0</v>
      </c>
    </row>
    <row r="490" ht="15.75" customHeight="1">
      <c r="A490" s="8" t="s">
        <v>628</v>
      </c>
      <c r="B490" s="8" t="s">
        <v>629</v>
      </c>
      <c r="C490" s="8" t="s">
        <v>426</v>
      </c>
      <c r="D490" s="8" t="s">
        <v>630</v>
      </c>
      <c r="E490" s="8" t="s">
        <v>20</v>
      </c>
      <c r="F490" s="8" t="s">
        <v>631</v>
      </c>
      <c r="G490" s="8" t="s">
        <v>632</v>
      </c>
      <c r="H490" s="8" t="s">
        <v>633</v>
      </c>
      <c r="I490" s="8" t="s">
        <v>463</v>
      </c>
      <c r="J490" s="8" t="s">
        <v>432</v>
      </c>
      <c r="K490" s="8" t="s">
        <v>634</v>
      </c>
      <c r="L490" s="10">
        <v>44197.0</v>
      </c>
      <c r="M490" s="10">
        <v>45444.0</v>
      </c>
      <c r="N490" s="8" t="s">
        <v>422</v>
      </c>
      <c r="O490" s="8" t="s">
        <v>443</v>
      </c>
      <c r="P490" s="12">
        <v>44927.0</v>
      </c>
      <c r="Q490" s="13">
        <v>81503.0</v>
      </c>
      <c r="R490" s="8">
        <v>405100.0</v>
      </c>
    </row>
    <row r="491" ht="15.75" customHeight="1">
      <c r="A491" s="8" t="s">
        <v>628</v>
      </c>
      <c r="B491" s="8" t="s">
        <v>629</v>
      </c>
      <c r="C491" s="8" t="s">
        <v>426</v>
      </c>
      <c r="D491" s="8" t="s">
        <v>630</v>
      </c>
      <c r="E491" s="8" t="s">
        <v>20</v>
      </c>
      <c r="F491" s="8" t="s">
        <v>631</v>
      </c>
      <c r="G491" s="8" t="s">
        <v>632</v>
      </c>
      <c r="H491" s="8" t="s">
        <v>633</v>
      </c>
      <c r="I491" s="8" t="s">
        <v>463</v>
      </c>
      <c r="J491" s="8" t="s">
        <v>432</v>
      </c>
      <c r="K491" s="8" t="s">
        <v>634</v>
      </c>
      <c r="L491" s="10">
        <v>44197.0</v>
      </c>
      <c r="M491" s="10">
        <v>45444.0</v>
      </c>
      <c r="N491" s="8" t="s">
        <v>422</v>
      </c>
      <c r="O491" s="8" t="s">
        <v>443</v>
      </c>
      <c r="P491" s="12">
        <v>45017.0</v>
      </c>
      <c r="Q491" s="13">
        <v>73476.0</v>
      </c>
      <c r="R491" s="8">
        <v>405100.0</v>
      </c>
    </row>
    <row r="492" ht="15.75" customHeight="1">
      <c r="A492" s="8" t="s">
        <v>628</v>
      </c>
      <c r="B492" s="8" t="s">
        <v>629</v>
      </c>
      <c r="C492" s="8" t="s">
        <v>426</v>
      </c>
      <c r="D492" s="8" t="s">
        <v>630</v>
      </c>
      <c r="E492" s="8" t="s">
        <v>20</v>
      </c>
      <c r="F492" s="8" t="s">
        <v>631</v>
      </c>
      <c r="G492" s="8" t="s">
        <v>632</v>
      </c>
      <c r="H492" s="8" t="s">
        <v>633</v>
      </c>
      <c r="I492" s="8" t="s">
        <v>463</v>
      </c>
      <c r="J492" s="8" t="s">
        <v>432</v>
      </c>
      <c r="K492" s="8" t="s">
        <v>634</v>
      </c>
      <c r="L492" s="10">
        <v>44197.0</v>
      </c>
      <c r="M492" s="10">
        <v>45444.0</v>
      </c>
      <c r="N492" s="8" t="s">
        <v>422</v>
      </c>
      <c r="O492" s="8" t="s">
        <v>443</v>
      </c>
      <c r="P492" s="12">
        <v>45108.0</v>
      </c>
      <c r="Q492" s="13">
        <v>117902.0</v>
      </c>
      <c r="R492" s="8">
        <v>405100.0</v>
      </c>
    </row>
    <row r="493" ht="15.75" customHeight="1">
      <c r="A493" s="8" t="s">
        <v>628</v>
      </c>
      <c r="B493" s="8" t="s">
        <v>629</v>
      </c>
      <c r="C493" s="8" t="s">
        <v>426</v>
      </c>
      <c r="D493" s="8" t="s">
        <v>630</v>
      </c>
      <c r="E493" s="8" t="s">
        <v>20</v>
      </c>
      <c r="F493" s="8" t="s">
        <v>631</v>
      </c>
      <c r="G493" s="8" t="s">
        <v>632</v>
      </c>
      <c r="H493" s="8" t="s">
        <v>633</v>
      </c>
      <c r="I493" s="8" t="s">
        <v>463</v>
      </c>
      <c r="J493" s="8" t="s">
        <v>432</v>
      </c>
      <c r="K493" s="8" t="s">
        <v>634</v>
      </c>
      <c r="L493" s="10">
        <v>44197.0</v>
      </c>
      <c r="M493" s="10">
        <v>45444.0</v>
      </c>
      <c r="N493" s="8" t="s">
        <v>422</v>
      </c>
      <c r="O493" s="8" t="s">
        <v>443</v>
      </c>
      <c r="P493" s="12">
        <v>45200.0</v>
      </c>
      <c r="Q493" s="13">
        <v>38437.0</v>
      </c>
      <c r="R493" s="8">
        <v>405100.0</v>
      </c>
    </row>
    <row r="494" ht="15.75" customHeight="1">
      <c r="A494" s="8" t="s">
        <v>628</v>
      </c>
      <c r="B494" s="8" t="s">
        <v>629</v>
      </c>
      <c r="C494" s="8" t="s">
        <v>426</v>
      </c>
      <c r="D494" s="8" t="s">
        <v>630</v>
      </c>
      <c r="E494" s="8" t="s">
        <v>20</v>
      </c>
      <c r="F494" s="8" t="s">
        <v>631</v>
      </c>
      <c r="G494" s="8" t="s">
        <v>632</v>
      </c>
      <c r="H494" s="8" t="s">
        <v>633</v>
      </c>
      <c r="I494" s="8" t="s">
        <v>463</v>
      </c>
      <c r="J494" s="8" t="s">
        <v>432</v>
      </c>
      <c r="K494" s="8" t="s">
        <v>634</v>
      </c>
      <c r="L494" s="10">
        <v>44197.0</v>
      </c>
      <c r="M494" s="10">
        <v>45444.0</v>
      </c>
      <c r="N494" s="8" t="s">
        <v>422</v>
      </c>
      <c r="O494" s="8" t="s">
        <v>443</v>
      </c>
      <c r="P494" s="12">
        <v>45292.0</v>
      </c>
      <c r="Q494" s="13">
        <v>73466.0</v>
      </c>
      <c r="R494" s="8">
        <v>405100.0</v>
      </c>
    </row>
    <row r="495" ht="15.75" customHeight="1">
      <c r="A495" s="8" t="s">
        <v>628</v>
      </c>
      <c r="B495" s="8" t="s">
        <v>629</v>
      </c>
      <c r="C495" s="8" t="s">
        <v>426</v>
      </c>
      <c r="D495" s="8" t="s">
        <v>630</v>
      </c>
      <c r="E495" s="8" t="s">
        <v>20</v>
      </c>
      <c r="F495" s="8" t="s">
        <v>631</v>
      </c>
      <c r="G495" s="8" t="s">
        <v>632</v>
      </c>
      <c r="H495" s="8" t="s">
        <v>633</v>
      </c>
      <c r="I495" s="8" t="s">
        <v>463</v>
      </c>
      <c r="J495" s="8" t="s">
        <v>432</v>
      </c>
      <c r="K495" s="8" t="s">
        <v>634</v>
      </c>
      <c r="L495" s="10">
        <v>44197.0</v>
      </c>
      <c r="M495" s="10">
        <v>45444.0</v>
      </c>
      <c r="N495" s="8" t="s">
        <v>422</v>
      </c>
      <c r="O495" s="8" t="s">
        <v>443</v>
      </c>
      <c r="P495" s="12">
        <v>45383.0</v>
      </c>
      <c r="Q495" s="13">
        <v>115458.0</v>
      </c>
      <c r="R495" s="8">
        <v>405100.0</v>
      </c>
    </row>
    <row r="496" ht="15.75" customHeight="1">
      <c r="A496" s="8" t="s">
        <v>635</v>
      </c>
      <c r="B496" s="8" t="s">
        <v>636</v>
      </c>
      <c r="C496" s="8" t="s">
        <v>472</v>
      </c>
      <c r="D496" s="8" t="s">
        <v>637</v>
      </c>
      <c r="E496" s="8" t="s">
        <v>20</v>
      </c>
      <c r="F496" s="8" t="s">
        <v>638</v>
      </c>
      <c r="G496" s="8" t="s">
        <v>639</v>
      </c>
      <c r="H496" s="8" t="s">
        <v>612</v>
      </c>
      <c r="I496" s="8" t="s">
        <v>431</v>
      </c>
      <c r="J496" s="8" t="s">
        <v>159</v>
      </c>
      <c r="K496" s="8" t="s">
        <v>640</v>
      </c>
      <c r="L496" s="10">
        <v>45292.0</v>
      </c>
      <c r="M496" s="10">
        <v>45442.0</v>
      </c>
      <c r="N496" s="8" t="s">
        <v>422</v>
      </c>
      <c r="O496" s="8" t="s">
        <v>450</v>
      </c>
      <c r="P496" s="12">
        <v>45292.0</v>
      </c>
      <c r="Q496" s="13">
        <v>57632.0</v>
      </c>
      <c r="R496" s="8">
        <v>403103.0</v>
      </c>
    </row>
    <row r="497" ht="15.75" customHeight="1">
      <c r="A497" s="8" t="s">
        <v>635</v>
      </c>
      <c r="B497" s="8" t="s">
        <v>636</v>
      </c>
      <c r="C497" s="8" t="s">
        <v>472</v>
      </c>
      <c r="D497" s="8" t="s">
        <v>637</v>
      </c>
      <c r="E497" s="8" t="s">
        <v>20</v>
      </c>
      <c r="F497" s="8" t="s">
        <v>638</v>
      </c>
      <c r="G497" s="8" t="s">
        <v>639</v>
      </c>
      <c r="H497" s="8" t="s">
        <v>612</v>
      </c>
      <c r="I497" s="8" t="s">
        <v>431</v>
      </c>
      <c r="J497" s="8" t="s">
        <v>159</v>
      </c>
      <c r="K497" s="8" t="s">
        <v>640</v>
      </c>
      <c r="L497" s="10">
        <v>45292.0</v>
      </c>
      <c r="M497" s="10">
        <v>45442.0</v>
      </c>
      <c r="N497" s="8" t="s">
        <v>422</v>
      </c>
      <c r="O497" s="8" t="s">
        <v>450</v>
      </c>
      <c r="P497" s="12">
        <v>45337.0</v>
      </c>
      <c r="Q497" s="13">
        <v>88336.0</v>
      </c>
      <c r="R497" s="8">
        <v>403103.0</v>
      </c>
    </row>
    <row r="498" ht="15.75" customHeight="1">
      <c r="A498" s="8" t="s">
        <v>635</v>
      </c>
      <c r="B498" s="8" t="s">
        <v>636</v>
      </c>
      <c r="C498" s="8" t="s">
        <v>472</v>
      </c>
      <c r="D498" s="8" t="s">
        <v>637</v>
      </c>
      <c r="E498" s="8" t="s">
        <v>20</v>
      </c>
      <c r="F498" s="8" t="s">
        <v>638</v>
      </c>
      <c r="G498" s="8" t="s">
        <v>639</v>
      </c>
      <c r="H498" s="8" t="s">
        <v>612</v>
      </c>
      <c r="I498" s="8" t="s">
        <v>431</v>
      </c>
      <c r="J498" s="8" t="s">
        <v>159</v>
      </c>
      <c r="K498" s="8" t="s">
        <v>640</v>
      </c>
      <c r="L498" s="10">
        <v>45292.0</v>
      </c>
      <c r="M498" s="10">
        <v>45442.0</v>
      </c>
      <c r="N498" s="8" t="s">
        <v>422</v>
      </c>
      <c r="O498" s="8" t="s">
        <v>450</v>
      </c>
      <c r="P498" s="12">
        <v>45359.0</v>
      </c>
      <c r="Q498" s="13">
        <v>58897.0</v>
      </c>
      <c r="R498" s="8">
        <v>403103.0</v>
      </c>
    </row>
    <row r="499" ht="15.75" customHeight="1">
      <c r="A499" s="8" t="s">
        <v>635</v>
      </c>
      <c r="B499" s="8" t="s">
        <v>636</v>
      </c>
      <c r="C499" s="8" t="s">
        <v>472</v>
      </c>
      <c r="D499" s="8" t="s">
        <v>637</v>
      </c>
      <c r="E499" s="8" t="s">
        <v>20</v>
      </c>
      <c r="F499" s="8" t="s">
        <v>638</v>
      </c>
      <c r="G499" s="8" t="s">
        <v>639</v>
      </c>
      <c r="H499" s="8" t="s">
        <v>612</v>
      </c>
      <c r="I499" s="8" t="s">
        <v>431</v>
      </c>
      <c r="J499" s="8" t="s">
        <v>159</v>
      </c>
      <c r="K499" s="8" t="s">
        <v>640</v>
      </c>
      <c r="L499" s="10">
        <v>45292.0</v>
      </c>
      <c r="M499" s="10">
        <v>45442.0</v>
      </c>
      <c r="N499" s="8" t="s">
        <v>422</v>
      </c>
      <c r="O499" s="8" t="s">
        <v>450</v>
      </c>
      <c r="P499" s="12">
        <v>45404.0</v>
      </c>
      <c r="Q499" s="13">
        <v>33079.0</v>
      </c>
      <c r="R499" s="8">
        <v>403103.0</v>
      </c>
    </row>
    <row r="500" ht="15.75" customHeight="1">
      <c r="A500" s="8" t="s">
        <v>635</v>
      </c>
      <c r="B500" s="8" t="s">
        <v>636</v>
      </c>
      <c r="C500" s="8" t="s">
        <v>472</v>
      </c>
      <c r="D500" s="8" t="s">
        <v>637</v>
      </c>
      <c r="E500" s="8" t="s">
        <v>20</v>
      </c>
      <c r="F500" s="8" t="s">
        <v>638</v>
      </c>
      <c r="G500" s="8" t="s">
        <v>639</v>
      </c>
      <c r="H500" s="8" t="s">
        <v>612</v>
      </c>
      <c r="I500" s="8" t="s">
        <v>431</v>
      </c>
      <c r="J500" s="8" t="s">
        <v>159</v>
      </c>
      <c r="K500" s="8" t="s">
        <v>640</v>
      </c>
      <c r="L500" s="10">
        <v>45292.0</v>
      </c>
      <c r="M500" s="10">
        <v>45442.0</v>
      </c>
      <c r="N500" s="8" t="s">
        <v>422</v>
      </c>
      <c r="O500" s="8" t="s">
        <v>450</v>
      </c>
      <c r="P500" s="12">
        <v>45422.0</v>
      </c>
      <c r="Q500" s="13">
        <v>24515.0</v>
      </c>
      <c r="R500" s="8">
        <v>403103.0</v>
      </c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500"/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75"/>
    <col customWidth="1" min="2" max="2" width="20.63"/>
  </cols>
  <sheetData>
    <row r="1">
      <c r="A1" s="66" t="s">
        <v>1028</v>
      </c>
      <c r="B1" s="67" t="s">
        <v>1181</v>
      </c>
    </row>
    <row r="2">
      <c r="A2" s="95" t="s">
        <v>742</v>
      </c>
      <c r="B2" s="142" t="s">
        <v>458</v>
      </c>
    </row>
    <row r="3">
      <c r="A3" s="102" t="s">
        <v>744</v>
      </c>
      <c r="B3" s="139" t="s">
        <v>423</v>
      </c>
    </row>
    <row r="4">
      <c r="A4" s="95" t="s">
        <v>746</v>
      </c>
      <c r="B4" s="142" t="s">
        <v>450</v>
      </c>
    </row>
    <row r="5">
      <c r="A5" s="102" t="s">
        <v>748</v>
      </c>
      <c r="B5" s="139" t="s">
        <v>514</v>
      </c>
    </row>
    <row r="6">
      <c r="A6" s="111" t="s">
        <v>750</v>
      </c>
      <c r="B6" s="143" t="s">
        <v>443</v>
      </c>
    </row>
  </sheetData>
  <dataValidations>
    <dataValidation allowBlank="1" showDropDown="1" sqref="A2:B6"/>
  </dataValidations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75"/>
    <col customWidth="1" min="2" max="2" width="19.75"/>
  </cols>
  <sheetData>
    <row r="1">
      <c r="A1" s="66" t="s">
        <v>1041</v>
      </c>
      <c r="B1" s="67" t="s">
        <v>1182</v>
      </c>
    </row>
    <row r="2">
      <c r="A2" s="95" t="s">
        <v>742</v>
      </c>
      <c r="B2" s="89" t="s">
        <v>1183</v>
      </c>
    </row>
    <row r="3">
      <c r="A3" s="102" t="s">
        <v>744</v>
      </c>
      <c r="B3" s="91" t="s">
        <v>1184</v>
      </c>
    </row>
    <row r="4">
      <c r="A4" s="95" t="s">
        <v>746</v>
      </c>
      <c r="B4" s="89" t="s">
        <v>1185</v>
      </c>
    </row>
    <row r="5">
      <c r="A5" s="102" t="s">
        <v>748</v>
      </c>
      <c r="B5" s="91" t="s">
        <v>136</v>
      </c>
    </row>
    <row r="6">
      <c r="A6" s="95" t="s">
        <v>750</v>
      </c>
      <c r="B6" s="89" t="s">
        <v>143</v>
      </c>
    </row>
    <row r="7">
      <c r="A7" s="102" t="s">
        <v>752</v>
      </c>
      <c r="B7" s="91" t="s">
        <v>151</v>
      </c>
    </row>
    <row r="8">
      <c r="A8" s="95" t="s">
        <v>753</v>
      </c>
      <c r="B8" s="89" t="s">
        <v>158</v>
      </c>
    </row>
    <row r="9">
      <c r="A9" s="102" t="s">
        <v>754</v>
      </c>
      <c r="B9" s="91" t="s">
        <v>165</v>
      </c>
    </row>
    <row r="10">
      <c r="A10" s="95" t="s">
        <v>755</v>
      </c>
      <c r="B10" s="89" t="s">
        <v>173</v>
      </c>
    </row>
    <row r="11">
      <c r="A11" s="102" t="s">
        <v>756</v>
      </c>
      <c r="B11" s="91" t="s">
        <v>259</v>
      </c>
    </row>
    <row r="12">
      <c r="A12" s="95" t="s">
        <v>758</v>
      </c>
      <c r="B12" s="131" t="s">
        <v>266</v>
      </c>
    </row>
    <row r="13">
      <c r="A13" s="102" t="s">
        <v>759</v>
      </c>
      <c r="B13" s="91" t="s">
        <v>272</v>
      </c>
    </row>
    <row r="14">
      <c r="A14" s="111" t="s">
        <v>760</v>
      </c>
      <c r="B14" s="117" t="s">
        <v>297</v>
      </c>
    </row>
  </sheetData>
  <dataValidations>
    <dataValidation allowBlank="1" showDropDown="1" sqref="A2:B14"/>
  </dataValidations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23.75"/>
  </cols>
  <sheetData>
    <row r="1">
      <c r="A1" s="149" t="s">
        <v>955</v>
      </c>
      <c r="B1" s="150" t="s">
        <v>1186</v>
      </c>
    </row>
    <row r="2">
      <c r="A2" s="151" t="s">
        <v>742</v>
      </c>
      <c r="B2" s="152" t="s">
        <v>645</v>
      </c>
    </row>
    <row r="3">
      <c r="A3" s="153" t="s">
        <v>744</v>
      </c>
      <c r="B3" s="154" t="s">
        <v>647</v>
      </c>
    </row>
    <row r="4">
      <c r="A4" s="151" t="s">
        <v>746</v>
      </c>
      <c r="B4" s="152" t="s">
        <v>649</v>
      </c>
    </row>
    <row r="5">
      <c r="A5" s="153" t="s">
        <v>748</v>
      </c>
      <c r="B5" s="154" t="s">
        <v>651</v>
      </c>
    </row>
    <row r="6">
      <c r="A6" s="151" t="s">
        <v>750</v>
      </c>
      <c r="B6" s="152" t="s">
        <v>672</v>
      </c>
    </row>
    <row r="7">
      <c r="A7" s="155" t="s">
        <v>752</v>
      </c>
      <c r="B7" s="156" t="s">
        <v>719</v>
      </c>
    </row>
  </sheetData>
  <dataValidations>
    <dataValidation allowBlank="1" showDropDown="1" sqref="A2:B7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4.88"/>
    <col customWidth="1" min="3" max="3" width="22.38"/>
  </cols>
  <sheetData>
    <row r="1">
      <c r="A1" s="20" t="s">
        <v>412</v>
      </c>
      <c r="B1" s="20" t="s">
        <v>641</v>
      </c>
      <c r="C1" s="20" t="s">
        <v>642</v>
      </c>
      <c r="D1" s="20" t="s">
        <v>643</v>
      </c>
    </row>
    <row r="2">
      <c r="A2" s="20">
        <v>102201.0</v>
      </c>
      <c r="B2" s="20" t="s">
        <v>644</v>
      </c>
      <c r="C2" s="20" t="s">
        <v>645</v>
      </c>
    </row>
    <row r="3">
      <c r="A3" s="20">
        <v>202001.0</v>
      </c>
      <c r="B3" s="20" t="s">
        <v>646</v>
      </c>
      <c r="C3" s="20" t="s">
        <v>647</v>
      </c>
    </row>
    <row r="4">
      <c r="A4" s="20">
        <v>300010.0</v>
      </c>
      <c r="B4" s="20" t="s">
        <v>648</v>
      </c>
      <c r="C4" s="20" t="s">
        <v>649</v>
      </c>
    </row>
    <row r="5">
      <c r="A5" s="20">
        <v>401200.0</v>
      </c>
      <c r="B5" s="20" t="s">
        <v>650</v>
      </c>
      <c r="C5" s="20" t="s">
        <v>651</v>
      </c>
      <c r="D5" s="20" t="s">
        <v>652</v>
      </c>
    </row>
    <row r="6">
      <c r="A6" s="20">
        <v>402101.0</v>
      </c>
      <c r="B6" s="20" t="s">
        <v>653</v>
      </c>
      <c r="C6" s="20" t="s">
        <v>651</v>
      </c>
    </row>
    <row r="7">
      <c r="A7" s="20">
        <v>402102.0</v>
      </c>
      <c r="B7" s="20" t="s">
        <v>654</v>
      </c>
      <c r="C7" s="20" t="s">
        <v>651</v>
      </c>
    </row>
    <row r="8">
      <c r="A8" s="20">
        <v>403101.0</v>
      </c>
      <c r="B8" s="20" t="s">
        <v>655</v>
      </c>
      <c r="C8" s="20" t="s">
        <v>651</v>
      </c>
    </row>
    <row r="9">
      <c r="A9" s="20">
        <v>403102.0</v>
      </c>
      <c r="B9" s="20" t="s">
        <v>656</v>
      </c>
      <c r="C9" s="20" t="s">
        <v>651</v>
      </c>
    </row>
    <row r="10">
      <c r="A10" s="20">
        <v>403103.0</v>
      </c>
      <c r="B10" s="20" t="s">
        <v>657</v>
      </c>
      <c r="C10" s="20" t="s">
        <v>651</v>
      </c>
      <c r="D10" s="20" t="s">
        <v>658</v>
      </c>
    </row>
    <row r="11">
      <c r="A11" s="20">
        <v>403106.0</v>
      </c>
      <c r="B11" s="20" t="s">
        <v>659</v>
      </c>
      <c r="C11" s="20" t="s">
        <v>651</v>
      </c>
      <c r="D11" s="20" t="s">
        <v>660</v>
      </c>
    </row>
    <row r="12">
      <c r="A12" s="20">
        <v>404100.0</v>
      </c>
      <c r="B12" s="20" t="s">
        <v>661</v>
      </c>
      <c r="C12" s="20" t="s">
        <v>651</v>
      </c>
      <c r="D12" s="20" t="s">
        <v>662</v>
      </c>
    </row>
    <row r="13">
      <c r="A13" s="20">
        <v>405100.0</v>
      </c>
      <c r="B13" s="20" t="s">
        <v>663</v>
      </c>
      <c r="C13" s="20" t="s">
        <v>651</v>
      </c>
      <c r="D13" s="20" t="s">
        <v>664</v>
      </c>
    </row>
    <row r="14">
      <c r="A14" s="20">
        <v>406100.0</v>
      </c>
      <c r="B14" s="20" t="s">
        <v>665</v>
      </c>
      <c r="C14" s="20" t="s">
        <v>651</v>
      </c>
      <c r="D14" s="20" t="s">
        <v>666</v>
      </c>
    </row>
    <row r="15">
      <c r="A15" s="20">
        <v>409021.0</v>
      </c>
      <c r="B15" s="20" t="s">
        <v>667</v>
      </c>
      <c r="C15" s="20" t="s">
        <v>651</v>
      </c>
      <c r="D15" s="20" t="s">
        <v>668</v>
      </c>
    </row>
    <row r="16">
      <c r="A16" s="20">
        <v>409099.0</v>
      </c>
      <c r="B16" s="20" t="s">
        <v>669</v>
      </c>
      <c r="C16" s="20" t="s">
        <v>651</v>
      </c>
      <c r="D16" s="20" t="s">
        <v>670</v>
      </c>
    </row>
    <row r="17">
      <c r="A17" s="20">
        <v>501100.0</v>
      </c>
      <c r="B17" s="20" t="s">
        <v>671</v>
      </c>
      <c r="C17" s="20" t="s">
        <v>672</v>
      </c>
      <c r="D17" s="20" t="s">
        <v>673</v>
      </c>
    </row>
    <row r="18">
      <c r="A18" s="20">
        <v>501200.0</v>
      </c>
      <c r="B18" s="20" t="s">
        <v>674</v>
      </c>
      <c r="C18" s="20" t="s">
        <v>672</v>
      </c>
      <c r="D18" s="20" t="s">
        <v>675</v>
      </c>
    </row>
    <row r="19">
      <c r="A19" s="20">
        <v>501300.0</v>
      </c>
      <c r="B19" s="20" t="s">
        <v>676</v>
      </c>
      <c r="C19" s="20" t="s">
        <v>672</v>
      </c>
      <c r="D19" s="20" t="s">
        <v>677</v>
      </c>
    </row>
    <row r="20">
      <c r="A20" s="20">
        <v>501400.0</v>
      </c>
      <c r="B20" s="20" t="s">
        <v>678</v>
      </c>
      <c r="C20" s="20" t="s">
        <v>672</v>
      </c>
      <c r="D20" s="20" t="s">
        <v>679</v>
      </c>
    </row>
    <row r="21">
      <c r="A21" s="20">
        <v>502100.0</v>
      </c>
      <c r="B21" s="20" t="s">
        <v>680</v>
      </c>
      <c r="C21" s="20" t="s">
        <v>672</v>
      </c>
      <c r="D21" s="20" t="s">
        <v>681</v>
      </c>
    </row>
    <row r="22">
      <c r="A22" s="20">
        <v>503100.0</v>
      </c>
      <c r="B22" s="20" t="s">
        <v>682</v>
      </c>
      <c r="C22" s="20" t="s">
        <v>672</v>
      </c>
      <c r="D22" s="20" t="s">
        <v>683</v>
      </c>
    </row>
    <row r="23">
      <c r="A23" s="20">
        <v>504100.0</v>
      </c>
      <c r="B23" s="20" t="s">
        <v>684</v>
      </c>
      <c r="C23" s="20" t="s">
        <v>672</v>
      </c>
      <c r="D23" s="20" t="s">
        <v>685</v>
      </c>
    </row>
    <row r="24">
      <c r="A24" s="20">
        <v>505100.0</v>
      </c>
      <c r="B24" s="20" t="s">
        <v>686</v>
      </c>
      <c r="C24" s="20" t="s">
        <v>672</v>
      </c>
      <c r="D24" s="20" t="s">
        <v>687</v>
      </c>
    </row>
    <row r="25">
      <c r="A25" s="20">
        <v>506100.0</v>
      </c>
      <c r="B25" s="20" t="s">
        <v>688</v>
      </c>
      <c r="C25" s="20" t="s">
        <v>672</v>
      </c>
      <c r="D25" s="20" t="s">
        <v>689</v>
      </c>
    </row>
    <row r="26">
      <c r="A26" s="20">
        <v>507100.0</v>
      </c>
      <c r="B26" s="20" t="s">
        <v>690</v>
      </c>
      <c r="C26" s="20" t="s">
        <v>672</v>
      </c>
      <c r="D26" s="20" t="s">
        <v>691</v>
      </c>
    </row>
    <row r="27">
      <c r="A27" s="20">
        <v>508100.0</v>
      </c>
      <c r="B27" s="20" t="s">
        <v>692</v>
      </c>
      <c r="C27" s="20" t="s">
        <v>672</v>
      </c>
      <c r="D27" s="20" t="s">
        <v>693</v>
      </c>
    </row>
    <row r="28">
      <c r="A28" s="20">
        <v>509100.0</v>
      </c>
      <c r="B28" s="20" t="s">
        <v>694</v>
      </c>
      <c r="C28" s="20" t="s">
        <v>672</v>
      </c>
      <c r="D28" s="20" t="s">
        <v>695</v>
      </c>
    </row>
    <row r="29">
      <c r="A29" s="20">
        <v>510100.0</v>
      </c>
      <c r="B29" s="20" t="s">
        <v>696</v>
      </c>
      <c r="C29" s="20" t="s">
        <v>672</v>
      </c>
      <c r="D29" s="20" t="s">
        <v>697</v>
      </c>
    </row>
    <row r="30">
      <c r="A30" s="20">
        <v>510200.0</v>
      </c>
      <c r="B30" s="20" t="s">
        <v>698</v>
      </c>
      <c r="C30" s="20" t="s">
        <v>672</v>
      </c>
      <c r="D30" s="20" t="s">
        <v>699</v>
      </c>
    </row>
    <row r="31">
      <c r="A31" s="20">
        <v>510300.0</v>
      </c>
      <c r="B31" s="20" t="s">
        <v>700</v>
      </c>
      <c r="C31" s="20" t="s">
        <v>672</v>
      </c>
      <c r="D31" s="20" t="s">
        <v>701</v>
      </c>
    </row>
    <row r="32">
      <c r="A32" s="20">
        <v>510500.0</v>
      </c>
      <c r="B32" s="20" t="s">
        <v>702</v>
      </c>
      <c r="C32" s="20" t="s">
        <v>672</v>
      </c>
      <c r="D32" s="20" t="s">
        <v>703</v>
      </c>
    </row>
    <row r="33">
      <c r="A33" s="20">
        <v>511000.0</v>
      </c>
      <c r="B33" s="20" t="s">
        <v>704</v>
      </c>
      <c r="C33" s="20" t="s">
        <v>672</v>
      </c>
      <c r="D33" s="20" t="s">
        <v>705</v>
      </c>
    </row>
    <row r="34">
      <c r="A34" s="20">
        <v>511200.0</v>
      </c>
      <c r="B34" s="20" t="s">
        <v>706</v>
      </c>
      <c r="C34" s="20" t="s">
        <v>672</v>
      </c>
      <c r="D34" s="20" t="s">
        <v>707</v>
      </c>
    </row>
    <row r="35">
      <c r="A35" s="20">
        <v>512100.0</v>
      </c>
      <c r="B35" s="20" t="s">
        <v>708</v>
      </c>
      <c r="C35" s="20" t="s">
        <v>672</v>
      </c>
      <c r="D35" s="20" t="s">
        <v>709</v>
      </c>
    </row>
    <row r="36">
      <c r="A36" s="20">
        <v>513000.0</v>
      </c>
      <c r="B36" s="20" t="s">
        <v>710</v>
      </c>
      <c r="C36" s="20" t="s">
        <v>672</v>
      </c>
      <c r="D36" s="20" t="s">
        <v>711</v>
      </c>
    </row>
    <row r="37">
      <c r="A37" s="20">
        <v>514100.0</v>
      </c>
      <c r="B37" s="20" t="s">
        <v>712</v>
      </c>
      <c r="C37" s="20" t="s">
        <v>672</v>
      </c>
      <c r="D37" s="20" t="s">
        <v>713</v>
      </c>
    </row>
    <row r="38">
      <c r="A38" s="20">
        <v>515100.0</v>
      </c>
      <c r="B38" s="20" t="s">
        <v>714</v>
      </c>
      <c r="C38" s="20" t="s">
        <v>672</v>
      </c>
      <c r="D38" s="20" t="s">
        <v>715</v>
      </c>
    </row>
    <row r="39">
      <c r="A39" s="20">
        <v>516000.0</v>
      </c>
      <c r="B39" s="20" t="s">
        <v>716</v>
      </c>
      <c r="C39" s="20" t="s">
        <v>672</v>
      </c>
      <c r="D39" s="20" t="s">
        <v>717</v>
      </c>
    </row>
    <row r="40">
      <c r="A40" s="20">
        <v>601001.0</v>
      </c>
      <c r="B40" s="20" t="s">
        <v>718</v>
      </c>
      <c r="C40" s="20" t="s">
        <v>719</v>
      </c>
      <c r="D40" s="20" t="s">
        <v>720</v>
      </c>
    </row>
    <row r="41">
      <c r="A41" s="20">
        <v>601002.0</v>
      </c>
      <c r="B41" s="20" t="s">
        <v>721</v>
      </c>
      <c r="C41" s="20" t="s">
        <v>719</v>
      </c>
    </row>
    <row r="42">
      <c r="A42" s="20">
        <v>601003.0</v>
      </c>
      <c r="B42" s="20" t="s">
        <v>722</v>
      </c>
      <c r="C42" s="20" t="s">
        <v>719</v>
      </c>
      <c r="D42" s="20" t="s">
        <v>723</v>
      </c>
    </row>
    <row r="43">
      <c r="A43" s="20">
        <v>601005.0</v>
      </c>
      <c r="B43" s="20" t="s">
        <v>724</v>
      </c>
      <c r="C43" s="20" t="s">
        <v>719</v>
      </c>
    </row>
    <row r="44">
      <c r="A44" s="20">
        <v>601007.0</v>
      </c>
      <c r="B44" s="20" t="s">
        <v>725</v>
      </c>
      <c r="C44" s="20" t="s">
        <v>719</v>
      </c>
      <c r="D44" s="20" t="s">
        <v>726</v>
      </c>
    </row>
    <row r="45">
      <c r="A45" s="20">
        <v>601008.0</v>
      </c>
      <c r="B45" s="20" t="s">
        <v>727</v>
      </c>
      <c r="C45" s="20" t="s">
        <v>719</v>
      </c>
      <c r="D45" s="20" t="s">
        <v>728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ollapsed="1" min="4" max="4" width="12.63"/>
    <col hidden="1" min="5" max="8" width="12.63" outlineLevel="1"/>
    <col customWidth="1" min="11" max="11" width="20.5"/>
  </cols>
  <sheetData>
    <row r="1">
      <c r="A1" s="21" t="str">
        <f>IFERROR(__xludf.DUMMYFUNCTION("IMPORTRANGE(""1EmUqVBUcr7NLL1JTZAbAisj-MrqKi3tXobQyMMKEV4Q"",""Organización!A:H"")"),"id_org")</f>
        <v>id_org</v>
      </c>
      <c r="B1" s="21" t="str">
        <f>IFERROR(__xludf.DUMMYFUNCTION("""COMPUTED_VALUE"""),"cod_org")</f>
        <v>cod_org</v>
      </c>
      <c r="C1" s="21" t="str">
        <f>IFERROR(__xludf.DUMMYFUNCTION("""COMPUTED_VALUE"""),"nom_org")</f>
        <v>nom_org</v>
      </c>
      <c r="D1" s="21" t="str">
        <f>IFERROR(__xludf.DUMMYFUNCTION("""COMPUTED_VALUE"""),"cuit")</f>
        <v>cuit</v>
      </c>
      <c r="E1" s="21" t="str">
        <f>IFERROR(__xludf.DUMMYFUNCTION("""COMPUTED_VALUE"""),"id_tipo_org")</f>
        <v>id_tipo_org</v>
      </c>
      <c r="F1" s="21" t="str">
        <f>IFERROR(__xludf.DUMMYFUNCTION("""COMPUTED_VALUE"""),"id_razon_soc")</f>
        <v>id_razon_soc</v>
      </c>
      <c r="G1" s="21" t="str">
        <f>IFERROR(__xludf.DUMMYFUNCTION("""COMPUTED_VALUE"""),"id_tipo_c")</f>
        <v>id_tipo_c</v>
      </c>
      <c r="H1" s="21" t="str">
        <f>IFERROR(__xludf.DUMMYFUNCTION("""COMPUTED_VALUE"""),"id_pais")</f>
        <v>id_pais</v>
      </c>
      <c r="I1" s="22" t="s">
        <v>729</v>
      </c>
      <c r="J1" s="22" t="s">
        <v>730</v>
      </c>
      <c r="K1" s="22" t="s">
        <v>731</v>
      </c>
      <c r="L1" s="22" t="s">
        <v>732</v>
      </c>
    </row>
    <row r="2">
      <c r="A2" s="21" t="str">
        <f>IFERROR(__xludf.DUMMYFUNCTION("""COMPUTED_VALUE"""),"1")</f>
        <v>1</v>
      </c>
      <c r="B2" s="21" t="str">
        <f>IFERROR(__xludf.DUMMYFUNCTION("""COMPUTED_VALUE"""),"P00001")</f>
        <v>P00001</v>
      </c>
      <c r="C2" s="21" t="str">
        <f>IFERROR(__xludf.DUMMYFUNCTION("""COMPUTED_VALUE"""),"Proveedora S.A.")</f>
        <v>Proveedora S.A.</v>
      </c>
      <c r="D2" s="21" t="str">
        <f>IFERROR(__xludf.DUMMYFUNCTION("""COMPUTED_VALUE"""),"30-12345678-9")</f>
        <v>30-12345678-9</v>
      </c>
      <c r="E2" s="21" t="str">
        <f>IFERROR(__xludf.DUMMYFUNCTION("""COMPUTED_VALUE"""),"2")</f>
        <v>2</v>
      </c>
      <c r="F2" s="21" t="str">
        <f>IFERROR(__xludf.DUMMYFUNCTION("""COMPUTED_VALUE"""),"2")</f>
        <v>2</v>
      </c>
      <c r="G2" s="21" t="str">
        <f>IFERROR(__xludf.DUMMYFUNCTION("""COMPUTED_VALUE"""),"1")</f>
        <v>1</v>
      </c>
      <c r="H2" s="21" t="str">
        <f>IFERROR(__xludf.DUMMYFUNCTION("""COMPUTED_VALUE"""),"1")</f>
        <v>1</v>
      </c>
      <c r="I2" s="21" t="str">
        <f>IF(E2="","",VLOOKUP(E2,tipo_organizacion[#ALL],2,0))</f>
        <v>Proveedor</v>
      </c>
      <c r="J2" s="21" t="str">
        <f>IF(F2="","",VLOOKUP(F2,razon_social[#ALL],2,0))</f>
        <v>S.A</v>
      </c>
      <c r="K2" s="21" t="str">
        <f>IF(G2="","",VLOOKUP(G2,tipo_contribuyente[#ALL],2,0))</f>
        <v>Responsable Inscripto</v>
      </c>
      <c r="L2" s="21" t="str">
        <f>IF(H2="","",VLOOKUP(H2,pais[#ALL],2,0))</f>
        <v>Argentina</v>
      </c>
    </row>
    <row r="3">
      <c r="A3" s="21" t="str">
        <f>IFERROR(__xludf.DUMMYFUNCTION("""COMPUTED_VALUE"""),"2")</f>
        <v>2</v>
      </c>
      <c r="B3" s="21" t="str">
        <f>IFERROR(__xludf.DUMMYFUNCTION("""COMPUTED_VALUE"""),"P00002")</f>
        <v>P00002</v>
      </c>
      <c r="C3" s="21" t="str">
        <f>IFERROR(__xludf.DUMMYFUNCTION("""COMPUTED_VALUE"""),"Pedro Gonzalez")</f>
        <v>Pedro Gonzalez</v>
      </c>
      <c r="D3" s="21" t="str">
        <f>IFERROR(__xludf.DUMMYFUNCTION("""COMPUTED_VALUE"""),"30-87654321-0")</f>
        <v>30-87654321-0</v>
      </c>
      <c r="E3" s="21" t="str">
        <f>IFERROR(__xludf.DUMMYFUNCTION("""COMPUTED_VALUE"""),"2")</f>
        <v>2</v>
      </c>
      <c r="F3" s="21" t="str">
        <f>IFERROR(__xludf.DUMMYFUNCTION("""COMPUTED_VALUE"""),"3")</f>
        <v>3</v>
      </c>
      <c r="G3" s="21" t="str">
        <f>IFERROR(__xludf.DUMMYFUNCTION("""COMPUTED_VALUE"""),"2")</f>
        <v>2</v>
      </c>
      <c r="H3" s="21" t="str">
        <f>IFERROR(__xludf.DUMMYFUNCTION("""COMPUTED_VALUE"""),"1")</f>
        <v>1</v>
      </c>
      <c r="I3" s="21" t="str">
        <f>IF(E3="","",VLOOKUP(E3,tipo_organizacion[#ALL],2,0))</f>
        <v>Proveedor</v>
      </c>
      <c r="J3" s="21" t="str">
        <f>IF(F3="","",VLOOKUP(F3,razon_social[#ALL],2,0))</f>
        <v>S.R.L</v>
      </c>
      <c r="K3" s="21" t="str">
        <f>IF(G3="","",VLOOKUP(G3,tipo_contribuyente[#ALL],2,0))</f>
        <v>Monotributista</v>
      </c>
      <c r="L3" s="21" t="str">
        <f>IF(H3="","",VLOOKUP(H3,pais[#ALL],2,0))</f>
        <v>Argentina</v>
      </c>
    </row>
    <row r="4">
      <c r="A4" s="21" t="str">
        <f>IFERROR(__xludf.DUMMYFUNCTION("""COMPUTED_VALUE"""),"3")</f>
        <v>3</v>
      </c>
      <c r="B4" s="21" t="str">
        <f>IFERROR(__xludf.DUMMYFUNCTION("""COMPUTED_VALUE"""),"P00003")</f>
        <v>P00003</v>
      </c>
      <c r="C4" s="21" t="str">
        <f>IFERROR(__xludf.DUMMYFUNCTION("""COMPUTED_VALUE"""),"Empresa XYZ")</f>
        <v>Empresa XYZ</v>
      </c>
      <c r="D4" s="21" t="str">
        <f>IFERROR(__xludf.DUMMYFUNCTION("""COMPUTED_VALUE"""),"30-13579246-3")</f>
        <v>30-13579246-3</v>
      </c>
      <c r="E4" s="21" t="str">
        <f>IFERROR(__xludf.DUMMYFUNCTION("""COMPUTED_VALUE"""),"2")</f>
        <v>2</v>
      </c>
      <c r="F4" s="21" t="str">
        <f>IFERROR(__xludf.DUMMYFUNCTION("""COMPUTED_VALUE"""),"2")</f>
        <v>2</v>
      </c>
      <c r="G4" s="21" t="str">
        <f>IFERROR(__xludf.DUMMYFUNCTION("""COMPUTED_VALUE"""),"1")</f>
        <v>1</v>
      </c>
      <c r="H4" s="21" t="str">
        <f>IFERROR(__xludf.DUMMYFUNCTION("""COMPUTED_VALUE"""),"1")</f>
        <v>1</v>
      </c>
      <c r="I4" s="21" t="str">
        <f>IF(E4="","",VLOOKUP(E4,tipo_organizacion[#ALL],2,0))</f>
        <v>Proveedor</v>
      </c>
      <c r="J4" s="21" t="str">
        <f>IF(F4="","",VLOOKUP(F4,razon_social[#ALL],2,0))</f>
        <v>S.A</v>
      </c>
      <c r="K4" s="21" t="str">
        <f>IF(G4="","",VLOOKUP(G4,tipo_contribuyente[#ALL],2,0))</f>
        <v>Responsable Inscripto</v>
      </c>
      <c r="L4" s="21" t="str">
        <f>IF(H4="","",VLOOKUP(H4,pais[#ALL],2,0))</f>
        <v>Argentina</v>
      </c>
    </row>
    <row r="5">
      <c r="A5" s="21" t="str">
        <f>IFERROR(__xludf.DUMMYFUNCTION("""COMPUTED_VALUE"""),"4")</f>
        <v>4</v>
      </c>
      <c r="B5" s="21" t="str">
        <f>IFERROR(__xludf.DUMMYFUNCTION("""COMPUTED_VALUE"""),"P00004")</f>
        <v>P00004</v>
      </c>
      <c r="C5" s="21" t="str">
        <f>IFERROR(__xludf.DUMMYFUNCTION("""COMPUTED_VALUE"""),"Servicios AB")</f>
        <v>Servicios AB</v>
      </c>
      <c r="D5" s="21" t="str">
        <f>IFERROR(__xludf.DUMMYFUNCTION("""COMPUTED_VALUE"""),"30-24681357-2")</f>
        <v>30-24681357-2</v>
      </c>
      <c r="E5" s="21" t="str">
        <f>IFERROR(__xludf.DUMMYFUNCTION("""COMPUTED_VALUE"""),"2")</f>
        <v>2</v>
      </c>
      <c r="F5" s="21" t="str">
        <f>IFERROR(__xludf.DUMMYFUNCTION("""COMPUTED_VALUE"""),"3")</f>
        <v>3</v>
      </c>
      <c r="G5" s="21" t="str">
        <f>IFERROR(__xludf.DUMMYFUNCTION("""COMPUTED_VALUE"""),"1")</f>
        <v>1</v>
      </c>
      <c r="H5" s="21" t="str">
        <f>IFERROR(__xludf.DUMMYFUNCTION("""COMPUTED_VALUE"""),"1")</f>
        <v>1</v>
      </c>
      <c r="I5" s="21" t="str">
        <f>IF(E5="","",VLOOKUP(E5,tipo_organizacion[#ALL],2,0))</f>
        <v>Proveedor</v>
      </c>
      <c r="J5" s="21" t="str">
        <f>IF(F5="","",VLOOKUP(F5,razon_social[#ALL],2,0))</f>
        <v>S.R.L</v>
      </c>
      <c r="K5" s="21" t="str">
        <f>IF(G5="","",VLOOKUP(G5,tipo_contribuyente[#ALL],2,0))</f>
        <v>Responsable Inscripto</v>
      </c>
      <c r="L5" s="21" t="str">
        <f>IF(H5="","",VLOOKUP(H5,pais[#ALL],2,0))</f>
        <v>Argentina</v>
      </c>
    </row>
    <row r="6">
      <c r="A6" s="21" t="str">
        <f>IFERROR(__xludf.DUMMYFUNCTION("""COMPUTED_VALUE"""),"5")</f>
        <v>5</v>
      </c>
      <c r="B6" s="21" t="str">
        <f>IFERROR(__xludf.DUMMYFUNCTION("""COMPUTED_VALUE"""),"P00005")</f>
        <v>P00005</v>
      </c>
      <c r="C6" s="21" t="str">
        <f>IFERROR(__xludf.DUMMYFUNCTION("""COMPUTED_VALUE"""),"Carlos Mendez")</f>
        <v>Carlos Mendez</v>
      </c>
      <c r="D6" s="21" t="str">
        <f>IFERROR(__xludf.DUMMYFUNCTION("""COMPUTED_VALUE"""),"30-12345678-9")</f>
        <v>30-12345678-9</v>
      </c>
      <c r="E6" s="21" t="str">
        <f>IFERROR(__xludf.DUMMYFUNCTION("""COMPUTED_VALUE"""),"2")</f>
        <v>2</v>
      </c>
      <c r="F6" s="21" t="str">
        <f>IFERROR(__xludf.DUMMYFUNCTION("""COMPUTED_VALUE"""),"2")</f>
        <v>2</v>
      </c>
      <c r="G6" s="21" t="str">
        <f>IFERROR(__xludf.DUMMYFUNCTION("""COMPUTED_VALUE"""),"2")</f>
        <v>2</v>
      </c>
      <c r="H6" s="21" t="str">
        <f>IFERROR(__xludf.DUMMYFUNCTION("""COMPUTED_VALUE"""),"1")</f>
        <v>1</v>
      </c>
      <c r="I6" s="21" t="str">
        <f>IF(E6="","",VLOOKUP(E6,tipo_organizacion[#ALL],2,0))</f>
        <v>Proveedor</v>
      </c>
      <c r="J6" s="21" t="str">
        <f>IF(F6="","",VLOOKUP(F6,razon_social[#ALL],2,0))</f>
        <v>S.A</v>
      </c>
      <c r="K6" s="21" t="str">
        <f>IF(G6="","",VLOOKUP(G6,tipo_contribuyente[#ALL],2,0))</f>
        <v>Monotributista</v>
      </c>
      <c r="L6" s="21" t="str">
        <f>IF(H6="","",VLOOKUP(H6,pais[#ALL],2,0))</f>
        <v>Argentina</v>
      </c>
    </row>
    <row r="7">
      <c r="A7" s="21" t="str">
        <f>IFERROR(__xludf.DUMMYFUNCTION("""COMPUTED_VALUE"""),"6")</f>
        <v>6</v>
      </c>
      <c r="B7" s="21" t="str">
        <f>IFERROR(__xludf.DUMMYFUNCTION("""COMPUTED_VALUE"""),"P00006")</f>
        <v>P00006</v>
      </c>
      <c r="C7" s="21" t="str">
        <f>IFERROR(__xludf.DUMMYFUNCTION("""COMPUTED_VALUE"""),"Grupo Alfa")</f>
        <v>Grupo Alfa</v>
      </c>
      <c r="D7" s="21" t="str">
        <f>IFERROR(__xludf.DUMMYFUNCTION("""COMPUTED_VALUE"""),"30-97531246-1")</f>
        <v>30-97531246-1</v>
      </c>
      <c r="E7" s="21" t="str">
        <f>IFERROR(__xludf.DUMMYFUNCTION("""COMPUTED_VALUE"""),"2")</f>
        <v>2</v>
      </c>
      <c r="F7" s="21" t="str">
        <f>IFERROR(__xludf.DUMMYFUNCTION("""COMPUTED_VALUE"""),"3")</f>
        <v>3</v>
      </c>
      <c r="G7" s="21" t="str">
        <f>IFERROR(__xludf.DUMMYFUNCTION("""COMPUTED_VALUE"""),"1")</f>
        <v>1</v>
      </c>
      <c r="H7" s="21" t="str">
        <f>IFERROR(__xludf.DUMMYFUNCTION("""COMPUTED_VALUE"""),"1")</f>
        <v>1</v>
      </c>
      <c r="I7" s="21" t="str">
        <f>IF(E7="","",VLOOKUP(E7,tipo_organizacion[#ALL],2,0))</f>
        <v>Proveedor</v>
      </c>
      <c r="J7" s="21" t="str">
        <f>IF(F7="","",VLOOKUP(F7,razon_social[#ALL],2,0))</f>
        <v>S.R.L</v>
      </c>
      <c r="K7" s="21" t="str">
        <f>IF(G7="","",VLOOKUP(G7,tipo_contribuyente[#ALL],2,0))</f>
        <v>Responsable Inscripto</v>
      </c>
      <c r="L7" s="21" t="str">
        <f>IF(H7="","",VLOOKUP(H7,pais[#ALL],2,0))</f>
        <v>Argentina</v>
      </c>
    </row>
    <row r="8">
      <c r="A8" s="21" t="str">
        <f>IFERROR(__xludf.DUMMYFUNCTION("""COMPUTED_VALUE"""),"7")</f>
        <v>7</v>
      </c>
      <c r="B8" s="21" t="str">
        <f>IFERROR(__xludf.DUMMYFUNCTION("""COMPUTED_VALUE"""),"P00007")</f>
        <v>P00007</v>
      </c>
      <c r="C8" s="21" t="str">
        <f>IFERROR(__xludf.DUMMYFUNCTION("""COMPUTED_VALUE"""),"Ana Sanchez")</f>
        <v>Ana Sanchez</v>
      </c>
      <c r="D8" s="21" t="str">
        <f>IFERROR(__xludf.DUMMYFUNCTION("""COMPUTED_VALUE"""),"30-19283746-4")</f>
        <v>30-19283746-4</v>
      </c>
      <c r="E8" s="21" t="str">
        <f>IFERROR(__xludf.DUMMYFUNCTION("""COMPUTED_VALUE"""),"2")</f>
        <v>2</v>
      </c>
      <c r="F8" s="21" t="str">
        <f>IFERROR(__xludf.DUMMYFUNCTION("""COMPUTED_VALUE"""),"2")</f>
        <v>2</v>
      </c>
      <c r="G8" s="21" t="str">
        <f>IFERROR(__xludf.DUMMYFUNCTION("""COMPUTED_VALUE"""),"1")</f>
        <v>1</v>
      </c>
      <c r="H8" s="21" t="str">
        <f>IFERROR(__xludf.DUMMYFUNCTION("""COMPUTED_VALUE"""),"1")</f>
        <v>1</v>
      </c>
      <c r="I8" s="21" t="str">
        <f>IF(E8="","",VLOOKUP(E8,tipo_organizacion[#ALL],2,0))</f>
        <v>Proveedor</v>
      </c>
      <c r="J8" s="21" t="str">
        <f>IF(F8="","",VLOOKUP(F8,razon_social[#ALL],2,0))</f>
        <v>S.A</v>
      </c>
      <c r="K8" s="21" t="str">
        <f>IF(G8="","",VLOOKUP(G8,tipo_contribuyente[#ALL],2,0))</f>
        <v>Responsable Inscripto</v>
      </c>
      <c r="L8" s="21" t="str">
        <f>IF(H8="","",VLOOKUP(H8,pais[#ALL],2,0))</f>
        <v>Argentina</v>
      </c>
    </row>
    <row r="9">
      <c r="A9" s="21" t="str">
        <f>IFERROR(__xludf.DUMMYFUNCTION("""COMPUTED_VALUE"""),"8")</f>
        <v>8</v>
      </c>
      <c r="B9" s="21" t="str">
        <f>IFERROR(__xludf.DUMMYFUNCTION("""COMPUTED_VALUE"""),"P00008")</f>
        <v>P00008</v>
      </c>
      <c r="C9" s="21" t="str">
        <f>IFERROR(__xludf.DUMMYFUNCTION("""COMPUTED_VALUE"""),"Compañia Beta")</f>
        <v>Compañia Beta</v>
      </c>
      <c r="D9" s="21" t="str">
        <f>IFERROR(__xludf.DUMMYFUNCTION("""COMPUTED_VALUE"""),"30-74859632-7")</f>
        <v>30-74859632-7</v>
      </c>
      <c r="E9" s="21" t="str">
        <f>IFERROR(__xludf.DUMMYFUNCTION("""COMPUTED_VALUE"""),"2")</f>
        <v>2</v>
      </c>
      <c r="F9" s="21" t="str">
        <f>IFERROR(__xludf.DUMMYFUNCTION("""COMPUTED_VALUE"""),"3")</f>
        <v>3</v>
      </c>
      <c r="G9" s="21" t="str">
        <f>IFERROR(__xludf.DUMMYFUNCTION("""COMPUTED_VALUE"""),"2")</f>
        <v>2</v>
      </c>
      <c r="H9" s="21" t="str">
        <f>IFERROR(__xludf.DUMMYFUNCTION("""COMPUTED_VALUE"""),"1")</f>
        <v>1</v>
      </c>
      <c r="I9" s="21" t="str">
        <f>IF(E9="","",VLOOKUP(E9,tipo_organizacion[#ALL],2,0))</f>
        <v>Proveedor</v>
      </c>
      <c r="J9" s="21" t="str">
        <f>IF(F9="","",VLOOKUP(F9,razon_social[#ALL],2,0))</f>
        <v>S.R.L</v>
      </c>
      <c r="K9" s="21" t="str">
        <f>IF(G9="","",VLOOKUP(G9,tipo_contribuyente[#ALL],2,0))</f>
        <v>Monotributista</v>
      </c>
      <c r="L9" s="21" t="str">
        <f>IF(H9="","",VLOOKUP(H9,pais[#ALL],2,0))</f>
        <v>Argentina</v>
      </c>
    </row>
    <row r="10">
      <c r="A10" s="21" t="str">
        <f>IFERROR(__xludf.DUMMYFUNCTION("""COMPUTED_VALUE"""),"9")</f>
        <v>9</v>
      </c>
      <c r="B10" s="21" t="str">
        <f>IFERROR(__xludf.DUMMYFUNCTION("""COMPUTED_VALUE"""),"P00009")</f>
        <v>P00009</v>
      </c>
      <c r="C10" s="21" t="str">
        <f>IFERROR(__xludf.DUMMYFUNCTION("""COMPUTED_VALUE"""),"Fernando Gomez")</f>
        <v>Fernando Gomez</v>
      </c>
      <c r="D10" s="21" t="str">
        <f>IFERROR(__xludf.DUMMYFUNCTION("""COMPUTED_VALUE"""),"30-12345679-8")</f>
        <v>30-12345679-8</v>
      </c>
      <c r="E10" s="21" t="str">
        <f>IFERROR(__xludf.DUMMYFUNCTION("""COMPUTED_VALUE"""),"2")</f>
        <v>2</v>
      </c>
      <c r="F10" s="21" t="str">
        <f>IFERROR(__xludf.DUMMYFUNCTION("""COMPUTED_VALUE"""),"2")</f>
        <v>2</v>
      </c>
      <c r="G10" s="21" t="str">
        <f>IFERROR(__xludf.DUMMYFUNCTION("""COMPUTED_VALUE"""),"1")</f>
        <v>1</v>
      </c>
      <c r="H10" s="21" t="str">
        <f>IFERROR(__xludf.DUMMYFUNCTION("""COMPUTED_VALUE"""),"1")</f>
        <v>1</v>
      </c>
      <c r="I10" s="21" t="str">
        <f>IF(E10="","",VLOOKUP(E10,tipo_organizacion[#ALL],2,0))</f>
        <v>Proveedor</v>
      </c>
      <c r="J10" s="21" t="str">
        <f>IF(F10="","",VLOOKUP(F10,razon_social[#ALL],2,0))</f>
        <v>S.A</v>
      </c>
      <c r="K10" s="21" t="str">
        <f>IF(G10="","",VLOOKUP(G10,tipo_contribuyente[#ALL],2,0))</f>
        <v>Responsable Inscripto</v>
      </c>
      <c r="L10" s="21" t="str">
        <f>IF(H10="","",VLOOKUP(H10,pais[#ALL],2,0))</f>
        <v>Argentina</v>
      </c>
    </row>
    <row r="11">
      <c r="A11" s="21" t="str">
        <f>IFERROR(__xludf.DUMMYFUNCTION("""COMPUTED_VALUE"""),"10")</f>
        <v>10</v>
      </c>
      <c r="B11" s="21" t="str">
        <f>IFERROR(__xludf.DUMMYFUNCTION("""COMPUTED_VALUE"""),"P00010")</f>
        <v>P00010</v>
      </c>
      <c r="C11" s="21" t="str">
        <f>IFERROR(__xludf.DUMMYFUNCTION("""COMPUTED_VALUE"""),"Soluciones Gama")</f>
        <v>Soluciones Gama</v>
      </c>
      <c r="D11" s="21" t="str">
        <f>IFERROR(__xludf.DUMMYFUNCTION("""COMPUTED_VALUE"""),"30-98765432-1")</f>
        <v>30-98765432-1</v>
      </c>
      <c r="E11" s="21" t="str">
        <f>IFERROR(__xludf.DUMMYFUNCTION("""COMPUTED_VALUE"""),"2")</f>
        <v>2</v>
      </c>
      <c r="F11" s="21" t="str">
        <f>IFERROR(__xludf.DUMMYFUNCTION("""COMPUTED_VALUE"""),"3")</f>
        <v>3</v>
      </c>
      <c r="G11" s="21" t="str">
        <f>IFERROR(__xludf.DUMMYFUNCTION("""COMPUTED_VALUE"""),"1")</f>
        <v>1</v>
      </c>
      <c r="H11" s="21" t="str">
        <f>IFERROR(__xludf.DUMMYFUNCTION("""COMPUTED_VALUE"""),"1")</f>
        <v>1</v>
      </c>
      <c r="I11" s="21" t="str">
        <f>IF(E11="","",VLOOKUP(E11,tipo_organizacion[#ALL],2,0))</f>
        <v>Proveedor</v>
      </c>
      <c r="J11" s="21" t="str">
        <f>IF(F11="","",VLOOKUP(F11,razon_social[#ALL],2,0))</f>
        <v>S.R.L</v>
      </c>
      <c r="K11" s="21" t="str">
        <f>IF(G11="","",VLOOKUP(G11,tipo_contribuyente[#ALL],2,0))</f>
        <v>Responsable Inscripto</v>
      </c>
      <c r="L11" s="21" t="str">
        <f>IF(H11="","",VLOOKUP(H11,pais[#ALL],2,0))</f>
        <v>Argentina</v>
      </c>
    </row>
    <row r="12">
      <c r="A12" s="21" t="str">
        <f>IFERROR(__xludf.DUMMYFUNCTION("""COMPUTED_VALUE"""),"11")</f>
        <v>11</v>
      </c>
      <c r="B12" s="21" t="str">
        <f>IFERROR(__xludf.DUMMYFUNCTION("""COMPUTED_VALUE"""),"P00011")</f>
        <v>P00011</v>
      </c>
      <c r="C12" s="21" t="str">
        <f>IFERROR(__xludf.DUMMYFUNCTION("""COMPUTED_VALUE"""),"Javier Lopez")</f>
        <v>Javier Lopez</v>
      </c>
      <c r="D12" s="21" t="str">
        <f>IFERROR(__xludf.DUMMYFUNCTION("""COMPUTED_VALUE"""),"30-65432198-7")</f>
        <v>30-65432198-7</v>
      </c>
      <c r="E12" s="21" t="str">
        <f>IFERROR(__xludf.DUMMYFUNCTION("""COMPUTED_VALUE"""),"2")</f>
        <v>2</v>
      </c>
      <c r="F12" s="21" t="str">
        <f>IFERROR(__xludf.DUMMYFUNCTION("""COMPUTED_VALUE"""),"2")</f>
        <v>2</v>
      </c>
      <c r="G12" s="21" t="str">
        <f>IFERROR(__xludf.DUMMYFUNCTION("""COMPUTED_VALUE"""),"2")</f>
        <v>2</v>
      </c>
      <c r="H12" s="21" t="str">
        <f>IFERROR(__xludf.DUMMYFUNCTION("""COMPUTED_VALUE"""),"1")</f>
        <v>1</v>
      </c>
      <c r="I12" s="21" t="str">
        <f>IF(E12="","",VLOOKUP(E12,tipo_organizacion[#ALL],2,0))</f>
        <v>Proveedor</v>
      </c>
      <c r="J12" s="21" t="str">
        <f>IF(F12="","",VLOOKUP(F12,razon_social[#ALL],2,0))</f>
        <v>S.A</v>
      </c>
      <c r="K12" s="21" t="str">
        <f>IF(G12="","",VLOOKUP(G12,tipo_contribuyente[#ALL],2,0))</f>
        <v>Monotributista</v>
      </c>
      <c r="L12" s="21" t="str">
        <f>IF(H12="","",VLOOKUP(H12,pais[#ALL],2,0))</f>
        <v>Argentina</v>
      </c>
    </row>
    <row r="13">
      <c r="A13" s="21" t="str">
        <f>IFERROR(__xludf.DUMMYFUNCTION("""COMPUTED_VALUE"""),"12")</f>
        <v>12</v>
      </c>
      <c r="B13" s="21" t="str">
        <f>IFERROR(__xludf.DUMMYFUNCTION("""COMPUTED_VALUE"""),"P00012")</f>
        <v>P00012</v>
      </c>
      <c r="C13" s="21" t="str">
        <f>IFERROR(__xludf.DUMMYFUNCTION("""COMPUTED_VALUE"""),"Proveedor Ltda.")</f>
        <v>Proveedor Ltda.</v>
      </c>
      <c r="D13" s="21" t="str">
        <f>IFERROR(__xludf.DUMMYFUNCTION("""COMPUTED_VALUE"""),"30-32165487-0")</f>
        <v>30-32165487-0</v>
      </c>
      <c r="E13" s="21" t="str">
        <f>IFERROR(__xludf.DUMMYFUNCTION("""COMPUTED_VALUE"""),"2")</f>
        <v>2</v>
      </c>
      <c r="F13" s="21" t="str">
        <f>IFERROR(__xludf.DUMMYFUNCTION("""COMPUTED_VALUE"""),"3")</f>
        <v>3</v>
      </c>
      <c r="G13" s="21" t="str">
        <f>IFERROR(__xludf.DUMMYFUNCTION("""COMPUTED_VALUE"""),"1")</f>
        <v>1</v>
      </c>
      <c r="H13" s="21" t="str">
        <f>IFERROR(__xludf.DUMMYFUNCTION("""COMPUTED_VALUE"""),"1")</f>
        <v>1</v>
      </c>
      <c r="I13" s="21" t="str">
        <f>IF(E13="","",VLOOKUP(E13,tipo_organizacion[#ALL],2,0))</f>
        <v>Proveedor</v>
      </c>
      <c r="J13" s="21" t="str">
        <f>IF(F13="","",VLOOKUP(F13,razon_social[#ALL],2,0))</f>
        <v>S.R.L</v>
      </c>
      <c r="K13" s="21" t="str">
        <f>IF(G13="","",VLOOKUP(G13,tipo_contribuyente[#ALL],2,0))</f>
        <v>Responsable Inscripto</v>
      </c>
      <c r="L13" s="21" t="str">
        <f>IF(H13="","",VLOOKUP(H13,pais[#ALL],2,0))</f>
        <v>Argentina</v>
      </c>
    </row>
    <row r="14">
      <c r="A14" s="21" t="str">
        <f>IFERROR(__xludf.DUMMYFUNCTION("""COMPUTED_VALUE"""),"13")</f>
        <v>13</v>
      </c>
      <c r="B14" s="21" t="str">
        <f>IFERROR(__xludf.DUMMYFUNCTION("""COMPUTED_VALUE"""),"P00013")</f>
        <v>P00013</v>
      </c>
      <c r="C14" s="21" t="str">
        <f>IFERROR(__xludf.DUMMYFUNCTION("""COMPUTED_VALUE"""),"Repuestos Omega")</f>
        <v>Repuestos Omega</v>
      </c>
      <c r="D14" s="21" t="str">
        <f>IFERROR(__xludf.DUMMYFUNCTION("""COMPUTED_VALUE"""),"30-45678901-2")</f>
        <v>30-45678901-2</v>
      </c>
      <c r="E14" s="21" t="str">
        <f>IFERROR(__xludf.DUMMYFUNCTION("""COMPUTED_VALUE"""),"2")</f>
        <v>2</v>
      </c>
      <c r="F14" s="21" t="str">
        <f>IFERROR(__xludf.DUMMYFUNCTION("""COMPUTED_VALUE"""),"2")</f>
        <v>2</v>
      </c>
      <c r="G14" s="21" t="str">
        <f>IFERROR(__xludf.DUMMYFUNCTION("""COMPUTED_VALUE"""),"2")</f>
        <v>2</v>
      </c>
      <c r="H14" s="21" t="str">
        <f>IFERROR(__xludf.DUMMYFUNCTION("""COMPUTED_VALUE"""),"1")</f>
        <v>1</v>
      </c>
      <c r="I14" s="21" t="str">
        <f>IF(E14="","",VLOOKUP(E14,tipo_organizacion[#ALL],2,0))</f>
        <v>Proveedor</v>
      </c>
      <c r="J14" s="21" t="str">
        <f>IF(F14="","",VLOOKUP(F14,razon_social[#ALL],2,0))</f>
        <v>S.A</v>
      </c>
      <c r="K14" s="21" t="str">
        <f>IF(G14="","",VLOOKUP(G14,tipo_contribuyente[#ALL],2,0))</f>
        <v>Monotributista</v>
      </c>
      <c r="L14" s="21" t="str">
        <f>IF(H14="","",VLOOKUP(H14,pais[#ALL],2,0))</f>
        <v>Argentina</v>
      </c>
    </row>
    <row r="15">
      <c r="A15" s="21" t="str">
        <f>IFERROR(__xludf.DUMMYFUNCTION("""COMPUTED_VALUE"""),"14")</f>
        <v>14</v>
      </c>
      <c r="B15" s="21" t="str">
        <f>IFERROR(__xludf.DUMMYFUNCTION("""COMPUTED_VALUE"""),"P00014")</f>
        <v>P00014</v>
      </c>
      <c r="C15" s="21" t="str">
        <f>IFERROR(__xludf.DUMMYFUNCTION("""COMPUTED_VALUE"""),"Estudio Juridico Alfa")</f>
        <v>Estudio Juridico Alfa</v>
      </c>
      <c r="D15" s="21" t="str">
        <f>IFERROR(__xludf.DUMMYFUNCTION("""COMPUTED_VALUE"""),"30-13579248-7")</f>
        <v>30-13579248-7</v>
      </c>
      <c r="E15" s="21" t="str">
        <f>IFERROR(__xludf.DUMMYFUNCTION("""COMPUTED_VALUE"""),"2")</f>
        <v>2</v>
      </c>
      <c r="F15" s="21" t="str">
        <f>IFERROR(__xludf.DUMMYFUNCTION("""COMPUTED_VALUE"""),"3")</f>
        <v>3</v>
      </c>
      <c r="G15" s="21" t="str">
        <f>IFERROR(__xludf.DUMMYFUNCTION("""COMPUTED_VALUE"""),"1")</f>
        <v>1</v>
      </c>
      <c r="H15" s="21" t="str">
        <f>IFERROR(__xludf.DUMMYFUNCTION("""COMPUTED_VALUE"""),"1")</f>
        <v>1</v>
      </c>
      <c r="I15" s="21" t="str">
        <f>IF(E15="","",VLOOKUP(E15,tipo_organizacion[#ALL],2,0))</f>
        <v>Proveedor</v>
      </c>
      <c r="J15" s="21" t="str">
        <f>IF(F15="","",VLOOKUP(F15,razon_social[#ALL],2,0))</f>
        <v>S.R.L</v>
      </c>
      <c r="K15" s="21" t="str">
        <f>IF(G15="","",VLOOKUP(G15,tipo_contribuyente[#ALL],2,0))</f>
        <v>Responsable Inscripto</v>
      </c>
      <c r="L15" s="21" t="str">
        <f>IF(H15="","",VLOOKUP(H15,pais[#ALL],2,0))</f>
        <v>Argentina</v>
      </c>
    </row>
    <row r="16">
      <c r="A16" s="21" t="str">
        <f>IFERROR(__xludf.DUMMYFUNCTION("""COMPUTED_VALUE"""),"15")</f>
        <v>15</v>
      </c>
      <c r="B16" s="21" t="str">
        <f>IFERROR(__xludf.DUMMYFUNCTION("""COMPUTED_VALUE"""),"P00015")</f>
        <v>P00015</v>
      </c>
      <c r="C16" s="21" t="str">
        <f>IFERROR(__xludf.DUMMYFUNCTION("""COMPUTED_VALUE"""),"Rosa Perez")</f>
        <v>Rosa Perez</v>
      </c>
      <c r="D16" s="21" t="str">
        <f>IFERROR(__xludf.DUMMYFUNCTION("""COMPUTED_VALUE"""),"30-24681358-6")</f>
        <v>30-24681358-6</v>
      </c>
      <c r="E16" s="21" t="str">
        <f>IFERROR(__xludf.DUMMYFUNCTION("""COMPUTED_VALUE"""),"2")</f>
        <v>2</v>
      </c>
      <c r="F16" s="21" t="str">
        <f>IFERROR(__xludf.DUMMYFUNCTION("""COMPUTED_VALUE"""),"2")</f>
        <v>2</v>
      </c>
      <c r="G16" s="21" t="str">
        <f>IFERROR(__xludf.DUMMYFUNCTION("""COMPUTED_VALUE"""),"1")</f>
        <v>1</v>
      </c>
      <c r="H16" s="21" t="str">
        <f>IFERROR(__xludf.DUMMYFUNCTION("""COMPUTED_VALUE"""),"1")</f>
        <v>1</v>
      </c>
      <c r="I16" s="21" t="str">
        <f>IF(E16="","",VLOOKUP(E16,tipo_organizacion[#ALL],2,0))</f>
        <v>Proveedor</v>
      </c>
      <c r="J16" s="21" t="str">
        <f>IF(F16="","",VLOOKUP(F16,razon_social[#ALL],2,0))</f>
        <v>S.A</v>
      </c>
      <c r="K16" s="21" t="str">
        <f>IF(G16="","",VLOOKUP(G16,tipo_contribuyente[#ALL],2,0))</f>
        <v>Responsable Inscripto</v>
      </c>
      <c r="L16" s="21" t="str">
        <f>IF(H16="","",VLOOKUP(H16,pais[#ALL],2,0))</f>
        <v>Argentina</v>
      </c>
    </row>
    <row r="17">
      <c r="A17" s="21" t="str">
        <f>IFERROR(__xludf.DUMMYFUNCTION("""COMPUTED_VALUE"""),"16")</f>
        <v>16</v>
      </c>
      <c r="B17" s="21" t="str">
        <f>IFERROR(__xludf.DUMMYFUNCTION("""COMPUTED_VALUE"""),"P00016")</f>
        <v>P00016</v>
      </c>
      <c r="C17" s="21" t="str">
        <f>IFERROR(__xludf.DUMMYFUNCTION("""COMPUTED_VALUE"""),"Marketing Global")</f>
        <v>Marketing Global</v>
      </c>
      <c r="D17" s="21" t="str">
        <f>IFERROR(__xludf.DUMMYFUNCTION("""COMPUTED_VALUE"""),"30-97531247-8")</f>
        <v>30-97531247-8</v>
      </c>
      <c r="E17" s="21" t="str">
        <f>IFERROR(__xludf.DUMMYFUNCTION("""COMPUTED_VALUE"""),"2")</f>
        <v>2</v>
      </c>
      <c r="F17" s="21" t="str">
        <f>IFERROR(__xludf.DUMMYFUNCTION("""COMPUTED_VALUE"""),"3")</f>
        <v>3</v>
      </c>
      <c r="G17" s="21" t="str">
        <f>IFERROR(__xludf.DUMMYFUNCTION("""COMPUTED_VALUE"""),"1")</f>
        <v>1</v>
      </c>
      <c r="H17" s="21" t="str">
        <f>IFERROR(__xludf.DUMMYFUNCTION("""COMPUTED_VALUE"""),"1")</f>
        <v>1</v>
      </c>
      <c r="I17" s="21" t="str">
        <f>IF(E17="","",VLOOKUP(E17,tipo_organizacion[#ALL],2,0))</f>
        <v>Proveedor</v>
      </c>
      <c r="J17" s="21" t="str">
        <f>IF(F17="","",VLOOKUP(F17,razon_social[#ALL],2,0))</f>
        <v>S.R.L</v>
      </c>
      <c r="K17" s="21" t="str">
        <f>IF(G17="","",VLOOKUP(G17,tipo_contribuyente[#ALL],2,0))</f>
        <v>Responsable Inscripto</v>
      </c>
      <c r="L17" s="21" t="str">
        <f>IF(H17="","",VLOOKUP(H17,pais[#ALL],2,0))</f>
        <v>Argentina</v>
      </c>
    </row>
    <row r="18">
      <c r="A18" s="21" t="str">
        <f>IFERROR(__xludf.DUMMYFUNCTION("""COMPUTED_VALUE"""),"17")</f>
        <v>17</v>
      </c>
      <c r="B18" s="21" t="str">
        <f>IFERROR(__xludf.DUMMYFUNCTION("""COMPUTED_VALUE"""),"P00017")</f>
        <v>P00017</v>
      </c>
      <c r="C18" s="21" t="str">
        <f>IFERROR(__xludf.DUMMYFUNCTION("""COMPUTED_VALUE"""),"Julio Fernandez")</f>
        <v>Julio Fernandez</v>
      </c>
      <c r="D18" s="21" t="str">
        <f>IFERROR(__xludf.DUMMYFUNCTION("""COMPUTED_VALUE"""),"30-86430976-9")</f>
        <v>30-86430976-9</v>
      </c>
      <c r="E18" s="21" t="str">
        <f>IFERROR(__xludf.DUMMYFUNCTION("""COMPUTED_VALUE"""),"2")</f>
        <v>2</v>
      </c>
      <c r="F18" s="21" t="str">
        <f>IFERROR(__xludf.DUMMYFUNCTION("""COMPUTED_VALUE"""),"2")</f>
        <v>2</v>
      </c>
      <c r="G18" s="21" t="str">
        <f>IFERROR(__xludf.DUMMYFUNCTION("""COMPUTED_VALUE"""),"2")</f>
        <v>2</v>
      </c>
      <c r="H18" s="21" t="str">
        <f>IFERROR(__xludf.DUMMYFUNCTION("""COMPUTED_VALUE"""),"1")</f>
        <v>1</v>
      </c>
      <c r="I18" s="21" t="str">
        <f>IF(E18="","",VLOOKUP(E18,tipo_organizacion[#ALL],2,0))</f>
        <v>Proveedor</v>
      </c>
      <c r="J18" s="21" t="str">
        <f>IF(F18="","",VLOOKUP(F18,razon_social[#ALL],2,0))</f>
        <v>S.A</v>
      </c>
      <c r="K18" s="21" t="str">
        <f>IF(G18="","",VLOOKUP(G18,tipo_contribuyente[#ALL],2,0))</f>
        <v>Monotributista</v>
      </c>
      <c r="L18" s="21" t="str">
        <f>IF(H18="","",VLOOKUP(H18,pais[#ALL],2,0))</f>
        <v>Argentina</v>
      </c>
    </row>
    <row r="19">
      <c r="A19" s="21" t="str">
        <f>IFERROR(__xludf.DUMMYFUNCTION("""COMPUTED_VALUE"""),"18")</f>
        <v>18</v>
      </c>
      <c r="B19" s="21" t="str">
        <f>IFERROR(__xludf.DUMMYFUNCTION("""COMPUTED_VALUE"""),"P00018")</f>
        <v>P00018</v>
      </c>
      <c r="C19" s="21" t="str">
        <f>IFERROR(__xludf.DUMMYFUNCTION("""COMPUTED_VALUE"""),"Consultora Zeta")</f>
        <v>Consultora Zeta</v>
      </c>
      <c r="D19" s="21" t="str">
        <f>IFERROR(__xludf.DUMMYFUNCTION("""COMPUTED_VALUE"""),"30-19283747-0")</f>
        <v>30-19283747-0</v>
      </c>
      <c r="E19" s="21" t="str">
        <f>IFERROR(__xludf.DUMMYFUNCTION("""COMPUTED_VALUE"""),"2")</f>
        <v>2</v>
      </c>
      <c r="F19" s="21" t="str">
        <f>IFERROR(__xludf.DUMMYFUNCTION("""COMPUTED_VALUE"""),"3")</f>
        <v>3</v>
      </c>
      <c r="G19" s="21" t="str">
        <f>IFERROR(__xludf.DUMMYFUNCTION("""COMPUTED_VALUE"""),"1")</f>
        <v>1</v>
      </c>
      <c r="H19" s="21" t="str">
        <f>IFERROR(__xludf.DUMMYFUNCTION("""COMPUTED_VALUE"""),"1")</f>
        <v>1</v>
      </c>
      <c r="I19" s="21" t="str">
        <f>IF(E19="","",VLOOKUP(E19,tipo_organizacion[#ALL],2,0))</f>
        <v>Proveedor</v>
      </c>
      <c r="J19" s="21" t="str">
        <f>IF(F19="","",VLOOKUP(F19,razon_social[#ALL],2,0))</f>
        <v>S.R.L</v>
      </c>
      <c r="K19" s="21" t="str">
        <f>IF(G19="","",VLOOKUP(G19,tipo_contribuyente[#ALL],2,0))</f>
        <v>Responsable Inscripto</v>
      </c>
      <c r="L19" s="21" t="str">
        <f>IF(H19="","",VLOOKUP(H19,pais[#ALL],2,0))</f>
        <v>Argentina</v>
      </c>
    </row>
    <row r="20">
      <c r="A20" s="21" t="str">
        <f>IFERROR(__xludf.DUMMYFUNCTION("""COMPUTED_VALUE"""),"19")</f>
        <v>19</v>
      </c>
      <c r="B20" s="21" t="str">
        <f>IFERROR(__xludf.DUMMYFUNCTION("""COMPUTED_VALUE"""),"P00101")</f>
        <v>P00101</v>
      </c>
      <c r="C20" s="21" t="str">
        <f>IFERROR(__xludf.DUMMYFUNCTION("""COMPUTED_VALUE"""),"Luis Martinez")</f>
        <v>Luis Martinez</v>
      </c>
      <c r="D20" s="21" t="str">
        <f>IFERROR(__xludf.DUMMYFUNCTION("""COMPUTED_VALUE"""),"20-12345678-9")</f>
        <v>20-12345678-9</v>
      </c>
      <c r="E20" s="21" t="str">
        <f>IFERROR(__xludf.DUMMYFUNCTION("""COMPUTED_VALUE"""),"2")</f>
        <v>2</v>
      </c>
      <c r="F20" s="21" t="str">
        <f>IFERROR(__xludf.DUMMYFUNCTION("""COMPUTED_VALUE"""),"3")</f>
        <v>3</v>
      </c>
      <c r="G20" s="21" t="str">
        <f>IFERROR(__xludf.DUMMYFUNCTION("""COMPUTED_VALUE"""),"2")</f>
        <v>2</v>
      </c>
      <c r="H20" s="21" t="str">
        <f>IFERROR(__xludf.DUMMYFUNCTION("""COMPUTED_VALUE"""),"1")</f>
        <v>1</v>
      </c>
      <c r="I20" s="21" t="str">
        <f>IF(E20="","",VLOOKUP(E20,tipo_organizacion[#ALL],2,0))</f>
        <v>Proveedor</v>
      </c>
      <c r="J20" s="21" t="str">
        <f>IF(F20="","",VLOOKUP(F20,razon_social[#ALL],2,0))</f>
        <v>S.R.L</v>
      </c>
      <c r="K20" s="21" t="str">
        <f>IF(G20="","",VLOOKUP(G20,tipo_contribuyente[#ALL],2,0))</f>
        <v>Monotributista</v>
      </c>
      <c r="L20" s="21" t="str">
        <f>IF(H20="","",VLOOKUP(H20,pais[#ALL],2,0))</f>
        <v>Argentina</v>
      </c>
    </row>
    <row r="21">
      <c r="A21" s="21" t="str">
        <f>IFERROR(__xludf.DUMMYFUNCTION("""COMPUTED_VALUE"""),"20")</f>
        <v>20</v>
      </c>
      <c r="B21" s="21" t="str">
        <f>IFERROR(__xludf.DUMMYFUNCTION("""COMPUTED_VALUE"""),"P00102")</f>
        <v>P00102</v>
      </c>
      <c r="C21" s="21" t="str">
        <f>IFERROR(__xludf.DUMMYFUNCTION("""COMPUTED_VALUE"""),"Ana Rodriguez")</f>
        <v>Ana Rodriguez</v>
      </c>
      <c r="D21" s="21" t="str">
        <f>IFERROR(__xludf.DUMMYFUNCTION("""COMPUTED_VALUE"""),"30-98765432-5")</f>
        <v>30-98765432-5</v>
      </c>
      <c r="E21" s="21" t="str">
        <f>IFERROR(__xludf.DUMMYFUNCTION("""COMPUTED_VALUE"""),"2")</f>
        <v>2</v>
      </c>
      <c r="F21" s="21" t="str">
        <f>IFERROR(__xludf.DUMMYFUNCTION("""COMPUTED_VALUE"""),"2")</f>
        <v>2</v>
      </c>
      <c r="G21" s="21" t="str">
        <f>IFERROR(__xludf.DUMMYFUNCTION("""COMPUTED_VALUE"""),"3")</f>
        <v>3</v>
      </c>
      <c r="H21" s="21" t="str">
        <f>IFERROR(__xludf.DUMMYFUNCTION("""COMPUTED_VALUE"""),"1")</f>
        <v>1</v>
      </c>
      <c r="I21" s="21" t="str">
        <f>IF(E21="","",VLOOKUP(E21,tipo_organizacion[#ALL],2,0))</f>
        <v>Proveedor</v>
      </c>
      <c r="J21" s="21" t="str">
        <f>IF(F21="","",VLOOKUP(F21,razon_social[#ALL],2,0))</f>
        <v>S.A</v>
      </c>
      <c r="K21" s="21" t="str">
        <f>IF(G21="","",VLOOKUP(G21,tipo_contribuyente[#ALL],2,0))</f>
        <v>IVA Responsable</v>
      </c>
      <c r="L21" s="21" t="str">
        <f>IF(H21="","",VLOOKUP(H21,pais[#ALL],2,0))</f>
        <v>Argentina</v>
      </c>
    </row>
    <row r="22">
      <c r="A22" s="21" t="str">
        <f>IFERROR(__xludf.DUMMYFUNCTION("""COMPUTED_VALUE"""),"21")</f>
        <v>21</v>
      </c>
      <c r="B22" s="21" t="str">
        <f>IFERROR(__xludf.DUMMYFUNCTION("""COMPUTED_VALUE"""),"P00103")</f>
        <v>P00103</v>
      </c>
      <c r="C22" s="21" t="str">
        <f>IFERROR(__xludf.DUMMYFUNCTION("""COMPUTED_VALUE"""),"Carlos Fernandez")</f>
        <v>Carlos Fernandez</v>
      </c>
      <c r="D22" s="21" t="str">
        <f>IFERROR(__xludf.DUMMYFUNCTION("""COMPUTED_VALUE"""),"27-23456789-1")</f>
        <v>27-23456789-1</v>
      </c>
      <c r="E22" s="21" t="str">
        <f>IFERROR(__xludf.DUMMYFUNCTION("""COMPUTED_VALUE"""),"2")</f>
        <v>2</v>
      </c>
      <c r="F22" s="21" t="str">
        <f>IFERROR(__xludf.DUMMYFUNCTION("""COMPUTED_VALUE"""),"5")</f>
        <v>5</v>
      </c>
      <c r="G22" s="21" t="str">
        <f>IFERROR(__xludf.DUMMYFUNCTION("""COMPUTED_VALUE"""),"2")</f>
        <v>2</v>
      </c>
      <c r="H22" s="21" t="str">
        <f>IFERROR(__xludf.DUMMYFUNCTION("""COMPUTED_VALUE"""),"1")</f>
        <v>1</v>
      </c>
      <c r="I22" s="21" t="str">
        <f>IF(E22="","",VLOOKUP(E22,tipo_organizacion[#ALL],2,0))</f>
        <v>Proveedor</v>
      </c>
      <c r="J22" s="21" t="str">
        <f>IF(F22="","",VLOOKUP(F22,razon_social[#ALL],2,0))</f>
        <v>COOP</v>
      </c>
      <c r="K22" s="21" t="str">
        <f>IF(G22="","",VLOOKUP(G22,tipo_contribuyente[#ALL],2,0))</f>
        <v>Monotributista</v>
      </c>
      <c r="L22" s="21" t="str">
        <f>IF(H22="","",VLOOKUP(H22,pais[#ALL],2,0))</f>
        <v>Argentina</v>
      </c>
    </row>
    <row r="23">
      <c r="A23" s="21" t="str">
        <f>IFERROR(__xludf.DUMMYFUNCTION("""COMPUTED_VALUE"""),"22")</f>
        <v>22</v>
      </c>
      <c r="B23" s="21" t="str">
        <f>IFERROR(__xludf.DUMMYFUNCTION("""COMPUTED_VALUE"""),"P00104")</f>
        <v>P00104</v>
      </c>
      <c r="C23" s="21" t="str">
        <f>IFERROR(__xludf.DUMMYFUNCTION("""COMPUTED_VALUE"""),"Maria Gonzalez")</f>
        <v>Maria Gonzalez</v>
      </c>
      <c r="D23" s="21" t="str">
        <f>IFERROR(__xludf.DUMMYFUNCTION("""COMPUTED_VALUE"""),"23-45678901-3")</f>
        <v>23-45678901-3</v>
      </c>
      <c r="E23" s="21" t="str">
        <f>IFERROR(__xludf.DUMMYFUNCTION("""COMPUTED_VALUE"""),"2")</f>
        <v>2</v>
      </c>
      <c r="F23" s="21" t="str">
        <f>IFERROR(__xludf.DUMMYFUNCTION("""COMPUTED_VALUE"""),"3")</f>
        <v>3</v>
      </c>
      <c r="G23" s="21" t="str">
        <f>IFERROR(__xludf.DUMMYFUNCTION("""COMPUTED_VALUE"""),"1")</f>
        <v>1</v>
      </c>
      <c r="H23" s="21" t="str">
        <f>IFERROR(__xludf.DUMMYFUNCTION("""COMPUTED_VALUE"""),"1")</f>
        <v>1</v>
      </c>
      <c r="I23" s="21" t="str">
        <f>IF(E23="","",VLOOKUP(E23,tipo_organizacion[#ALL],2,0))</f>
        <v>Proveedor</v>
      </c>
      <c r="J23" s="21" t="str">
        <f>IF(F23="","",VLOOKUP(F23,razon_social[#ALL],2,0))</f>
        <v>S.R.L</v>
      </c>
      <c r="K23" s="21" t="str">
        <f>IF(G23="","",VLOOKUP(G23,tipo_contribuyente[#ALL],2,0))</f>
        <v>Responsable Inscripto</v>
      </c>
      <c r="L23" s="21" t="str">
        <f>IF(H23="","",VLOOKUP(H23,pais[#ALL],2,0))</f>
        <v>Argentina</v>
      </c>
    </row>
    <row r="24">
      <c r="A24" s="21" t="str">
        <f>IFERROR(__xludf.DUMMYFUNCTION("""COMPUTED_VALUE"""),"23")</f>
        <v>23</v>
      </c>
      <c r="B24" s="21" t="str">
        <f>IFERROR(__xludf.DUMMYFUNCTION("""COMPUTED_VALUE"""),"P00105")</f>
        <v>P00105</v>
      </c>
      <c r="C24" s="21" t="str">
        <f>IFERROR(__xludf.DUMMYFUNCTION("""COMPUTED_VALUE"""),"Pedro Lopez")</f>
        <v>Pedro Lopez</v>
      </c>
      <c r="D24" s="21" t="str">
        <f>IFERROR(__xludf.DUMMYFUNCTION("""COMPUTED_VALUE"""),"33-56789012-4")</f>
        <v>33-56789012-4</v>
      </c>
      <c r="E24" s="21" t="str">
        <f>IFERROR(__xludf.DUMMYFUNCTION("""COMPUTED_VALUE"""),"2")</f>
        <v>2</v>
      </c>
      <c r="F24" s="21" t="str">
        <f>IFERROR(__xludf.DUMMYFUNCTION("""COMPUTED_VALUE"""),"2")</f>
        <v>2</v>
      </c>
      <c r="G24" s="21" t="str">
        <f>IFERROR(__xludf.DUMMYFUNCTION("""COMPUTED_VALUE"""),"2")</f>
        <v>2</v>
      </c>
      <c r="H24" s="21" t="str">
        <f>IFERROR(__xludf.DUMMYFUNCTION("""COMPUTED_VALUE"""),"1")</f>
        <v>1</v>
      </c>
      <c r="I24" s="21" t="str">
        <f>IF(E24="","",VLOOKUP(E24,tipo_organizacion[#ALL],2,0))</f>
        <v>Proveedor</v>
      </c>
      <c r="J24" s="21" t="str">
        <f>IF(F24="","",VLOOKUP(F24,razon_social[#ALL],2,0))</f>
        <v>S.A</v>
      </c>
      <c r="K24" s="21" t="str">
        <f>IF(G24="","",VLOOKUP(G24,tipo_contribuyente[#ALL],2,0))</f>
        <v>Monotributista</v>
      </c>
      <c r="L24" s="21" t="str">
        <f>IF(H24="","",VLOOKUP(H24,pais[#ALL],2,0))</f>
        <v>Argentina</v>
      </c>
    </row>
    <row r="25">
      <c r="A25" s="21" t="str">
        <f>IFERROR(__xludf.DUMMYFUNCTION("""COMPUTED_VALUE"""),"24")</f>
        <v>24</v>
      </c>
      <c r="B25" s="21" t="str">
        <f>IFERROR(__xludf.DUMMYFUNCTION("""COMPUTED_VALUE"""),"P00106")</f>
        <v>P00106</v>
      </c>
      <c r="C25" s="21" t="str">
        <f>IFERROR(__xludf.DUMMYFUNCTION("""COMPUTED_VALUE"""),"Laura Perez")</f>
        <v>Laura Perez</v>
      </c>
      <c r="D25" s="21" t="str">
        <f>IFERROR(__xludf.DUMMYFUNCTION("""COMPUTED_VALUE"""),"20-87654321-2")</f>
        <v>20-87654321-2</v>
      </c>
      <c r="E25" s="21" t="str">
        <f>IFERROR(__xludf.DUMMYFUNCTION("""COMPUTED_VALUE"""),"2")</f>
        <v>2</v>
      </c>
      <c r="F25" s="21" t="str">
        <f>IFERROR(__xludf.DUMMYFUNCTION("""COMPUTED_VALUE"""),"3")</f>
        <v>3</v>
      </c>
      <c r="G25" s="21" t="str">
        <f>IFERROR(__xludf.DUMMYFUNCTION("""COMPUTED_VALUE"""),"3")</f>
        <v>3</v>
      </c>
      <c r="H25" s="21" t="str">
        <f>IFERROR(__xludf.DUMMYFUNCTION("""COMPUTED_VALUE"""),"1")</f>
        <v>1</v>
      </c>
      <c r="I25" s="21" t="str">
        <f>IF(E25="","",VLOOKUP(E25,tipo_organizacion[#ALL],2,0))</f>
        <v>Proveedor</v>
      </c>
      <c r="J25" s="21" t="str">
        <f>IF(F25="","",VLOOKUP(F25,razon_social[#ALL],2,0))</f>
        <v>S.R.L</v>
      </c>
      <c r="K25" s="21" t="str">
        <f>IF(G25="","",VLOOKUP(G25,tipo_contribuyente[#ALL],2,0))</f>
        <v>IVA Responsable</v>
      </c>
      <c r="L25" s="21" t="str">
        <f>IF(H25="","",VLOOKUP(H25,pais[#ALL],2,0))</f>
        <v>Argentina</v>
      </c>
    </row>
    <row r="26">
      <c r="A26" s="21" t="str">
        <f>IFERROR(__xludf.DUMMYFUNCTION("""COMPUTED_VALUE"""),"25")</f>
        <v>25</v>
      </c>
      <c r="B26" s="21" t="str">
        <f>IFERROR(__xludf.DUMMYFUNCTION("""COMPUTED_VALUE"""),"P00107")</f>
        <v>P00107</v>
      </c>
      <c r="C26" s="21" t="str">
        <f>IFERROR(__xludf.DUMMYFUNCTION("""COMPUTED_VALUE"""),"Javier Ramirez")</f>
        <v>Javier Ramirez</v>
      </c>
      <c r="D26" s="21" t="str">
        <f>IFERROR(__xludf.DUMMYFUNCTION("""COMPUTED_VALUE"""),"30-65432109-8")</f>
        <v>30-65432109-8</v>
      </c>
      <c r="E26" s="21" t="str">
        <f>IFERROR(__xludf.DUMMYFUNCTION("""COMPUTED_VALUE"""),"2")</f>
        <v>2</v>
      </c>
      <c r="F26" s="21" t="str">
        <f>IFERROR(__xludf.DUMMYFUNCTION("""COMPUTED_VALUE"""),"2")</f>
        <v>2</v>
      </c>
      <c r="G26" s="21" t="str">
        <f>IFERROR(__xludf.DUMMYFUNCTION("""COMPUTED_VALUE"""),"2")</f>
        <v>2</v>
      </c>
      <c r="H26" s="21" t="str">
        <f>IFERROR(__xludf.DUMMYFUNCTION("""COMPUTED_VALUE"""),"1")</f>
        <v>1</v>
      </c>
      <c r="I26" s="21" t="str">
        <f>IF(E26="","",VLOOKUP(E26,tipo_organizacion[#ALL],2,0))</f>
        <v>Proveedor</v>
      </c>
      <c r="J26" s="21" t="str">
        <f>IF(F26="","",VLOOKUP(F26,razon_social[#ALL],2,0))</f>
        <v>S.A</v>
      </c>
      <c r="K26" s="21" t="str">
        <f>IF(G26="","",VLOOKUP(G26,tipo_contribuyente[#ALL],2,0))</f>
        <v>Monotributista</v>
      </c>
      <c r="L26" s="21" t="str">
        <f>IF(H26="","",VLOOKUP(H26,pais[#ALL],2,0))</f>
        <v>Argentina</v>
      </c>
    </row>
    <row r="27">
      <c r="A27" s="21" t="str">
        <f>IFERROR(__xludf.DUMMYFUNCTION("""COMPUTED_VALUE"""),"26")</f>
        <v>26</v>
      </c>
      <c r="B27" s="21" t="str">
        <f>IFERROR(__xludf.DUMMYFUNCTION("""COMPUTED_VALUE"""),"P00108")</f>
        <v>P00108</v>
      </c>
      <c r="C27" s="21" t="str">
        <f>IFERROR(__xludf.DUMMYFUNCTION("""COMPUTED_VALUE"""),"Claudia Sanchez")</f>
        <v>Claudia Sanchez</v>
      </c>
      <c r="D27" s="21" t="str">
        <f>IFERROR(__xludf.DUMMYFUNCTION("""COMPUTED_VALUE"""),"27-76543210-6")</f>
        <v>27-76543210-6</v>
      </c>
      <c r="E27" s="21" t="str">
        <f>IFERROR(__xludf.DUMMYFUNCTION("""COMPUTED_VALUE"""),"2")</f>
        <v>2</v>
      </c>
      <c r="F27" s="21" t="str">
        <f>IFERROR(__xludf.DUMMYFUNCTION("""COMPUTED_VALUE"""),"5")</f>
        <v>5</v>
      </c>
      <c r="G27" s="21" t="str">
        <f>IFERROR(__xludf.DUMMYFUNCTION("""COMPUTED_VALUE"""),"1")</f>
        <v>1</v>
      </c>
      <c r="H27" s="21" t="str">
        <f>IFERROR(__xludf.DUMMYFUNCTION("""COMPUTED_VALUE"""),"1")</f>
        <v>1</v>
      </c>
      <c r="I27" s="21" t="str">
        <f>IF(E27="","",VLOOKUP(E27,tipo_organizacion[#ALL],2,0))</f>
        <v>Proveedor</v>
      </c>
      <c r="J27" s="21" t="str">
        <f>IF(F27="","",VLOOKUP(F27,razon_social[#ALL],2,0))</f>
        <v>COOP</v>
      </c>
      <c r="K27" s="21" t="str">
        <f>IF(G27="","",VLOOKUP(G27,tipo_contribuyente[#ALL],2,0))</f>
        <v>Responsable Inscripto</v>
      </c>
      <c r="L27" s="21" t="str">
        <f>IF(H27="","",VLOOKUP(H27,pais[#ALL],2,0))</f>
        <v>Argentina</v>
      </c>
    </row>
    <row r="28">
      <c r="A28" s="21" t="str">
        <f>IFERROR(__xludf.DUMMYFUNCTION("""COMPUTED_VALUE"""),"27")</f>
        <v>27</v>
      </c>
      <c r="B28" s="21" t="str">
        <f>IFERROR(__xludf.DUMMYFUNCTION("""COMPUTED_VALUE"""),"P00109")</f>
        <v>P00109</v>
      </c>
      <c r="C28" s="21" t="str">
        <f>IFERROR(__xludf.DUMMYFUNCTION("""COMPUTED_VALUE"""),"Daniel Morales")</f>
        <v>Daniel Morales</v>
      </c>
      <c r="D28" s="21" t="str">
        <f>IFERROR(__xludf.DUMMYFUNCTION("""COMPUTED_VALUE"""),"23-87654320-5")</f>
        <v>23-87654320-5</v>
      </c>
      <c r="E28" s="21" t="str">
        <f>IFERROR(__xludf.DUMMYFUNCTION("""COMPUTED_VALUE"""),"2")</f>
        <v>2</v>
      </c>
      <c r="F28" s="21" t="str">
        <f>IFERROR(__xludf.DUMMYFUNCTION("""COMPUTED_VALUE"""),"3")</f>
        <v>3</v>
      </c>
      <c r="G28" s="21" t="str">
        <f>IFERROR(__xludf.DUMMYFUNCTION("""COMPUTED_VALUE"""),"2")</f>
        <v>2</v>
      </c>
      <c r="H28" s="21" t="str">
        <f>IFERROR(__xludf.DUMMYFUNCTION("""COMPUTED_VALUE"""),"1")</f>
        <v>1</v>
      </c>
      <c r="I28" s="21" t="str">
        <f>IF(E28="","",VLOOKUP(E28,tipo_organizacion[#ALL],2,0))</f>
        <v>Proveedor</v>
      </c>
      <c r="J28" s="21" t="str">
        <f>IF(F28="","",VLOOKUP(F28,razon_social[#ALL],2,0))</f>
        <v>S.R.L</v>
      </c>
      <c r="K28" s="21" t="str">
        <f>IF(G28="","",VLOOKUP(G28,tipo_contribuyente[#ALL],2,0))</f>
        <v>Monotributista</v>
      </c>
      <c r="L28" s="21" t="str">
        <f>IF(H28="","",VLOOKUP(H28,pais[#ALL],2,0))</f>
        <v>Argentina</v>
      </c>
    </row>
    <row r="29">
      <c r="A29" s="21" t="str">
        <f>IFERROR(__xludf.DUMMYFUNCTION("""COMPUTED_VALUE"""),"28")</f>
        <v>28</v>
      </c>
      <c r="B29" s="21" t="str">
        <f>IFERROR(__xludf.DUMMYFUNCTION("""COMPUTED_VALUE"""),"P00110")</f>
        <v>P00110</v>
      </c>
      <c r="C29" s="21" t="str">
        <f>IFERROR(__xludf.DUMMYFUNCTION("""COMPUTED_VALUE"""),"Gabriela Torres")</f>
        <v>Gabriela Torres</v>
      </c>
      <c r="D29" s="21" t="str">
        <f>IFERROR(__xludf.DUMMYFUNCTION("""COMPUTED_VALUE"""),"33-76543219-7")</f>
        <v>33-76543219-7</v>
      </c>
      <c r="E29" s="21" t="str">
        <f>IFERROR(__xludf.DUMMYFUNCTION("""COMPUTED_VALUE"""),"2")</f>
        <v>2</v>
      </c>
      <c r="F29" s="21" t="str">
        <f>IFERROR(__xludf.DUMMYFUNCTION("""COMPUTED_VALUE"""),"2")</f>
        <v>2</v>
      </c>
      <c r="G29" s="21" t="str">
        <f>IFERROR(__xludf.DUMMYFUNCTION("""COMPUTED_VALUE"""),"3")</f>
        <v>3</v>
      </c>
      <c r="H29" s="21" t="str">
        <f>IFERROR(__xludf.DUMMYFUNCTION("""COMPUTED_VALUE"""),"1")</f>
        <v>1</v>
      </c>
      <c r="I29" s="21" t="str">
        <f>IF(E29="","",VLOOKUP(E29,tipo_organizacion[#ALL],2,0))</f>
        <v>Proveedor</v>
      </c>
      <c r="J29" s="21" t="str">
        <f>IF(F29="","",VLOOKUP(F29,razon_social[#ALL],2,0))</f>
        <v>S.A</v>
      </c>
      <c r="K29" s="21" t="str">
        <f>IF(G29="","",VLOOKUP(G29,tipo_contribuyente[#ALL],2,0))</f>
        <v>IVA Responsable</v>
      </c>
      <c r="L29" s="21" t="str">
        <f>IF(H29="","",VLOOKUP(H29,pais[#ALL],2,0))</f>
        <v>Argentina</v>
      </c>
    </row>
    <row r="30">
      <c r="A30" s="21" t="str">
        <f>IFERROR(__xludf.DUMMYFUNCTION("""COMPUTED_VALUE"""),"29")</f>
        <v>29</v>
      </c>
      <c r="B30" s="21" t="str">
        <f>IFERROR(__xludf.DUMMYFUNCTION("""COMPUTED_VALUE"""),"P00111")</f>
        <v>P00111</v>
      </c>
      <c r="C30" s="21" t="str">
        <f>IFERROR(__xludf.DUMMYFUNCTION("""COMPUTED_VALUE"""),"Jorge Herrera")</f>
        <v>Jorge Herrera</v>
      </c>
      <c r="D30" s="21" t="str">
        <f>IFERROR(__xludf.DUMMYFUNCTION("""COMPUTED_VALUE"""),"20-87654322-3")</f>
        <v>20-87654322-3</v>
      </c>
      <c r="E30" s="21" t="str">
        <f>IFERROR(__xludf.DUMMYFUNCTION("""COMPUTED_VALUE"""),"2")</f>
        <v>2</v>
      </c>
      <c r="F30" s="21" t="str">
        <f>IFERROR(__xludf.DUMMYFUNCTION("""COMPUTED_VALUE"""),"3")</f>
        <v>3</v>
      </c>
      <c r="G30" s="21" t="str">
        <f>IFERROR(__xludf.DUMMYFUNCTION("""COMPUTED_VALUE"""),"2")</f>
        <v>2</v>
      </c>
      <c r="H30" s="21" t="str">
        <f>IFERROR(__xludf.DUMMYFUNCTION("""COMPUTED_VALUE"""),"1")</f>
        <v>1</v>
      </c>
      <c r="I30" s="21" t="str">
        <f>IF(E30="","",VLOOKUP(E30,tipo_organizacion[#ALL],2,0))</f>
        <v>Proveedor</v>
      </c>
      <c r="J30" s="21" t="str">
        <f>IF(F30="","",VLOOKUP(F30,razon_social[#ALL],2,0))</f>
        <v>S.R.L</v>
      </c>
      <c r="K30" s="21" t="str">
        <f>IF(G30="","",VLOOKUP(G30,tipo_contribuyente[#ALL],2,0))</f>
        <v>Monotributista</v>
      </c>
      <c r="L30" s="21" t="str">
        <f>IF(H30="","",VLOOKUP(H30,pais[#ALL],2,0))</f>
        <v>Argentina</v>
      </c>
    </row>
    <row r="31">
      <c r="A31" s="21" t="str">
        <f>IFERROR(__xludf.DUMMYFUNCTION("""COMPUTED_VALUE"""),"30")</f>
        <v>30</v>
      </c>
      <c r="B31" s="21" t="str">
        <f>IFERROR(__xludf.DUMMYFUNCTION("""COMPUTED_VALUE"""),"P00112")</f>
        <v>P00112</v>
      </c>
      <c r="C31" s="21" t="str">
        <f>IFERROR(__xludf.DUMMYFUNCTION("""COMPUTED_VALUE"""),"Silvia Ramirez")</f>
        <v>Silvia Ramirez</v>
      </c>
      <c r="D31" s="21" t="str">
        <f>IFERROR(__xludf.DUMMYFUNCTION("""COMPUTED_VALUE"""),"30-76543214-8")</f>
        <v>30-76543214-8</v>
      </c>
      <c r="E31" s="21" t="str">
        <f>IFERROR(__xludf.DUMMYFUNCTION("""COMPUTED_VALUE"""),"2")</f>
        <v>2</v>
      </c>
      <c r="F31" s="21" t="str">
        <f>IFERROR(__xludf.DUMMYFUNCTION("""COMPUTED_VALUE"""),"2")</f>
        <v>2</v>
      </c>
      <c r="G31" s="21" t="str">
        <f>IFERROR(__xludf.DUMMYFUNCTION("""COMPUTED_VALUE"""),"3")</f>
        <v>3</v>
      </c>
      <c r="H31" s="21" t="str">
        <f>IFERROR(__xludf.DUMMYFUNCTION("""COMPUTED_VALUE"""),"1")</f>
        <v>1</v>
      </c>
      <c r="I31" s="21" t="str">
        <f>IF(E31="","",VLOOKUP(E31,tipo_organizacion[#ALL],2,0))</f>
        <v>Proveedor</v>
      </c>
      <c r="J31" s="21" t="str">
        <f>IF(F31="","",VLOOKUP(F31,razon_social[#ALL],2,0))</f>
        <v>S.A</v>
      </c>
      <c r="K31" s="21" t="str">
        <f>IF(G31="","",VLOOKUP(G31,tipo_contribuyente[#ALL],2,0))</f>
        <v>IVA Responsable</v>
      </c>
      <c r="L31" s="21" t="str">
        <f>IF(H31="","",VLOOKUP(H31,pais[#ALL],2,0))</f>
        <v>Argentina</v>
      </c>
    </row>
    <row r="32">
      <c r="A32" s="21" t="str">
        <f>IFERROR(__xludf.DUMMYFUNCTION("""COMPUTED_VALUE"""),"31")</f>
        <v>31</v>
      </c>
      <c r="B32" s="21" t="str">
        <f>IFERROR(__xludf.DUMMYFUNCTION("""COMPUTED_VALUE"""),"P00113")</f>
        <v>P00113</v>
      </c>
      <c r="C32" s="21" t="str">
        <f>IFERROR(__xludf.DUMMYFUNCTION("""COMPUTED_VALUE"""),"Roberto Cruz")</f>
        <v>Roberto Cruz</v>
      </c>
      <c r="D32" s="21" t="str">
        <f>IFERROR(__xludf.DUMMYFUNCTION("""COMPUTED_VALUE"""),"27-23456789-3")</f>
        <v>27-23456789-3</v>
      </c>
      <c r="E32" s="21" t="str">
        <f>IFERROR(__xludf.DUMMYFUNCTION("""COMPUTED_VALUE"""),"2")</f>
        <v>2</v>
      </c>
      <c r="F32" s="21" t="str">
        <f>IFERROR(__xludf.DUMMYFUNCTION("""COMPUTED_VALUE"""),"5")</f>
        <v>5</v>
      </c>
      <c r="G32" s="21" t="str">
        <f>IFERROR(__xludf.DUMMYFUNCTION("""COMPUTED_VALUE"""),"1")</f>
        <v>1</v>
      </c>
      <c r="H32" s="21" t="str">
        <f>IFERROR(__xludf.DUMMYFUNCTION("""COMPUTED_VALUE"""),"1")</f>
        <v>1</v>
      </c>
      <c r="I32" s="21" t="str">
        <f>IF(E32="","",VLOOKUP(E32,tipo_organizacion[#ALL],2,0))</f>
        <v>Proveedor</v>
      </c>
      <c r="J32" s="21" t="str">
        <f>IF(F32="","",VLOOKUP(F32,razon_social[#ALL],2,0))</f>
        <v>COOP</v>
      </c>
      <c r="K32" s="21" t="str">
        <f>IF(G32="","",VLOOKUP(G32,tipo_contribuyente[#ALL],2,0))</f>
        <v>Responsable Inscripto</v>
      </c>
      <c r="L32" s="21" t="str">
        <f>IF(H32="","",VLOOKUP(H32,pais[#ALL],2,0))</f>
        <v>Argentina</v>
      </c>
    </row>
    <row r="33">
      <c r="A33" s="21" t="str">
        <f>IFERROR(__xludf.DUMMYFUNCTION("""COMPUTED_VALUE"""),"32")</f>
        <v>32</v>
      </c>
      <c r="B33" s="21" t="str">
        <f>IFERROR(__xludf.DUMMYFUNCTION("""COMPUTED_VALUE"""),"P00114")</f>
        <v>P00114</v>
      </c>
      <c r="C33" s="21" t="str">
        <f>IFERROR(__xludf.DUMMYFUNCTION("""COMPUTED_VALUE"""),"Patricia Gomez")</f>
        <v>Patricia Gomez</v>
      </c>
      <c r="D33" s="21" t="str">
        <f>IFERROR(__xludf.DUMMYFUNCTION("""COMPUTED_VALUE"""),"23-87654323-6")</f>
        <v>23-87654323-6</v>
      </c>
      <c r="E33" s="21" t="str">
        <f>IFERROR(__xludf.DUMMYFUNCTION("""COMPUTED_VALUE"""),"2")</f>
        <v>2</v>
      </c>
      <c r="F33" s="21" t="str">
        <f>IFERROR(__xludf.DUMMYFUNCTION("""COMPUTED_VALUE"""),"3")</f>
        <v>3</v>
      </c>
      <c r="G33" s="21" t="str">
        <f>IFERROR(__xludf.DUMMYFUNCTION("""COMPUTED_VALUE"""),"2")</f>
        <v>2</v>
      </c>
      <c r="H33" s="21" t="str">
        <f>IFERROR(__xludf.DUMMYFUNCTION("""COMPUTED_VALUE"""),"1")</f>
        <v>1</v>
      </c>
      <c r="I33" s="21" t="str">
        <f>IF(E33="","",VLOOKUP(E33,tipo_organizacion[#ALL],2,0))</f>
        <v>Proveedor</v>
      </c>
      <c r="J33" s="21" t="str">
        <f>IF(F33="","",VLOOKUP(F33,razon_social[#ALL],2,0))</f>
        <v>S.R.L</v>
      </c>
      <c r="K33" s="21" t="str">
        <f>IF(G33="","",VLOOKUP(G33,tipo_contribuyente[#ALL],2,0))</f>
        <v>Monotributista</v>
      </c>
      <c r="L33" s="21" t="str">
        <f>IF(H33="","",VLOOKUP(H33,pais[#ALL],2,0))</f>
        <v>Argentina</v>
      </c>
    </row>
    <row r="34">
      <c r="A34" s="21" t="str">
        <f>IFERROR(__xludf.DUMMYFUNCTION("""COMPUTED_VALUE"""),"33")</f>
        <v>33</v>
      </c>
      <c r="B34" s="21" t="str">
        <f>IFERROR(__xludf.DUMMYFUNCTION("""COMPUTED_VALUE"""),"P00115")</f>
        <v>P00115</v>
      </c>
      <c r="C34" s="21" t="str">
        <f>IFERROR(__xludf.DUMMYFUNCTION("""COMPUTED_VALUE"""),"Ernesto Ruiz")</f>
        <v>Ernesto Ruiz</v>
      </c>
      <c r="D34" s="21" t="str">
        <f>IFERROR(__xludf.DUMMYFUNCTION("""COMPUTED_VALUE"""),"33-65432198-7")</f>
        <v>33-65432198-7</v>
      </c>
      <c r="E34" s="21" t="str">
        <f>IFERROR(__xludf.DUMMYFUNCTION("""COMPUTED_VALUE"""),"2")</f>
        <v>2</v>
      </c>
      <c r="F34" s="21" t="str">
        <f>IFERROR(__xludf.DUMMYFUNCTION("""COMPUTED_VALUE"""),"2")</f>
        <v>2</v>
      </c>
      <c r="G34" s="21" t="str">
        <f>IFERROR(__xludf.DUMMYFUNCTION("""COMPUTED_VALUE"""),"3")</f>
        <v>3</v>
      </c>
      <c r="H34" s="21" t="str">
        <f>IFERROR(__xludf.DUMMYFUNCTION("""COMPUTED_VALUE"""),"1")</f>
        <v>1</v>
      </c>
      <c r="I34" s="21" t="str">
        <f>IF(E34="","",VLOOKUP(E34,tipo_organizacion[#ALL],2,0))</f>
        <v>Proveedor</v>
      </c>
      <c r="J34" s="21" t="str">
        <f>IF(F34="","",VLOOKUP(F34,razon_social[#ALL],2,0))</f>
        <v>S.A</v>
      </c>
      <c r="K34" s="21" t="str">
        <f>IF(G34="","",VLOOKUP(G34,tipo_contribuyente[#ALL],2,0))</f>
        <v>IVA Responsable</v>
      </c>
      <c r="L34" s="21" t="str">
        <f>IF(H34="","",VLOOKUP(H34,pais[#ALL],2,0))</f>
        <v>Argentina</v>
      </c>
    </row>
    <row r="35">
      <c r="A35" s="21" t="str">
        <f>IFERROR(__xludf.DUMMYFUNCTION("""COMPUTED_VALUE"""),"34")</f>
        <v>34</v>
      </c>
      <c r="B35" s="21" t="str">
        <f>IFERROR(__xludf.DUMMYFUNCTION("""COMPUTED_VALUE"""),"P00116")</f>
        <v>P00116</v>
      </c>
      <c r="C35" s="21" t="str">
        <f>IFERROR(__xludf.DUMMYFUNCTION("""COMPUTED_VALUE"""),"Valeria Ortega")</f>
        <v>Valeria Ortega</v>
      </c>
      <c r="D35" s="21" t="str">
        <f>IFERROR(__xludf.DUMMYFUNCTION("""COMPUTED_VALUE"""),"20-98765432-9")</f>
        <v>20-98765432-9</v>
      </c>
      <c r="E35" s="21" t="str">
        <f>IFERROR(__xludf.DUMMYFUNCTION("""COMPUTED_VALUE"""),"2")</f>
        <v>2</v>
      </c>
      <c r="F35" s="21" t="str">
        <f>IFERROR(__xludf.DUMMYFUNCTION("""COMPUTED_VALUE"""),"3")</f>
        <v>3</v>
      </c>
      <c r="G35" s="21" t="str">
        <f>IFERROR(__xludf.DUMMYFUNCTION("""COMPUTED_VALUE"""),"2")</f>
        <v>2</v>
      </c>
      <c r="H35" s="21" t="str">
        <f>IFERROR(__xludf.DUMMYFUNCTION("""COMPUTED_VALUE"""),"1")</f>
        <v>1</v>
      </c>
      <c r="I35" s="21" t="str">
        <f>IF(E35="","",VLOOKUP(E35,tipo_organizacion[#ALL],2,0))</f>
        <v>Proveedor</v>
      </c>
      <c r="J35" s="21" t="str">
        <f>IF(F35="","",VLOOKUP(F35,razon_social[#ALL],2,0))</f>
        <v>S.R.L</v>
      </c>
      <c r="K35" s="21" t="str">
        <f>IF(G35="","",VLOOKUP(G35,tipo_contribuyente[#ALL],2,0))</f>
        <v>Monotributista</v>
      </c>
      <c r="L35" s="21" t="str">
        <f>IF(H35="","",VLOOKUP(H35,pais[#ALL],2,0))</f>
        <v>Argentina</v>
      </c>
    </row>
    <row r="36">
      <c r="A36" s="21" t="str">
        <f>IFERROR(__xludf.DUMMYFUNCTION("""COMPUTED_VALUE"""),"35")</f>
        <v>35</v>
      </c>
      <c r="B36" s="21" t="str">
        <f>IFERROR(__xludf.DUMMYFUNCTION("""COMPUTED_VALUE"""),"P00117")</f>
        <v>P00117</v>
      </c>
      <c r="C36" s="21" t="str">
        <f>IFERROR(__xludf.DUMMYFUNCTION("""COMPUTED_VALUE"""),"Juan Castillo")</f>
        <v>Juan Castillo</v>
      </c>
      <c r="D36" s="21" t="str">
        <f>IFERROR(__xludf.DUMMYFUNCTION("""COMPUTED_VALUE"""),"30-87654321-0")</f>
        <v>30-87654321-0</v>
      </c>
      <c r="E36" s="21" t="str">
        <f>IFERROR(__xludf.DUMMYFUNCTION("""COMPUTED_VALUE"""),"2")</f>
        <v>2</v>
      </c>
      <c r="F36" s="21" t="str">
        <f>IFERROR(__xludf.DUMMYFUNCTION("""COMPUTED_VALUE"""),"2")</f>
        <v>2</v>
      </c>
      <c r="G36" s="21" t="str">
        <f>IFERROR(__xludf.DUMMYFUNCTION("""COMPUTED_VALUE"""),"3")</f>
        <v>3</v>
      </c>
      <c r="H36" s="21" t="str">
        <f>IFERROR(__xludf.DUMMYFUNCTION("""COMPUTED_VALUE"""),"1")</f>
        <v>1</v>
      </c>
      <c r="I36" s="21" t="str">
        <f>IF(E36="","",VLOOKUP(E36,tipo_organizacion[#ALL],2,0))</f>
        <v>Proveedor</v>
      </c>
      <c r="J36" s="21" t="str">
        <f>IF(F36="","",VLOOKUP(F36,razon_social[#ALL],2,0))</f>
        <v>S.A</v>
      </c>
      <c r="K36" s="21" t="str">
        <f>IF(G36="","",VLOOKUP(G36,tipo_contribuyente[#ALL],2,0))</f>
        <v>IVA Responsable</v>
      </c>
      <c r="L36" s="21" t="str">
        <f>IF(H36="","",VLOOKUP(H36,pais[#ALL],2,0))</f>
        <v>Argentina</v>
      </c>
    </row>
    <row r="37">
      <c r="A37" s="21" t="str">
        <f>IFERROR(__xludf.DUMMYFUNCTION("""COMPUTED_VALUE"""),"36")</f>
        <v>36</v>
      </c>
      <c r="B37" s="21" t="str">
        <f>IFERROR(__xludf.DUMMYFUNCTION("""COMPUTED_VALUE"""),"P00118")</f>
        <v>P00118</v>
      </c>
      <c r="C37" s="21" t="str">
        <f>IFERROR(__xludf.DUMMYFUNCTION("""COMPUTED_VALUE"""),"Sofia Martinez")</f>
        <v>Sofia Martinez</v>
      </c>
      <c r="D37" s="21" t="str">
        <f>IFERROR(__xludf.DUMMYFUNCTION("""COMPUTED_VALUE"""),"27-12345678-9")</f>
        <v>27-12345678-9</v>
      </c>
      <c r="E37" s="21" t="str">
        <f>IFERROR(__xludf.DUMMYFUNCTION("""COMPUTED_VALUE"""),"2")</f>
        <v>2</v>
      </c>
      <c r="F37" s="21" t="str">
        <f>IFERROR(__xludf.DUMMYFUNCTION("""COMPUTED_VALUE"""),"5")</f>
        <v>5</v>
      </c>
      <c r="G37" s="21" t="str">
        <f>IFERROR(__xludf.DUMMYFUNCTION("""COMPUTED_VALUE"""),"1")</f>
        <v>1</v>
      </c>
      <c r="H37" s="21" t="str">
        <f>IFERROR(__xludf.DUMMYFUNCTION("""COMPUTED_VALUE"""),"1")</f>
        <v>1</v>
      </c>
      <c r="I37" s="21" t="str">
        <f>IF(E37="","",VLOOKUP(E37,tipo_organizacion[#ALL],2,0))</f>
        <v>Proveedor</v>
      </c>
      <c r="J37" s="21" t="str">
        <f>IF(F37="","",VLOOKUP(F37,razon_social[#ALL],2,0))</f>
        <v>COOP</v>
      </c>
      <c r="K37" s="21" t="str">
        <f>IF(G37="","",VLOOKUP(G37,tipo_contribuyente[#ALL],2,0))</f>
        <v>Responsable Inscripto</v>
      </c>
      <c r="L37" s="21" t="str">
        <f>IF(H37="","",VLOOKUP(H37,pais[#ALL],2,0))</f>
        <v>Argentina</v>
      </c>
    </row>
    <row r="38">
      <c r="A38" s="21" t="str">
        <f>IFERROR(__xludf.DUMMYFUNCTION("""COMPUTED_VALUE"""),"37")</f>
        <v>37</v>
      </c>
      <c r="B38" s="21" t="str">
        <f>IFERROR(__xludf.DUMMYFUNCTION("""COMPUTED_VALUE"""),"P00119")</f>
        <v>P00119</v>
      </c>
      <c r="C38" s="21" t="str">
        <f>IFERROR(__xludf.DUMMYFUNCTION("""COMPUTED_VALUE"""),"Pablo Diaz")</f>
        <v>Pablo Diaz</v>
      </c>
      <c r="D38" s="21" t="str">
        <f>IFERROR(__xludf.DUMMYFUNCTION("""COMPUTED_VALUE"""),"23-87654329-8")</f>
        <v>23-87654329-8</v>
      </c>
      <c r="E38" s="21" t="str">
        <f>IFERROR(__xludf.DUMMYFUNCTION("""COMPUTED_VALUE"""),"2")</f>
        <v>2</v>
      </c>
      <c r="F38" s="21" t="str">
        <f>IFERROR(__xludf.DUMMYFUNCTION("""COMPUTED_VALUE"""),"3")</f>
        <v>3</v>
      </c>
      <c r="G38" s="21" t="str">
        <f>IFERROR(__xludf.DUMMYFUNCTION("""COMPUTED_VALUE"""),"2")</f>
        <v>2</v>
      </c>
      <c r="H38" s="21" t="str">
        <f>IFERROR(__xludf.DUMMYFUNCTION("""COMPUTED_VALUE"""),"1")</f>
        <v>1</v>
      </c>
      <c r="I38" s="21" t="str">
        <f>IF(E38="","",VLOOKUP(E38,tipo_organizacion[#ALL],2,0))</f>
        <v>Proveedor</v>
      </c>
      <c r="J38" s="21" t="str">
        <f>IF(F38="","",VLOOKUP(F38,razon_social[#ALL],2,0))</f>
        <v>S.R.L</v>
      </c>
      <c r="K38" s="21" t="str">
        <f>IF(G38="","",VLOOKUP(G38,tipo_contribuyente[#ALL],2,0))</f>
        <v>Monotributista</v>
      </c>
      <c r="L38" s="21" t="str">
        <f>IF(H38="","",VLOOKUP(H38,pais[#ALL],2,0))</f>
        <v>Argentina</v>
      </c>
    </row>
    <row r="39">
      <c r="A39" s="21" t="str">
        <f>IFERROR(__xludf.DUMMYFUNCTION("""COMPUTED_VALUE"""),"38")</f>
        <v>38</v>
      </c>
      <c r="B39" s="21" t="str">
        <f>IFERROR(__xludf.DUMMYFUNCTION("""COMPUTED_VALUE"""),"P00120")</f>
        <v>P00120</v>
      </c>
      <c r="C39" s="21" t="str">
        <f>IFERROR(__xludf.DUMMYFUNCTION("""COMPUTED_VALUE"""),"Isabel Ramirez")</f>
        <v>Isabel Ramirez</v>
      </c>
      <c r="D39" s="21" t="str">
        <f>IFERROR(__xludf.DUMMYFUNCTION("""COMPUTED_VALUE"""),"33-76543218-9")</f>
        <v>33-76543218-9</v>
      </c>
      <c r="E39" s="21" t="str">
        <f>IFERROR(__xludf.DUMMYFUNCTION("""COMPUTED_VALUE"""),"2")</f>
        <v>2</v>
      </c>
      <c r="F39" s="21" t="str">
        <f>IFERROR(__xludf.DUMMYFUNCTION("""COMPUTED_VALUE"""),"2")</f>
        <v>2</v>
      </c>
      <c r="G39" s="21" t="str">
        <f>IFERROR(__xludf.DUMMYFUNCTION("""COMPUTED_VALUE"""),"3")</f>
        <v>3</v>
      </c>
      <c r="H39" s="21" t="str">
        <f>IFERROR(__xludf.DUMMYFUNCTION("""COMPUTED_VALUE"""),"1")</f>
        <v>1</v>
      </c>
      <c r="I39" s="21" t="str">
        <f>IF(E39="","",VLOOKUP(E39,tipo_organizacion[#ALL],2,0))</f>
        <v>Proveedor</v>
      </c>
      <c r="J39" s="21" t="str">
        <f>IF(F39="","",VLOOKUP(F39,razon_social[#ALL],2,0))</f>
        <v>S.A</v>
      </c>
      <c r="K39" s="21" t="str">
        <f>IF(G39="","",VLOOKUP(G39,tipo_contribuyente[#ALL],2,0))</f>
        <v>IVA Responsable</v>
      </c>
      <c r="L39" s="21" t="str">
        <f>IF(H39="","",VLOOKUP(H39,pais[#ALL],2,0))</f>
        <v>Argentina</v>
      </c>
    </row>
    <row r="40">
      <c r="A40" s="21" t="str">
        <f>IFERROR(__xludf.DUMMYFUNCTION("""COMPUTED_VALUE"""),"39")</f>
        <v>39</v>
      </c>
      <c r="B40" s="21" t="str">
        <f>IFERROR(__xludf.DUMMYFUNCTION("""COMPUTED_VALUE"""),"P00121")</f>
        <v>P00121</v>
      </c>
      <c r="C40" s="21" t="str">
        <f>IFERROR(__xludf.DUMMYFUNCTION("""COMPUTED_VALUE"""),"Carla Medina")</f>
        <v>Carla Medina</v>
      </c>
      <c r="D40" s="21" t="str">
        <f>IFERROR(__xludf.DUMMYFUNCTION("""COMPUTED_VALUE"""),"20-34567890-1")</f>
        <v>20-34567890-1</v>
      </c>
      <c r="E40" s="21" t="str">
        <f>IFERROR(__xludf.DUMMYFUNCTION("""COMPUTED_VALUE"""),"2")</f>
        <v>2</v>
      </c>
      <c r="F40" s="21" t="str">
        <f>IFERROR(__xludf.DUMMYFUNCTION("""COMPUTED_VALUE"""),"3")</f>
        <v>3</v>
      </c>
      <c r="G40" s="21" t="str">
        <f>IFERROR(__xludf.DUMMYFUNCTION("""COMPUTED_VALUE"""),"2")</f>
        <v>2</v>
      </c>
      <c r="H40" s="21" t="str">
        <f>IFERROR(__xludf.DUMMYFUNCTION("""COMPUTED_VALUE"""),"1")</f>
        <v>1</v>
      </c>
      <c r="I40" s="21" t="str">
        <f>IF(E40="","",VLOOKUP(E40,tipo_organizacion[#ALL],2,0))</f>
        <v>Proveedor</v>
      </c>
      <c r="J40" s="21" t="str">
        <f>IF(F40="","",VLOOKUP(F40,razon_social[#ALL],2,0))</f>
        <v>S.R.L</v>
      </c>
      <c r="K40" s="21" t="str">
        <f>IF(G40="","",VLOOKUP(G40,tipo_contribuyente[#ALL],2,0))</f>
        <v>Monotributista</v>
      </c>
      <c r="L40" s="21" t="str">
        <f>IF(H40="","",VLOOKUP(H40,pais[#ALL],2,0))</f>
        <v>Argentina</v>
      </c>
    </row>
    <row r="41">
      <c r="A41" s="21" t="str">
        <f>IFERROR(__xludf.DUMMYFUNCTION("""COMPUTED_VALUE"""),"40")</f>
        <v>40</v>
      </c>
      <c r="B41" s="21" t="str">
        <f>IFERROR(__xludf.DUMMYFUNCTION("""COMPUTED_VALUE"""),"P00122")</f>
        <v>P00122</v>
      </c>
      <c r="C41" s="21" t="str">
        <f>IFERROR(__xludf.DUMMYFUNCTION("""COMPUTED_VALUE"""),"Manuel Fernandez")</f>
        <v>Manuel Fernandez</v>
      </c>
      <c r="D41" s="21" t="str">
        <f>IFERROR(__xludf.DUMMYFUNCTION("""COMPUTED_VALUE"""),"30-98765434-2")</f>
        <v>30-98765434-2</v>
      </c>
      <c r="E41" s="21" t="str">
        <f>IFERROR(__xludf.DUMMYFUNCTION("""COMPUTED_VALUE"""),"2")</f>
        <v>2</v>
      </c>
      <c r="F41" s="21" t="str">
        <f>IFERROR(__xludf.DUMMYFUNCTION("""COMPUTED_VALUE"""),"2")</f>
        <v>2</v>
      </c>
      <c r="G41" s="21" t="str">
        <f>IFERROR(__xludf.DUMMYFUNCTION("""COMPUTED_VALUE"""),"3")</f>
        <v>3</v>
      </c>
      <c r="H41" s="21" t="str">
        <f>IFERROR(__xludf.DUMMYFUNCTION("""COMPUTED_VALUE"""),"1")</f>
        <v>1</v>
      </c>
      <c r="I41" s="21" t="str">
        <f>IF(E41="","",VLOOKUP(E41,tipo_organizacion[#ALL],2,0))</f>
        <v>Proveedor</v>
      </c>
      <c r="J41" s="21" t="str">
        <f>IF(F41="","",VLOOKUP(F41,razon_social[#ALL],2,0))</f>
        <v>S.A</v>
      </c>
      <c r="K41" s="21" t="str">
        <f>IF(G41="","",VLOOKUP(G41,tipo_contribuyente[#ALL],2,0))</f>
        <v>IVA Responsable</v>
      </c>
      <c r="L41" s="21" t="str">
        <f>IF(H41="","",VLOOKUP(H41,pais[#ALL],2,0))</f>
        <v>Argentina</v>
      </c>
    </row>
    <row r="42">
      <c r="A42" s="21" t="str">
        <f>IFERROR(__xludf.DUMMYFUNCTION("""COMPUTED_VALUE"""),"41")</f>
        <v>41</v>
      </c>
      <c r="B42" s="21" t="str">
        <f>IFERROR(__xludf.DUMMYFUNCTION("""COMPUTED_VALUE"""),"P00123")</f>
        <v>P00123</v>
      </c>
      <c r="C42" s="21" t="str">
        <f>IFERROR(__xludf.DUMMYFUNCTION("""COMPUTED_VALUE"""),"Sofia Castro")</f>
        <v>Sofia Castro</v>
      </c>
      <c r="D42" s="21" t="str">
        <f>IFERROR(__xludf.DUMMYFUNCTION("""COMPUTED_VALUE"""),"27-87654321-0")</f>
        <v>27-87654321-0</v>
      </c>
      <c r="E42" s="21" t="str">
        <f>IFERROR(__xludf.DUMMYFUNCTION("""COMPUTED_VALUE"""),"2")</f>
        <v>2</v>
      </c>
      <c r="F42" s="21" t="str">
        <f>IFERROR(__xludf.DUMMYFUNCTION("""COMPUTED_VALUE"""),"2")</f>
        <v>2</v>
      </c>
      <c r="G42" s="21" t="str">
        <f>IFERROR(__xludf.DUMMYFUNCTION("""COMPUTED_VALUE"""),"2")</f>
        <v>2</v>
      </c>
      <c r="H42" s="21" t="str">
        <f>IFERROR(__xludf.DUMMYFUNCTION("""COMPUTED_VALUE"""),"1")</f>
        <v>1</v>
      </c>
      <c r="I42" s="21" t="str">
        <f>IF(E42="","",VLOOKUP(E42,tipo_organizacion[#ALL],2,0))</f>
        <v>Proveedor</v>
      </c>
      <c r="J42" s="21" t="str">
        <f>IF(F42="","",VLOOKUP(F42,razon_social[#ALL],2,0))</f>
        <v>S.A</v>
      </c>
      <c r="K42" s="21" t="str">
        <f>IF(G42="","",VLOOKUP(G42,tipo_contribuyente[#ALL],2,0))</f>
        <v>Monotributista</v>
      </c>
      <c r="L42" s="21" t="str">
        <f>IF(H42="","",VLOOKUP(H42,pais[#ALL],2,0))</f>
        <v>Argentina</v>
      </c>
    </row>
    <row r="43">
      <c r="A43" s="21" t="str">
        <f>IFERROR(__xludf.DUMMYFUNCTION("""COMPUTED_VALUE"""),"42")</f>
        <v>42</v>
      </c>
      <c r="B43" s="21" t="str">
        <f>IFERROR(__xludf.DUMMYFUNCTION("""COMPUTED_VALUE"""),"P00124")</f>
        <v>P00124</v>
      </c>
      <c r="C43" s="21" t="str">
        <f>IFERROR(__xludf.DUMMYFUNCTION("""COMPUTED_VALUE"""),"Ricardo Lopez")</f>
        <v>Ricardo Lopez</v>
      </c>
      <c r="D43" s="21" t="str">
        <f>IFERROR(__xludf.DUMMYFUNCTION("""COMPUTED_VALUE"""),"23-98765432-4")</f>
        <v>23-98765432-4</v>
      </c>
      <c r="E43" s="21" t="str">
        <f>IFERROR(__xludf.DUMMYFUNCTION("""COMPUTED_VALUE"""),"2")</f>
        <v>2</v>
      </c>
      <c r="F43" s="21" t="str">
        <f>IFERROR(__xludf.DUMMYFUNCTION("""COMPUTED_VALUE"""),"3")</f>
        <v>3</v>
      </c>
      <c r="G43" s="21" t="str">
        <f>IFERROR(__xludf.DUMMYFUNCTION("""COMPUTED_VALUE"""),"3")</f>
        <v>3</v>
      </c>
      <c r="H43" s="21" t="str">
        <f>IFERROR(__xludf.DUMMYFUNCTION("""COMPUTED_VALUE"""),"1")</f>
        <v>1</v>
      </c>
      <c r="I43" s="21" t="str">
        <f>IF(E43="","",VLOOKUP(E43,tipo_organizacion[#ALL],2,0))</f>
        <v>Proveedor</v>
      </c>
      <c r="J43" s="21" t="str">
        <f>IF(F43="","",VLOOKUP(F43,razon_social[#ALL],2,0))</f>
        <v>S.R.L</v>
      </c>
      <c r="K43" s="21" t="str">
        <f>IF(G43="","",VLOOKUP(G43,tipo_contribuyente[#ALL],2,0))</f>
        <v>IVA Responsable</v>
      </c>
      <c r="L43" s="21" t="str">
        <f>IF(H43="","",VLOOKUP(H43,pais[#ALL],2,0))</f>
        <v>Argentina</v>
      </c>
    </row>
    <row r="44">
      <c r="A44" s="21" t="str">
        <f>IFERROR(__xludf.DUMMYFUNCTION("""COMPUTED_VALUE"""),"43")</f>
        <v>43</v>
      </c>
      <c r="B44" s="21" t="str">
        <f>IFERROR(__xludf.DUMMYFUNCTION("""COMPUTED_VALUE"""),"P00125")</f>
        <v>P00125</v>
      </c>
      <c r="C44" s="21" t="str">
        <f>IFERROR(__xludf.DUMMYFUNCTION("""COMPUTED_VALUE"""),"Gabriela Martinez")</f>
        <v>Gabriela Martinez</v>
      </c>
      <c r="D44" s="21" t="str">
        <f>IFERROR(__xludf.DUMMYFUNCTION("""COMPUTED_VALUE"""),"33-12345678-9")</f>
        <v>33-12345678-9</v>
      </c>
      <c r="E44" s="21" t="str">
        <f>IFERROR(__xludf.DUMMYFUNCTION("""COMPUTED_VALUE"""),"2")</f>
        <v>2</v>
      </c>
      <c r="F44" s="21" t="str">
        <f>IFERROR(__xludf.DUMMYFUNCTION("""COMPUTED_VALUE"""),"5")</f>
        <v>5</v>
      </c>
      <c r="G44" s="21" t="str">
        <f>IFERROR(__xludf.DUMMYFUNCTION("""COMPUTED_VALUE"""),"2")</f>
        <v>2</v>
      </c>
      <c r="H44" s="21" t="str">
        <f>IFERROR(__xludf.DUMMYFUNCTION("""COMPUTED_VALUE"""),"1")</f>
        <v>1</v>
      </c>
      <c r="I44" s="21" t="str">
        <f>IF(E44="","",VLOOKUP(E44,tipo_organizacion[#ALL],2,0))</f>
        <v>Proveedor</v>
      </c>
      <c r="J44" s="21" t="str">
        <f>IF(F44="","",VLOOKUP(F44,razon_social[#ALL],2,0))</f>
        <v>COOP</v>
      </c>
      <c r="K44" s="21" t="str">
        <f>IF(G44="","",VLOOKUP(G44,tipo_contribuyente[#ALL],2,0))</f>
        <v>Monotributista</v>
      </c>
      <c r="L44" s="21" t="str">
        <f>IF(H44="","",VLOOKUP(H44,pais[#ALL],2,0))</f>
        <v>Argentina</v>
      </c>
    </row>
    <row r="45">
      <c r="A45" s="21" t="str">
        <f>IFERROR(__xludf.DUMMYFUNCTION("""COMPUTED_VALUE"""),"44")</f>
        <v>44</v>
      </c>
      <c r="B45" s="21" t="str">
        <f>IFERROR(__xludf.DUMMYFUNCTION("""COMPUTED_VALUE"""),"P00126")</f>
        <v>P00126</v>
      </c>
      <c r="C45" s="21" t="str">
        <f>IFERROR(__xludf.DUMMYFUNCTION("""COMPUTED_VALUE"""),"Pablo Vargas")</f>
        <v>Pablo Vargas</v>
      </c>
      <c r="D45" s="21" t="str">
        <f>IFERROR(__xludf.DUMMYFUNCTION("""COMPUTED_VALUE"""),"20-23456789-1")</f>
        <v>20-23456789-1</v>
      </c>
      <c r="E45" s="21" t="str">
        <f>IFERROR(__xludf.DUMMYFUNCTION("""COMPUTED_VALUE"""),"2")</f>
        <v>2</v>
      </c>
      <c r="F45" s="21" t="str">
        <f>IFERROR(__xludf.DUMMYFUNCTION("""COMPUTED_VALUE"""),"2")</f>
        <v>2</v>
      </c>
      <c r="G45" s="21" t="str">
        <f>IFERROR(__xludf.DUMMYFUNCTION("""COMPUTED_VALUE"""),"3")</f>
        <v>3</v>
      </c>
      <c r="H45" s="21" t="str">
        <f>IFERROR(__xludf.DUMMYFUNCTION("""COMPUTED_VALUE"""),"1")</f>
        <v>1</v>
      </c>
      <c r="I45" s="21" t="str">
        <f>IF(E45="","",VLOOKUP(E45,tipo_organizacion[#ALL],2,0))</f>
        <v>Proveedor</v>
      </c>
      <c r="J45" s="21" t="str">
        <f>IF(F45="","",VLOOKUP(F45,razon_social[#ALL],2,0))</f>
        <v>S.A</v>
      </c>
      <c r="K45" s="21" t="str">
        <f>IF(G45="","",VLOOKUP(G45,tipo_contribuyente[#ALL],2,0))</f>
        <v>IVA Responsable</v>
      </c>
      <c r="L45" s="21" t="str">
        <f>IF(H45="","",VLOOKUP(H45,pais[#ALL],2,0))</f>
        <v>Argentina</v>
      </c>
    </row>
    <row r="46">
      <c r="A46" s="21" t="str">
        <f>IFERROR(__xludf.DUMMYFUNCTION("""COMPUTED_VALUE"""),"45")</f>
        <v>45</v>
      </c>
      <c r="B46" s="21" t="str">
        <f>IFERROR(__xludf.DUMMYFUNCTION("""COMPUTED_VALUE"""),"P00127")</f>
        <v>P00127</v>
      </c>
      <c r="C46" s="21" t="str">
        <f>IFERROR(__xludf.DUMMYFUNCTION("""COMPUTED_VALUE"""),"Laura Fernandez")</f>
        <v>Laura Fernandez</v>
      </c>
      <c r="D46" s="21" t="str">
        <f>IFERROR(__xludf.DUMMYFUNCTION("""COMPUTED_VALUE"""),"30-34567890-3")</f>
        <v>30-34567890-3</v>
      </c>
      <c r="E46" s="21" t="str">
        <f>IFERROR(__xludf.DUMMYFUNCTION("""COMPUTED_VALUE"""),"2")</f>
        <v>2</v>
      </c>
      <c r="F46" s="21" t="str">
        <f>IFERROR(__xludf.DUMMYFUNCTION("""COMPUTED_VALUE"""),"3")</f>
        <v>3</v>
      </c>
      <c r="G46" s="21" t="str">
        <f>IFERROR(__xludf.DUMMYFUNCTION("""COMPUTED_VALUE"""),"2")</f>
        <v>2</v>
      </c>
      <c r="H46" s="21" t="str">
        <f>IFERROR(__xludf.DUMMYFUNCTION("""COMPUTED_VALUE"""),"1")</f>
        <v>1</v>
      </c>
      <c r="I46" s="21" t="str">
        <f>IF(E46="","",VLOOKUP(E46,tipo_organizacion[#ALL],2,0))</f>
        <v>Proveedor</v>
      </c>
      <c r="J46" s="21" t="str">
        <f>IF(F46="","",VLOOKUP(F46,razon_social[#ALL],2,0))</f>
        <v>S.R.L</v>
      </c>
      <c r="K46" s="21" t="str">
        <f>IF(G46="","",VLOOKUP(G46,tipo_contribuyente[#ALL],2,0))</f>
        <v>Monotributista</v>
      </c>
      <c r="L46" s="21" t="str">
        <f>IF(H46="","",VLOOKUP(H46,pais[#ALL],2,0))</f>
        <v>Argentina</v>
      </c>
    </row>
    <row r="47">
      <c r="A47" s="21" t="str">
        <f>IFERROR(__xludf.DUMMYFUNCTION("""COMPUTED_VALUE"""),"46")</f>
        <v>46</v>
      </c>
      <c r="B47" s="21" t="str">
        <f>IFERROR(__xludf.DUMMYFUNCTION("""COMPUTED_VALUE"""),"P00128")</f>
        <v>P00128</v>
      </c>
      <c r="C47" s="21" t="str">
        <f>IFERROR(__xludf.DUMMYFUNCTION("""COMPUTED_VALUE"""),"Javier Gonzalez")</f>
        <v>Javier Gonzalez</v>
      </c>
      <c r="D47" s="21" t="str">
        <f>IFERROR(__xludf.DUMMYFUNCTION("""COMPUTED_VALUE"""),"27-98765432-5")</f>
        <v>27-98765432-5</v>
      </c>
      <c r="E47" s="21" t="str">
        <f>IFERROR(__xludf.DUMMYFUNCTION("""COMPUTED_VALUE"""),"2")</f>
        <v>2</v>
      </c>
      <c r="F47" s="21" t="str">
        <f>IFERROR(__xludf.DUMMYFUNCTION("""COMPUTED_VALUE"""),"2")</f>
        <v>2</v>
      </c>
      <c r="G47" s="21" t="str">
        <f>IFERROR(__xludf.DUMMYFUNCTION("""COMPUTED_VALUE"""),"3")</f>
        <v>3</v>
      </c>
      <c r="H47" s="21" t="str">
        <f>IFERROR(__xludf.DUMMYFUNCTION("""COMPUTED_VALUE"""),"1")</f>
        <v>1</v>
      </c>
      <c r="I47" s="21" t="str">
        <f>IF(E47="","",VLOOKUP(E47,tipo_organizacion[#ALL],2,0))</f>
        <v>Proveedor</v>
      </c>
      <c r="J47" s="21" t="str">
        <f>IF(F47="","",VLOOKUP(F47,razon_social[#ALL],2,0))</f>
        <v>S.A</v>
      </c>
      <c r="K47" s="21" t="str">
        <f>IF(G47="","",VLOOKUP(G47,tipo_contribuyente[#ALL],2,0))</f>
        <v>IVA Responsable</v>
      </c>
      <c r="L47" s="21" t="str">
        <f>IF(H47="","",VLOOKUP(H47,pais[#ALL],2,0))</f>
        <v>Argentina</v>
      </c>
    </row>
    <row r="48">
      <c r="A48" s="21" t="str">
        <f>IFERROR(__xludf.DUMMYFUNCTION("""COMPUTED_VALUE"""),"47")</f>
        <v>47</v>
      </c>
      <c r="B48" s="21" t="str">
        <f>IFERROR(__xludf.DUMMYFUNCTION("""COMPUTED_VALUE"""),"P00129")</f>
        <v>P00129</v>
      </c>
      <c r="C48" s="21" t="str">
        <f>IFERROR(__xludf.DUMMYFUNCTION("""COMPUTED_VALUE"""),"Patricia Rivas")</f>
        <v>Patricia Rivas</v>
      </c>
      <c r="D48" s="21" t="str">
        <f>IFERROR(__xludf.DUMMYFUNCTION("""COMPUTED_VALUE"""),"23-45678901-7")</f>
        <v>23-45678901-7</v>
      </c>
      <c r="E48" s="21" t="str">
        <f>IFERROR(__xludf.DUMMYFUNCTION("""COMPUTED_VALUE"""),"2")</f>
        <v>2</v>
      </c>
      <c r="F48" s="21" t="str">
        <f>IFERROR(__xludf.DUMMYFUNCTION("""COMPUTED_VALUE"""),"3")</f>
        <v>3</v>
      </c>
      <c r="G48" s="21" t="str">
        <f>IFERROR(__xludf.DUMMYFUNCTION("""COMPUTED_VALUE"""),"2")</f>
        <v>2</v>
      </c>
      <c r="H48" s="21" t="str">
        <f>IFERROR(__xludf.DUMMYFUNCTION("""COMPUTED_VALUE"""),"1")</f>
        <v>1</v>
      </c>
      <c r="I48" s="21" t="str">
        <f>IF(E48="","",VLOOKUP(E48,tipo_organizacion[#ALL],2,0))</f>
        <v>Proveedor</v>
      </c>
      <c r="J48" s="21" t="str">
        <f>IF(F48="","",VLOOKUP(F48,razon_social[#ALL],2,0))</f>
        <v>S.R.L</v>
      </c>
      <c r="K48" s="21" t="str">
        <f>IF(G48="","",VLOOKUP(G48,tipo_contribuyente[#ALL],2,0))</f>
        <v>Monotributista</v>
      </c>
      <c r="L48" s="21" t="str">
        <f>IF(H48="","",VLOOKUP(H48,pais[#ALL],2,0))</f>
        <v>Argentina</v>
      </c>
    </row>
    <row r="49">
      <c r="A49" s="21" t="str">
        <f>IFERROR(__xludf.DUMMYFUNCTION("""COMPUTED_VALUE"""),"48")</f>
        <v>48</v>
      </c>
      <c r="B49" s="21" t="str">
        <f>IFERROR(__xludf.DUMMYFUNCTION("""COMPUTED_VALUE"""),"P00130")</f>
        <v>P00130</v>
      </c>
      <c r="C49" s="21" t="str">
        <f>IFERROR(__xludf.DUMMYFUNCTION("""COMPUTED_VALUE"""),"Fernando Reyes")</f>
        <v>Fernando Reyes</v>
      </c>
      <c r="D49" s="21" t="str">
        <f>IFERROR(__xludf.DUMMYFUNCTION("""COMPUTED_VALUE"""),"33-56789012-6")</f>
        <v>33-56789012-6</v>
      </c>
      <c r="E49" s="21" t="str">
        <f>IFERROR(__xludf.DUMMYFUNCTION("""COMPUTED_VALUE"""),"2")</f>
        <v>2</v>
      </c>
      <c r="F49" s="21" t="str">
        <f>IFERROR(__xludf.DUMMYFUNCTION("""COMPUTED_VALUE"""),"5")</f>
        <v>5</v>
      </c>
      <c r="G49" s="21" t="str">
        <f>IFERROR(__xludf.DUMMYFUNCTION("""COMPUTED_VALUE"""),"3")</f>
        <v>3</v>
      </c>
      <c r="H49" s="21" t="str">
        <f>IFERROR(__xludf.DUMMYFUNCTION("""COMPUTED_VALUE"""),"1")</f>
        <v>1</v>
      </c>
      <c r="I49" s="21" t="str">
        <f>IF(E49="","",VLOOKUP(E49,tipo_organizacion[#ALL],2,0))</f>
        <v>Proveedor</v>
      </c>
      <c r="J49" s="21" t="str">
        <f>IF(F49="","",VLOOKUP(F49,razon_social[#ALL],2,0))</f>
        <v>COOP</v>
      </c>
      <c r="K49" s="21" t="str">
        <f>IF(G49="","",VLOOKUP(G49,tipo_contribuyente[#ALL],2,0))</f>
        <v>IVA Responsable</v>
      </c>
      <c r="L49" s="21" t="str">
        <f>IF(H49="","",VLOOKUP(H49,pais[#ALL],2,0))</f>
        <v>Argentina</v>
      </c>
    </row>
    <row r="50">
      <c r="A50" s="21" t="str">
        <f>IFERROR(__xludf.DUMMYFUNCTION("""COMPUTED_VALUE"""),"49")</f>
        <v>49</v>
      </c>
      <c r="B50" s="21" t="str">
        <f>IFERROR(__xludf.DUMMYFUNCTION("""COMPUTED_VALUE"""),"P00131")</f>
        <v>P00131</v>
      </c>
      <c r="C50" s="21" t="str">
        <f>IFERROR(__xludf.DUMMYFUNCTION("""COMPUTED_VALUE"""),"Valentina Ortega")</f>
        <v>Valentina Ortega</v>
      </c>
      <c r="D50" s="21" t="str">
        <f>IFERROR(__xludf.DUMMYFUNCTION("""COMPUTED_VALUE"""),"20-87654321-2")</f>
        <v>20-87654321-2</v>
      </c>
      <c r="E50" s="21" t="str">
        <f>IFERROR(__xludf.DUMMYFUNCTION("""COMPUTED_VALUE"""),"2")</f>
        <v>2</v>
      </c>
      <c r="F50" s="21" t="str">
        <f>IFERROR(__xludf.DUMMYFUNCTION("""COMPUTED_VALUE"""),"3")</f>
        <v>3</v>
      </c>
      <c r="G50" s="21" t="str">
        <f>IFERROR(__xludf.DUMMYFUNCTION("""COMPUTED_VALUE"""),"2")</f>
        <v>2</v>
      </c>
      <c r="H50" s="21" t="str">
        <f>IFERROR(__xludf.DUMMYFUNCTION("""COMPUTED_VALUE"""),"1")</f>
        <v>1</v>
      </c>
      <c r="I50" s="21" t="str">
        <f>IF(E50="","",VLOOKUP(E50,tipo_organizacion[#ALL],2,0))</f>
        <v>Proveedor</v>
      </c>
      <c r="J50" s="21" t="str">
        <f>IF(F50="","",VLOOKUP(F50,razon_social[#ALL],2,0))</f>
        <v>S.R.L</v>
      </c>
      <c r="K50" s="21" t="str">
        <f>IF(G50="","",VLOOKUP(G50,tipo_contribuyente[#ALL],2,0))</f>
        <v>Monotributista</v>
      </c>
      <c r="L50" s="21" t="str">
        <f>IF(H50="","",VLOOKUP(H50,pais[#ALL],2,0))</f>
        <v>Argentina</v>
      </c>
    </row>
    <row r="51">
      <c r="A51" s="21" t="str">
        <f>IFERROR(__xludf.DUMMYFUNCTION("""COMPUTED_VALUE"""),"50")</f>
        <v>50</v>
      </c>
      <c r="B51" s="21" t="str">
        <f>IFERROR(__xludf.DUMMYFUNCTION("""COMPUTED_VALUE"""),"P00132")</f>
        <v>P00132</v>
      </c>
      <c r="C51" s="21" t="str">
        <f>IFERROR(__xludf.DUMMYFUNCTION("""COMPUTED_VALUE"""),"Andres Ruiz")</f>
        <v>Andres Ruiz</v>
      </c>
      <c r="D51" s="21" t="str">
        <f>IFERROR(__xludf.DUMMYFUNCTION("""COMPUTED_VALUE"""),"30-12345678-9")</f>
        <v>30-12345678-9</v>
      </c>
      <c r="E51" s="21" t="str">
        <f>IFERROR(__xludf.DUMMYFUNCTION("""COMPUTED_VALUE"""),"2")</f>
        <v>2</v>
      </c>
      <c r="F51" s="21" t="str">
        <f>IFERROR(__xludf.DUMMYFUNCTION("""COMPUTED_VALUE"""),"2")</f>
        <v>2</v>
      </c>
      <c r="G51" s="21" t="str">
        <f>IFERROR(__xludf.DUMMYFUNCTION("""COMPUTED_VALUE"""),"3")</f>
        <v>3</v>
      </c>
      <c r="H51" s="21" t="str">
        <f>IFERROR(__xludf.DUMMYFUNCTION("""COMPUTED_VALUE"""),"1")</f>
        <v>1</v>
      </c>
      <c r="I51" s="21" t="str">
        <f>IF(E51="","",VLOOKUP(E51,tipo_organizacion[#ALL],2,0))</f>
        <v>Proveedor</v>
      </c>
      <c r="J51" s="21" t="str">
        <f>IF(F51="","",VLOOKUP(F51,razon_social[#ALL],2,0))</f>
        <v>S.A</v>
      </c>
      <c r="K51" s="21" t="str">
        <f>IF(G51="","",VLOOKUP(G51,tipo_contribuyente[#ALL],2,0))</f>
        <v>IVA Responsable</v>
      </c>
      <c r="L51" s="21" t="str">
        <f>IF(H51="","",VLOOKUP(H51,pais[#ALL],2,0))</f>
        <v>Argentina</v>
      </c>
    </row>
    <row r="52">
      <c r="A52" s="21" t="str">
        <f>IFERROR(__xludf.DUMMYFUNCTION("""COMPUTED_VALUE"""),"51")</f>
        <v>51</v>
      </c>
      <c r="B52" s="21" t="str">
        <f>IFERROR(__xludf.DUMMYFUNCTION("""COMPUTED_VALUE"""),"P00133")</f>
        <v>P00133</v>
      </c>
      <c r="C52" s="21" t="str">
        <f>IFERROR(__xludf.DUMMYFUNCTION("""COMPUTED_VALUE"""),"Daniela Fernandez")</f>
        <v>Daniela Fernandez</v>
      </c>
      <c r="D52" s="21" t="str">
        <f>IFERROR(__xludf.DUMMYFUNCTION("""COMPUTED_VALUE"""),"27-23456789-4")</f>
        <v>27-23456789-4</v>
      </c>
      <c r="E52" s="21" t="str">
        <f>IFERROR(__xludf.DUMMYFUNCTION("""COMPUTED_VALUE"""),"2")</f>
        <v>2</v>
      </c>
      <c r="F52" s="21" t="str">
        <f>IFERROR(__xludf.DUMMYFUNCTION("""COMPUTED_VALUE"""),"2")</f>
        <v>2</v>
      </c>
      <c r="G52" s="21" t="str">
        <f>IFERROR(__xludf.DUMMYFUNCTION("""COMPUTED_VALUE"""),"2")</f>
        <v>2</v>
      </c>
      <c r="H52" s="21" t="str">
        <f>IFERROR(__xludf.DUMMYFUNCTION("""COMPUTED_VALUE"""),"1")</f>
        <v>1</v>
      </c>
      <c r="I52" s="21" t="str">
        <f>IF(E52="","",VLOOKUP(E52,tipo_organizacion[#ALL],2,0))</f>
        <v>Proveedor</v>
      </c>
      <c r="J52" s="21" t="str">
        <f>IF(F52="","",VLOOKUP(F52,razon_social[#ALL],2,0))</f>
        <v>S.A</v>
      </c>
      <c r="K52" s="21" t="str">
        <f>IF(G52="","",VLOOKUP(G52,tipo_contribuyente[#ALL],2,0))</f>
        <v>Monotributista</v>
      </c>
      <c r="L52" s="21" t="str">
        <f>IF(H52="","",VLOOKUP(H52,pais[#ALL],2,0))</f>
        <v>Argentina</v>
      </c>
    </row>
    <row r="53">
      <c r="A53" s="21" t="str">
        <f>IFERROR(__xludf.DUMMYFUNCTION("""COMPUTED_VALUE"""),"52")</f>
        <v>52</v>
      </c>
      <c r="B53" s="21" t="str">
        <f>IFERROR(__xludf.DUMMYFUNCTION("""COMPUTED_VALUE"""),"P00134")</f>
        <v>P00134</v>
      </c>
      <c r="C53" s="21" t="str">
        <f>IFERROR(__xludf.DUMMYFUNCTION("""COMPUTED_VALUE"""),"Luis Gomez")</f>
        <v>Luis Gomez</v>
      </c>
      <c r="D53" s="21" t="str">
        <f>IFERROR(__xludf.DUMMYFUNCTION("""COMPUTED_VALUE"""),"23-34567890-7")</f>
        <v>23-34567890-7</v>
      </c>
      <c r="E53" s="21" t="str">
        <f>IFERROR(__xludf.DUMMYFUNCTION("""COMPUTED_VALUE"""),"2")</f>
        <v>2</v>
      </c>
      <c r="F53" s="21" t="str">
        <f>IFERROR(__xludf.DUMMYFUNCTION("""COMPUTED_VALUE"""),"3")</f>
        <v>3</v>
      </c>
      <c r="G53" s="21" t="str">
        <f>IFERROR(__xludf.DUMMYFUNCTION("""COMPUTED_VALUE"""),"3")</f>
        <v>3</v>
      </c>
      <c r="H53" s="21" t="str">
        <f>IFERROR(__xludf.DUMMYFUNCTION("""COMPUTED_VALUE"""),"1")</f>
        <v>1</v>
      </c>
      <c r="I53" s="21" t="str">
        <f>IF(E53="","",VLOOKUP(E53,tipo_organizacion[#ALL],2,0))</f>
        <v>Proveedor</v>
      </c>
      <c r="J53" s="21" t="str">
        <f>IF(F53="","",VLOOKUP(F53,razon_social[#ALL],2,0))</f>
        <v>S.R.L</v>
      </c>
      <c r="K53" s="21" t="str">
        <f>IF(G53="","",VLOOKUP(G53,tipo_contribuyente[#ALL],2,0))</f>
        <v>IVA Responsable</v>
      </c>
      <c r="L53" s="21" t="str">
        <f>IF(H53="","",VLOOKUP(H53,pais[#ALL],2,0))</f>
        <v>Argentina</v>
      </c>
    </row>
    <row r="54">
      <c r="A54" s="21" t="str">
        <f>IFERROR(__xludf.DUMMYFUNCTION("""COMPUTED_VALUE"""),"53")</f>
        <v>53</v>
      </c>
      <c r="B54" s="21" t="str">
        <f>IFERROR(__xludf.DUMMYFUNCTION("""COMPUTED_VALUE"""),"P00135")</f>
        <v>P00135</v>
      </c>
      <c r="C54" s="21" t="str">
        <f>IFERROR(__xludf.DUMMYFUNCTION("""COMPUTED_VALUE"""),"Marcela Jimenez")</f>
        <v>Marcela Jimenez</v>
      </c>
      <c r="D54" s="21" t="str">
        <f>IFERROR(__xludf.DUMMYFUNCTION("""COMPUTED_VALUE"""),"33-45678901-8")</f>
        <v>33-45678901-8</v>
      </c>
      <c r="E54" s="21" t="str">
        <f>IFERROR(__xludf.DUMMYFUNCTION("""COMPUTED_VALUE"""),"2")</f>
        <v>2</v>
      </c>
      <c r="F54" s="21" t="str">
        <f>IFERROR(__xludf.DUMMYFUNCTION("""COMPUTED_VALUE"""),"5")</f>
        <v>5</v>
      </c>
      <c r="G54" s="21" t="str">
        <f>IFERROR(__xludf.DUMMYFUNCTION("""COMPUTED_VALUE"""),"2")</f>
        <v>2</v>
      </c>
      <c r="H54" s="21" t="str">
        <f>IFERROR(__xludf.DUMMYFUNCTION("""COMPUTED_VALUE"""),"1")</f>
        <v>1</v>
      </c>
      <c r="I54" s="21" t="str">
        <f>IF(E54="","",VLOOKUP(E54,tipo_organizacion[#ALL],2,0))</f>
        <v>Proveedor</v>
      </c>
      <c r="J54" s="21" t="str">
        <f>IF(F54="","",VLOOKUP(F54,razon_social[#ALL],2,0))</f>
        <v>COOP</v>
      </c>
      <c r="K54" s="21" t="str">
        <f>IF(G54="","",VLOOKUP(G54,tipo_contribuyente[#ALL],2,0))</f>
        <v>Monotributista</v>
      </c>
      <c r="L54" s="21" t="str">
        <f>IF(H54="","",VLOOKUP(H54,pais[#ALL],2,0))</f>
        <v>Argentina</v>
      </c>
    </row>
    <row r="55">
      <c r="A55" s="21" t="str">
        <f>IFERROR(__xludf.DUMMYFUNCTION("""COMPUTED_VALUE"""),"54")</f>
        <v>54</v>
      </c>
      <c r="B55" s="21" t="str">
        <f>IFERROR(__xludf.DUMMYFUNCTION("""COMPUTED_VALUE"""),"P00136")</f>
        <v>P00136</v>
      </c>
      <c r="C55" s="21" t="str">
        <f>IFERROR(__xludf.DUMMYFUNCTION("""COMPUTED_VALUE"""),"Roberto Diaz")</f>
        <v>Roberto Diaz</v>
      </c>
      <c r="D55" s="21" t="str">
        <f>IFERROR(__xludf.DUMMYFUNCTION("""COMPUTED_VALUE"""),"20-56789012-3")</f>
        <v>20-56789012-3</v>
      </c>
      <c r="E55" s="21" t="str">
        <f>IFERROR(__xludf.DUMMYFUNCTION("""COMPUTED_VALUE"""),"2")</f>
        <v>2</v>
      </c>
      <c r="F55" s="21" t="str">
        <f>IFERROR(__xludf.DUMMYFUNCTION("""COMPUTED_VALUE"""),"2")</f>
        <v>2</v>
      </c>
      <c r="G55" s="21" t="str">
        <f>IFERROR(__xludf.DUMMYFUNCTION("""COMPUTED_VALUE"""),"3")</f>
        <v>3</v>
      </c>
      <c r="H55" s="21" t="str">
        <f>IFERROR(__xludf.DUMMYFUNCTION("""COMPUTED_VALUE"""),"1")</f>
        <v>1</v>
      </c>
      <c r="I55" s="21" t="str">
        <f>IF(E55="","",VLOOKUP(E55,tipo_organizacion[#ALL],2,0))</f>
        <v>Proveedor</v>
      </c>
      <c r="J55" s="21" t="str">
        <f>IF(F55="","",VLOOKUP(F55,razon_social[#ALL],2,0))</f>
        <v>S.A</v>
      </c>
      <c r="K55" s="21" t="str">
        <f>IF(G55="","",VLOOKUP(G55,tipo_contribuyente[#ALL],2,0))</f>
        <v>IVA Responsable</v>
      </c>
      <c r="L55" s="21" t="str">
        <f>IF(H55="","",VLOOKUP(H55,pais[#ALL],2,0))</f>
        <v>Argentina</v>
      </c>
    </row>
    <row r="56">
      <c r="A56" s="21" t="str">
        <f>IFERROR(__xludf.DUMMYFUNCTION("""COMPUTED_VALUE"""),"55")</f>
        <v>55</v>
      </c>
      <c r="B56" s="21" t="str">
        <f>IFERROR(__xludf.DUMMYFUNCTION("""COMPUTED_VALUE"""),"P00137")</f>
        <v>P00137</v>
      </c>
      <c r="C56" s="21" t="str">
        <f>IFERROR(__xludf.DUMMYFUNCTION("""COMPUTED_VALUE"""),"Camila Martinez")</f>
        <v>Camila Martinez</v>
      </c>
      <c r="D56" s="21" t="str">
        <f>IFERROR(__xludf.DUMMYFUNCTION("""COMPUTED_VALUE"""),"30-67890123-4")</f>
        <v>30-67890123-4</v>
      </c>
      <c r="E56" s="21" t="str">
        <f>IFERROR(__xludf.DUMMYFUNCTION("""COMPUTED_VALUE"""),"2")</f>
        <v>2</v>
      </c>
      <c r="F56" s="21" t="str">
        <f>IFERROR(__xludf.DUMMYFUNCTION("""COMPUTED_VALUE"""),"3")</f>
        <v>3</v>
      </c>
      <c r="G56" s="21" t="str">
        <f>IFERROR(__xludf.DUMMYFUNCTION("""COMPUTED_VALUE"""),"2")</f>
        <v>2</v>
      </c>
      <c r="H56" s="21" t="str">
        <f>IFERROR(__xludf.DUMMYFUNCTION("""COMPUTED_VALUE"""),"1")</f>
        <v>1</v>
      </c>
      <c r="I56" s="21" t="str">
        <f>IF(E56="","",VLOOKUP(E56,tipo_organizacion[#ALL],2,0))</f>
        <v>Proveedor</v>
      </c>
      <c r="J56" s="21" t="str">
        <f>IF(F56="","",VLOOKUP(F56,razon_social[#ALL],2,0))</f>
        <v>S.R.L</v>
      </c>
      <c r="K56" s="21" t="str">
        <f>IF(G56="","",VLOOKUP(G56,tipo_contribuyente[#ALL],2,0))</f>
        <v>Monotributista</v>
      </c>
      <c r="L56" s="21" t="str">
        <f>IF(H56="","",VLOOKUP(H56,pais[#ALL],2,0))</f>
        <v>Argentina</v>
      </c>
    </row>
    <row r="57">
      <c r="A57" s="21" t="str">
        <f>IFERROR(__xludf.DUMMYFUNCTION("""COMPUTED_VALUE"""),"56")</f>
        <v>56</v>
      </c>
      <c r="B57" s="21" t="str">
        <f>IFERROR(__xludf.DUMMYFUNCTION("""COMPUTED_VALUE"""),"P00138")</f>
        <v>P00138</v>
      </c>
      <c r="C57" s="21" t="str">
        <f>IFERROR(__xludf.DUMMYFUNCTION("""COMPUTED_VALUE"""),"Santiago Lopez")</f>
        <v>Santiago Lopez</v>
      </c>
      <c r="D57" s="21" t="str">
        <f>IFERROR(__xludf.DUMMYFUNCTION("""COMPUTED_VALUE"""),"27-78901234-6")</f>
        <v>27-78901234-6</v>
      </c>
      <c r="E57" s="21" t="str">
        <f>IFERROR(__xludf.DUMMYFUNCTION("""COMPUTED_VALUE"""),"2")</f>
        <v>2</v>
      </c>
      <c r="F57" s="21" t="str">
        <f>IFERROR(__xludf.DUMMYFUNCTION("""COMPUTED_VALUE"""),"2")</f>
        <v>2</v>
      </c>
      <c r="G57" s="21" t="str">
        <f>IFERROR(__xludf.DUMMYFUNCTION("""COMPUTED_VALUE"""),"3")</f>
        <v>3</v>
      </c>
      <c r="H57" s="21" t="str">
        <f>IFERROR(__xludf.DUMMYFUNCTION("""COMPUTED_VALUE"""),"1")</f>
        <v>1</v>
      </c>
      <c r="I57" s="21" t="str">
        <f>IF(E57="","",VLOOKUP(E57,tipo_organizacion[#ALL],2,0))</f>
        <v>Proveedor</v>
      </c>
      <c r="J57" s="21" t="str">
        <f>IF(F57="","",VLOOKUP(F57,razon_social[#ALL],2,0))</f>
        <v>S.A</v>
      </c>
      <c r="K57" s="21" t="str">
        <f>IF(G57="","",VLOOKUP(G57,tipo_contribuyente[#ALL],2,0))</f>
        <v>IVA Responsable</v>
      </c>
      <c r="L57" s="21" t="str">
        <f>IF(H57="","",VLOOKUP(H57,pais[#ALL],2,0))</f>
        <v>Argentina</v>
      </c>
    </row>
    <row r="58">
      <c r="A58" s="21" t="str">
        <f>IFERROR(__xludf.DUMMYFUNCTION("""COMPUTED_VALUE"""),"57")</f>
        <v>57</v>
      </c>
      <c r="B58" s="21" t="str">
        <f>IFERROR(__xludf.DUMMYFUNCTION("""COMPUTED_VALUE"""),"P00139")</f>
        <v>P00139</v>
      </c>
      <c r="C58" s="21" t="str">
        <f>IFERROR(__xludf.DUMMYFUNCTION("""COMPUTED_VALUE"""),"Fernanda Garcia")</f>
        <v>Fernanda Garcia</v>
      </c>
      <c r="D58" s="21" t="str">
        <f>IFERROR(__xludf.DUMMYFUNCTION("""COMPUTED_VALUE"""),"23-89012345-9")</f>
        <v>23-89012345-9</v>
      </c>
      <c r="E58" s="21" t="str">
        <f>IFERROR(__xludf.DUMMYFUNCTION("""COMPUTED_VALUE"""),"2")</f>
        <v>2</v>
      </c>
      <c r="F58" s="21" t="str">
        <f>IFERROR(__xludf.DUMMYFUNCTION("""COMPUTED_VALUE"""),"3")</f>
        <v>3</v>
      </c>
      <c r="G58" s="21" t="str">
        <f>IFERROR(__xludf.DUMMYFUNCTION("""COMPUTED_VALUE"""),"2")</f>
        <v>2</v>
      </c>
      <c r="H58" s="21" t="str">
        <f>IFERROR(__xludf.DUMMYFUNCTION("""COMPUTED_VALUE"""),"1")</f>
        <v>1</v>
      </c>
      <c r="I58" s="21" t="str">
        <f>IF(E58="","",VLOOKUP(E58,tipo_organizacion[#ALL],2,0))</f>
        <v>Proveedor</v>
      </c>
      <c r="J58" s="21" t="str">
        <f>IF(F58="","",VLOOKUP(F58,razon_social[#ALL],2,0))</f>
        <v>S.R.L</v>
      </c>
      <c r="K58" s="21" t="str">
        <f>IF(G58="","",VLOOKUP(G58,tipo_contribuyente[#ALL],2,0))</f>
        <v>Monotributista</v>
      </c>
      <c r="L58" s="21" t="str">
        <f>IF(H58="","",VLOOKUP(H58,pais[#ALL],2,0))</f>
        <v>Argentina</v>
      </c>
    </row>
    <row r="59">
      <c r="A59" s="21" t="str">
        <f>IFERROR(__xludf.DUMMYFUNCTION("""COMPUTED_VALUE"""),"58")</f>
        <v>58</v>
      </c>
      <c r="B59" s="21" t="str">
        <f>IFERROR(__xludf.DUMMYFUNCTION("""COMPUTED_VALUE"""),"P00140")</f>
        <v>P00140</v>
      </c>
      <c r="C59" s="21" t="str">
        <f>IFERROR(__xludf.DUMMYFUNCTION("""COMPUTED_VALUE"""),"Nicolas Castillo")</f>
        <v>Nicolas Castillo</v>
      </c>
      <c r="D59" s="21" t="str">
        <f>IFERROR(__xludf.DUMMYFUNCTION("""COMPUTED_VALUE"""),"33-90123456-0")</f>
        <v>33-90123456-0</v>
      </c>
      <c r="E59" s="21" t="str">
        <f>IFERROR(__xludf.DUMMYFUNCTION("""COMPUTED_VALUE"""),"2")</f>
        <v>2</v>
      </c>
      <c r="F59" s="21" t="str">
        <f>IFERROR(__xludf.DUMMYFUNCTION("""COMPUTED_VALUE"""),"5")</f>
        <v>5</v>
      </c>
      <c r="G59" s="21" t="str">
        <f>IFERROR(__xludf.DUMMYFUNCTION("""COMPUTED_VALUE"""),"3")</f>
        <v>3</v>
      </c>
      <c r="H59" s="21" t="str">
        <f>IFERROR(__xludf.DUMMYFUNCTION("""COMPUTED_VALUE"""),"1")</f>
        <v>1</v>
      </c>
      <c r="I59" s="21" t="str">
        <f>IF(E59="","",VLOOKUP(E59,tipo_organizacion[#ALL],2,0))</f>
        <v>Proveedor</v>
      </c>
      <c r="J59" s="21" t="str">
        <f>IF(F59="","",VLOOKUP(F59,razon_social[#ALL],2,0))</f>
        <v>COOP</v>
      </c>
      <c r="K59" s="21" t="str">
        <f>IF(G59="","",VLOOKUP(G59,tipo_contribuyente[#ALL],2,0))</f>
        <v>IVA Responsable</v>
      </c>
      <c r="L59" s="21" t="str">
        <f>IF(H59="","",VLOOKUP(H59,pais[#ALL],2,0))</f>
        <v>Argentina</v>
      </c>
    </row>
    <row r="60">
      <c r="A60" s="21" t="str">
        <f>IFERROR(__xludf.DUMMYFUNCTION("""COMPUTED_VALUE"""),"59")</f>
        <v>59</v>
      </c>
      <c r="B60" s="21" t="str">
        <f>IFERROR(__xludf.DUMMYFUNCTION("""COMPUTED_VALUE"""),"P00141")</f>
        <v>P00141</v>
      </c>
      <c r="C60" s="21" t="str">
        <f>IFERROR(__xludf.DUMMYFUNCTION("""COMPUTED_VALUE"""),"Juliana Perez")</f>
        <v>Juliana Perez</v>
      </c>
      <c r="D60" s="21" t="str">
        <f>IFERROR(__xludf.DUMMYFUNCTION("""COMPUTED_VALUE"""),"20-01234567-4")</f>
        <v>20-01234567-4</v>
      </c>
      <c r="E60" s="21" t="str">
        <f>IFERROR(__xludf.DUMMYFUNCTION("""COMPUTED_VALUE"""),"2")</f>
        <v>2</v>
      </c>
      <c r="F60" s="21" t="str">
        <f>IFERROR(__xludf.DUMMYFUNCTION("""COMPUTED_VALUE"""),"3")</f>
        <v>3</v>
      </c>
      <c r="G60" s="21" t="str">
        <f>IFERROR(__xludf.DUMMYFUNCTION("""COMPUTED_VALUE"""),"2")</f>
        <v>2</v>
      </c>
      <c r="H60" s="21" t="str">
        <f>IFERROR(__xludf.DUMMYFUNCTION("""COMPUTED_VALUE"""),"1")</f>
        <v>1</v>
      </c>
      <c r="I60" s="21" t="str">
        <f>IF(E60="","",VLOOKUP(E60,tipo_organizacion[#ALL],2,0))</f>
        <v>Proveedor</v>
      </c>
      <c r="J60" s="21" t="str">
        <f>IF(F60="","",VLOOKUP(F60,razon_social[#ALL],2,0))</f>
        <v>S.R.L</v>
      </c>
      <c r="K60" s="21" t="str">
        <f>IF(G60="","",VLOOKUP(G60,tipo_contribuyente[#ALL],2,0))</f>
        <v>Monotributista</v>
      </c>
      <c r="L60" s="21" t="str">
        <f>IF(H60="","",VLOOKUP(H60,pais[#ALL],2,0))</f>
        <v>Argentina</v>
      </c>
    </row>
    <row r="61">
      <c r="A61" s="21" t="str">
        <f>IFERROR(__xludf.DUMMYFUNCTION("""COMPUTED_VALUE"""),"60")</f>
        <v>60</v>
      </c>
      <c r="B61" s="21" t="str">
        <f>IFERROR(__xludf.DUMMYFUNCTION("""COMPUTED_VALUE"""),"P00142")</f>
        <v>P00142</v>
      </c>
      <c r="C61" s="21" t="str">
        <f>IFERROR(__xludf.DUMMYFUNCTION("""COMPUTED_VALUE"""),"Diego Fernandez")</f>
        <v>Diego Fernandez</v>
      </c>
      <c r="D61" s="21" t="str">
        <f>IFERROR(__xludf.DUMMYFUNCTION("""COMPUTED_VALUE"""),"30-12345678-5")</f>
        <v>30-12345678-5</v>
      </c>
      <c r="E61" s="21" t="str">
        <f>IFERROR(__xludf.DUMMYFUNCTION("""COMPUTED_VALUE"""),"2")</f>
        <v>2</v>
      </c>
      <c r="F61" s="21" t="str">
        <f>IFERROR(__xludf.DUMMYFUNCTION("""COMPUTED_VALUE"""),"2")</f>
        <v>2</v>
      </c>
      <c r="G61" s="21" t="str">
        <f>IFERROR(__xludf.DUMMYFUNCTION("""COMPUTED_VALUE"""),"3")</f>
        <v>3</v>
      </c>
      <c r="H61" s="21" t="str">
        <f>IFERROR(__xludf.DUMMYFUNCTION("""COMPUTED_VALUE"""),"1")</f>
        <v>1</v>
      </c>
      <c r="I61" s="21" t="str">
        <f>IF(E61="","",VLOOKUP(E61,tipo_organizacion[#ALL],2,0))</f>
        <v>Proveedor</v>
      </c>
      <c r="J61" s="21" t="str">
        <f>IF(F61="","",VLOOKUP(F61,razon_social[#ALL],2,0))</f>
        <v>S.A</v>
      </c>
      <c r="K61" s="21" t="str">
        <f>IF(G61="","",VLOOKUP(G61,tipo_contribuyente[#ALL],2,0))</f>
        <v>IVA Responsable</v>
      </c>
      <c r="L61" s="21" t="str">
        <f>IF(H61="","",VLOOKUP(H61,pais[#ALL],2,0))</f>
        <v>Argentina</v>
      </c>
    </row>
    <row r="62">
      <c r="A62" s="21" t="str">
        <f>IFERROR(__xludf.DUMMYFUNCTION("""COMPUTED_VALUE"""),"61")</f>
        <v>61</v>
      </c>
      <c r="B62" s="21" t="str">
        <f>IFERROR(__xludf.DUMMYFUNCTION("""COMPUTED_VALUE"""),"P00143")</f>
        <v>P00143</v>
      </c>
      <c r="C62" s="21" t="str">
        <f>IFERROR(__xludf.DUMMYFUNCTION("""COMPUTED_VALUE"""),"Mariana Gomez")</f>
        <v>Mariana Gomez</v>
      </c>
      <c r="D62" s="21" t="str">
        <f>IFERROR(__xludf.DUMMYFUNCTION("""COMPUTED_VALUE"""),"27-23456789-6")</f>
        <v>27-23456789-6</v>
      </c>
      <c r="E62" s="21" t="str">
        <f>IFERROR(__xludf.DUMMYFUNCTION("""COMPUTED_VALUE"""),"2")</f>
        <v>2</v>
      </c>
      <c r="F62" s="21" t="str">
        <f>IFERROR(__xludf.DUMMYFUNCTION("""COMPUTED_VALUE"""),"2")</f>
        <v>2</v>
      </c>
      <c r="G62" s="21" t="str">
        <f>IFERROR(__xludf.DUMMYFUNCTION("""COMPUTED_VALUE"""),"2")</f>
        <v>2</v>
      </c>
      <c r="H62" s="21" t="str">
        <f>IFERROR(__xludf.DUMMYFUNCTION("""COMPUTED_VALUE"""),"1")</f>
        <v>1</v>
      </c>
      <c r="I62" s="21" t="str">
        <f>IF(E62="","",VLOOKUP(E62,tipo_organizacion[#ALL],2,0))</f>
        <v>Proveedor</v>
      </c>
      <c r="J62" s="21" t="str">
        <f>IF(F62="","",VLOOKUP(F62,razon_social[#ALL],2,0))</f>
        <v>S.A</v>
      </c>
      <c r="K62" s="21" t="str">
        <f>IF(G62="","",VLOOKUP(G62,tipo_contribuyente[#ALL],2,0))</f>
        <v>Monotributista</v>
      </c>
      <c r="L62" s="21" t="str">
        <f>IF(H62="","",VLOOKUP(H62,pais[#ALL],2,0))</f>
        <v>Argentina</v>
      </c>
    </row>
    <row r="63">
      <c r="A63" s="21" t="str">
        <f>IFERROR(__xludf.DUMMYFUNCTION("""COMPUTED_VALUE"""),"62")</f>
        <v>62</v>
      </c>
      <c r="B63" s="21" t="str">
        <f>IFERROR(__xludf.DUMMYFUNCTION("""COMPUTED_VALUE"""),"P00144")</f>
        <v>P00144</v>
      </c>
      <c r="C63" s="21" t="str">
        <f>IFERROR(__xludf.DUMMYFUNCTION("""COMPUTED_VALUE"""),"Manuel Rodriguez")</f>
        <v>Manuel Rodriguez</v>
      </c>
      <c r="D63" s="21" t="str">
        <f>IFERROR(__xludf.DUMMYFUNCTION("""COMPUTED_VALUE"""),"23-34567890-1")</f>
        <v>23-34567890-1</v>
      </c>
      <c r="E63" s="21" t="str">
        <f>IFERROR(__xludf.DUMMYFUNCTION("""COMPUTED_VALUE"""),"2")</f>
        <v>2</v>
      </c>
      <c r="F63" s="21" t="str">
        <f>IFERROR(__xludf.DUMMYFUNCTION("""COMPUTED_VALUE"""),"3")</f>
        <v>3</v>
      </c>
      <c r="G63" s="21" t="str">
        <f>IFERROR(__xludf.DUMMYFUNCTION("""COMPUTED_VALUE"""),"3")</f>
        <v>3</v>
      </c>
      <c r="H63" s="21" t="str">
        <f>IFERROR(__xludf.DUMMYFUNCTION("""COMPUTED_VALUE"""),"1")</f>
        <v>1</v>
      </c>
      <c r="I63" s="21" t="str">
        <f>IF(E63="","",VLOOKUP(E63,tipo_organizacion[#ALL],2,0))</f>
        <v>Proveedor</v>
      </c>
      <c r="J63" s="21" t="str">
        <f>IF(F63="","",VLOOKUP(F63,razon_social[#ALL],2,0))</f>
        <v>S.R.L</v>
      </c>
      <c r="K63" s="21" t="str">
        <f>IF(G63="","",VLOOKUP(G63,tipo_contribuyente[#ALL],2,0))</f>
        <v>IVA Responsable</v>
      </c>
      <c r="L63" s="21" t="str">
        <f>IF(H63="","",VLOOKUP(H63,pais[#ALL],2,0))</f>
        <v>Argentina</v>
      </c>
    </row>
    <row r="64">
      <c r="A64" s="21" t="str">
        <f>IFERROR(__xludf.DUMMYFUNCTION("""COMPUTED_VALUE"""),"63")</f>
        <v>63</v>
      </c>
      <c r="B64" s="21" t="str">
        <f>IFERROR(__xludf.DUMMYFUNCTION("""COMPUTED_VALUE"""),"P00145")</f>
        <v>P00145</v>
      </c>
      <c r="C64" s="21" t="str">
        <f>IFERROR(__xludf.DUMMYFUNCTION("""COMPUTED_VALUE"""),"Clara Jimenez")</f>
        <v>Clara Jimenez</v>
      </c>
      <c r="D64" s="21" t="str">
        <f>IFERROR(__xludf.DUMMYFUNCTION("""COMPUTED_VALUE"""),"33-45678901-2")</f>
        <v>33-45678901-2</v>
      </c>
      <c r="E64" s="21" t="str">
        <f>IFERROR(__xludf.DUMMYFUNCTION("""COMPUTED_VALUE"""),"2")</f>
        <v>2</v>
      </c>
      <c r="F64" s="21" t="str">
        <f>IFERROR(__xludf.DUMMYFUNCTION("""COMPUTED_VALUE"""),"5")</f>
        <v>5</v>
      </c>
      <c r="G64" s="21" t="str">
        <f>IFERROR(__xludf.DUMMYFUNCTION("""COMPUTED_VALUE"""),"2")</f>
        <v>2</v>
      </c>
      <c r="H64" s="21" t="str">
        <f>IFERROR(__xludf.DUMMYFUNCTION("""COMPUTED_VALUE"""),"1")</f>
        <v>1</v>
      </c>
      <c r="I64" s="21" t="str">
        <f>IF(E64="","",VLOOKUP(E64,tipo_organizacion[#ALL],2,0))</f>
        <v>Proveedor</v>
      </c>
      <c r="J64" s="21" t="str">
        <f>IF(F64="","",VLOOKUP(F64,razon_social[#ALL],2,0))</f>
        <v>COOP</v>
      </c>
      <c r="K64" s="21" t="str">
        <f>IF(G64="","",VLOOKUP(G64,tipo_contribuyente[#ALL],2,0))</f>
        <v>Monotributista</v>
      </c>
      <c r="L64" s="21" t="str">
        <f>IF(H64="","",VLOOKUP(H64,pais[#ALL],2,0))</f>
        <v>Argentina</v>
      </c>
    </row>
    <row r="65">
      <c r="A65" s="21" t="str">
        <f>IFERROR(__xludf.DUMMYFUNCTION("""COMPUTED_VALUE"""),"64")</f>
        <v>64</v>
      </c>
      <c r="B65" s="21" t="str">
        <f>IFERROR(__xludf.DUMMYFUNCTION("""COMPUTED_VALUE"""),"P00146")</f>
        <v>P00146</v>
      </c>
      <c r="C65" s="21" t="str">
        <f>IFERROR(__xludf.DUMMYFUNCTION("""COMPUTED_VALUE"""),"Eduardo Reyes")</f>
        <v>Eduardo Reyes</v>
      </c>
      <c r="D65" s="21" t="str">
        <f>IFERROR(__xludf.DUMMYFUNCTION("""COMPUTED_VALUE"""),"20-56789012-5")</f>
        <v>20-56789012-5</v>
      </c>
      <c r="E65" s="21" t="str">
        <f>IFERROR(__xludf.DUMMYFUNCTION("""COMPUTED_VALUE"""),"2")</f>
        <v>2</v>
      </c>
      <c r="F65" s="21" t="str">
        <f>IFERROR(__xludf.DUMMYFUNCTION("""COMPUTED_VALUE"""),"2")</f>
        <v>2</v>
      </c>
      <c r="G65" s="21" t="str">
        <f>IFERROR(__xludf.DUMMYFUNCTION("""COMPUTED_VALUE"""),"3")</f>
        <v>3</v>
      </c>
      <c r="H65" s="21" t="str">
        <f>IFERROR(__xludf.DUMMYFUNCTION("""COMPUTED_VALUE"""),"1")</f>
        <v>1</v>
      </c>
      <c r="I65" s="21" t="str">
        <f>IF(E65="","",VLOOKUP(E65,tipo_organizacion[#ALL],2,0))</f>
        <v>Proveedor</v>
      </c>
      <c r="J65" s="21" t="str">
        <f>IF(F65="","",VLOOKUP(F65,razon_social[#ALL],2,0))</f>
        <v>S.A</v>
      </c>
      <c r="K65" s="21" t="str">
        <f>IF(G65="","",VLOOKUP(G65,tipo_contribuyente[#ALL],2,0))</f>
        <v>IVA Responsable</v>
      </c>
      <c r="L65" s="21" t="str">
        <f>IF(H65="","",VLOOKUP(H65,pais[#ALL],2,0))</f>
        <v>Argentina</v>
      </c>
    </row>
    <row r="66">
      <c r="A66" s="21" t="str">
        <f>IFERROR(__xludf.DUMMYFUNCTION("""COMPUTED_VALUE"""),"65")</f>
        <v>65</v>
      </c>
      <c r="B66" s="21" t="str">
        <f>IFERROR(__xludf.DUMMYFUNCTION("""COMPUTED_VALUE"""),"P00147")</f>
        <v>P00147</v>
      </c>
      <c r="C66" s="21" t="str">
        <f>IFERROR(__xludf.DUMMYFUNCTION("""COMPUTED_VALUE"""),"Laura Castillo")</f>
        <v>Laura Castillo</v>
      </c>
      <c r="D66" s="21" t="str">
        <f>IFERROR(__xludf.DUMMYFUNCTION("""COMPUTED_VALUE"""),"30-67890123-6")</f>
        <v>30-67890123-6</v>
      </c>
      <c r="E66" s="21" t="str">
        <f>IFERROR(__xludf.DUMMYFUNCTION("""COMPUTED_VALUE"""),"2")</f>
        <v>2</v>
      </c>
      <c r="F66" s="21" t="str">
        <f>IFERROR(__xludf.DUMMYFUNCTION("""COMPUTED_VALUE"""),"3")</f>
        <v>3</v>
      </c>
      <c r="G66" s="21" t="str">
        <f>IFERROR(__xludf.DUMMYFUNCTION("""COMPUTED_VALUE"""),"2")</f>
        <v>2</v>
      </c>
      <c r="H66" s="21" t="str">
        <f>IFERROR(__xludf.DUMMYFUNCTION("""COMPUTED_VALUE"""),"1")</f>
        <v>1</v>
      </c>
      <c r="I66" s="21" t="str">
        <f>IF(E66="","",VLOOKUP(E66,tipo_organizacion[#ALL],2,0))</f>
        <v>Proveedor</v>
      </c>
      <c r="J66" s="21" t="str">
        <f>IF(F66="","",VLOOKUP(F66,razon_social[#ALL],2,0))</f>
        <v>S.R.L</v>
      </c>
      <c r="K66" s="21" t="str">
        <f>IF(G66="","",VLOOKUP(G66,tipo_contribuyente[#ALL],2,0))</f>
        <v>Monotributista</v>
      </c>
      <c r="L66" s="21" t="str">
        <f>IF(H66="","",VLOOKUP(H66,pais[#ALL],2,0))</f>
        <v>Argentina</v>
      </c>
    </row>
    <row r="67">
      <c r="A67" s="21" t="str">
        <f>IFERROR(__xludf.DUMMYFUNCTION("""COMPUTED_VALUE"""),"66")</f>
        <v>66</v>
      </c>
      <c r="B67" s="21" t="str">
        <f>IFERROR(__xludf.DUMMYFUNCTION("""COMPUTED_VALUE"""),"P00148")</f>
        <v>P00148</v>
      </c>
      <c r="C67" s="21" t="str">
        <f>IFERROR(__xludf.DUMMYFUNCTION("""COMPUTED_VALUE"""),"Alejandro Rivas")</f>
        <v>Alejandro Rivas</v>
      </c>
      <c r="D67" s="21" t="str">
        <f>IFERROR(__xludf.DUMMYFUNCTION("""COMPUTED_VALUE"""),"27-78901234-9")</f>
        <v>27-78901234-9</v>
      </c>
      <c r="E67" s="21" t="str">
        <f>IFERROR(__xludf.DUMMYFUNCTION("""COMPUTED_VALUE"""),"2")</f>
        <v>2</v>
      </c>
      <c r="F67" s="21" t="str">
        <f>IFERROR(__xludf.DUMMYFUNCTION("""COMPUTED_VALUE"""),"2")</f>
        <v>2</v>
      </c>
      <c r="G67" s="21" t="str">
        <f>IFERROR(__xludf.DUMMYFUNCTION("""COMPUTED_VALUE"""),"3")</f>
        <v>3</v>
      </c>
      <c r="H67" s="21" t="str">
        <f>IFERROR(__xludf.DUMMYFUNCTION("""COMPUTED_VALUE"""),"1")</f>
        <v>1</v>
      </c>
      <c r="I67" s="21" t="str">
        <f>IF(E67="","",VLOOKUP(E67,tipo_organizacion[#ALL],2,0))</f>
        <v>Proveedor</v>
      </c>
      <c r="J67" s="21" t="str">
        <f>IF(F67="","",VLOOKUP(F67,razon_social[#ALL],2,0))</f>
        <v>S.A</v>
      </c>
      <c r="K67" s="21" t="str">
        <f>IF(G67="","",VLOOKUP(G67,tipo_contribuyente[#ALL],2,0))</f>
        <v>IVA Responsable</v>
      </c>
      <c r="L67" s="21" t="str">
        <f>IF(H67="","",VLOOKUP(H67,pais[#ALL],2,0))</f>
        <v>Argentina</v>
      </c>
    </row>
    <row r="68">
      <c r="A68" s="21" t="str">
        <f>IFERROR(__xludf.DUMMYFUNCTION("""COMPUTED_VALUE"""),"67")</f>
        <v>67</v>
      </c>
      <c r="B68" s="21" t="str">
        <f>IFERROR(__xludf.DUMMYFUNCTION("""COMPUTED_VALUE"""),"P00149")</f>
        <v>P00149</v>
      </c>
      <c r="C68" s="21" t="str">
        <f>IFERROR(__xludf.DUMMYFUNCTION("""COMPUTED_VALUE"""),"Veronica Martinez")</f>
        <v>Veronica Martinez</v>
      </c>
      <c r="D68" s="21" t="str">
        <f>IFERROR(__xludf.DUMMYFUNCTION("""COMPUTED_VALUE"""),"23-89012346-2")</f>
        <v>23-89012346-2</v>
      </c>
      <c r="E68" s="21" t="str">
        <f>IFERROR(__xludf.DUMMYFUNCTION("""COMPUTED_VALUE"""),"2")</f>
        <v>2</v>
      </c>
      <c r="F68" s="21" t="str">
        <f>IFERROR(__xludf.DUMMYFUNCTION("""COMPUTED_VALUE"""),"3")</f>
        <v>3</v>
      </c>
      <c r="G68" s="21" t="str">
        <f>IFERROR(__xludf.DUMMYFUNCTION("""COMPUTED_VALUE"""),"2")</f>
        <v>2</v>
      </c>
      <c r="H68" s="21" t="str">
        <f>IFERROR(__xludf.DUMMYFUNCTION("""COMPUTED_VALUE"""),"1")</f>
        <v>1</v>
      </c>
      <c r="I68" s="21" t="str">
        <f>IF(E68="","",VLOOKUP(E68,tipo_organizacion[#ALL],2,0))</f>
        <v>Proveedor</v>
      </c>
      <c r="J68" s="21" t="str">
        <f>IF(F68="","",VLOOKUP(F68,razon_social[#ALL],2,0))</f>
        <v>S.R.L</v>
      </c>
      <c r="K68" s="21" t="str">
        <f>IF(G68="","",VLOOKUP(G68,tipo_contribuyente[#ALL],2,0))</f>
        <v>Monotributista</v>
      </c>
      <c r="L68" s="21" t="str">
        <f>IF(H68="","",VLOOKUP(H68,pais[#ALL],2,0))</f>
        <v>Argentina</v>
      </c>
    </row>
    <row r="69">
      <c r="A69" s="21" t="str">
        <f>IFERROR(__xludf.DUMMYFUNCTION("""COMPUTED_VALUE"""),"68")</f>
        <v>68</v>
      </c>
      <c r="B69" s="21" t="str">
        <f>IFERROR(__xludf.DUMMYFUNCTION("""COMPUTED_VALUE"""),"P00150")</f>
        <v>P00150</v>
      </c>
      <c r="C69" s="21" t="str">
        <f>IFERROR(__xludf.DUMMYFUNCTION("""COMPUTED_VALUE"""),"Gabriel Lopez")</f>
        <v>Gabriel Lopez</v>
      </c>
      <c r="D69" s="21" t="str">
        <f>IFERROR(__xludf.DUMMYFUNCTION("""COMPUTED_VALUE"""),"33-90123456-3")</f>
        <v>33-90123456-3</v>
      </c>
      <c r="E69" s="21" t="str">
        <f>IFERROR(__xludf.DUMMYFUNCTION("""COMPUTED_VALUE"""),"2")</f>
        <v>2</v>
      </c>
      <c r="F69" s="21" t="str">
        <f>IFERROR(__xludf.DUMMYFUNCTION("""COMPUTED_VALUE"""),"5")</f>
        <v>5</v>
      </c>
      <c r="G69" s="21" t="str">
        <f>IFERROR(__xludf.DUMMYFUNCTION("""COMPUTED_VALUE"""),"3")</f>
        <v>3</v>
      </c>
      <c r="H69" s="21" t="str">
        <f>IFERROR(__xludf.DUMMYFUNCTION("""COMPUTED_VALUE"""),"1")</f>
        <v>1</v>
      </c>
      <c r="I69" s="21" t="str">
        <f>IF(E69="","",VLOOKUP(E69,tipo_organizacion[#ALL],2,0))</f>
        <v>Proveedor</v>
      </c>
      <c r="J69" s="21" t="str">
        <f>IF(F69="","",VLOOKUP(F69,razon_social[#ALL],2,0))</f>
        <v>COOP</v>
      </c>
      <c r="K69" s="21" t="str">
        <f>IF(G69="","",VLOOKUP(G69,tipo_contribuyente[#ALL],2,0))</f>
        <v>IVA Responsable</v>
      </c>
      <c r="L69" s="21" t="str">
        <f>IF(H69="","",VLOOKUP(H69,pais[#ALL],2,0))</f>
        <v>Argentina</v>
      </c>
    </row>
    <row r="70">
      <c r="A70" s="21" t="str">
        <f>IFERROR(__xludf.DUMMYFUNCTION("""COMPUTED_VALUE"""),"69")</f>
        <v>69</v>
      </c>
      <c r="B70" s="21" t="str">
        <f>IFERROR(__xludf.DUMMYFUNCTION("""COMPUTED_VALUE"""),"D00108")</f>
        <v>D00108</v>
      </c>
      <c r="C70" s="21" t="str">
        <f>IFERROR(__xludf.DUMMYFUNCTION("""COMPUTED_VALUE"""),"Iniciativa Solidaria")</f>
        <v>Iniciativa Solidaria</v>
      </c>
      <c r="D70" s="21" t="str">
        <f>IFERROR(__xludf.DUMMYFUNCTION("""COMPUTED_VALUE"""),"24-91224120-6")</f>
        <v>24-91224120-6</v>
      </c>
      <c r="E70" s="21" t="str">
        <f>IFERROR(__xludf.DUMMYFUNCTION("""COMPUTED_VALUE"""),"1")</f>
        <v>1</v>
      </c>
      <c r="F70" s="21" t="str">
        <f>IFERROR(__xludf.DUMMYFUNCTION("""COMPUTED_VALUE"""),"1")</f>
        <v>1</v>
      </c>
      <c r="G70" s="21" t="str">
        <f>IFERROR(__xludf.DUMMYFUNCTION("""COMPUTED_VALUE"""),"2")</f>
        <v>2</v>
      </c>
      <c r="H70" s="21" t="str">
        <f>IFERROR(__xludf.DUMMYFUNCTION("""COMPUTED_VALUE"""),"3")</f>
        <v>3</v>
      </c>
      <c r="I70" s="21" t="str">
        <f>IF(E70="","",VLOOKUP(E70,tipo_organizacion[#ALL],2,0))</f>
        <v>Donante</v>
      </c>
      <c r="J70" s="21" t="str">
        <f>IF(F70="","",VLOOKUP(F70,razon_social[#ALL],2,0))</f>
        <v>S.A.S</v>
      </c>
      <c r="K70" s="21" t="str">
        <f>IF(G70="","",VLOOKUP(G70,tipo_contribuyente[#ALL],2,0))</f>
        <v>Monotributista</v>
      </c>
      <c r="L70" s="21" t="str">
        <f>IF(H70="","",VLOOKUP(H70,pais[#ALL],2,0))</f>
        <v>Brasil</v>
      </c>
    </row>
    <row r="71">
      <c r="A71" s="21" t="str">
        <f>IFERROR(__xludf.DUMMYFUNCTION("""COMPUTED_VALUE"""),"70")</f>
        <v>70</v>
      </c>
      <c r="B71" s="21" t="str">
        <f>IFERROR(__xludf.DUMMYFUNCTION("""COMPUTED_VALUE"""),"D00109")</f>
        <v>D00109</v>
      </c>
      <c r="C71" s="21" t="str">
        <f>IFERROR(__xludf.DUMMYFUNCTION("""COMPUTED_VALUE"""),"Innovatech Solutions")</f>
        <v>Innovatech Solutions</v>
      </c>
      <c r="D71" s="21" t="str">
        <f>IFERROR(__xludf.DUMMYFUNCTION("""COMPUTED_VALUE"""),"24-56588769-6")</f>
        <v>24-56588769-6</v>
      </c>
      <c r="E71" s="21" t="str">
        <f>IFERROR(__xludf.DUMMYFUNCTION("""COMPUTED_VALUE"""),"1")</f>
        <v>1</v>
      </c>
      <c r="F71" s="21" t="str">
        <f>IFERROR(__xludf.DUMMYFUNCTION("""COMPUTED_VALUE"""),"2")</f>
        <v>2</v>
      </c>
      <c r="G71" s="21" t="str">
        <f>IFERROR(__xludf.DUMMYFUNCTION("""COMPUTED_VALUE"""),"4")</f>
        <v>4</v>
      </c>
      <c r="H71" s="21" t="str">
        <f>IFERROR(__xludf.DUMMYFUNCTION("""COMPUTED_VALUE"""),"1")</f>
        <v>1</v>
      </c>
      <c r="I71" s="21" t="str">
        <f>IF(E71="","",VLOOKUP(E71,tipo_organizacion[#ALL],2,0))</f>
        <v>Donante</v>
      </c>
      <c r="J71" s="21" t="str">
        <f>IF(F71="","",VLOOKUP(F71,razon_social[#ALL],2,0))</f>
        <v>S.A</v>
      </c>
      <c r="K71" s="21" t="str">
        <f>IF(G71="","",VLOOKUP(G71,tipo_contribuyente[#ALL],2,0))</f>
        <v>Exento</v>
      </c>
      <c r="L71" s="21" t="str">
        <f>IF(H71="","",VLOOKUP(H71,pais[#ALL],2,0))</f>
        <v>Argentina</v>
      </c>
    </row>
    <row r="72">
      <c r="A72" s="21" t="str">
        <f>IFERROR(__xludf.DUMMYFUNCTION("""COMPUTED_VALUE"""),"71")</f>
        <v>71</v>
      </c>
      <c r="B72" s="21" t="str">
        <f>IFERROR(__xludf.DUMMYFUNCTION("""COMPUTED_VALUE"""),"D00110")</f>
        <v>D00110</v>
      </c>
      <c r="C72" s="21" t="str">
        <f>IFERROR(__xludf.DUMMYFUNCTION("""COMPUTED_VALUE"""),"Apoyo Logistico S.A.")</f>
        <v>Apoyo Logistico S.A.</v>
      </c>
      <c r="D72" s="21" t="str">
        <f>IFERROR(__xludf.DUMMYFUNCTION("""COMPUTED_VALUE"""),"29-01265476-14")</f>
        <v>29-01265476-14</v>
      </c>
      <c r="E72" s="21" t="str">
        <f>IFERROR(__xludf.DUMMYFUNCTION("""COMPUTED_VALUE"""),"1")</f>
        <v>1</v>
      </c>
      <c r="F72" s="21" t="str">
        <f>IFERROR(__xludf.DUMMYFUNCTION("""COMPUTED_VALUE"""),"2")</f>
        <v>2</v>
      </c>
      <c r="G72" s="21" t="str">
        <f>IFERROR(__xludf.DUMMYFUNCTION("""COMPUTED_VALUE"""),"1")</f>
        <v>1</v>
      </c>
      <c r="H72" s="21" t="str">
        <f>IFERROR(__xludf.DUMMYFUNCTION("""COMPUTED_VALUE"""),"7")</f>
        <v>7</v>
      </c>
      <c r="I72" s="21" t="str">
        <f>IF(E72="","",VLOOKUP(E72,tipo_organizacion[#ALL],2,0))</f>
        <v>Donante</v>
      </c>
      <c r="J72" s="21" t="str">
        <f>IF(F72="","",VLOOKUP(F72,razon_social[#ALL],2,0))</f>
        <v>S.A</v>
      </c>
      <c r="K72" s="21" t="str">
        <f>IF(G72="","",VLOOKUP(G72,tipo_contribuyente[#ALL],2,0))</f>
        <v>Responsable Inscripto</v>
      </c>
      <c r="L72" s="21" t="str">
        <f>IF(H72="","",VLOOKUP(H72,pais[#ALL],2,0))</f>
        <v>Paraguay</v>
      </c>
    </row>
    <row r="73">
      <c r="A73" s="21" t="str">
        <f>IFERROR(__xludf.DUMMYFUNCTION("""COMPUTED_VALUE"""),"72")</f>
        <v>72</v>
      </c>
      <c r="B73" s="21" t="str">
        <f>IFERROR(__xludf.DUMMYFUNCTION("""COMPUTED_VALUE"""),"D00111")</f>
        <v>D00111</v>
      </c>
      <c r="C73" s="21" t="str">
        <f>IFERROR(__xludf.DUMMYFUNCTION("""COMPUTED_VALUE"""),"Futuro Corporativo")</f>
        <v>Futuro Corporativo</v>
      </c>
      <c r="D73" s="21" t="str">
        <f>IFERROR(__xludf.DUMMYFUNCTION("""COMPUTED_VALUE"""),"27-23783266-6")</f>
        <v>27-23783266-6</v>
      </c>
      <c r="E73" s="21" t="str">
        <f>IFERROR(__xludf.DUMMYFUNCTION("""COMPUTED_VALUE"""),"1")</f>
        <v>1</v>
      </c>
      <c r="F73" s="21" t="str">
        <f>IFERROR(__xludf.DUMMYFUNCTION("""COMPUTED_VALUE"""),"1")</f>
        <v>1</v>
      </c>
      <c r="G73" s="21" t="str">
        <f>IFERROR(__xludf.DUMMYFUNCTION("""COMPUTED_VALUE"""),"2")</f>
        <v>2</v>
      </c>
      <c r="H73" s="21" t="str">
        <f>IFERROR(__xludf.DUMMYFUNCTION("""COMPUTED_VALUE"""),"7")</f>
        <v>7</v>
      </c>
      <c r="I73" s="21" t="str">
        <f>IF(E73="","",VLOOKUP(E73,tipo_organizacion[#ALL],2,0))</f>
        <v>Donante</v>
      </c>
      <c r="J73" s="21" t="str">
        <f>IF(F73="","",VLOOKUP(F73,razon_social[#ALL],2,0))</f>
        <v>S.A.S</v>
      </c>
      <c r="K73" s="21" t="str">
        <f>IF(G73="","",VLOOKUP(G73,tipo_contribuyente[#ALL],2,0))</f>
        <v>Monotributista</v>
      </c>
      <c r="L73" s="21" t="str">
        <f>IF(H73="","",VLOOKUP(H73,pais[#ALL],2,0))</f>
        <v>Paraguay</v>
      </c>
    </row>
    <row r="74">
      <c r="A74" s="21" t="str">
        <f>IFERROR(__xludf.DUMMYFUNCTION("""COMPUTED_VALUE"""),"73")</f>
        <v>73</v>
      </c>
      <c r="B74" s="21" t="str">
        <f>IFERROR(__xludf.DUMMYFUNCTION("""COMPUTED_VALUE"""),"D00112")</f>
        <v>D00112</v>
      </c>
      <c r="C74" s="21" t="str">
        <f>IFERROR(__xludf.DUMMYFUNCTION("""COMPUTED_VALUE"""),"Global Energies S.A.")</f>
        <v>Global Energies S.A.</v>
      </c>
      <c r="D74" s="21" t="str">
        <f>IFERROR(__xludf.DUMMYFUNCTION("""COMPUTED_VALUE"""),"25-36901514-8")</f>
        <v>25-36901514-8</v>
      </c>
      <c r="E74" s="21" t="str">
        <f>IFERROR(__xludf.DUMMYFUNCTION("""COMPUTED_VALUE"""),"1")</f>
        <v>1</v>
      </c>
      <c r="F74" s="21" t="str">
        <f>IFERROR(__xludf.DUMMYFUNCTION("""COMPUTED_VALUE"""),"2")</f>
        <v>2</v>
      </c>
      <c r="G74" s="21" t="str">
        <f>IFERROR(__xludf.DUMMYFUNCTION("""COMPUTED_VALUE"""),"1")</f>
        <v>1</v>
      </c>
      <c r="H74" s="21" t="str">
        <f>IFERROR(__xludf.DUMMYFUNCTION("""COMPUTED_VALUE"""),"9")</f>
        <v>9</v>
      </c>
      <c r="I74" s="21" t="str">
        <f>IF(E74="","",VLOOKUP(E74,tipo_organizacion[#ALL],2,0))</f>
        <v>Donante</v>
      </c>
      <c r="J74" s="21" t="str">
        <f>IF(F74="","",VLOOKUP(F74,razon_social[#ALL],2,0))</f>
        <v>S.A</v>
      </c>
      <c r="K74" s="21" t="str">
        <f>IF(G74="","",VLOOKUP(G74,tipo_contribuyente[#ALL],2,0))</f>
        <v>Responsable Inscripto</v>
      </c>
      <c r="L74" s="21" t="str">
        <f>IF(H74="","",VLOOKUP(H74,pais[#ALL],2,0))</f>
        <v>Uruguay</v>
      </c>
    </row>
    <row r="75">
      <c r="A75" s="21" t="str">
        <f>IFERROR(__xludf.DUMMYFUNCTION("""COMPUTED_VALUE"""),"74")</f>
        <v>74</v>
      </c>
      <c r="B75" s="21" t="str">
        <f>IFERROR(__xludf.DUMMYFUNCTION("""COMPUTED_VALUE"""),"D00113")</f>
        <v>D00113</v>
      </c>
      <c r="C75" s="21" t="str">
        <f>IFERROR(__xludf.DUMMYFUNCTION("""COMPUTED_VALUE"""),"Proyecto Gubernamental")</f>
        <v>Proyecto Gubernamental</v>
      </c>
      <c r="D75" s="21" t="str">
        <f>IFERROR(__xludf.DUMMYFUNCTION("""COMPUTED_VALUE"""),"29-75196406-1")</f>
        <v>29-75196406-1</v>
      </c>
      <c r="E75" s="21" t="str">
        <f>IFERROR(__xludf.DUMMYFUNCTION("""COMPUTED_VALUE"""),"1")</f>
        <v>1</v>
      </c>
      <c r="F75" s="21" t="str">
        <f>IFERROR(__xludf.DUMMYFUNCTION("""COMPUTED_VALUE"""),"4")</f>
        <v>4</v>
      </c>
      <c r="G75" s="21" t="str">
        <f>IFERROR(__xludf.DUMMYFUNCTION("""COMPUTED_VALUE"""),"4")</f>
        <v>4</v>
      </c>
      <c r="H75" s="21" t="str">
        <f>IFERROR(__xludf.DUMMYFUNCTION("""COMPUTED_VALUE"""),"9")</f>
        <v>9</v>
      </c>
      <c r="I75" s="21" t="str">
        <f>IF(E75="","",VLOOKUP(E75,tipo_organizacion[#ALL],2,0))</f>
        <v>Donante</v>
      </c>
      <c r="J75" s="21" t="str">
        <f>IF(F75="","",VLOOKUP(F75,razon_social[#ALL],2,0))</f>
        <v>GOB</v>
      </c>
      <c r="K75" s="21" t="str">
        <f>IF(G75="","",VLOOKUP(G75,tipo_contribuyente[#ALL],2,0))</f>
        <v>Exento</v>
      </c>
      <c r="L75" s="21" t="str">
        <f>IF(H75="","",VLOOKUP(H75,pais[#ALL],2,0))</f>
        <v>Uruguay</v>
      </c>
    </row>
    <row r="76">
      <c r="A76" s="21" t="str">
        <f>IFERROR(__xludf.DUMMYFUNCTION("""COMPUTED_VALUE"""),"75")</f>
        <v>75</v>
      </c>
      <c r="B76" s="21" t="str">
        <f>IFERROR(__xludf.DUMMYFUNCTION("""COMPUTED_VALUE"""),"D00114")</f>
        <v>D00114</v>
      </c>
      <c r="C76" s="21" t="str">
        <f>IFERROR(__xludf.DUMMYFUNCTION("""COMPUTED_VALUE"""),"Latinoamerica Crece")</f>
        <v>Latinoamerica Crece</v>
      </c>
      <c r="D76" s="21" t="str">
        <f>IFERROR(__xludf.DUMMYFUNCTION("""COMPUTED_VALUE"""),"27-75193456-1")</f>
        <v>27-75193456-1</v>
      </c>
      <c r="E76" s="21" t="str">
        <f>IFERROR(__xludf.DUMMYFUNCTION("""COMPUTED_VALUE"""),"1")</f>
        <v>1</v>
      </c>
      <c r="F76" s="21" t="str">
        <f>IFERROR(__xludf.DUMMYFUNCTION("""COMPUTED_VALUE"""),"4")</f>
        <v>4</v>
      </c>
      <c r="G76" s="21" t="str">
        <f>IFERROR(__xludf.DUMMYFUNCTION("""COMPUTED_VALUE"""),"4")</f>
        <v>4</v>
      </c>
      <c r="H76" s="21" t="str">
        <f>IFERROR(__xludf.DUMMYFUNCTION("""COMPUTED_VALUE"""),"9")</f>
        <v>9</v>
      </c>
      <c r="I76" s="21" t="str">
        <f>IF(E76="","",VLOOKUP(E76,tipo_organizacion[#ALL],2,0))</f>
        <v>Donante</v>
      </c>
      <c r="J76" s="21" t="str">
        <f>IF(F76="","",VLOOKUP(F76,razon_social[#ALL],2,0))</f>
        <v>GOB</v>
      </c>
      <c r="K76" s="21" t="str">
        <f>IF(G76="","",VLOOKUP(G76,tipo_contribuyente[#ALL],2,0))</f>
        <v>Exento</v>
      </c>
      <c r="L76" s="21" t="str">
        <f>IF(H76="","",VLOOKUP(H76,pais[#ALL],2,0))</f>
        <v>Uruguay</v>
      </c>
    </row>
    <row r="77">
      <c r="A77" s="21" t="str">
        <f>IFERROR(__xludf.DUMMYFUNCTION("""COMPUTED_VALUE"""),"76")</f>
        <v>76</v>
      </c>
      <c r="B77" s="21" t="str">
        <f>IFERROR(__xludf.DUMMYFUNCTION("""COMPUTED_VALUE"""),"D00115")</f>
        <v>D00115</v>
      </c>
      <c r="C77" s="21" t="str">
        <f>IFERROR(__xludf.DUMMYFUNCTION("""COMPUTED_VALUE"""),"Mercado Popular")</f>
        <v>Mercado Popular</v>
      </c>
      <c r="D77" s="21" t="str">
        <f>IFERROR(__xludf.DUMMYFUNCTION("""COMPUTED_VALUE"""),"24-34193456-2")</f>
        <v>24-34193456-2</v>
      </c>
      <c r="E77" s="21" t="str">
        <f>IFERROR(__xludf.DUMMYFUNCTION("""COMPUTED_VALUE"""),"1")</f>
        <v>1</v>
      </c>
      <c r="F77" s="21" t="str">
        <f>IFERROR(__xludf.DUMMYFUNCTION("""COMPUTED_VALUE"""),"1")</f>
        <v>1</v>
      </c>
      <c r="G77" s="21" t="str">
        <f>IFERROR(__xludf.DUMMYFUNCTION("""COMPUTED_VALUE"""),"2")</f>
        <v>2</v>
      </c>
      <c r="H77" s="21" t="str">
        <f>IFERROR(__xludf.DUMMYFUNCTION("""COMPUTED_VALUE"""),"3")</f>
        <v>3</v>
      </c>
      <c r="I77" s="21" t="str">
        <f>IF(E77="","",VLOOKUP(E77,tipo_organizacion[#ALL],2,0))</f>
        <v>Donante</v>
      </c>
      <c r="J77" s="21" t="str">
        <f>IF(F77="","",VLOOKUP(F77,razon_social[#ALL],2,0))</f>
        <v>S.A.S</v>
      </c>
      <c r="K77" s="21" t="str">
        <f>IF(G77="","",VLOOKUP(G77,tipo_contribuyente[#ALL],2,0))</f>
        <v>Monotributista</v>
      </c>
      <c r="L77" s="21" t="str">
        <f>IF(H77="","",VLOOKUP(H77,pais[#ALL],2,0))</f>
        <v>Brasil</v>
      </c>
    </row>
    <row r="78">
      <c r="A78" s="21" t="str">
        <f>IFERROR(__xludf.DUMMYFUNCTION("""COMPUTED_VALUE"""),"77")</f>
        <v>77</v>
      </c>
      <c r="B78" s="21" t="str">
        <f>IFERROR(__xludf.DUMMYFUNCTION("""COMPUTED_VALUE"""),"D00116")</f>
        <v>D00116</v>
      </c>
      <c r="C78" s="21" t="str">
        <f>IFERROR(__xludf.DUMMYFUNCTION("""COMPUTED_VALUE"""),"Universidad del Sur")</f>
        <v>Universidad del Sur</v>
      </c>
      <c r="D78" s="21" t="str">
        <f>IFERROR(__xludf.DUMMYFUNCTION("""COMPUTED_VALUE"""),"29-38793456-3")</f>
        <v>29-38793456-3</v>
      </c>
      <c r="E78" s="21" t="str">
        <f>IFERROR(__xludf.DUMMYFUNCTION("""COMPUTED_VALUE"""),"1")</f>
        <v>1</v>
      </c>
      <c r="F78" s="21" t="str">
        <f>IFERROR(__xludf.DUMMYFUNCTION("""COMPUTED_VALUE"""),"2")</f>
        <v>2</v>
      </c>
      <c r="G78" s="21" t="str">
        <f>IFERROR(__xludf.DUMMYFUNCTION("""COMPUTED_VALUE"""),"1")</f>
        <v>1</v>
      </c>
      <c r="H78" s="21" t="str">
        <f>IFERROR(__xludf.DUMMYFUNCTION("""COMPUTED_VALUE"""),"8")</f>
        <v>8</v>
      </c>
      <c r="I78" s="21" t="str">
        <f>IF(E78="","",VLOOKUP(E78,tipo_organizacion[#ALL],2,0))</f>
        <v>Donante</v>
      </c>
      <c r="J78" s="21" t="str">
        <f>IF(F78="","",VLOOKUP(F78,razon_social[#ALL],2,0))</f>
        <v>S.A</v>
      </c>
      <c r="K78" s="21" t="str">
        <f>IF(G78="","",VLOOKUP(G78,tipo_contribuyente[#ALL],2,0))</f>
        <v>Responsable Inscripto</v>
      </c>
      <c r="L78" s="21" t="str">
        <f>IF(H78="","",VLOOKUP(H78,pais[#ALL],2,0))</f>
        <v>Perú</v>
      </c>
    </row>
    <row r="79">
      <c r="A79" s="21" t="str">
        <f>IFERROR(__xludf.DUMMYFUNCTION("""COMPUTED_VALUE"""),"78")</f>
        <v>78</v>
      </c>
      <c r="B79" s="21" t="str">
        <f>IFERROR(__xludf.DUMMYFUNCTION("""COMPUTED_VALUE"""),"D00117")</f>
        <v>D00117</v>
      </c>
      <c r="C79" s="21" t="str">
        <f>IFERROR(__xludf.DUMMYFUNCTION("""COMPUTED_VALUE"""),"Automoviles Full")</f>
        <v>Automoviles Full</v>
      </c>
      <c r="D79" s="21" t="str">
        <f>IFERROR(__xludf.DUMMYFUNCTION("""COMPUTED_VALUE"""),"21-38712356-4")</f>
        <v>21-38712356-4</v>
      </c>
      <c r="E79" s="21" t="str">
        <f>IFERROR(__xludf.DUMMYFUNCTION("""COMPUTED_VALUE"""),"1")</f>
        <v>1</v>
      </c>
      <c r="F79" s="21" t="str">
        <f>IFERROR(__xludf.DUMMYFUNCTION("""COMPUTED_VALUE"""),"2")</f>
        <v>2</v>
      </c>
      <c r="G79" s="21" t="str">
        <f>IFERROR(__xludf.DUMMYFUNCTION("""COMPUTED_VALUE"""),"1")</f>
        <v>1</v>
      </c>
      <c r="H79" s="21" t="str">
        <f>IFERROR(__xludf.DUMMYFUNCTION("""COMPUTED_VALUE"""),"9")</f>
        <v>9</v>
      </c>
      <c r="I79" s="21" t="str">
        <f>IF(E79="","",VLOOKUP(E79,tipo_organizacion[#ALL],2,0))</f>
        <v>Donante</v>
      </c>
      <c r="J79" s="21" t="str">
        <f>IF(F79="","",VLOOKUP(F79,razon_social[#ALL],2,0))</f>
        <v>S.A</v>
      </c>
      <c r="K79" s="21" t="str">
        <f>IF(G79="","",VLOOKUP(G79,tipo_contribuyente[#ALL],2,0))</f>
        <v>Responsable Inscripto</v>
      </c>
      <c r="L79" s="21" t="str">
        <f>IF(H79="","",VLOOKUP(H79,pais[#ALL],2,0))</f>
        <v>Uruguay</v>
      </c>
    </row>
    <row r="80">
      <c r="A80" s="21" t="str">
        <f>IFERROR(__xludf.DUMMYFUNCTION("""COMPUTED_VALUE"""),"79")</f>
        <v>79</v>
      </c>
      <c r="B80" s="21" t="str">
        <f>IFERROR(__xludf.DUMMYFUNCTION("""COMPUTED_VALUE"""),"D00120")</f>
        <v>D00120</v>
      </c>
      <c r="C80" s="21" t="str">
        <f>IFERROR(__xludf.DUMMYFUNCTION("""COMPUTED_VALUE"""),"Supermercado Vegano SRL")</f>
        <v>Supermercado Vegano SRL</v>
      </c>
      <c r="D80" s="21" t="str">
        <f>IFERROR(__xludf.DUMMYFUNCTION("""COMPUTED_VALUE"""),"34-01712356-5")</f>
        <v>34-01712356-5</v>
      </c>
      <c r="E80" s="21" t="str">
        <f>IFERROR(__xludf.DUMMYFUNCTION("""COMPUTED_VALUE"""),"1")</f>
        <v>1</v>
      </c>
      <c r="F80" s="21" t="str">
        <f>IFERROR(__xludf.DUMMYFUNCTION("""COMPUTED_VALUE"""),"3")</f>
        <v>3</v>
      </c>
      <c r="G80" s="21" t="str">
        <f>IFERROR(__xludf.DUMMYFUNCTION("""COMPUTED_VALUE"""),"1")</f>
        <v>1</v>
      </c>
      <c r="H80" s="21" t="str">
        <f>IFERROR(__xludf.DUMMYFUNCTION("""COMPUTED_VALUE"""),"10")</f>
        <v>10</v>
      </c>
      <c r="I80" s="21" t="str">
        <f>IF(E80="","",VLOOKUP(E80,tipo_organizacion[#ALL],2,0))</f>
        <v>Donante</v>
      </c>
      <c r="J80" s="21" t="str">
        <f>IF(F80="","",VLOOKUP(F80,razon_social[#ALL],2,0))</f>
        <v>S.R.L</v>
      </c>
      <c r="K80" s="21" t="str">
        <f>IF(G80="","",VLOOKUP(G80,tipo_contribuyente[#ALL],2,0))</f>
        <v>Responsable Inscripto</v>
      </c>
      <c r="L80" s="21" t="str">
        <f>IF(H80="","",VLOOKUP(H80,pais[#ALL],2,0))</f>
        <v>Venezuela</v>
      </c>
    </row>
    <row r="81">
      <c r="A81" s="21" t="str">
        <f>IFERROR(__xludf.DUMMYFUNCTION("""COMPUTED_VALUE"""),"80")</f>
        <v>80</v>
      </c>
      <c r="B81" s="21" t="str">
        <f>IFERROR(__xludf.DUMMYFUNCTION("""COMPUTED_VALUE"""),"D00121")</f>
        <v>D00121</v>
      </c>
      <c r="C81" s="21" t="str">
        <f>IFERROR(__xludf.DUMMYFUNCTION("""COMPUTED_VALUE"""),"Ministerio de Accion Comunitaria")</f>
        <v>Ministerio de Accion Comunitaria</v>
      </c>
      <c r="D81" s="21" t="str">
        <f>IFERROR(__xludf.DUMMYFUNCTION("""COMPUTED_VALUE"""),"34-01712356-6")</f>
        <v>34-01712356-6</v>
      </c>
      <c r="E81" s="21" t="str">
        <f>IFERROR(__xludf.DUMMYFUNCTION("""COMPUTED_VALUE"""),"1")</f>
        <v>1</v>
      </c>
      <c r="F81" s="21" t="str">
        <f>IFERROR(__xludf.DUMMYFUNCTION("""COMPUTED_VALUE"""),"4")</f>
        <v>4</v>
      </c>
      <c r="G81" s="21" t="str">
        <f>IFERROR(__xludf.DUMMYFUNCTION("""COMPUTED_VALUE"""),"4")</f>
        <v>4</v>
      </c>
      <c r="H81" s="21" t="str">
        <f>IFERROR(__xludf.DUMMYFUNCTION("""COMPUTED_VALUE"""),"4")</f>
        <v>4</v>
      </c>
      <c r="I81" s="21" t="str">
        <f>IF(E81="","",VLOOKUP(E81,tipo_organizacion[#ALL],2,0))</f>
        <v>Donante</v>
      </c>
      <c r="J81" s="21" t="str">
        <f>IF(F81="","",VLOOKUP(F81,razon_social[#ALL],2,0))</f>
        <v>GOB</v>
      </c>
      <c r="K81" s="21" t="str">
        <f>IF(G81="","",VLOOKUP(G81,tipo_contribuyente[#ALL],2,0))</f>
        <v>Exento</v>
      </c>
      <c r="L81" s="21" t="str">
        <f>IF(H81="","",VLOOKUP(H81,pais[#ALL],2,0))</f>
        <v>Chile</v>
      </c>
    </row>
    <row r="82">
      <c r="A82" s="21" t="str">
        <f>IFERROR(__xludf.DUMMYFUNCTION("""COMPUTED_VALUE"""),"81")</f>
        <v>81</v>
      </c>
      <c r="B82" s="21" t="str">
        <f>IFERROR(__xludf.DUMMYFUNCTION("""COMPUTED_VALUE"""),"D00122")</f>
        <v>D00122</v>
      </c>
      <c r="C82" s="21" t="str">
        <f>IFERROR(__xludf.DUMMYFUNCTION("""COMPUTED_VALUE"""),"El Parque SRL")</f>
        <v>El Parque SRL</v>
      </c>
      <c r="D82" s="21" t="str">
        <f>IFERROR(__xludf.DUMMYFUNCTION("""COMPUTED_VALUE"""),"24-78912356-7")</f>
        <v>24-78912356-7</v>
      </c>
      <c r="E82" s="21" t="str">
        <f>IFERROR(__xludf.DUMMYFUNCTION("""COMPUTED_VALUE"""),"1")</f>
        <v>1</v>
      </c>
      <c r="F82" s="21" t="str">
        <f>IFERROR(__xludf.DUMMYFUNCTION("""COMPUTED_VALUE"""),"3")</f>
        <v>3</v>
      </c>
      <c r="G82" s="21" t="str">
        <f>IFERROR(__xludf.DUMMYFUNCTION("""COMPUTED_VALUE"""),"1")</f>
        <v>1</v>
      </c>
      <c r="H82" s="21" t="str">
        <f>IFERROR(__xludf.DUMMYFUNCTION("""COMPUTED_VALUE"""),"2")</f>
        <v>2</v>
      </c>
      <c r="I82" s="21" t="str">
        <f>IF(E82="","",VLOOKUP(E82,tipo_organizacion[#ALL],2,0))</f>
        <v>Donante</v>
      </c>
      <c r="J82" s="21" t="str">
        <f>IF(F82="","",VLOOKUP(F82,razon_social[#ALL],2,0))</f>
        <v>S.R.L</v>
      </c>
      <c r="K82" s="21" t="str">
        <f>IF(G82="","",VLOOKUP(G82,tipo_contribuyente[#ALL],2,0))</f>
        <v>Responsable Inscripto</v>
      </c>
      <c r="L82" s="21" t="str">
        <f>IF(H82="","",VLOOKUP(H82,pais[#ALL],2,0))</f>
        <v>Bolivia</v>
      </c>
    </row>
    <row r="83">
      <c r="A83" s="21" t="str">
        <f>IFERROR(__xludf.DUMMYFUNCTION("""COMPUTED_VALUE"""),"82")</f>
        <v>82</v>
      </c>
      <c r="B83" s="21" t="str">
        <f>IFERROR(__xludf.DUMMYFUNCTION("""COMPUTED_VALUE"""),"D00123")</f>
        <v>D00123</v>
      </c>
      <c r="C83" s="21" t="str">
        <f>IFERROR(__xludf.DUMMYFUNCTION("""COMPUTED_VALUE"""),"Merendero Solidario")</f>
        <v>Merendero Solidario</v>
      </c>
      <c r="D83" s="21" t="str">
        <f>IFERROR(__xludf.DUMMYFUNCTION("""COMPUTED_VALUE"""),"24-72582356-8")</f>
        <v>24-72582356-8</v>
      </c>
      <c r="E83" s="21" t="str">
        <f>IFERROR(__xludf.DUMMYFUNCTION("""COMPUTED_VALUE"""),"1")</f>
        <v>1</v>
      </c>
      <c r="F83" s="21" t="str">
        <f>IFERROR(__xludf.DUMMYFUNCTION("""COMPUTED_VALUE"""),"4")</f>
        <v>4</v>
      </c>
      <c r="G83" s="21" t="str">
        <f>IFERROR(__xludf.DUMMYFUNCTION("""COMPUTED_VALUE"""),"2")</f>
        <v>2</v>
      </c>
      <c r="H83" s="21" t="str">
        <f>IFERROR(__xludf.DUMMYFUNCTION("""COMPUTED_VALUE"""),"2")</f>
        <v>2</v>
      </c>
      <c r="I83" s="21" t="str">
        <f>IF(E83="","",VLOOKUP(E83,tipo_organizacion[#ALL],2,0))</f>
        <v>Donante</v>
      </c>
      <c r="J83" s="21" t="str">
        <f>IF(F83="","",VLOOKUP(F83,razon_social[#ALL],2,0))</f>
        <v>GOB</v>
      </c>
      <c r="K83" s="21" t="str">
        <f>IF(G83="","",VLOOKUP(G83,tipo_contribuyente[#ALL],2,0))</f>
        <v>Monotributista</v>
      </c>
      <c r="L83" s="21" t="str">
        <f>IF(H83="","",VLOOKUP(H83,pais[#ALL],2,0))</f>
        <v>Bolivia</v>
      </c>
    </row>
    <row r="84">
      <c r="A84" s="21" t="str">
        <f>IFERROR(__xludf.DUMMYFUNCTION("""COMPUTED_VALUE"""),"83")</f>
        <v>83</v>
      </c>
      <c r="B84" s="21" t="str">
        <f>IFERROR(__xludf.DUMMYFUNCTION("""COMPUTED_VALUE"""),"D00124")</f>
        <v>D00124</v>
      </c>
      <c r="C84" s="21" t="str">
        <f>IFERROR(__xludf.DUMMYFUNCTION("""COMPUTED_VALUE"""),"Soluciones VerdeVida")</f>
        <v>Soluciones VerdeVida</v>
      </c>
      <c r="D84" s="21" t="str">
        <f>IFERROR(__xludf.DUMMYFUNCTION("""COMPUTED_VALUE"""),"20-12345678-9")</f>
        <v>20-12345678-9</v>
      </c>
      <c r="E84" s="21" t="str">
        <f>IFERROR(__xludf.DUMMYFUNCTION("""COMPUTED_VALUE"""),"1")</f>
        <v>1</v>
      </c>
      <c r="F84" s="21" t="str">
        <f>IFERROR(__xludf.DUMMYFUNCTION("""COMPUTED_VALUE"""),"6")</f>
        <v>6</v>
      </c>
      <c r="G84" s="21" t="str">
        <f>IFERROR(__xludf.DUMMYFUNCTION("""COMPUTED_VALUE"""),"2")</f>
        <v>2</v>
      </c>
      <c r="H84" s="21" t="str">
        <f>IFERROR(__xludf.DUMMYFUNCTION("""COMPUTED_VALUE"""),"1")</f>
        <v>1</v>
      </c>
      <c r="I84" s="21" t="str">
        <f>IF(E84="","",VLOOKUP(E84,tipo_organizacion[#ALL],2,0))</f>
        <v>Donante</v>
      </c>
      <c r="J84" s="21" t="str">
        <f>IF(F84="","",VLOOKUP(F84,razon_social[#ALL],2,0))</f>
        <v>ONG</v>
      </c>
      <c r="K84" s="21" t="str">
        <f>IF(G84="","",VLOOKUP(G84,tipo_contribuyente[#ALL],2,0))</f>
        <v>Monotributista</v>
      </c>
      <c r="L84" s="21" t="str">
        <f>IF(H84="","",VLOOKUP(H84,pais[#ALL],2,0))</f>
        <v>Argentina</v>
      </c>
    </row>
    <row r="85">
      <c r="A85" s="21" t="str">
        <f>IFERROR(__xludf.DUMMYFUNCTION("""COMPUTED_VALUE"""),"84")</f>
        <v>84</v>
      </c>
      <c r="B85" s="21" t="str">
        <f>IFERROR(__xludf.DUMMYFUNCTION("""COMPUTED_VALUE"""),"D00125")</f>
        <v>D00125</v>
      </c>
      <c r="C85" s="21" t="str">
        <f>IFERROR(__xludf.DUMMYFUNCTION("""COMPUTED_VALUE"""),"Innovacion Global S.A.")</f>
        <v>Innovacion Global S.A.</v>
      </c>
      <c r="D85" s="21" t="str">
        <f>IFERROR(__xludf.DUMMYFUNCTION("""COMPUTED_VALUE"""),"27-23456789-1")</f>
        <v>27-23456789-1</v>
      </c>
      <c r="E85" s="21" t="str">
        <f>IFERROR(__xludf.DUMMYFUNCTION("""COMPUTED_VALUE"""),"1")</f>
        <v>1</v>
      </c>
      <c r="F85" s="21" t="str">
        <f>IFERROR(__xludf.DUMMYFUNCTION("""COMPUTED_VALUE"""),"2")</f>
        <v>2</v>
      </c>
      <c r="G85" s="21" t="str">
        <f>IFERROR(__xludf.DUMMYFUNCTION("""COMPUTED_VALUE"""),"1")</f>
        <v>1</v>
      </c>
      <c r="H85" s="21" t="str">
        <f>IFERROR(__xludf.DUMMYFUNCTION("""COMPUTED_VALUE"""),"3")</f>
        <v>3</v>
      </c>
      <c r="I85" s="21" t="str">
        <f>IF(E85="","",VLOOKUP(E85,tipo_organizacion[#ALL],2,0))</f>
        <v>Donante</v>
      </c>
      <c r="J85" s="21" t="str">
        <f>IF(F85="","",VLOOKUP(F85,razon_social[#ALL],2,0))</f>
        <v>S.A</v>
      </c>
      <c r="K85" s="21" t="str">
        <f>IF(G85="","",VLOOKUP(G85,tipo_contribuyente[#ALL],2,0))</f>
        <v>Responsable Inscripto</v>
      </c>
      <c r="L85" s="21" t="str">
        <f>IF(H85="","",VLOOKUP(H85,pais[#ALL],2,0))</f>
        <v>Brasil</v>
      </c>
    </row>
    <row r="86">
      <c r="A86" s="21" t="str">
        <f>IFERROR(__xludf.DUMMYFUNCTION("""COMPUTED_VALUE"""),"85")</f>
        <v>85</v>
      </c>
      <c r="B86" s="21" t="str">
        <f>IFERROR(__xludf.DUMMYFUNCTION("""COMPUTED_VALUE"""),"D00126")</f>
        <v>D00126</v>
      </c>
      <c r="C86" s="21" t="str">
        <f>IFERROR(__xludf.DUMMYFUNCTION("""COMPUTED_VALUE"""),"Empresas FuturoBrillante")</f>
        <v>Empresas FuturoBrillante</v>
      </c>
      <c r="D86" s="21" t="str">
        <f>IFERROR(__xludf.DUMMYFUNCTION("""COMPUTED_VALUE"""),"30-34567890-2")</f>
        <v>30-34567890-2</v>
      </c>
      <c r="E86" s="21" t="str">
        <f>IFERROR(__xludf.DUMMYFUNCTION("""COMPUTED_VALUE"""),"1")</f>
        <v>1</v>
      </c>
      <c r="F86" s="21" t="str">
        <f>IFERROR(__xludf.DUMMYFUNCTION("""COMPUTED_VALUE"""),"1")</f>
        <v>1</v>
      </c>
      <c r="G86" s="21" t="str">
        <f>IFERROR(__xludf.DUMMYFUNCTION("""COMPUTED_VALUE"""),"1")</f>
        <v>1</v>
      </c>
      <c r="H86" s="21" t="str">
        <f>IFERROR(__xludf.DUMMYFUNCTION("""COMPUTED_VALUE"""),"4")</f>
        <v>4</v>
      </c>
      <c r="I86" s="21" t="str">
        <f>IF(E86="","",VLOOKUP(E86,tipo_organizacion[#ALL],2,0))</f>
        <v>Donante</v>
      </c>
      <c r="J86" s="21" t="str">
        <f>IF(F86="","",VLOOKUP(F86,razon_social[#ALL],2,0))</f>
        <v>S.A.S</v>
      </c>
      <c r="K86" s="21" t="str">
        <f>IF(G86="","",VLOOKUP(G86,tipo_contribuyente[#ALL],2,0))</f>
        <v>Responsable Inscripto</v>
      </c>
      <c r="L86" s="21" t="str">
        <f>IF(H86="","",VLOOKUP(H86,pais[#ALL],2,0))</f>
        <v>Chile</v>
      </c>
    </row>
    <row r="87">
      <c r="A87" s="21" t="str">
        <f>IFERROR(__xludf.DUMMYFUNCTION("""COMPUTED_VALUE"""),"86")</f>
        <v>86</v>
      </c>
      <c r="B87" s="21" t="str">
        <f>IFERROR(__xludf.DUMMYFUNCTION("""COMPUTED_VALUE"""),"D00127")</f>
        <v>D00127</v>
      </c>
      <c r="C87" s="21" t="str">
        <f>IFERROR(__xludf.DUMMYFUNCTION("""COMPUTED_VALUE"""),"Horizonte Ecologico")</f>
        <v>Horizonte Ecologico</v>
      </c>
      <c r="D87" s="21" t="str">
        <f>IFERROR(__xludf.DUMMYFUNCTION("""COMPUTED_VALUE"""),"23-45678901-3")</f>
        <v>23-45678901-3</v>
      </c>
      <c r="E87" s="21" t="str">
        <f>IFERROR(__xludf.DUMMYFUNCTION("""COMPUTED_VALUE"""),"1")</f>
        <v>1</v>
      </c>
      <c r="F87" s="21" t="str">
        <f>IFERROR(__xludf.DUMMYFUNCTION("""COMPUTED_VALUE"""),"6")</f>
        <v>6</v>
      </c>
      <c r="G87" s="21" t="str">
        <f>IFERROR(__xludf.DUMMYFUNCTION("""COMPUTED_VALUE"""),"2")</f>
        <v>2</v>
      </c>
      <c r="H87" s="21" t="str">
        <f>IFERROR(__xludf.DUMMYFUNCTION("""COMPUTED_VALUE"""),"6")</f>
        <v>6</v>
      </c>
      <c r="I87" s="21" t="str">
        <f>IF(E87="","",VLOOKUP(E87,tipo_organizacion[#ALL],2,0))</f>
        <v>Donante</v>
      </c>
      <c r="J87" s="21" t="str">
        <f>IF(F87="","",VLOOKUP(F87,razon_social[#ALL],2,0))</f>
        <v>ONG</v>
      </c>
      <c r="K87" s="21" t="str">
        <f>IF(G87="","",VLOOKUP(G87,tipo_contribuyente[#ALL],2,0))</f>
        <v>Monotributista</v>
      </c>
      <c r="L87" s="21" t="str">
        <f>IF(H87="","",VLOOKUP(H87,pais[#ALL],2,0))</f>
        <v>Mexico</v>
      </c>
    </row>
    <row r="88">
      <c r="A88" s="21" t="str">
        <f>IFERROR(__xludf.DUMMYFUNCTION("""COMPUTED_VALUE"""),"87")</f>
        <v>87</v>
      </c>
      <c r="B88" s="21" t="str">
        <f>IFERROR(__xludf.DUMMYFUNCTION("""COMPUTED_VALUE"""),"D00128")</f>
        <v>D00128</v>
      </c>
      <c r="C88" s="21" t="str">
        <f>IFERROR(__xludf.DUMMYFUNCTION("""COMPUTED_VALUE"""),"Fundacion UniCorp")</f>
        <v>Fundacion UniCorp</v>
      </c>
      <c r="D88" s="21" t="str">
        <f>IFERROR(__xludf.DUMMYFUNCTION("""COMPUTED_VALUE"""),"33-56789012-4")</f>
        <v>33-56789012-4</v>
      </c>
      <c r="E88" s="21" t="str">
        <f>IFERROR(__xludf.DUMMYFUNCTION("""COMPUTED_VALUE"""),"1")</f>
        <v>1</v>
      </c>
      <c r="F88" s="21" t="str">
        <f>IFERROR(__xludf.DUMMYFUNCTION("""COMPUTED_VALUE"""),"6")</f>
        <v>6</v>
      </c>
      <c r="G88" s="21" t="str">
        <f>IFERROR(__xludf.DUMMYFUNCTION("""COMPUTED_VALUE"""),"2")</f>
        <v>2</v>
      </c>
      <c r="H88" s="21" t="str">
        <f>IFERROR(__xludf.DUMMYFUNCTION("""COMPUTED_VALUE"""),"5")</f>
        <v>5</v>
      </c>
      <c r="I88" s="21" t="str">
        <f>IF(E88="","",VLOOKUP(E88,tipo_organizacion[#ALL],2,0))</f>
        <v>Donante</v>
      </c>
      <c r="J88" s="21" t="str">
        <f>IF(F88="","",VLOOKUP(F88,razon_social[#ALL],2,0))</f>
        <v>ONG</v>
      </c>
      <c r="K88" s="21" t="str">
        <f>IF(G88="","",VLOOKUP(G88,tipo_contribuyente[#ALL],2,0))</f>
        <v>Monotributista</v>
      </c>
      <c r="L88" s="21" t="str">
        <f>IF(H88="","",VLOOKUP(H88,pais[#ALL],2,0))</f>
        <v>Colombia</v>
      </c>
    </row>
    <row r="89">
      <c r="A89" s="21" t="str">
        <f>IFERROR(__xludf.DUMMYFUNCTION("""COMPUTED_VALUE"""),"88")</f>
        <v>88</v>
      </c>
      <c r="B89" s="21" t="str">
        <f>IFERROR(__xludf.DUMMYFUNCTION("""COMPUTED_VALUE"""),"D00129")</f>
        <v>D00129</v>
      </c>
      <c r="C89" s="21" t="str">
        <f>IFERROR(__xludf.DUMMYFUNCTION("""COMPUTED_VALUE"""),"Corporacion NovaTech")</f>
        <v>Corporacion NovaTech</v>
      </c>
      <c r="D89" s="21" t="str">
        <f>IFERROR(__xludf.DUMMYFUNCTION("""COMPUTED_VALUE"""),"30-98765432-1")</f>
        <v>30-98765432-1</v>
      </c>
      <c r="E89" s="21" t="str">
        <f>IFERROR(__xludf.DUMMYFUNCTION("""COMPUTED_VALUE"""),"1")</f>
        <v>1</v>
      </c>
      <c r="F89" s="21" t="str">
        <f>IFERROR(__xludf.DUMMYFUNCTION("""COMPUTED_VALUE"""),"2")</f>
        <v>2</v>
      </c>
      <c r="G89" s="21" t="str">
        <f>IFERROR(__xludf.DUMMYFUNCTION("""COMPUTED_VALUE"""),"1")</f>
        <v>1</v>
      </c>
      <c r="H89" s="21" t="str">
        <f>IFERROR(__xludf.DUMMYFUNCTION("""COMPUTED_VALUE"""),"5")</f>
        <v>5</v>
      </c>
      <c r="I89" s="21" t="str">
        <f>IF(E89="","",VLOOKUP(E89,tipo_organizacion[#ALL],2,0))</f>
        <v>Donante</v>
      </c>
      <c r="J89" s="21" t="str">
        <f>IF(F89="","",VLOOKUP(F89,razon_social[#ALL],2,0))</f>
        <v>S.A</v>
      </c>
      <c r="K89" s="21" t="str">
        <f>IF(G89="","",VLOOKUP(G89,tipo_contribuyente[#ALL],2,0))</f>
        <v>Responsable Inscripto</v>
      </c>
      <c r="L89" s="21" t="str">
        <f>IF(H89="","",VLOOKUP(H89,pais[#ALL],2,0))</f>
        <v>Colombia</v>
      </c>
    </row>
    <row r="90">
      <c r="A90" s="21" t="str">
        <f>IFERROR(__xludf.DUMMYFUNCTION("""COMPUTED_VALUE"""),"89")</f>
        <v>89</v>
      </c>
      <c r="B90" s="21" t="str">
        <f>IFERROR(__xludf.DUMMYFUNCTION("""COMPUTED_VALUE"""),"D00130")</f>
        <v>D00130</v>
      </c>
      <c r="C90" s="21" t="str">
        <f>IFERROR(__xludf.DUMMYFUNCTION("""COMPUTED_VALUE"""),"Servicios Plus")</f>
        <v>Servicios Plus</v>
      </c>
      <c r="D90" s="21" t="str">
        <f>IFERROR(__xludf.DUMMYFUNCTION("""COMPUTED_VALUE"""),"30-45765232-2")</f>
        <v>30-45765232-2</v>
      </c>
      <c r="E90" s="21" t="str">
        <f>IFERROR(__xludf.DUMMYFUNCTION("""COMPUTED_VALUE"""),"1")</f>
        <v>1</v>
      </c>
      <c r="F90" s="21" t="str">
        <f>IFERROR(__xludf.DUMMYFUNCTION("""COMPUTED_VALUE"""),"1")</f>
        <v>1</v>
      </c>
      <c r="G90" s="21" t="str">
        <f>IFERROR(__xludf.DUMMYFUNCTION("""COMPUTED_VALUE"""),"1")</f>
        <v>1</v>
      </c>
      <c r="H90" s="21" t="str">
        <f>IFERROR(__xludf.DUMMYFUNCTION("""COMPUTED_VALUE"""),"5")</f>
        <v>5</v>
      </c>
      <c r="I90" s="21" t="str">
        <f>IF(E90="","",VLOOKUP(E90,tipo_organizacion[#ALL],2,0))</f>
        <v>Donante</v>
      </c>
      <c r="J90" s="21" t="str">
        <f>IF(F90="","",VLOOKUP(F90,razon_social[#ALL],2,0))</f>
        <v>S.A.S</v>
      </c>
      <c r="K90" s="21" t="str">
        <f>IF(G90="","",VLOOKUP(G90,tipo_contribuyente[#ALL],2,0))</f>
        <v>Responsable Inscripto</v>
      </c>
      <c r="L90" s="21" t="str">
        <f>IF(H90="","",VLOOKUP(H90,pais[#ALL],2,0))</f>
        <v>Colombia</v>
      </c>
    </row>
    <row r="91">
      <c r="A91" s="21" t="str">
        <f>IFERROR(__xludf.DUMMYFUNCTION("""COMPUTED_VALUE"""),"90")</f>
        <v>90</v>
      </c>
      <c r="B91" s="21" t="str">
        <f>IFERROR(__xludf.DUMMYFUNCTION("""COMPUTED_VALUE"""),"D00131")</f>
        <v>D00131</v>
      </c>
      <c r="C91" s="21" t="str">
        <f>IFERROR(__xludf.DUMMYFUNCTION("""COMPUTED_VALUE"""),"InnovaLogix S.A.")</f>
        <v>InnovaLogix S.A.</v>
      </c>
      <c r="D91" s="21" t="str">
        <f>IFERROR(__xludf.DUMMYFUNCTION("""COMPUTED_VALUE"""),"27-65432109-8")</f>
        <v>27-65432109-8</v>
      </c>
      <c r="E91" s="21" t="str">
        <f>IFERROR(__xludf.DUMMYFUNCTION("""COMPUTED_VALUE"""),"1")</f>
        <v>1</v>
      </c>
      <c r="F91" s="21" t="str">
        <f>IFERROR(__xludf.DUMMYFUNCTION("""COMPUTED_VALUE"""),"2")</f>
        <v>2</v>
      </c>
      <c r="G91" s="21" t="str">
        <f>IFERROR(__xludf.DUMMYFUNCTION("""COMPUTED_VALUE"""),"4")</f>
        <v>4</v>
      </c>
      <c r="H91" s="21" t="str">
        <f>IFERROR(__xludf.DUMMYFUNCTION("""COMPUTED_VALUE"""),"3")</f>
        <v>3</v>
      </c>
      <c r="I91" s="21" t="str">
        <f>IF(E91="","",VLOOKUP(E91,tipo_organizacion[#ALL],2,0))</f>
        <v>Donante</v>
      </c>
      <c r="J91" s="21" t="str">
        <f>IF(F91="","",VLOOKUP(F91,razon_social[#ALL],2,0))</f>
        <v>S.A</v>
      </c>
      <c r="K91" s="21" t="str">
        <f>IF(G91="","",VLOOKUP(G91,tipo_contribuyente[#ALL],2,0))</f>
        <v>Exento</v>
      </c>
      <c r="L91" s="21" t="str">
        <f>IF(H91="","",VLOOKUP(H91,pais[#ALL],2,0))</f>
        <v>Brasil</v>
      </c>
    </row>
    <row r="92">
      <c r="A92" s="21" t="str">
        <f>IFERROR(__xludf.DUMMYFUNCTION("""COMPUTED_VALUE"""),"91")</f>
        <v>91</v>
      </c>
      <c r="B92" s="21" t="str">
        <f>IFERROR(__xludf.DUMMYFUNCTION("""COMPUTED_VALUE"""),"D00132")</f>
        <v>D00132</v>
      </c>
      <c r="C92" s="21" t="str">
        <f>IFERROR(__xludf.DUMMYFUNCTION("""COMPUTED_VALUE"""),"ViaVerde")</f>
        <v>ViaVerde</v>
      </c>
      <c r="D92" s="21" t="str">
        <f>IFERROR(__xludf.DUMMYFUNCTION("""COMPUTED_VALUE"""),"27-78434109-9")</f>
        <v>27-78434109-9</v>
      </c>
      <c r="E92" s="21" t="str">
        <f>IFERROR(__xludf.DUMMYFUNCTION("""COMPUTED_VALUE"""),"1")</f>
        <v>1</v>
      </c>
      <c r="F92" s="21" t="str">
        <f>IFERROR(__xludf.DUMMYFUNCTION("""COMPUTED_VALUE"""),"3")</f>
        <v>3</v>
      </c>
      <c r="G92" s="21" t="str">
        <f>IFERROR(__xludf.DUMMYFUNCTION("""COMPUTED_VALUE"""),"1")</f>
        <v>1</v>
      </c>
      <c r="H92" s="21" t="str">
        <f>IFERROR(__xludf.DUMMYFUNCTION("""COMPUTED_VALUE"""),"4")</f>
        <v>4</v>
      </c>
      <c r="I92" s="21" t="str">
        <f>IF(E92="","",VLOOKUP(E92,tipo_organizacion[#ALL],2,0))</f>
        <v>Donante</v>
      </c>
      <c r="J92" s="21" t="str">
        <f>IF(F92="","",VLOOKUP(F92,razon_social[#ALL],2,0))</f>
        <v>S.R.L</v>
      </c>
      <c r="K92" s="21" t="str">
        <f>IF(G92="","",VLOOKUP(G92,tipo_contribuyente[#ALL],2,0))</f>
        <v>Responsable Inscripto</v>
      </c>
      <c r="L92" s="21" t="str">
        <f>IF(H92="","",VLOOKUP(H92,pais[#ALL],2,0))</f>
        <v>Chile</v>
      </c>
    </row>
    <row r="93">
      <c r="A93" s="21" t="str">
        <f>IFERROR(__xludf.DUMMYFUNCTION("""COMPUTED_VALUE"""),"92")</f>
        <v>92</v>
      </c>
      <c r="B93" s="21" t="str">
        <f>IFERROR(__xludf.DUMMYFUNCTION("""COMPUTED_VALUE"""),"D00133")</f>
        <v>D00133</v>
      </c>
      <c r="C93" s="21" t="str">
        <f>IFERROR(__xludf.DUMMYFUNCTION("""COMPUTED_VALUE"""),"Energia Futuro S.A.")</f>
        <v>Energia Futuro S.A.</v>
      </c>
      <c r="D93" s="21" t="str">
        <f>IFERROR(__xludf.DUMMYFUNCTION("""COMPUTED_VALUE"""),"30-67891234-7")</f>
        <v>30-67891234-7</v>
      </c>
      <c r="E93" s="21" t="str">
        <f>IFERROR(__xludf.DUMMYFUNCTION("""COMPUTED_VALUE"""),"1")</f>
        <v>1</v>
      </c>
      <c r="F93" s="21" t="str">
        <f>IFERROR(__xludf.DUMMYFUNCTION("""COMPUTED_VALUE"""),"2")</f>
        <v>2</v>
      </c>
      <c r="G93" s="21" t="str">
        <f>IFERROR(__xludf.DUMMYFUNCTION("""COMPUTED_VALUE"""),"5")</f>
        <v>5</v>
      </c>
      <c r="H93" s="21" t="str">
        <f>IFERROR(__xludf.DUMMYFUNCTION("""COMPUTED_VALUE"""),"3")</f>
        <v>3</v>
      </c>
      <c r="I93" s="21" t="str">
        <f>IF(E93="","",VLOOKUP(E93,tipo_organizacion[#ALL],2,0))</f>
        <v>Donante</v>
      </c>
      <c r="J93" s="21" t="str">
        <f>IF(F93="","",VLOOKUP(F93,razon_social[#ALL],2,0))</f>
        <v>S.A</v>
      </c>
      <c r="K93" s="21" t="str">
        <f>IF(G93="","",VLOOKUP(G93,tipo_contribuyente[#ALL],2,0))</f>
        <v>IVA Responsable Inscripto</v>
      </c>
      <c r="L93" s="21" t="str">
        <f>IF(H93="","",VLOOKUP(H93,pais[#ALL],2,0))</f>
        <v>Brasil</v>
      </c>
    </row>
    <row r="94">
      <c r="A94" s="21" t="str">
        <f>IFERROR(__xludf.DUMMYFUNCTION("""COMPUTED_VALUE"""),"93")</f>
        <v>93</v>
      </c>
      <c r="B94" s="21" t="str">
        <f>IFERROR(__xludf.DUMMYFUNCTION("""COMPUTED_VALUE"""),"D00134")</f>
        <v>D00134</v>
      </c>
      <c r="C94" s="21" t="str">
        <f>IFERROR(__xludf.DUMMYFUNCTION("""COMPUTED_VALUE"""),"Energia Sustentable S.A.")</f>
        <v>Energia Sustentable S.A.</v>
      </c>
      <c r="D94" s="21" t="str">
        <f>IFERROR(__xludf.DUMMYFUNCTION("""COMPUTED_VALUE"""),"33-12345678-9")</f>
        <v>33-12345678-9</v>
      </c>
      <c r="E94" s="21" t="str">
        <f>IFERROR(__xludf.DUMMYFUNCTION("""COMPUTED_VALUE"""),"1")</f>
        <v>1</v>
      </c>
      <c r="F94" s="21" t="str">
        <f>IFERROR(__xludf.DUMMYFUNCTION("""COMPUTED_VALUE"""),"2")</f>
        <v>2</v>
      </c>
      <c r="G94" s="21" t="str">
        <f>IFERROR(__xludf.DUMMYFUNCTION("""COMPUTED_VALUE"""),"1")</f>
        <v>1</v>
      </c>
      <c r="H94" s="21" t="str">
        <f>IFERROR(__xludf.DUMMYFUNCTION("""COMPUTED_VALUE"""),"3")</f>
        <v>3</v>
      </c>
      <c r="I94" s="21" t="str">
        <f>IF(E94="","",VLOOKUP(E94,tipo_organizacion[#ALL],2,0))</f>
        <v>Donante</v>
      </c>
      <c r="J94" s="21" t="str">
        <f>IF(F94="","",VLOOKUP(F94,razon_social[#ALL],2,0))</f>
        <v>S.A</v>
      </c>
      <c r="K94" s="21" t="str">
        <f>IF(G94="","",VLOOKUP(G94,tipo_contribuyente[#ALL],2,0))</f>
        <v>Responsable Inscripto</v>
      </c>
      <c r="L94" s="21" t="str">
        <f>IF(H94="","",VLOOKUP(H94,pais[#ALL],2,0))</f>
        <v>Brasil</v>
      </c>
    </row>
    <row r="95">
      <c r="A95" s="21" t="str">
        <f>IFERROR(__xludf.DUMMYFUNCTION("""COMPUTED_VALUE"""),"94")</f>
        <v>94</v>
      </c>
      <c r="B95" s="21" t="str">
        <f>IFERROR(__xludf.DUMMYFUNCTION("""COMPUTED_VALUE"""),"D00135")</f>
        <v>D00135</v>
      </c>
      <c r="C95" s="21" t="str">
        <f>IFERROR(__xludf.DUMMYFUNCTION("""COMPUTED_VALUE"""),"Logistica Global S.R.L.")</f>
        <v>Logistica Global S.R.L.</v>
      </c>
      <c r="D95" s="21" t="str">
        <f>IFERROR(__xludf.DUMMYFUNCTION("""COMPUTED_VALUE"""),"20-98765432-1")</f>
        <v>20-98765432-1</v>
      </c>
      <c r="E95" s="21" t="str">
        <f>IFERROR(__xludf.DUMMYFUNCTION("""COMPUTED_VALUE"""),"1")</f>
        <v>1</v>
      </c>
      <c r="F95" s="21" t="str">
        <f>IFERROR(__xludf.DUMMYFUNCTION("""COMPUTED_VALUE"""),"3")</f>
        <v>3</v>
      </c>
      <c r="G95" s="21" t="str">
        <f>IFERROR(__xludf.DUMMYFUNCTION("""COMPUTED_VALUE"""),"2")</f>
        <v>2</v>
      </c>
      <c r="H95" s="21" t="str">
        <f>IFERROR(__xludf.DUMMYFUNCTION("""COMPUTED_VALUE"""),"4")</f>
        <v>4</v>
      </c>
      <c r="I95" s="21" t="str">
        <f>IF(E95="","",VLOOKUP(E95,tipo_organizacion[#ALL],2,0))</f>
        <v>Donante</v>
      </c>
      <c r="J95" s="21" t="str">
        <f>IF(F95="","",VLOOKUP(F95,razon_social[#ALL],2,0))</f>
        <v>S.R.L</v>
      </c>
      <c r="K95" s="21" t="str">
        <f>IF(G95="","",VLOOKUP(G95,tipo_contribuyente[#ALL],2,0))</f>
        <v>Monotributista</v>
      </c>
      <c r="L95" s="21" t="str">
        <f>IF(H95="","",VLOOKUP(H95,pais[#ALL],2,0))</f>
        <v>Chile</v>
      </c>
    </row>
    <row r="96">
      <c r="A96" s="21" t="str">
        <f>IFERROR(__xludf.DUMMYFUNCTION("""COMPUTED_VALUE"""),"95")</f>
        <v>95</v>
      </c>
      <c r="B96" s="21" t="str">
        <f>IFERROR(__xludf.DUMMYFUNCTION("""COMPUTED_VALUE"""),"D00136")</f>
        <v>D00136</v>
      </c>
      <c r="C96" s="21" t="str">
        <f>IFERROR(__xludf.DUMMYFUNCTION("""COMPUTED_VALUE"""),"AgroIndustrias del Sur")</f>
        <v>AgroIndustrias del Sur</v>
      </c>
      <c r="D96" s="21" t="str">
        <f>IFERROR(__xludf.DUMMYFUNCTION("""COMPUTED_VALUE"""),"33-11223344-5")</f>
        <v>33-11223344-5</v>
      </c>
      <c r="E96" s="21" t="str">
        <f>IFERROR(__xludf.DUMMYFUNCTION("""COMPUTED_VALUE"""),"1")</f>
        <v>1</v>
      </c>
      <c r="F96" s="21" t="str">
        <f>IFERROR(__xludf.DUMMYFUNCTION("""COMPUTED_VALUE"""),"2")</f>
        <v>2</v>
      </c>
      <c r="G96" s="21" t="str">
        <f>IFERROR(__xludf.DUMMYFUNCTION("""COMPUTED_VALUE"""),"5")</f>
        <v>5</v>
      </c>
      <c r="H96" s="21" t="str">
        <f>IFERROR(__xludf.DUMMYFUNCTION("""COMPUTED_VALUE"""),"5")</f>
        <v>5</v>
      </c>
      <c r="I96" s="21" t="str">
        <f>IF(E96="","",VLOOKUP(E96,tipo_organizacion[#ALL],2,0))</f>
        <v>Donante</v>
      </c>
      <c r="J96" s="21" t="str">
        <f>IF(F96="","",VLOOKUP(F96,razon_social[#ALL],2,0))</f>
        <v>S.A</v>
      </c>
      <c r="K96" s="21" t="str">
        <f>IF(G96="","",VLOOKUP(G96,tipo_contribuyente[#ALL],2,0))</f>
        <v>IVA Responsable Inscripto</v>
      </c>
      <c r="L96" s="21" t="str">
        <f>IF(H96="","",VLOOKUP(H96,pais[#ALL],2,0))</f>
        <v>Colombia</v>
      </c>
    </row>
    <row r="97">
      <c r="A97" s="21" t="str">
        <f>IFERROR(__xludf.DUMMYFUNCTION("""COMPUTED_VALUE"""),"96")</f>
        <v>96</v>
      </c>
      <c r="B97" s="21" t="str">
        <f>IFERROR(__xludf.DUMMYFUNCTION("""COMPUTED_VALUE"""),"D00137")</f>
        <v>D00137</v>
      </c>
      <c r="C97" s="21" t="str">
        <f>IFERROR(__xludf.DUMMYFUNCTION("""COMPUTED_VALUE"""),"TecnoAvanzado S.R.L.")</f>
        <v>TecnoAvanzado S.R.L.</v>
      </c>
      <c r="D97" s="21" t="str">
        <f>IFERROR(__xludf.DUMMYFUNCTION("""COMPUTED_VALUE"""),"20-22334455-6")</f>
        <v>20-22334455-6</v>
      </c>
      <c r="E97" s="21" t="str">
        <f>IFERROR(__xludf.DUMMYFUNCTION("""COMPUTED_VALUE"""),"1")</f>
        <v>1</v>
      </c>
      <c r="F97" s="21" t="str">
        <f>IFERROR(__xludf.DUMMYFUNCTION("""COMPUTED_VALUE"""),"3")</f>
        <v>3</v>
      </c>
      <c r="G97" s="21" t="str">
        <f>IFERROR(__xludf.DUMMYFUNCTION("""COMPUTED_VALUE"""),"2")</f>
        <v>2</v>
      </c>
      <c r="H97" s="21" t="str">
        <f>IFERROR(__xludf.DUMMYFUNCTION("""COMPUTED_VALUE"""),"1")</f>
        <v>1</v>
      </c>
      <c r="I97" s="21" t="str">
        <f>IF(E97="","",VLOOKUP(E97,tipo_organizacion[#ALL],2,0))</f>
        <v>Donante</v>
      </c>
      <c r="J97" s="21" t="str">
        <f>IF(F97="","",VLOOKUP(F97,razon_social[#ALL],2,0))</f>
        <v>S.R.L</v>
      </c>
      <c r="K97" s="21" t="str">
        <f>IF(G97="","",VLOOKUP(G97,tipo_contribuyente[#ALL],2,0))</f>
        <v>Monotributista</v>
      </c>
      <c r="L97" s="21" t="str">
        <f>IF(H97="","",VLOOKUP(H97,pais[#ALL],2,0))</f>
        <v>Argentina</v>
      </c>
    </row>
    <row r="98">
      <c r="A98" s="21" t="str">
        <f>IFERROR(__xludf.DUMMYFUNCTION("""COMPUTED_VALUE"""),"97")</f>
        <v>97</v>
      </c>
      <c r="B98" s="21" t="str">
        <f>IFERROR(__xludf.DUMMYFUNCTION("""COMPUTED_VALUE"""),"D00138")</f>
        <v>D00138</v>
      </c>
      <c r="C98" s="21" t="str">
        <f>IFERROR(__xludf.DUMMYFUNCTION("""COMPUTED_VALUE"""),"Innovacion Solar S.A.")</f>
        <v>Innovacion Solar S.A.</v>
      </c>
      <c r="D98" s="21" t="str">
        <f>IFERROR(__xludf.DUMMYFUNCTION("""COMPUTED_VALUE"""),"30-99887766-7")</f>
        <v>30-99887766-7</v>
      </c>
      <c r="E98" s="21" t="str">
        <f>IFERROR(__xludf.DUMMYFUNCTION("""COMPUTED_VALUE"""),"1")</f>
        <v>1</v>
      </c>
      <c r="F98" s="21" t="str">
        <f>IFERROR(__xludf.DUMMYFUNCTION("""COMPUTED_VALUE"""),"2")</f>
        <v>2</v>
      </c>
      <c r="G98" s="21" t="str">
        <f>IFERROR(__xludf.DUMMYFUNCTION("""COMPUTED_VALUE"""),"1")</f>
        <v>1</v>
      </c>
      <c r="H98" s="21" t="str">
        <f>IFERROR(__xludf.DUMMYFUNCTION("""COMPUTED_VALUE"""),"6")</f>
        <v>6</v>
      </c>
      <c r="I98" s="21" t="str">
        <f>IF(E98="","",VLOOKUP(E98,tipo_organizacion[#ALL],2,0))</f>
        <v>Donante</v>
      </c>
      <c r="J98" s="21" t="str">
        <f>IF(F98="","",VLOOKUP(F98,razon_social[#ALL],2,0))</f>
        <v>S.A</v>
      </c>
      <c r="K98" s="21" t="str">
        <f>IF(G98="","",VLOOKUP(G98,tipo_contribuyente[#ALL],2,0))</f>
        <v>Responsable Inscripto</v>
      </c>
      <c r="L98" s="21" t="str">
        <f>IF(H98="","",VLOOKUP(H98,pais[#ALL],2,0))</f>
        <v>Mexico</v>
      </c>
    </row>
    <row r="99">
      <c r="A99" s="21" t="str">
        <f>IFERROR(__xludf.DUMMYFUNCTION("""COMPUTED_VALUE"""),"98")</f>
        <v>98</v>
      </c>
      <c r="B99" s="21" t="str">
        <f>IFERROR(__xludf.DUMMYFUNCTION("""COMPUTED_VALUE"""),"D00139")</f>
        <v>D00139</v>
      </c>
      <c r="C99" s="21" t="str">
        <f>IFERROR(__xludf.DUMMYFUNCTION("""COMPUTED_VALUE"""),"TechGreen Innovacion S.R.L.")</f>
        <v>TechGreen Innovacion S.R.L.</v>
      </c>
      <c r="D99" s="21" t="str">
        <f>IFERROR(__xludf.DUMMYFUNCTION("""COMPUTED_VALUE"""),"25-67890123-0")</f>
        <v>25-67890123-0</v>
      </c>
      <c r="E99" s="21" t="str">
        <f>IFERROR(__xludf.DUMMYFUNCTION("""COMPUTED_VALUE"""),"1")</f>
        <v>1</v>
      </c>
      <c r="F99" s="21" t="str">
        <f>IFERROR(__xludf.DUMMYFUNCTION("""COMPUTED_VALUE"""),"3")</f>
        <v>3</v>
      </c>
      <c r="G99" s="21" t="str">
        <f>IFERROR(__xludf.DUMMYFUNCTION("""COMPUTED_VALUE"""),"5")</f>
        <v>5</v>
      </c>
      <c r="H99" s="21" t="str">
        <f>IFERROR(__xludf.DUMMYFUNCTION("""COMPUTED_VALUE"""),"1")</f>
        <v>1</v>
      </c>
      <c r="I99" s="21" t="str">
        <f>IF(E99="","",VLOOKUP(E99,tipo_organizacion[#ALL],2,0))</f>
        <v>Donante</v>
      </c>
      <c r="J99" s="21" t="str">
        <f>IF(F99="","",VLOOKUP(F99,razon_social[#ALL],2,0))</f>
        <v>S.R.L</v>
      </c>
      <c r="K99" s="21" t="str">
        <f>IF(G99="","",VLOOKUP(G99,tipo_contribuyente[#ALL],2,0))</f>
        <v>IVA Responsable Inscripto</v>
      </c>
      <c r="L99" s="21" t="str">
        <f>IF(H99="","",VLOOKUP(H99,pais[#ALL],2,0))</f>
        <v>Argentina</v>
      </c>
    </row>
    <row r="100">
      <c r="A100" s="21" t="str">
        <f>IFERROR(__xludf.DUMMYFUNCTION("""COMPUTED_VALUE"""),"99")</f>
        <v>99</v>
      </c>
      <c r="B100" s="21" t="str">
        <f>IFERROR(__xludf.DUMMYFUNCTION("""COMPUTED_VALUE"""),"D00140")</f>
        <v>D00140</v>
      </c>
      <c r="C100" s="21" t="str">
        <f>IFERROR(__xludf.DUMMYFUNCTION("""COMPUTED_VALUE"""),"EcoTransporte S.A.")</f>
        <v>EcoTransporte S.A.</v>
      </c>
      <c r="D100" s="21" t="str">
        <f>IFERROR(__xludf.DUMMYFUNCTION("""COMPUTED_VALUE"""),"30-33445566-7")</f>
        <v>30-33445566-7</v>
      </c>
      <c r="E100" s="21" t="str">
        <f>IFERROR(__xludf.DUMMYFUNCTION("""COMPUTED_VALUE"""),"1")</f>
        <v>1</v>
      </c>
      <c r="F100" s="21" t="str">
        <f>IFERROR(__xludf.DUMMYFUNCTION("""COMPUTED_VALUE"""),"2")</f>
        <v>2</v>
      </c>
      <c r="G100" s="21" t="str">
        <f>IFERROR(__xludf.DUMMYFUNCTION("""COMPUTED_VALUE"""),"4")</f>
        <v>4</v>
      </c>
      <c r="H100" s="21" t="str">
        <f>IFERROR(__xludf.DUMMYFUNCTION("""COMPUTED_VALUE"""),"1")</f>
        <v>1</v>
      </c>
      <c r="I100" s="21" t="str">
        <f>IF(E100="","",VLOOKUP(E100,tipo_organizacion[#ALL],2,0))</f>
        <v>Donante</v>
      </c>
      <c r="J100" s="21" t="str">
        <f>IF(F100="","",VLOOKUP(F100,razon_social[#ALL],2,0))</f>
        <v>S.A</v>
      </c>
      <c r="K100" s="21" t="str">
        <f>IF(G100="","",VLOOKUP(G100,tipo_contribuyente[#ALL],2,0))</f>
        <v>Exento</v>
      </c>
      <c r="L100" s="21" t="str">
        <f>IF(H100="","",VLOOKUP(H100,pais[#ALL],2,0))</f>
        <v>Argentina</v>
      </c>
    </row>
    <row r="101">
      <c r="A101" s="21" t="str">
        <f>IFERROR(__xludf.DUMMYFUNCTION("""COMPUTED_VALUE"""),"100")</f>
        <v>100</v>
      </c>
      <c r="B101" s="21" t="str">
        <f>IFERROR(__xludf.DUMMYFUNCTION("""COMPUTED_VALUE"""),"D00141")</f>
        <v>D00141</v>
      </c>
      <c r="C101" s="21" t="str">
        <f>IFERROR(__xludf.DUMMYFUNCTION("""COMPUTED_VALUE"""),"Apoyo Social Universal")</f>
        <v>Apoyo Social Universal</v>
      </c>
      <c r="D101" s="21" t="str">
        <f>IFERROR(__xludf.DUMMYFUNCTION("""COMPUTED_VALUE"""),"30-33675566-8")</f>
        <v>30-33675566-8</v>
      </c>
      <c r="E101" s="21" t="str">
        <f>IFERROR(__xludf.DUMMYFUNCTION("""COMPUTED_VALUE"""),"1")</f>
        <v>1</v>
      </c>
      <c r="F101" s="21" t="str">
        <f>IFERROR(__xludf.DUMMYFUNCTION("""COMPUTED_VALUE"""),"4")</f>
        <v>4</v>
      </c>
      <c r="G101" s="21" t="str">
        <f>IFERROR(__xludf.DUMMYFUNCTION("""COMPUTED_VALUE"""),"4")</f>
        <v>4</v>
      </c>
      <c r="H101" s="21" t="str">
        <f>IFERROR(__xludf.DUMMYFUNCTION("""COMPUTED_VALUE"""),"1")</f>
        <v>1</v>
      </c>
      <c r="I101" s="21" t="str">
        <f>IF(E101="","",VLOOKUP(E101,tipo_organizacion[#ALL],2,0))</f>
        <v>Donante</v>
      </c>
      <c r="J101" s="21" t="str">
        <f>IF(F101="","",VLOOKUP(F101,razon_social[#ALL],2,0))</f>
        <v>GOB</v>
      </c>
      <c r="K101" s="21" t="str">
        <f>IF(G101="","",VLOOKUP(G101,tipo_contribuyente[#ALL],2,0))</f>
        <v>Exento</v>
      </c>
      <c r="L101" s="21" t="str">
        <f>IF(H101="","",VLOOKUP(H101,pais[#ALL],2,0))</f>
        <v>Argentina</v>
      </c>
    </row>
    <row r="102">
      <c r="A102" s="21" t="str">
        <f>IFERROR(__xludf.DUMMYFUNCTION("""COMPUTED_VALUE"""),"101")</f>
        <v>101</v>
      </c>
      <c r="B102" s="21" t="str">
        <f>IFERROR(__xludf.DUMMYFUNCTION("""COMPUTED_VALUE"""),"D00142")</f>
        <v>D00142</v>
      </c>
      <c r="C102" s="21" t="str">
        <f>IFERROR(__xludf.DUMMYFUNCTION("""COMPUTED_VALUE"""),"Bebidas S.A")</f>
        <v>Bebidas S.A</v>
      </c>
      <c r="D102" s="21" t="str">
        <f>IFERROR(__xludf.DUMMYFUNCTION("""COMPUTED_VALUE"""),"34-38765566-0")</f>
        <v>34-38765566-0</v>
      </c>
      <c r="E102" s="21" t="str">
        <f>IFERROR(__xludf.DUMMYFUNCTION("""COMPUTED_VALUE"""),"1")</f>
        <v>1</v>
      </c>
      <c r="F102" s="21" t="str">
        <f>IFERROR(__xludf.DUMMYFUNCTION("""COMPUTED_VALUE"""),"2")</f>
        <v>2</v>
      </c>
      <c r="G102" s="21" t="str">
        <f>IFERROR(__xludf.DUMMYFUNCTION("""COMPUTED_VALUE"""),"1")</f>
        <v>1</v>
      </c>
      <c r="H102" s="21" t="str">
        <f>IFERROR(__xludf.DUMMYFUNCTION("""COMPUTED_VALUE"""),"6")</f>
        <v>6</v>
      </c>
      <c r="I102" s="21" t="str">
        <f>IF(E102="","",VLOOKUP(E102,tipo_organizacion[#ALL],2,0))</f>
        <v>Donante</v>
      </c>
      <c r="J102" s="21" t="str">
        <f>IF(F102="","",VLOOKUP(F102,razon_social[#ALL],2,0))</f>
        <v>S.A</v>
      </c>
      <c r="K102" s="21" t="str">
        <f>IF(G102="","",VLOOKUP(G102,tipo_contribuyente[#ALL],2,0))</f>
        <v>Responsable Inscripto</v>
      </c>
      <c r="L102" s="21" t="str">
        <f>IF(H102="","",VLOOKUP(H102,pais[#ALL],2,0))</f>
        <v>Mexico</v>
      </c>
    </row>
    <row r="103">
      <c r="A103" s="21"/>
      <c r="B103" s="21"/>
      <c r="C103" s="21"/>
      <c r="D103" s="21"/>
      <c r="E103" s="21"/>
      <c r="F103" s="21"/>
      <c r="G103" s="21"/>
      <c r="H103" s="21"/>
      <c r="I103" s="21" t="str">
        <f>IF(E103="","",VLOOKUP(E103,tipo_organizacion[#ALL],2,0))</f>
        <v/>
      </c>
      <c r="J103" s="21" t="str">
        <f>IF(F103="","",VLOOKUP(F103,razon_social[#ALL],2,0))</f>
        <v/>
      </c>
      <c r="K103" s="21" t="str">
        <f>IF(G103="","",VLOOKUP(G103,tipo_contribuyente[#ALL],2,0))</f>
        <v/>
      </c>
      <c r="L103" s="21" t="str">
        <f>IF(H103="","",VLOOKUP(H103,pais[#ALL],2,0))</f>
        <v/>
      </c>
    </row>
    <row r="104">
      <c r="A104" s="21"/>
      <c r="B104" s="21"/>
      <c r="C104" s="21"/>
      <c r="D104" s="21"/>
      <c r="E104" s="21"/>
      <c r="F104" s="21"/>
      <c r="G104" s="21"/>
      <c r="H104" s="21"/>
      <c r="I104" s="21" t="str">
        <f>IF(E104="","",VLOOKUP(E104,tipo_organizacion[#ALL],2,0))</f>
        <v/>
      </c>
      <c r="J104" s="21" t="str">
        <f>IF(F104="","",VLOOKUP(F104,razon_social[#ALL],2,0))</f>
        <v/>
      </c>
      <c r="K104" s="21" t="str">
        <f>IF(G104="","",VLOOKUP(G104,tipo_contribuyente[#ALL],2,0))</f>
        <v/>
      </c>
      <c r="L104" s="21" t="str">
        <f>IF(H104="","",VLOOKUP(H104,pais[#ALL],2,0))</f>
        <v/>
      </c>
    </row>
    <row r="105">
      <c r="A105" s="21"/>
      <c r="B105" s="21"/>
      <c r="C105" s="21"/>
      <c r="D105" s="21"/>
      <c r="E105" s="21"/>
      <c r="F105" s="21"/>
      <c r="G105" s="21"/>
      <c r="H105" s="21"/>
      <c r="I105" s="21" t="str">
        <f>IF(E105="","",VLOOKUP(E105,tipo_organizacion[#ALL],2,0))</f>
        <v/>
      </c>
      <c r="J105" s="21" t="str">
        <f>IF(F105="","",VLOOKUP(F105,razon_social[#ALL],2,0))</f>
        <v/>
      </c>
      <c r="K105" s="21" t="str">
        <f>IF(G105="","",VLOOKUP(G105,tipo_contribuyente[#ALL],2,0))</f>
        <v/>
      </c>
      <c r="L105" s="21" t="str">
        <f>IF(H105="","",VLOOKUP(H105,pais[#ALL],2,0))</f>
        <v/>
      </c>
    </row>
    <row r="106">
      <c r="A106" s="21"/>
      <c r="B106" s="21"/>
      <c r="C106" s="21"/>
      <c r="D106" s="21"/>
      <c r="E106" s="21"/>
      <c r="F106" s="21"/>
      <c r="G106" s="21"/>
      <c r="H106" s="21"/>
      <c r="I106" s="21" t="str">
        <f>IF(E106="","",VLOOKUP(E106,tipo_organizacion[#ALL],2,0))</f>
        <v/>
      </c>
      <c r="J106" s="21" t="str">
        <f>IF(F106="","",VLOOKUP(F106,razon_social[#ALL],2,0))</f>
        <v/>
      </c>
      <c r="K106" s="21" t="str">
        <f>IF(G106="","",VLOOKUP(G106,tipo_contribuyente[#ALL],2,0))</f>
        <v/>
      </c>
      <c r="L106" s="21" t="str">
        <f>IF(H106="","",VLOOKUP(H106,pais[#ALL],2,0))</f>
        <v/>
      </c>
    </row>
    <row r="107">
      <c r="A107" s="21"/>
      <c r="B107" s="21"/>
      <c r="C107" s="21"/>
      <c r="D107" s="21"/>
      <c r="E107" s="21"/>
      <c r="F107" s="21"/>
      <c r="G107" s="21"/>
      <c r="H107" s="21"/>
      <c r="I107" s="21" t="str">
        <f>IF(E107="","",VLOOKUP(E107,tipo_organizacion[#ALL],2,0))</f>
        <v/>
      </c>
      <c r="J107" s="21" t="str">
        <f>IF(F107="","",VLOOKUP(F107,razon_social[#ALL],2,0))</f>
        <v/>
      </c>
      <c r="K107" s="21" t="str">
        <f>IF(G107="","",VLOOKUP(G107,tipo_contribuyente[#ALL],2,0))</f>
        <v/>
      </c>
      <c r="L107" s="21" t="str">
        <f>IF(H107="","",VLOOKUP(H107,pais[#ALL],2,0))</f>
        <v/>
      </c>
    </row>
    <row r="108">
      <c r="A108" s="21"/>
      <c r="B108" s="21"/>
      <c r="C108" s="21"/>
      <c r="D108" s="21"/>
      <c r="E108" s="21"/>
      <c r="F108" s="21"/>
      <c r="G108" s="21"/>
      <c r="H108" s="21"/>
      <c r="I108" s="21" t="str">
        <f>IF(E108="","",VLOOKUP(E108,tipo_organizacion[#ALL],2,0))</f>
        <v/>
      </c>
      <c r="J108" s="21" t="str">
        <f>IF(F108="","",VLOOKUP(F108,razon_social[#ALL],2,0))</f>
        <v/>
      </c>
      <c r="K108" s="21" t="str">
        <f>IF(G108="","",VLOOKUP(G108,tipo_contribuyente[#ALL],2,0))</f>
        <v/>
      </c>
      <c r="L108" s="21" t="str">
        <f>IF(H108="","",VLOOKUP(H108,pais[#ALL],2,0))</f>
        <v/>
      </c>
    </row>
    <row r="109">
      <c r="A109" s="21"/>
      <c r="B109" s="21"/>
      <c r="C109" s="21"/>
      <c r="D109" s="21"/>
      <c r="E109" s="21"/>
      <c r="F109" s="21"/>
      <c r="G109" s="21"/>
      <c r="H109" s="21"/>
      <c r="I109" s="21" t="str">
        <f>IF(E109="","",VLOOKUP(E109,tipo_organizacion[#ALL],2,0))</f>
        <v/>
      </c>
      <c r="J109" s="21" t="str">
        <f>IF(F109="","",VLOOKUP(F109,razon_social[#ALL],2,0))</f>
        <v/>
      </c>
      <c r="K109" s="21" t="str">
        <f>IF(G109="","",VLOOKUP(G109,tipo_contribuyente[#ALL],2,0))</f>
        <v/>
      </c>
      <c r="L109" s="21" t="str">
        <f>IF(H109="","",VLOOKUP(H109,pais[#ALL],2,0))</f>
        <v/>
      </c>
    </row>
    <row r="110">
      <c r="A110" s="21"/>
      <c r="B110" s="21"/>
      <c r="C110" s="21"/>
      <c r="D110" s="21"/>
      <c r="E110" s="21"/>
      <c r="F110" s="21"/>
      <c r="G110" s="21"/>
      <c r="H110" s="21"/>
      <c r="I110" s="21" t="str">
        <f>IF(E110="","",VLOOKUP(E110,tipo_organizacion[#ALL],2,0))</f>
        <v/>
      </c>
      <c r="J110" s="21" t="str">
        <f>IF(F110="","",VLOOKUP(F110,razon_social[#ALL],2,0))</f>
        <v/>
      </c>
      <c r="K110" s="21" t="str">
        <f>IF(G110="","",VLOOKUP(G110,tipo_contribuyente[#ALL],2,0))</f>
        <v/>
      </c>
      <c r="L110" s="21" t="str">
        <f>IF(H110="","",VLOOKUP(H110,pais[#ALL],2,0))</f>
        <v/>
      </c>
    </row>
    <row r="111">
      <c r="A111" s="21"/>
      <c r="B111" s="21"/>
      <c r="C111" s="21"/>
      <c r="D111" s="21"/>
      <c r="E111" s="21"/>
      <c r="F111" s="21"/>
      <c r="G111" s="21"/>
      <c r="H111" s="21"/>
      <c r="I111" s="21" t="str">
        <f>IF(E111="","",VLOOKUP(E111,tipo_organizacion[#ALL],2,0))</f>
        <v/>
      </c>
      <c r="J111" s="21" t="str">
        <f>IF(F111="","",VLOOKUP(F111,razon_social[#ALL],2,0))</f>
        <v/>
      </c>
      <c r="K111" s="21" t="str">
        <f>IF(G111="","",VLOOKUP(G111,tipo_contribuyente[#ALL],2,0))</f>
        <v/>
      </c>
      <c r="L111" s="21" t="str">
        <f>IF(H111="","",VLOOKUP(H111,pais[#ALL],2,0))</f>
        <v/>
      </c>
    </row>
    <row r="112">
      <c r="A112" s="21"/>
      <c r="B112" s="21"/>
      <c r="C112" s="21"/>
      <c r="D112" s="21"/>
      <c r="E112" s="21"/>
      <c r="F112" s="21"/>
      <c r="G112" s="21"/>
      <c r="H112" s="21"/>
      <c r="I112" s="21" t="str">
        <f>IF(E112="","",VLOOKUP(E112,tipo_organizacion[#ALL],2,0))</f>
        <v/>
      </c>
      <c r="J112" s="21" t="str">
        <f>IF(F112="","",VLOOKUP(F112,razon_social[#ALL],2,0))</f>
        <v/>
      </c>
      <c r="K112" s="21" t="str">
        <f>IF(G112="","",VLOOKUP(G112,tipo_contribuyente[#ALL],2,0))</f>
        <v/>
      </c>
      <c r="L112" s="21" t="str">
        <f>IF(H112="","",VLOOKUP(H112,pais[#ALL],2,0))</f>
        <v/>
      </c>
    </row>
    <row r="113">
      <c r="A113" s="21"/>
      <c r="B113" s="21"/>
      <c r="C113" s="21"/>
      <c r="D113" s="21"/>
      <c r="E113" s="21"/>
      <c r="F113" s="21"/>
      <c r="G113" s="21"/>
      <c r="H113" s="21"/>
      <c r="I113" s="21" t="str">
        <f>IF(E113="","",VLOOKUP(E113,tipo_organizacion[#ALL],2,0))</f>
        <v/>
      </c>
      <c r="J113" s="21" t="str">
        <f>IF(F113="","",VLOOKUP(F113,razon_social[#ALL],2,0))</f>
        <v/>
      </c>
      <c r="K113" s="21" t="str">
        <f>IF(G113="","",VLOOKUP(G113,tipo_contribuyente[#ALL],2,0))</f>
        <v/>
      </c>
      <c r="L113" s="21" t="str">
        <f>IF(H113="","",VLOOKUP(H113,pais[#ALL],2,0))</f>
        <v/>
      </c>
    </row>
    <row r="114">
      <c r="A114" s="21"/>
      <c r="B114" s="21"/>
      <c r="C114" s="21"/>
      <c r="D114" s="21"/>
      <c r="E114" s="21"/>
      <c r="F114" s="21"/>
      <c r="G114" s="21"/>
      <c r="H114" s="21"/>
      <c r="I114" s="21" t="str">
        <f>IF(E114="","",VLOOKUP(E114,tipo_organizacion[#ALL],2,0))</f>
        <v/>
      </c>
      <c r="J114" s="21" t="str">
        <f>IF(F114="","",VLOOKUP(F114,razon_social[#ALL],2,0))</f>
        <v/>
      </c>
      <c r="K114" s="21" t="str">
        <f>IF(G114="","",VLOOKUP(G114,tipo_contribuyente[#ALL],2,0))</f>
        <v/>
      </c>
      <c r="L114" s="21" t="str">
        <f>IF(H114="","",VLOOKUP(H114,pais[#ALL],2,0))</f>
        <v/>
      </c>
    </row>
    <row r="115">
      <c r="A115" s="21"/>
      <c r="B115" s="21"/>
      <c r="C115" s="21"/>
      <c r="D115" s="21"/>
      <c r="E115" s="21"/>
      <c r="F115" s="21"/>
      <c r="G115" s="21"/>
      <c r="H115" s="21"/>
      <c r="I115" s="21" t="str">
        <f>IF(E115="","",VLOOKUP(E115,tipo_organizacion[#ALL],2,0))</f>
        <v/>
      </c>
      <c r="J115" s="21" t="str">
        <f>IF(F115="","",VLOOKUP(F115,razon_social[#ALL],2,0))</f>
        <v/>
      </c>
      <c r="K115" s="21" t="str">
        <f>IF(G115="","",VLOOKUP(G115,tipo_contribuyente[#ALL],2,0))</f>
        <v/>
      </c>
      <c r="L115" s="21" t="str">
        <f>IF(H115="","",VLOOKUP(H115,pais[#ALL],2,0))</f>
        <v/>
      </c>
    </row>
    <row r="116">
      <c r="A116" s="21"/>
      <c r="B116" s="21"/>
      <c r="C116" s="21"/>
      <c r="D116" s="21"/>
      <c r="E116" s="21"/>
      <c r="F116" s="21"/>
      <c r="G116" s="21"/>
      <c r="H116" s="21"/>
      <c r="I116" s="21" t="str">
        <f>IF(E116="","",VLOOKUP(E116,tipo_organizacion[#ALL],2,0))</f>
        <v/>
      </c>
      <c r="J116" s="21" t="str">
        <f>IF(F116="","",VLOOKUP(F116,razon_social[#ALL],2,0))</f>
        <v/>
      </c>
      <c r="K116" s="21" t="str">
        <f>IF(G116="","",VLOOKUP(G116,tipo_contribuyente[#ALL],2,0))</f>
        <v/>
      </c>
      <c r="L116" s="21" t="str">
        <f>IF(H116="","",VLOOKUP(H116,pais[#ALL],2,0))</f>
        <v/>
      </c>
    </row>
    <row r="117">
      <c r="A117" s="21"/>
      <c r="B117" s="21"/>
      <c r="C117" s="21"/>
      <c r="D117" s="21"/>
      <c r="E117" s="21"/>
      <c r="F117" s="21"/>
      <c r="G117" s="21"/>
      <c r="H117" s="21"/>
      <c r="I117" s="21" t="str">
        <f>IF(E117="","",VLOOKUP(E117,tipo_organizacion[#ALL],2,0))</f>
        <v/>
      </c>
      <c r="J117" s="21" t="str">
        <f>IF(F117="","",VLOOKUP(F117,razon_social[#ALL],2,0))</f>
        <v/>
      </c>
      <c r="K117" s="21" t="str">
        <f>IF(G117="","",VLOOKUP(G117,tipo_contribuyente[#ALL],2,0))</f>
        <v/>
      </c>
      <c r="L117" s="21" t="str">
        <f>IF(H117="","",VLOOKUP(H117,pais[#ALL],2,0))</f>
        <v/>
      </c>
    </row>
    <row r="118">
      <c r="A118" s="21"/>
      <c r="B118" s="21"/>
      <c r="C118" s="21"/>
      <c r="D118" s="21"/>
      <c r="E118" s="21"/>
      <c r="F118" s="21"/>
      <c r="G118" s="21"/>
      <c r="H118" s="21"/>
      <c r="I118" s="21" t="str">
        <f>IF(E118="","",VLOOKUP(E118,tipo_organizacion[#ALL],2,0))</f>
        <v/>
      </c>
      <c r="J118" s="21" t="str">
        <f>IF(F118="","",VLOOKUP(F118,razon_social[#ALL],2,0))</f>
        <v/>
      </c>
      <c r="K118" s="21" t="str">
        <f>IF(G118="","",VLOOKUP(G118,tipo_contribuyente[#ALL],2,0))</f>
        <v/>
      </c>
      <c r="L118" s="21" t="str">
        <f>IF(H118="","",VLOOKUP(H118,pais[#ALL],2,0))</f>
        <v/>
      </c>
    </row>
    <row r="119">
      <c r="A119" s="21"/>
      <c r="B119" s="21"/>
      <c r="C119" s="21"/>
      <c r="D119" s="21"/>
      <c r="E119" s="21"/>
      <c r="F119" s="21"/>
      <c r="G119" s="21"/>
      <c r="H119" s="21"/>
      <c r="I119" s="21" t="str">
        <f>IF(E119="","",VLOOKUP(E119,tipo_organizacion[#ALL],2,0))</f>
        <v/>
      </c>
      <c r="J119" s="21" t="str">
        <f>IF(F119="","",VLOOKUP(F119,razon_social[#ALL],2,0))</f>
        <v/>
      </c>
      <c r="K119" s="21" t="str">
        <f>IF(G119="","",VLOOKUP(G119,tipo_contribuyente[#ALL],2,0))</f>
        <v/>
      </c>
      <c r="L119" s="21" t="str">
        <f>IF(H119="","",VLOOKUP(H119,pais[#ALL],2,0))</f>
        <v/>
      </c>
    </row>
    <row r="120">
      <c r="A120" s="21"/>
      <c r="B120" s="21"/>
      <c r="C120" s="21"/>
      <c r="D120" s="21"/>
      <c r="E120" s="21"/>
      <c r="F120" s="21"/>
      <c r="G120" s="21"/>
      <c r="H120" s="21"/>
      <c r="I120" s="21" t="str">
        <f>IF(E120="","",VLOOKUP(E120,tipo_organizacion[#ALL],2,0))</f>
        <v/>
      </c>
      <c r="J120" s="21" t="str">
        <f>IF(F120="","",VLOOKUP(F120,razon_social[#ALL],2,0))</f>
        <v/>
      </c>
      <c r="K120" s="21" t="str">
        <f>IF(G120="","",VLOOKUP(G120,tipo_contribuyente[#ALL],2,0))</f>
        <v/>
      </c>
      <c r="L120" s="21" t="str">
        <f>IF(H120="","",VLOOKUP(H120,pais[#ALL],2,0))</f>
        <v/>
      </c>
    </row>
    <row r="121">
      <c r="A121" s="21"/>
      <c r="B121" s="21"/>
      <c r="C121" s="21"/>
      <c r="D121" s="21"/>
      <c r="E121" s="21"/>
      <c r="F121" s="21"/>
      <c r="G121" s="21"/>
      <c r="H121" s="21"/>
      <c r="I121" s="21" t="str">
        <f>IF(E121="","",VLOOKUP(E121,tipo_organizacion[#ALL],2,0))</f>
        <v/>
      </c>
      <c r="J121" s="21" t="str">
        <f>IF(F121="","",VLOOKUP(F121,razon_social[#ALL],2,0))</f>
        <v/>
      </c>
      <c r="K121" s="21" t="str">
        <f>IF(G121="","",VLOOKUP(G121,tipo_contribuyente[#ALL],2,0))</f>
        <v/>
      </c>
      <c r="L121" s="21" t="str">
        <f>IF(H121="","",VLOOKUP(H121,pais[#ALL],2,0))</f>
        <v/>
      </c>
    </row>
    <row r="122">
      <c r="A122" s="21"/>
      <c r="B122" s="21"/>
      <c r="C122" s="21"/>
      <c r="D122" s="21"/>
      <c r="E122" s="21"/>
      <c r="F122" s="21"/>
      <c r="G122" s="21"/>
      <c r="H122" s="21"/>
      <c r="I122" s="21" t="str">
        <f>IF(E122="","",VLOOKUP(E122,tipo_organizacion[#ALL],2,0))</f>
        <v/>
      </c>
      <c r="J122" s="21" t="str">
        <f>IF(F122="","",VLOOKUP(F122,razon_social[#ALL],2,0))</f>
        <v/>
      </c>
      <c r="K122" s="21" t="str">
        <f>IF(G122="","",VLOOKUP(G122,tipo_contribuyente[#ALL],2,0))</f>
        <v/>
      </c>
      <c r="L122" s="21" t="str">
        <f>IF(H122="","",VLOOKUP(H122,pais[#ALL],2,0))</f>
        <v/>
      </c>
    </row>
    <row r="123">
      <c r="A123" s="21"/>
      <c r="B123" s="21"/>
      <c r="C123" s="21"/>
      <c r="D123" s="21"/>
      <c r="E123" s="21"/>
      <c r="F123" s="21"/>
      <c r="G123" s="21"/>
      <c r="H123" s="21"/>
      <c r="I123" s="21" t="str">
        <f>IF(E123="","",VLOOKUP(E123,tipo_organizacion[#ALL],2,0))</f>
        <v/>
      </c>
      <c r="J123" s="21" t="str">
        <f>IF(F123="","",VLOOKUP(F123,razon_social[#ALL],2,0))</f>
        <v/>
      </c>
      <c r="K123" s="21" t="str">
        <f>IF(G123="","",VLOOKUP(G123,tipo_contribuyente[#ALL],2,0))</f>
        <v/>
      </c>
      <c r="L123" s="21" t="str">
        <f>IF(H123="","",VLOOKUP(H123,pais[#ALL],2,0))</f>
        <v/>
      </c>
    </row>
    <row r="124">
      <c r="A124" s="21"/>
      <c r="B124" s="21"/>
      <c r="C124" s="21"/>
      <c r="D124" s="21"/>
      <c r="E124" s="21"/>
      <c r="F124" s="21"/>
      <c r="G124" s="21"/>
      <c r="H124" s="21"/>
      <c r="I124" s="21" t="str">
        <f>IF(E124="","",VLOOKUP(E124,tipo_organizacion[#ALL],2,0))</f>
        <v/>
      </c>
      <c r="J124" s="21" t="str">
        <f>IF(F124="","",VLOOKUP(F124,razon_social[#ALL],2,0))</f>
        <v/>
      </c>
      <c r="K124" s="21" t="str">
        <f>IF(G124="","",VLOOKUP(G124,tipo_contribuyente[#ALL],2,0))</f>
        <v/>
      </c>
      <c r="L124" s="21" t="str">
        <f>IF(H124="","",VLOOKUP(H124,pais[#ALL],2,0))</f>
        <v/>
      </c>
    </row>
    <row r="125">
      <c r="A125" s="21"/>
      <c r="B125" s="21"/>
      <c r="C125" s="21"/>
      <c r="D125" s="21"/>
      <c r="E125" s="21"/>
      <c r="F125" s="21"/>
      <c r="G125" s="21"/>
      <c r="H125" s="21"/>
      <c r="I125" s="21" t="str">
        <f>IF(E125="","",VLOOKUP(E125,tipo_organizacion[#ALL],2,0))</f>
        <v/>
      </c>
      <c r="J125" s="21" t="str">
        <f>IF(F125="","",VLOOKUP(F125,razon_social[#ALL],2,0))</f>
        <v/>
      </c>
      <c r="K125" s="21" t="str">
        <f>IF(G125="","",VLOOKUP(G125,tipo_contribuyente[#ALL],2,0))</f>
        <v/>
      </c>
      <c r="L125" s="21" t="str">
        <f>IF(H125="","",VLOOKUP(H125,pais[#ALL],2,0))</f>
        <v/>
      </c>
    </row>
    <row r="126">
      <c r="A126" s="21"/>
      <c r="B126" s="21"/>
      <c r="C126" s="21"/>
      <c r="D126" s="21"/>
      <c r="E126" s="21"/>
      <c r="F126" s="21"/>
      <c r="G126" s="21"/>
      <c r="H126" s="21"/>
      <c r="I126" s="21" t="str">
        <f>IF(E126="","",VLOOKUP(E126,tipo_organizacion[#ALL],2,0))</f>
        <v/>
      </c>
      <c r="J126" s="21" t="str">
        <f>IF(F126="","",VLOOKUP(F126,razon_social[#ALL],2,0))</f>
        <v/>
      </c>
      <c r="K126" s="21" t="str">
        <f>IF(G126="","",VLOOKUP(G126,tipo_contribuyente[#ALL],2,0))</f>
        <v/>
      </c>
      <c r="L126" s="21" t="str">
        <f>IF(H126="","",VLOOKUP(H126,pais[#ALL],2,0))</f>
        <v/>
      </c>
    </row>
    <row r="127">
      <c r="A127" s="21"/>
      <c r="B127" s="21"/>
      <c r="C127" s="21"/>
      <c r="D127" s="21"/>
      <c r="E127" s="21"/>
      <c r="F127" s="21"/>
      <c r="G127" s="21"/>
      <c r="H127" s="21"/>
      <c r="I127" s="21" t="str">
        <f>IF(E127="","",VLOOKUP(E127,tipo_organizacion[#ALL],2,0))</f>
        <v/>
      </c>
      <c r="J127" s="21" t="str">
        <f>IF(F127="","",VLOOKUP(F127,razon_social[#ALL],2,0))</f>
        <v/>
      </c>
      <c r="K127" s="21" t="str">
        <f>IF(G127="","",VLOOKUP(G127,tipo_contribuyente[#ALL],2,0))</f>
        <v/>
      </c>
      <c r="L127" s="21" t="str">
        <f>IF(H127="","",VLOOKUP(H127,pais[#ALL],2,0))</f>
        <v/>
      </c>
    </row>
    <row r="128">
      <c r="A128" s="21"/>
      <c r="B128" s="21"/>
      <c r="C128" s="21"/>
      <c r="D128" s="21"/>
      <c r="E128" s="21"/>
      <c r="F128" s="21"/>
      <c r="G128" s="21"/>
      <c r="H128" s="21"/>
      <c r="I128" s="21" t="str">
        <f>IF(E128="","",VLOOKUP(E128,tipo_organizacion[#ALL],2,0))</f>
        <v/>
      </c>
      <c r="J128" s="21" t="str">
        <f>IF(F128="","",VLOOKUP(F128,razon_social[#ALL],2,0))</f>
        <v/>
      </c>
      <c r="K128" s="21" t="str">
        <f>IF(G128="","",VLOOKUP(G128,tipo_contribuyente[#ALL],2,0))</f>
        <v/>
      </c>
      <c r="L128" s="21" t="str">
        <f>IF(H128="","",VLOOKUP(H128,pais[#ALL],2,0))</f>
        <v/>
      </c>
    </row>
    <row r="129">
      <c r="A129" s="21"/>
      <c r="B129" s="21"/>
      <c r="C129" s="21"/>
      <c r="D129" s="21"/>
      <c r="E129" s="21"/>
      <c r="F129" s="21"/>
      <c r="G129" s="21"/>
      <c r="H129" s="21"/>
      <c r="I129" s="21" t="str">
        <f>IF(E129="","",VLOOKUP(E129,tipo_organizacion[#ALL],2,0))</f>
        <v/>
      </c>
      <c r="J129" s="21" t="str">
        <f>IF(F129="","",VLOOKUP(F129,razon_social[#ALL],2,0))</f>
        <v/>
      </c>
      <c r="K129" s="21" t="str">
        <f>IF(G129="","",VLOOKUP(G129,tipo_contribuyente[#ALL],2,0))</f>
        <v/>
      </c>
      <c r="L129" s="21" t="str">
        <f>IF(H129="","",VLOOKUP(H129,pais[#ALL],2,0))</f>
        <v/>
      </c>
    </row>
    <row r="130">
      <c r="A130" s="21"/>
      <c r="B130" s="21"/>
      <c r="C130" s="21"/>
      <c r="D130" s="21"/>
      <c r="E130" s="21"/>
      <c r="F130" s="21"/>
      <c r="G130" s="21"/>
      <c r="H130" s="21"/>
      <c r="I130" s="21" t="str">
        <f>IF(E130="","",VLOOKUP(E130,tipo_organizacion[#ALL],2,0))</f>
        <v/>
      </c>
      <c r="J130" s="21" t="str">
        <f>IF(F130="","",VLOOKUP(F130,razon_social[#ALL],2,0))</f>
        <v/>
      </c>
      <c r="K130" s="21" t="str">
        <f>IF(G130="","",VLOOKUP(G130,tipo_contribuyente[#ALL],2,0))</f>
        <v/>
      </c>
      <c r="L130" s="21" t="str">
        <f>IF(H130="","",VLOOKUP(H130,pais[#ALL],2,0))</f>
        <v/>
      </c>
    </row>
    <row r="131">
      <c r="A131" s="21"/>
      <c r="B131" s="21"/>
      <c r="C131" s="21"/>
      <c r="D131" s="21"/>
      <c r="E131" s="21"/>
      <c r="F131" s="21"/>
      <c r="G131" s="21"/>
      <c r="H131" s="21"/>
      <c r="I131" s="21" t="str">
        <f>IF(E131="","",VLOOKUP(E131,tipo_organizacion[#ALL],2,0))</f>
        <v/>
      </c>
      <c r="J131" s="21" t="str">
        <f>IF(F131="","",VLOOKUP(F131,razon_social[#ALL],2,0))</f>
        <v/>
      </c>
      <c r="K131" s="21" t="str">
        <f>IF(G131="","",VLOOKUP(G131,tipo_contribuyente[#ALL],2,0))</f>
        <v/>
      </c>
      <c r="L131" s="21" t="str">
        <f>IF(H131="","",VLOOKUP(H131,pais[#ALL],2,0))</f>
        <v/>
      </c>
    </row>
    <row r="132">
      <c r="A132" s="21"/>
      <c r="B132" s="21"/>
      <c r="C132" s="21"/>
      <c r="D132" s="21"/>
      <c r="E132" s="21"/>
      <c r="F132" s="21"/>
      <c r="G132" s="21"/>
      <c r="H132" s="21"/>
      <c r="I132" s="21" t="str">
        <f>IF(E132="","",VLOOKUP(E132,tipo_organizacion[#ALL],2,0))</f>
        <v/>
      </c>
      <c r="J132" s="21" t="str">
        <f>IF(F132="","",VLOOKUP(F132,razon_social[#ALL],2,0))</f>
        <v/>
      </c>
      <c r="K132" s="21" t="str">
        <f>IF(G132="","",VLOOKUP(G132,tipo_contribuyente[#ALL],2,0))</f>
        <v/>
      </c>
      <c r="L132" s="21" t="str">
        <f>IF(H132="","",VLOOKUP(H132,pais[#ALL],2,0))</f>
        <v/>
      </c>
    </row>
    <row r="133">
      <c r="A133" s="21"/>
      <c r="B133" s="21"/>
      <c r="C133" s="21"/>
      <c r="D133" s="21"/>
      <c r="E133" s="21"/>
      <c r="F133" s="21"/>
      <c r="G133" s="21"/>
      <c r="H133" s="21"/>
      <c r="I133" s="21" t="str">
        <f>IF(E133="","",VLOOKUP(E133,tipo_organizacion[#ALL],2,0))</f>
        <v/>
      </c>
      <c r="J133" s="21" t="str">
        <f>IF(F133="","",VLOOKUP(F133,razon_social[#ALL],2,0))</f>
        <v/>
      </c>
      <c r="K133" s="21" t="str">
        <f>IF(G133="","",VLOOKUP(G133,tipo_contribuyente[#ALL],2,0))</f>
        <v/>
      </c>
      <c r="L133" s="21" t="str">
        <f>IF(H133="","",VLOOKUP(H133,pais[#ALL],2,0))</f>
        <v/>
      </c>
    </row>
    <row r="134">
      <c r="A134" s="21"/>
      <c r="B134" s="21"/>
      <c r="C134" s="21"/>
      <c r="D134" s="21"/>
      <c r="E134" s="21"/>
      <c r="F134" s="21"/>
      <c r="G134" s="21"/>
      <c r="H134" s="21"/>
      <c r="I134" s="21" t="str">
        <f>IF(E134="","",VLOOKUP(E134,tipo_organizacion[#ALL],2,0))</f>
        <v/>
      </c>
      <c r="J134" s="21" t="str">
        <f>IF(F134="","",VLOOKUP(F134,razon_social[#ALL],2,0))</f>
        <v/>
      </c>
      <c r="K134" s="21" t="str">
        <f>IF(G134="","",VLOOKUP(G134,tipo_contribuyente[#ALL],2,0))</f>
        <v/>
      </c>
      <c r="L134" s="21" t="str">
        <f>IF(H134="","",VLOOKUP(H134,pais[#ALL],2,0))</f>
        <v/>
      </c>
    </row>
    <row r="135">
      <c r="A135" s="21"/>
      <c r="B135" s="21"/>
      <c r="C135" s="21"/>
      <c r="D135" s="21"/>
      <c r="E135" s="21"/>
      <c r="F135" s="21"/>
      <c r="G135" s="21"/>
      <c r="H135" s="21"/>
      <c r="I135" s="21" t="str">
        <f>IF(E135="","",VLOOKUP(E135,tipo_organizacion[#ALL],2,0))</f>
        <v/>
      </c>
      <c r="J135" s="21" t="str">
        <f>IF(F135="","",VLOOKUP(F135,razon_social[#ALL],2,0))</f>
        <v/>
      </c>
      <c r="K135" s="21" t="str">
        <f>IF(G135="","",VLOOKUP(G135,tipo_contribuyente[#ALL],2,0))</f>
        <v/>
      </c>
      <c r="L135" s="21" t="str">
        <f>IF(H135="","",VLOOKUP(H135,pais[#ALL],2,0))</f>
        <v/>
      </c>
    </row>
    <row r="136">
      <c r="A136" s="21"/>
      <c r="B136" s="21"/>
      <c r="C136" s="21"/>
      <c r="D136" s="21"/>
      <c r="E136" s="21"/>
      <c r="F136" s="21"/>
      <c r="G136" s="21"/>
      <c r="H136" s="21"/>
      <c r="I136" s="21" t="str">
        <f>IF(E136="","",VLOOKUP(E136,tipo_organizacion[#ALL],2,0))</f>
        <v/>
      </c>
      <c r="J136" s="21" t="str">
        <f>IF(F136="","",VLOOKUP(F136,razon_social[#ALL],2,0))</f>
        <v/>
      </c>
      <c r="K136" s="21" t="str">
        <f>IF(G136="","",VLOOKUP(G136,tipo_contribuyente[#ALL],2,0))</f>
        <v/>
      </c>
      <c r="L136" s="21" t="str">
        <f>IF(H136="","",VLOOKUP(H136,pais[#ALL],2,0))</f>
        <v/>
      </c>
    </row>
    <row r="137">
      <c r="A137" s="21"/>
      <c r="B137" s="21"/>
      <c r="C137" s="21"/>
      <c r="D137" s="21"/>
      <c r="E137" s="21"/>
      <c r="F137" s="21"/>
      <c r="G137" s="21"/>
      <c r="H137" s="21"/>
      <c r="I137" s="21" t="str">
        <f>IF(E137="","",VLOOKUP(E137,tipo_organizacion[#ALL],2,0))</f>
        <v/>
      </c>
      <c r="J137" s="21" t="str">
        <f>IF(F137="","",VLOOKUP(F137,razon_social[#ALL],2,0))</f>
        <v/>
      </c>
      <c r="K137" s="21" t="str">
        <f>IF(G137="","",VLOOKUP(G137,tipo_contribuyente[#ALL],2,0))</f>
        <v/>
      </c>
      <c r="L137" s="21" t="str">
        <f>IF(H137="","",VLOOKUP(H137,pais[#ALL],2,0))</f>
        <v/>
      </c>
    </row>
    <row r="138">
      <c r="A138" s="21"/>
      <c r="B138" s="21"/>
      <c r="C138" s="21"/>
      <c r="D138" s="21"/>
      <c r="E138" s="21"/>
      <c r="F138" s="21"/>
      <c r="G138" s="21"/>
      <c r="H138" s="21"/>
      <c r="I138" s="21" t="str">
        <f>IF(E138="","",VLOOKUP(E138,tipo_organizacion[#ALL],2,0))</f>
        <v/>
      </c>
      <c r="J138" s="21" t="str">
        <f>IF(F138="","",VLOOKUP(F138,razon_social[#ALL],2,0))</f>
        <v/>
      </c>
      <c r="K138" s="21" t="str">
        <f>IF(G138="","",VLOOKUP(G138,tipo_contribuyente[#ALL],2,0))</f>
        <v/>
      </c>
      <c r="L138" s="21" t="str">
        <f>IF(H138="","",VLOOKUP(H138,pais[#ALL],2,0))</f>
        <v/>
      </c>
    </row>
    <row r="139">
      <c r="A139" s="21"/>
      <c r="B139" s="21"/>
      <c r="C139" s="21"/>
      <c r="D139" s="21"/>
      <c r="E139" s="21"/>
      <c r="F139" s="21"/>
      <c r="G139" s="21"/>
      <c r="H139" s="21"/>
      <c r="I139" s="21" t="str">
        <f>IF(E139="","",VLOOKUP(E139,tipo_organizacion[#ALL],2,0))</f>
        <v/>
      </c>
      <c r="J139" s="21" t="str">
        <f>IF(F139="","",VLOOKUP(F139,razon_social[#ALL],2,0))</f>
        <v/>
      </c>
      <c r="K139" s="21" t="str">
        <f>IF(G139="","",VLOOKUP(G139,tipo_contribuyente[#ALL],2,0))</f>
        <v/>
      </c>
      <c r="L139" s="21" t="str">
        <f>IF(H139="","",VLOOKUP(H139,pais[#ALL],2,0))</f>
        <v/>
      </c>
    </row>
    <row r="140">
      <c r="A140" s="21"/>
      <c r="B140" s="21"/>
      <c r="C140" s="21"/>
      <c r="D140" s="21"/>
      <c r="E140" s="21"/>
      <c r="F140" s="21"/>
      <c r="G140" s="21"/>
      <c r="H140" s="21"/>
      <c r="I140" s="21" t="str">
        <f>IF(E140="","",VLOOKUP(E140,tipo_organizacion[#ALL],2,0))</f>
        <v/>
      </c>
      <c r="J140" s="21" t="str">
        <f>IF(F140="","",VLOOKUP(F140,razon_social[#ALL],2,0))</f>
        <v/>
      </c>
      <c r="K140" s="21" t="str">
        <f>IF(G140="","",VLOOKUP(G140,tipo_contribuyente[#ALL],2,0))</f>
        <v/>
      </c>
      <c r="L140" s="21" t="str">
        <f>IF(H140="","",VLOOKUP(H140,pais[#ALL],2,0))</f>
        <v/>
      </c>
    </row>
    <row r="141">
      <c r="A141" s="21"/>
      <c r="B141" s="21"/>
      <c r="C141" s="21"/>
      <c r="D141" s="21"/>
      <c r="E141" s="21"/>
      <c r="F141" s="21"/>
      <c r="G141" s="21"/>
      <c r="H141" s="21"/>
      <c r="I141" s="21" t="str">
        <f>IF(E141="","",VLOOKUP(E141,tipo_organizacion[#ALL],2,0))</f>
        <v/>
      </c>
      <c r="J141" s="21" t="str">
        <f>IF(F141="","",VLOOKUP(F141,razon_social[#ALL],2,0))</f>
        <v/>
      </c>
      <c r="K141" s="21" t="str">
        <f>IF(G141="","",VLOOKUP(G141,tipo_contribuyente[#ALL],2,0))</f>
        <v/>
      </c>
      <c r="L141" s="21" t="str">
        <f>IF(H141="","",VLOOKUP(H141,pais[#ALL],2,0))</f>
        <v/>
      </c>
    </row>
    <row r="142">
      <c r="A142" s="21"/>
      <c r="B142" s="21"/>
      <c r="C142" s="21"/>
      <c r="D142" s="21"/>
      <c r="E142" s="21"/>
      <c r="F142" s="21"/>
      <c r="G142" s="21"/>
      <c r="H142" s="21"/>
      <c r="I142" s="21" t="str">
        <f>IF(E142="","",VLOOKUP(E142,tipo_organizacion[#ALL],2,0))</f>
        <v/>
      </c>
      <c r="J142" s="21" t="str">
        <f>IF(F142="","",VLOOKUP(F142,razon_social[#ALL],2,0))</f>
        <v/>
      </c>
      <c r="K142" s="21" t="str">
        <f>IF(G142="","",VLOOKUP(G142,tipo_contribuyente[#ALL],2,0))</f>
        <v/>
      </c>
      <c r="L142" s="21" t="str">
        <f>IF(H142="","",VLOOKUP(H142,pais[#ALL],2,0))</f>
        <v/>
      </c>
    </row>
    <row r="143">
      <c r="A143" s="21"/>
      <c r="B143" s="21"/>
      <c r="C143" s="21"/>
      <c r="D143" s="21"/>
      <c r="E143" s="21"/>
      <c r="F143" s="21"/>
      <c r="G143" s="21"/>
      <c r="H143" s="21"/>
      <c r="I143" s="21" t="str">
        <f>IF(E143="","",VLOOKUP(E143,tipo_organizacion[#ALL],2,0))</f>
        <v/>
      </c>
      <c r="J143" s="21" t="str">
        <f>IF(F143="","",VLOOKUP(F143,razon_social[#ALL],2,0))</f>
        <v/>
      </c>
      <c r="K143" s="21" t="str">
        <f>IF(G143="","",VLOOKUP(G143,tipo_contribuyente[#ALL],2,0))</f>
        <v/>
      </c>
      <c r="L143" s="21" t="str">
        <f>IF(H143="","",VLOOKUP(H143,pais[#ALL],2,0))</f>
        <v/>
      </c>
    </row>
    <row r="144">
      <c r="A144" s="21"/>
      <c r="B144" s="21"/>
      <c r="C144" s="21"/>
      <c r="D144" s="21"/>
      <c r="E144" s="21"/>
      <c r="F144" s="21"/>
      <c r="G144" s="21"/>
      <c r="H144" s="21"/>
      <c r="I144" s="21" t="str">
        <f>IF(E144="","",VLOOKUP(E144,tipo_organizacion[#ALL],2,0))</f>
        <v/>
      </c>
      <c r="J144" s="21" t="str">
        <f>IF(F144="","",VLOOKUP(F144,razon_social[#ALL],2,0))</f>
        <v/>
      </c>
      <c r="K144" s="21" t="str">
        <f>IF(G144="","",VLOOKUP(G144,tipo_contribuyente[#ALL],2,0))</f>
        <v/>
      </c>
      <c r="L144" s="21" t="str">
        <f>IF(H144="","",VLOOKUP(H144,pais[#ALL],2,0))</f>
        <v/>
      </c>
    </row>
    <row r="145">
      <c r="A145" s="21"/>
      <c r="B145" s="21"/>
      <c r="C145" s="21"/>
      <c r="D145" s="21"/>
      <c r="E145" s="21"/>
      <c r="F145" s="21"/>
      <c r="G145" s="21"/>
      <c r="H145" s="21"/>
      <c r="I145" s="21" t="str">
        <f>IF(E145="","",VLOOKUP(E145,tipo_organizacion[#ALL],2,0))</f>
        <v/>
      </c>
      <c r="J145" s="21" t="str">
        <f>IF(F145="","",VLOOKUP(F145,razon_social[#ALL],2,0))</f>
        <v/>
      </c>
      <c r="K145" s="21" t="str">
        <f>IF(G145="","",VLOOKUP(G145,tipo_contribuyente[#ALL],2,0))</f>
        <v/>
      </c>
      <c r="L145" s="21" t="str">
        <f>IF(H145="","",VLOOKUP(H145,pais[#ALL],2,0))</f>
        <v/>
      </c>
    </row>
    <row r="146">
      <c r="A146" s="21"/>
      <c r="B146" s="21"/>
      <c r="C146" s="21"/>
      <c r="D146" s="21"/>
      <c r="E146" s="21"/>
      <c r="F146" s="21"/>
      <c r="G146" s="21"/>
      <c r="H146" s="21"/>
      <c r="I146" s="21" t="str">
        <f>IF(E146="","",VLOOKUP(E146,tipo_organizacion[#ALL],2,0))</f>
        <v/>
      </c>
      <c r="J146" s="21" t="str">
        <f>IF(F146="","",VLOOKUP(F146,razon_social[#ALL],2,0))</f>
        <v/>
      </c>
      <c r="K146" s="21" t="str">
        <f>IF(G146="","",VLOOKUP(G146,tipo_contribuyente[#ALL],2,0))</f>
        <v/>
      </c>
      <c r="L146" s="21" t="str">
        <f>IF(H146="","",VLOOKUP(H146,pais[#ALL],2,0))</f>
        <v/>
      </c>
    </row>
    <row r="147">
      <c r="A147" s="21"/>
      <c r="B147" s="21"/>
      <c r="C147" s="21"/>
      <c r="D147" s="21"/>
      <c r="E147" s="21"/>
      <c r="F147" s="21"/>
      <c r="G147" s="21"/>
      <c r="H147" s="21"/>
      <c r="I147" s="21" t="str">
        <f>IF(E147="","",VLOOKUP(E147,tipo_organizacion[#ALL],2,0))</f>
        <v/>
      </c>
      <c r="J147" s="21" t="str">
        <f>IF(F147="","",VLOOKUP(F147,razon_social[#ALL],2,0))</f>
        <v/>
      </c>
      <c r="K147" s="21" t="str">
        <f>IF(G147="","",VLOOKUP(G147,tipo_contribuyente[#ALL],2,0))</f>
        <v/>
      </c>
      <c r="L147" s="21" t="str">
        <f>IF(H147="","",VLOOKUP(H147,pais[#ALL],2,0))</f>
        <v/>
      </c>
    </row>
    <row r="148">
      <c r="A148" s="21"/>
      <c r="B148" s="21"/>
      <c r="C148" s="21"/>
      <c r="D148" s="21"/>
      <c r="E148" s="21"/>
      <c r="F148" s="21"/>
      <c r="G148" s="21"/>
      <c r="H148" s="21"/>
      <c r="I148" s="21" t="str">
        <f>IF(E148="","",VLOOKUP(E148,tipo_organizacion[#ALL],2,0))</f>
        <v/>
      </c>
      <c r="J148" s="21" t="str">
        <f>IF(F148="","",VLOOKUP(F148,razon_social[#ALL],2,0))</f>
        <v/>
      </c>
      <c r="K148" s="21" t="str">
        <f>IF(G148="","",VLOOKUP(G148,tipo_contribuyente[#ALL],2,0))</f>
        <v/>
      </c>
      <c r="L148" s="21" t="str">
        <f>IF(H148="","",VLOOKUP(H148,pais[#ALL],2,0))</f>
        <v/>
      </c>
    </row>
    <row r="149">
      <c r="A149" s="21"/>
      <c r="B149" s="21"/>
      <c r="C149" s="21"/>
      <c r="D149" s="21"/>
      <c r="E149" s="21"/>
      <c r="F149" s="21"/>
      <c r="G149" s="21"/>
      <c r="H149" s="21"/>
      <c r="I149" s="21" t="str">
        <f>IF(E149="","",VLOOKUP(E149,tipo_organizacion[#ALL],2,0))</f>
        <v/>
      </c>
      <c r="J149" s="21" t="str">
        <f>IF(F149="","",VLOOKUP(F149,razon_social[#ALL],2,0))</f>
        <v/>
      </c>
      <c r="K149" s="21" t="str">
        <f>IF(G149="","",VLOOKUP(G149,tipo_contribuyente[#ALL],2,0))</f>
        <v/>
      </c>
      <c r="L149" s="21" t="str">
        <f>IF(H149="","",VLOOKUP(H149,pais[#ALL],2,0))</f>
        <v/>
      </c>
    </row>
    <row r="150">
      <c r="A150" s="21"/>
      <c r="B150" s="21"/>
      <c r="C150" s="21"/>
      <c r="D150" s="21"/>
      <c r="E150" s="21"/>
      <c r="F150" s="21"/>
      <c r="G150" s="21"/>
      <c r="H150" s="21"/>
      <c r="I150" s="21" t="str">
        <f>IF(E150="","",VLOOKUP(E150,tipo_organizacion[#ALL],2,0))</f>
        <v/>
      </c>
      <c r="J150" s="21" t="str">
        <f>IF(F150="","",VLOOKUP(F150,razon_social[#ALL],2,0))</f>
        <v/>
      </c>
      <c r="K150" s="21" t="str">
        <f>IF(G150="","",VLOOKUP(G150,tipo_contribuyente[#ALL],2,0))</f>
        <v/>
      </c>
      <c r="L150" s="21" t="str">
        <f>IF(H150="","",VLOOKUP(H150,pais[#ALL],2,0))</f>
        <v/>
      </c>
    </row>
    <row r="151">
      <c r="A151" s="21"/>
      <c r="B151" s="21"/>
      <c r="C151" s="21"/>
      <c r="D151" s="21"/>
      <c r="E151" s="21"/>
      <c r="F151" s="21"/>
      <c r="G151" s="21"/>
      <c r="H151" s="21"/>
      <c r="I151" s="21" t="str">
        <f>IF(E151="","",VLOOKUP(E151,tipo_organizacion[#ALL],2,0))</f>
        <v/>
      </c>
      <c r="J151" s="21" t="str">
        <f>IF(F151="","",VLOOKUP(F151,razon_social[#ALL],2,0))</f>
        <v/>
      </c>
      <c r="K151" s="21" t="str">
        <f>IF(G151="","",VLOOKUP(G151,tipo_contribuyente[#ALL],2,0))</f>
        <v/>
      </c>
      <c r="L151" s="21" t="str">
        <f>IF(H151="","",VLOOKUP(H151,pais[#ALL],2,0))</f>
        <v/>
      </c>
    </row>
    <row r="152">
      <c r="A152" s="21"/>
      <c r="B152" s="21"/>
      <c r="C152" s="21"/>
      <c r="D152" s="21"/>
      <c r="E152" s="21"/>
      <c r="F152" s="21"/>
      <c r="G152" s="21"/>
      <c r="H152" s="21"/>
      <c r="I152" s="21" t="str">
        <f>IF(E152="","",VLOOKUP(E152,tipo_organizacion[#ALL],2,0))</f>
        <v/>
      </c>
      <c r="J152" s="21" t="str">
        <f>IF(F152="","",VLOOKUP(F152,razon_social[#ALL],2,0))</f>
        <v/>
      </c>
      <c r="K152" s="21" t="str">
        <f>IF(G152="","",VLOOKUP(G152,tipo_contribuyente[#ALL],2,0))</f>
        <v/>
      </c>
      <c r="L152" s="21" t="str">
        <f>IF(H152="","",VLOOKUP(H152,pais[#ALL],2,0))</f>
        <v/>
      </c>
    </row>
    <row r="153">
      <c r="A153" s="21"/>
      <c r="B153" s="21"/>
      <c r="C153" s="21"/>
      <c r="D153" s="21"/>
      <c r="E153" s="21"/>
      <c r="F153" s="21"/>
      <c r="G153" s="21"/>
      <c r="H153" s="21"/>
      <c r="I153" s="21" t="str">
        <f>IF(E153="","",VLOOKUP(E153,tipo_organizacion[#ALL],2,0))</f>
        <v/>
      </c>
      <c r="J153" s="21" t="str">
        <f>IF(F153="","",VLOOKUP(F153,razon_social[#ALL],2,0))</f>
        <v/>
      </c>
      <c r="K153" s="21" t="str">
        <f>IF(G153="","",VLOOKUP(G153,tipo_contribuyente[#ALL],2,0))</f>
        <v/>
      </c>
      <c r="L153" s="21" t="str">
        <f>IF(H153="","",VLOOKUP(H153,pais[#ALL],2,0))</f>
        <v/>
      </c>
    </row>
    <row r="154">
      <c r="A154" s="21"/>
      <c r="B154" s="21"/>
      <c r="C154" s="21"/>
      <c r="D154" s="21"/>
      <c r="E154" s="21"/>
      <c r="F154" s="21"/>
      <c r="G154" s="21"/>
      <c r="H154" s="21"/>
      <c r="I154" s="21" t="str">
        <f>IF(E154="","",VLOOKUP(E154,tipo_organizacion[#ALL],2,0))</f>
        <v/>
      </c>
      <c r="J154" s="21" t="str">
        <f>IF(F154="","",VLOOKUP(F154,razon_social[#ALL],2,0))</f>
        <v/>
      </c>
      <c r="K154" s="21" t="str">
        <f>IF(G154="","",VLOOKUP(G154,tipo_contribuyente[#ALL],2,0))</f>
        <v/>
      </c>
      <c r="L154" s="21" t="str">
        <f>IF(H154="","",VLOOKUP(H154,pais[#ALL],2,0))</f>
        <v/>
      </c>
    </row>
    <row r="155">
      <c r="A155" s="21"/>
      <c r="B155" s="21"/>
      <c r="C155" s="21"/>
      <c r="D155" s="21"/>
      <c r="E155" s="21"/>
      <c r="F155" s="21"/>
      <c r="G155" s="21"/>
      <c r="H155" s="21"/>
      <c r="I155" s="21" t="str">
        <f>IF(E155="","",VLOOKUP(E155,tipo_organizacion[#ALL],2,0))</f>
        <v/>
      </c>
      <c r="J155" s="21" t="str">
        <f>IF(F155="","",VLOOKUP(F155,razon_social[#ALL],2,0))</f>
        <v/>
      </c>
      <c r="K155" s="21" t="str">
        <f>IF(G155="","",VLOOKUP(G155,tipo_contribuyente[#ALL],2,0))</f>
        <v/>
      </c>
      <c r="L155" s="21" t="str">
        <f>IF(H155="","",VLOOKUP(H155,pais[#ALL],2,0))</f>
        <v/>
      </c>
    </row>
    <row r="156">
      <c r="A156" s="21"/>
      <c r="B156" s="21"/>
      <c r="C156" s="21"/>
      <c r="D156" s="21"/>
      <c r="E156" s="21"/>
      <c r="F156" s="21"/>
      <c r="G156" s="21"/>
      <c r="H156" s="21"/>
      <c r="I156" s="21" t="str">
        <f>IF(E156="","",VLOOKUP(E156,tipo_organizacion[#ALL],2,0))</f>
        <v/>
      </c>
      <c r="J156" s="21" t="str">
        <f>IF(F156="","",VLOOKUP(F156,razon_social[#ALL],2,0))</f>
        <v/>
      </c>
      <c r="K156" s="21" t="str">
        <f>IF(G156="","",VLOOKUP(G156,tipo_contribuyente[#ALL],2,0))</f>
        <v/>
      </c>
      <c r="L156" s="21" t="str">
        <f>IF(H156="","",VLOOKUP(H156,pais[#ALL],2,0))</f>
        <v/>
      </c>
    </row>
    <row r="157">
      <c r="A157" s="21"/>
      <c r="B157" s="21"/>
      <c r="C157" s="21"/>
      <c r="D157" s="21"/>
      <c r="E157" s="21"/>
      <c r="F157" s="21"/>
      <c r="G157" s="21"/>
      <c r="H157" s="21"/>
      <c r="I157" s="21" t="str">
        <f>IF(E157="","",VLOOKUP(E157,tipo_organizacion[#ALL],2,0))</f>
        <v/>
      </c>
      <c r="J157" s="21" t="str">
        <f>IF(F157="","",VLOOKUP(F157,razon_social[#ALL],2,0))</f>
        <v/>
      </c>
      <c r="K157" s="21" t="str">
        <f>IF(G157="","",VLOOKUP(G157,tipo_contribuyente[#ALL],2,0))</f>
        <v/>
      </c>
      <c r="L157" s="21" t="str">
        <f>IF(H157="","",VLOOKUP(H157,pais[#ALL],2,0))</f>
        <v/>
      </c>
    </row>
    <row r="158">
      <c r="A158" s="21"/>
      <c r="B158" s="21"/>
      <c r="C158" s="21"/>
      <c r="D158" s="21"/>
      <c r="E158" s="21"/>
      <c r="F158" s="21"/>
      <c r="G158" s="21"/>
      <c r="H158" s="21"/>
      <c r="I158" s="21" t="str">
        <f>IF(E158="","",VLOOKUP(E158,tipo_organizacion[#ALL],2,0))</f>
        <v/>
      </c>
      <c r="J158" s="21" t="str">
        <f>IF(F158="","",VLOOKUP(F158,razon_social[#ALL],2,0))</f>
        <v/>
      </c>
      <c r="K158" s="21" t="str">
        <f>IF(G158="","",VLOOKUP(G158,tipo_contribuyente[#ALL],2,0))</f>
        <v/>
      </c>
      <c r="L158" s="21" t="str">
        <f>IF(H158="","",VLOOKUP(H158,pais[#ALL],2,0))</f>
        <v/>
      </c>
    </row>
    <row r="159">
      <c r="A159" s="21"/>
      <c r="B159" s="21"/>
      <c r="C159" s="21"/>
      <c r="D159" s="21"/>
      <c r="E159" s="21"/>
      <c r="F159" s="21"/>
      <c r="G159" s="21"/>
      <c r="H159" s="21"/>
      <c r="I159" s="21" t="str">
        <f>IF(E159="","",VLOOKUP(E159,tipo_organizacion[#ALL],2,0))</f>
        <v/>
      </c>
      <c r="J159" s="21" t="str">
        <f>IF(F159="","",VLOOKUP(F159,razon_social[#ALL],2,0))</f>
        <v/>
      </c>
      <c r="K159" s="21" t="str">
        <f>IF(G159="","",VLOOKUP(G159,tipo_contribuyente[#ALL],2,0))</f>
        <v/>
      </c>
      <c r="L159" s="21" t="str">
        <f>IF(H159="","",VLOOKUP(H159,pais[#ALL],2,0))</f>
        <v/>
      </c>
    </row>
    <row r="160">
      <c r="A160" s="21"/>
      <c r="B160" s="21"/>
      <c r="C160" s="21"/>
      <c r="D160" s="21"/>
      <c r="E160" s="21"/>
      <c r="F160" s="21"/>
      <c r="G160" s="21"/>
      <c r="H160" s="21"/>
      <c r="I160" s="21" t="str">
        <f>IF(E160="","",VLOOKUP(E160,tipo_organizacion[#ALL],2,0))</f>
        <v/>
      </c>
      <c r="J160" s="21" t="str">
        <f>IF(F160="","",VLOOKUP(F160,razon_social[#ALL],2,0))</f>
        <v/>
      </c>
      <c r="K160" s="21" t="str">
        <f>IF(G160="","",VLOOKUP(G160,tipo_contribuyente[#ALL],2,0))</f>
        <v/>
      </c>
      <c r="L160" s="21" t="str">
        <f>IF(H160="","",VLOOKUP(H160,pais[#ALL],2,0))</f>
        <v/>
      </c>
    </row>
    <row r="161">
      <c r="A161" s="21"/>
      <c r="B161" s="21"/>
      <c r="C161" s="21"/>
      <c r="D161" s="21"/>
      <c r="E161" s="21"/>
      <c r="F161" s="21"/>
      <c r="G161" s="21"/>
      <c r="H161" s="21"/>
      <c r="I161" s="21" t="str">
        <f>IF(E161="","",VLOOKUP(E161,tipo_organizacion[#ALL],2,0))</f>
        <v/>
      </c>
      <c r="J161" s="21" t="str">
        <f>IF(F161="","",VLOOKUP(F161,razon_social[#ALL],2,0))</f>
        <v/>
      </c>
      <c r="K161" s="21" t="str">
        <f>IF(G161="","",VLOOKUP(G161,tipo_contribuyente[#ALL],2,0))</f>
        <v/>
      </c>
      <c r="L161" s="21" t="str">
        <f>IF(H161="","",VLOOKUP(H161,pais[#ALL],2,0))</f>
        <v/>
      </c>
    </row>
    <row r="162">
      <c r="A162" s="21"/>
      <c r="B162" s="21"/>
      <c r="C162" s="21"/>
      <c r="D162" s="21"/>
      <c r="E162" s="21"/>
      <c r="F162" s="21"/>
      <c r="G162" s="21"/>
      <c r="H162" s="21"/>
      <c r="I162" s="21" t="str">
        <f>IF(E162="","",VLOOKUP(E162,tipo_organizacion[#ALL],2,0))</f>
        <v/>
      </c>
      <c r="J162" s="21" t="str">
        <f>IF(F162="","",VLOOKUP(F162,razon_social[#ALL],2,0))</f>
        <v/>
      </c>
      <c r="K162" s="21" t="str">
        <f>IF(G162="","",VLOOKUP(G162,tipo_contribuyente[#ALL],2,0))</f>
        <v/>
      </c>
      <c r="L162" s="21" t="str">
        <f>IF(H162="","",VLOOKUP(H162,pais[#ALL],2,0))</f>
        <v/>
      </c>
    </row>
    <row r="163">
      <c r="A163" s="21"/>
      <c r="B163" s="21"/>
      <c r="C163" s="21"/>
      <c r="D163" s="21"/>
      <c r="E163" s="21"/>
      <c r="F163" s="21"/>
      <c r="G163" s="21"/>
      <c r="H163" s="21"/>
      <c r="I163" s="21" t="str">
        <f>IF(E163="","",VLOOKUP(E163,tipo_organizacion[#ALL],2,0))</f>
        <v/>
      </c>
      <c r="J163" s="21" t="str">
        <f>IF(F163="","",VLOOKUP(F163,razon_social[#ALL],2,0))</f>
        <v/>
      </c>
      <c r="K163" s="21" t="str">
        <f>IF(G163="","",VLOOKUP(G163,tipo_contribuyente[#ALL],2,0))</f>
        <v/>
      </c>
      <c r="L163" s="21" t="str">
        <f>IF(H163="","",VLOOKUP(H163,pais[#ALL],2,0))</f>
        <v/>
      </c>
    </row>
    <row r="164">
      <c r="A164" s="21"/>
      <c r="B164" s="21"/>
      <c r="C164" s="21"/>
      <c r="D164" s="21"/>
      <c r="E164" s="21"/>
      <c r="F164" s="21"/>
      <c r="G164" s="21"/>
      <c r="H164" s="21"/>
      <c r="I164" s="21" t="str">
        <f>IF(E164="","",VLOOKUP(E164,tipo_organizacion[#ALL],2,0))</f>
        <v/>
      </c>
      <c r="J164" s="21" t="str">
        <f>IF(F164="","",VLOOKUP(F164,razon_social[#ALL],2,0))</f>
        <v/>
      </c>
      <c r="K164" s="21" t="str">
        <f>IF(G164="","",VLOOKUP(G164,tipo_contribuyente[#ALL],2,0))</f>
        <v/>
      </c>
      <c r="L164" s="21" t="str">
        <f>IF(H164="","",VLOOKUP(H164,pais[#ALL],2,0))</f>
        <v/>
      </c>
    </row>
    <row r="165">
      <c r="A165" s="21"/>
      <c r="B165" s="21"/>
      <c r="C165" s="21"/>
      <c r="D165" s="21"/>
      <c r="E165" s="21"/>
      <c r="F165" s="21"/>
      <c r="G165" s="21"/>
      <c r="H165" s="21"/>
      <c r="I165" s="21" t="str">
        <f>IF(E165="","",VLOOKUP(E165,tipo_organizacion[#ALL],2,0))</f>
        <v/>
      </c>
      <c r="J165" s="21" t="str">
        <f>IF(F165="","",VLOOKUP(F165,razon_social[#ALL],2,0))</f>
        <v/>
      </c>
      <c r="K165" s="21" t="str">
        <f>IF(G165="","",VLOOKUP(G165,tipo_contribuyente[#ALL],2,0))</f>
        <v/>
      </c>
      <c r="L165" s="21" t="str">
        <f>IF(H165="","",VLOOKUP(H165,pais[#ALL],2,0))</f>
        <v/>
      </c>
    </row>
    <row r="166">
      <c r="A166" s="21"/>
      <c r="B166" s="21"/>
      <c r="C166" s="21"/>
      <c r="D166" s="21"/>
      <c r="E166" s="21"/>
      <c r="F166" s="21"/>
      <c r="G166" s="21"/>
      <c r="H166" s="21"/>
      <c r="I166" s="21" t="str">
        <f>IF(E166="","",VLOOKUP(E166,tipo_organizacion[#ALL],2,0))</f>
        <v/>
      </c>
      <c r="J166" s="21" t="str">
        <f>IF(F166="","",VLOOKUP(F166,razon_social[#ALL],2,0))</f>
        <v/>
      </c>
      <c r="K166" s="21" t="str">
        <f>IF(G166="","",VLOOKUP(G166,tipo_contribuyente[#ALL],2,0))</f>
        <v/>
      </c>
      <c r="L166" s="21" t="str">
        <f>IF(H166="","",VLOOKUP(H166,pais[#ALL],2,0))</f>
        <v/>
      </c>
    </row>
    <row r="167">
      <c r="A167" s="21"/>
      <c r="B167" s="21"/>
      <c r="C167" s="21"/>
      <c r="D167" s="21"/>
      <c r="E167" s="21"/>
      <c r="F167" s="21"/>
      <c r="G167" s="21"/>
      <c r="H167" s="21"/>
      <c r="I167" s="21" t="str">
        <f>IF(E167="","",VLOOKUP(E167,tipo_organizacion[#ALL],2,0))</f>
        <v/>
      </c>
      <c r="J167" s="21" t="str">
        <f>IF(F167="","",VLOOKUP(F167,razon_social[#ALL],2,0))</f>
        <v/>
      </c>
      <c r="K167" s="21" t="str">
        <f>IF(G167="","",VLOOKUP(G167,tipo_contribuyente[#ALL],2,0))</f>
        <v/>
      </c>
      <c r="L167" s="21" t="str">
        <f>IF(H167="","",VLOOKUP(H167,pais[#ALL],2,0))</f>
        <v/>
      </c>
    </row>
    <row r="168">
      <c r="A168" s="21"/>
      <c r="B168" s="21"/>
      <c r="C168" s="21"/>
      <c r="D168" s="21"/>
      <c r="E168" s="21"/>
      <c r="F168" s="21"/>
      <c r="G168" s="21"/>
      <c r="H168" s="21"/>
      <c r="I168" s="21" t="str">
        <f>IF(E168="","",VLOOKUP(E168,tipo_organizacion[#ALL],2,0))</f>
        <v/>
      </c>
      <c r="J168" s="21" t="str">
        <f>IF(F168="","",VLOOKUP(F168,razon_social[#ALL],2,0))</f>
        <v/>
      </c>
      <c r="K168" s="21" t="str">
        <f>IF(G168="","",VLOOKUP(G168,tipo_contribuyente[#ALL],2,0))</f>
        <v/>
      </c>
      <c r="L168" s="21" t="str">
        <f>IF(H168="","",VLOOKUP(H168,pais[#ALL],2,0))</f>
        <v/>
      </c>
    </row>
    <row r="169">
      <c r="A169" s="21"/>
      <c r="B169" s="21"/>
      <c r="C169" s="21"/>
      <c r="D169" s="21"/>
      <c r="E169" s="21"/>
      <c r="F169" s="21"/>
      <c r="G169" s="21"/>
      <c r="H169" s="21"/>
      <c r="I169" s="21" t="str">
        <f>IF(E169="","",VLOOKUP(E169,tipo_organizacion[#ALL],2,0))</f>
        <v/>
      </c>
      <c r="J169" s="21" t="str">
        <f>IF(F169="","",VLOOKUP(F169,razon_social[#ALL],2,0))</f>
        <v/>
      </c>
      <c r="K169" s="21" t="str">
        <f>IF(G169="","",VLOOKUP(G169,tipo_contribuyente[#ALL],2,0))</f>
        <v/>
      </c>
      <c r="L169" s="21" t="str">
        <f>IF(H169="","",VLOOKUP(H169,pais[#ALL],2,0))</f>
        <v/>
      </c>
    </row>
    <row r="170">
      <c r="A170" s="21"/>
      <c r="B170" s="21"/>
      <c r="C170" s="21"/>
      <c r="D170" s="21"/>
      <c r="E170" s="21"/>
      <c r="F170" s="21"/>
      <c r="G170" s="21"/>
      <c r="H170" s="21"/>
      <c r="I170" s="21" t="str">
        <f>IF(E170="","",VLOOKUP(E170,tipo_organizacion[#ALL],2,0))</f>
        <v/>
      </c>
      <c r="J170" s="21" t="str">
        <f>IF(F170="","",VLOOKUP(F170,razon_social[#ALL],2,0))</f>
        <v/>
      </c>
      <c r="K170" s="21" t="str">
        <f>IF(G170="","",VLOOKUP(G170,tipo_contribuyente[#ALL],2,0))</f>
        <v/>
      </c>
      <c r="L170" s="21" t="str">
        <f>IF(H170="","",VLOOKUP(H170,pais[#ALL],2,0))</f>
        <v/>
      </c>
    </row>
    <row r="171">
      <c r="A171" s="21"/>
      <c r="B171" s="21"/>
      <c r="C171" s="21"/>
      <c r="D171" s="21"/>
      <c r="E171" s="21"/>
      <c r="F171" s="21"/>
      <c r="G171" s="21"/>
      <c r="H171" s="21"/>
      <c r="I171" s="21" t="str">
        <f>IF(E171="","",VLOOKUP(E171,tipo_organizacion[#ALL],2,0))</f>
        <v/>
      </c>
      <c r="J171" s="21" t="str">
        <f>IF(F171="","",VLOOKUP(F171,razon_social[#ALL],2,0))</f>
        <v/>
      </c>
      <c r="K171" s="21" t="str">
        <f>IF(G171="","",VLOOKUP(G171,tipo_contribuyente[#ALL],2,0))</f>
        <v/>
      </c>
      <c r="L171" s="21" t="str">
        <f>IF(H171="","",VLOOKUP(H171,pais[#ALL],2,0))</f>
        <v/>
      </c>
    </row>
    <row r="172">
      <c r="A172" s="21"/>
      <c r="B172" s="21"/>
      <c r="C172" s="21"/>
      <c r="D172" s="21"/>
      <c r="E172" s="21"/>
      <c r="F172" s="21"/>
      <c r="G172" s="21"/>
      <c r="H172" s="21"/>
      <c r="I172" s="21" t="str">
        <f>IF(E172="","",VLOOKUP(E172,tipo_organizacion[#ALL],2,0))</f>
        <v/>
      </c>
      <c r="J172" s="21" t="str">
        <f>IF(F172="","",VLOOKUP(F172,razon_social[#ALL],2,0))</f>
        <v/>
      </c>
      <c r="K172" s="21" t="str">
        <f>IF(G172="","",VLOOKUP(G172,tipo_contribuyente[#ALL],2,0))</f>
        <v/>
      </c>
      <c r="L172" s="21" t="str">
        <f>IF(H172="","",VLOOKUP(H172,pais[#ALL],2,0))</f>
        <v/>
      </c>
    </row>
    <row r="173">
      <c r="A173" s="21"/>
      <c r="B173" s="21"/>
      <c r="C173" s="21"/>
      <c r="D173" s="21"/>
      <c r="E173" s="21"/>
      <c r="F173" s="21"/>
      <c r="G173" s="21"/>
      <c r="H173" s="21"/>
      <c r="I173" s="21" t="str">
        <f>IF(E173="","",VLOOKUP(E173,tipo_organizacion[#ALL],2,0))</f>
        <v/>
      </c>
      <c r="J173" s="21" t="str">
        <f>IF(F173="","",VLOOKUP(F173,razon_social[#ALL],2,0))</f>
        <v/>
      </c>
      <c r="K173" s="21" t="str">
        <f>IF(G173="","",VLOOKUP(G173,tipo_contribuyente[#ALL],2,0))</f>
        <v/>
      </c>
      <c r="L173" s="21" t="str">
        <f>IF(H173="","",VLOOKUP(H173,pais[#ALL],2,0))</f>
        <v/>
      </c>
    </row>
    <row r="174">
      <c r="A174" s="21"/>
      <c r="B174" s="21"/>
      <c r="C174" s="21"/>
      <c r="D174" s="21"/>
      <c r="E174" s="21"/>
      <c r="F174" s="21"/>
      <c r="G174" s="21"/>
      <c r="H174" s="21"/>
      <c r="I174" s="21" t="str">
        <f>IF(E174="","",VLOOKUP(E174,tipo_organizacion[#ALL],2,0))</f>
        <v/>
      </c>
      <c r="J174" s="21" t="str">
        <f>IF(F174="","",VLOOKUP(F174,razon_social[#ALL],2,0))</f>
        <v/>
      </c>
      <c r="K174" s="21" t="str">
        <f>IF(G174="","",VLOOKUP(G174,tipo_contribuyente[#ALL],2,0))</f>
        <v/>
      </c>
      <c r="L174" s="21" t="str">
        <f>IF(H174="","",VLOOKUP(H174,pais[#ALL],2,0))</f>
        <v/>
      </c>
    </row>
    <row r="175">
      <c r="A175" s="21"/>
      <c r="B175" s="21"/>
      <c r="C175" s="21"/>
      <c r="D175" s="21"/>
      <c r="E175" s="21"/>
      <c r="F175" s="21"/>
      <c r="G175" s="21"/>
      <c r="H175" s="21"/>
      <c r="I175" s="21" t="str">
        <f>IF(E175="","",VLOOKUP(E175,tipo_organizacion[#ALL],2,0))</f>
        <v/>
      </c>
      <c r="J175" s="21" t="str">
        <f>IF(F175="","",VLOOKUP(F175,razon_social[#ALL],2,0))</f>
        <v/>
      </c>
      <c r="K175" s="21" t="str">
        <f>IF(G175="","",VLOOKUP(G175,tipo_contribuyente[#ALL],2,0))</f>
        <v/>
      </c>
      <c r="L175" s="21" t="str">
        <f>IF(H175="","",VLOOKUP(H175,pais[#ALL],2,0))</f>
        <v/>
      </c>
    </row>
    <row r="176">
      <c r="A176" s="21"/>
      <c r="B176" s="21"/>
      <c r="C176" s="21"/>
      <c r="D176" s="21"/>
      <c r="E176" s="21"/>
      <c r="F176" s="21"/>
      <c r="G176" s="21"/>
      <c r="H176" s="21"/>
      <c r="I176" s="21" t="str">
        <f>IF(E176="","",VLOOKUP(E176,tipo_organizacion[#ALL],2,0))</f>
        <v/>
      </c>
      <c r="J176" s="21" t="str">
        <f>IF(F176="","",VLOOKUP(F176,razon_social[#ALL],2,0))</f>
        <v/>
      </c>
      <c r="K176" s="21" t="str">
        <f>IF(G176="","",VLOOKUP(G176,tipo_contribuyente[#ALL],2,0))</f>
        <v/>
      </c>
      <c r="L176" s="21" t="str">
        <f>IF(H176="","",VLOOKUP(H176,pais[#ALL],2,0))</f>
        <v/>
      </c>
    </row>
    <row r="177">
      <c r="A177" s="21"/>
      <c r="B177" s="21"/>
      <c r="C177" s="21"/>
      <c r="D177" s="21"/>
      <c r="E177" s="21"/>
      <c r="F177" s="21"/>
      <c r="G177" s="21"/>
      <c r="H177" s="21"/>
      <c r="I177" s="21" t="str">
        <f>IF(E177="","",VLOOKUP(E177,tipo_organizacion[#ALL],2,0))</f>
        <v/>
      </c>
      <c r="J177" s="21" t="str">
        <f>IF(F177="","",VLOOKUP(F177,razon_social[#ALL],2,0))</f>
        <v/>
      </c>
      <c r="K177" s="21" t="str">
        <f>IF(G177="","",VLOOKUP(G177,tipo_contribuyente[#ALL],2,0))</f>
        <v/>
      </c>
      <c r="L177" s="21" t="str">
        <f>IF(H177="","",VLOOKUP(H177,pais[#ALL],2,0))</f>
        <v/>
      </c>
    </row>
    <row r="178">
      <c r="A178" s="21"/>
      <c r="B178" s="21"/>
      <c r="C178" s="21"/>
      <c r="D178" s="21"/>
      <c r="E178" s="21"/>
      <c r="F178" s="21"/>
      <c r="G178" s="21"/>
      <c r="H178" s="21"/>
      <c r="I178" s="21" t="str">
        <f>IF(E178="","",VLOOKUP(E178,tipo_organizacion[#ALL],2,0))</f>
        <v/>
      </c>
      <c r="J178" s="21" t="str">
        <f>IF(F178="","",VLOOKUP(F178,razon_social[#ALL],2,0))</f>
        <v/>
      </c>
      <c r="K178" s="21" t="str">
        <f>IF(G178="","",VLOOKUP(G178,tipo_contribuyente[#ALL],2,0))</f>
        <v/>
      </c>
      <c r="L178" s="21" t="str">
        <f>IF(H178="","",VLOOKUP(H178,pais[#ALL],2,0))</f>
        <v/>
      </c>
    </row>
    <row r="179">
      <c r="A179" s="21"/>
      <c r="B179" s="21"/>
      <c r="C179" s="21"/>
      <c r="D179" s="21"/>
      <c r="E179" s="21"/>
      <c r="F179" s="21"/>
      <c r="G179" s="21"/>
      <c r="H179" s="21"/>
      <c r="I179" s="21" t="str">
        <f>IF(E179="","",VLOOKUP(E179,tipo_organizacion[#ALL],2,0))</f>
        <v/>
      </c>
      <c r="J179" s="21" t="str">
        <f>IF(F179="","",VLOOKUP(F179,razon_social[#ALL],2,0))</f>
        <v/>
      </c>
      <c r="K179" s="21" t="str">
        <f>IF(G179="","",VLOOKUP(G179,tipo_contribuyente[#ALL],2,0))</f>
        <v/>
      </c>
      <c r="L179" s="21" t="str">
        <f>IF(H179="","",VLOOKUP(H179,pais[#ALL],2,0))</f>
        <v/>
      </c>
    </row>
    <row r="180">
      <c r="A180" s="21"/>
      <c r="B180" s="21"/>
      <c r="C180" s="21"/>
      <c r="D180" s="21"/>
      <c r="E180" s="21"/>
      <c r="F180" s="21"/>
      <c r="G180" s="21"/>
      <c r="H180" s="21"/>
      <c r="I180" s="21" t="str">
        <f>IF(E180="","",VLOOKUP(E180,tipo_organizacion[#ALL],2,0))</f>
        <v/>
      </c>
      <c r="J180" s="21" t="str">
        <f>IF(F180="","",VLOOKUP(F180,razon_social[#ALL],2,0))</f>
        <v/>
      </c>
      <c r="K180" s="21" t="str">
        <f>IF(G180="","",VLOOKUP(G180,tipo_contribuyente[#ALL],2,0))</f>
        <v/>
      </c>
      <c r="L180" s="21" t="str">
        <f>IF(H180="","",VLOOKUP(H180,pais[#ALL],2,0))</f>
        <v/>
      </c>
    </row>
    <row r="181">
      <c r="A181" s="21"/>
      <c r="B181" s="21"/>
      <c r="C181" s="21"/>
      <c r="D181" s="21"/>
      <c r="E181" s="21"/>
      <c r="F181" s="21"/>
      <c r="G181" s="21"/>
      <c r="H181" s="21"/>
      <c r="I181" s="21" t="str">
        <f>IF(E181="","",VLOOKUP(E181,tipo_organizacion[#ALL],2,0))</f>
        <v/>
      </c>
      <c r="J181" s="21" t="str">
        <f>IF(F181="","",VLOOKUP(F181,razon_social[#ALL],2,0))</f>
        <v/>
      </c>
      <c r="K181" s="21" t="str">
        <f>IF(G181="","",VLOOKUP(G181,tipo_contribuyente[#ALL],2,0))</f>
        <v/>
      </c>
      <c r="L181" s="21" t="str">
        <f>IF(H181="","",VLOOKUP(H181,pais[#ALL],2,0))</f>
        <v/>
      </c>
    </row>
    <row r="182">
      <c r="A182" s="21"/>
      <c r="B182" s="21"/>
      <c r="C182" s="21"/>
      <c r="D182" s="21"/>
      <c r="E182" s="21"/>
      <c r="F182" s="21"/>
      <c r="G182" s="21"/>
      <c r="H182" s="21"/>
      <c r="I182" s="21" t="str">
        <f>IF(E182="","",VLOOKUP(E182,tipo_organizacion[#ALL],2,0))</f>
        <v/>
      </c>
      <c r="J182" s="21" t="str">
        <f>IF(F182="","",VLOOKUP(F182,razon_social[#ALL],2,0))</f>
        <v/>
      </c>
      <c r="K182" s="21" t="str">
        <f>IF(G182="","",VLOOKUP(G182,tipo_contribuyente[#ALL],2,0))</f>
        <v/>
      </c>
      <c r="L182" s="21" t="str">
        <f>IF(H182="","",VLOOKUP(H182,pais[#ALL],2,0))</f>
        <v/>
      </c>
    </row>
    <row r="183">
      <c r="A183" s="21"/>
      <c r="B183" s="21"/>
      <c r="C183" s="21"/>
      <c r="D183" s="21"/>
      <c r="E183" s="21"/>
      <c r="F183" s="21"/>
      <c r="G183" s="21"/>
      <c r="H183" s="21"/>
      <c r="I183" s="21" t="str">
        <f>IF(E183="","",VLOOKUP(E183,tipo_organizacion[#ALL],2,0))</f>
        <v/>
      </c>
      <c r="J183" s="21" t="str">
        <f>IF(F183="","",VLOOKUP(F183,razon_social[#ALL],2,0))</f>
        <v/>
      </c>
      <c r="K183" s="21" t="str">
        <f>IF(G183="","",VLOOKUP(G183,tipo_contribuyente[#ALL],2,0))</f>
        <v/>
      </c>
      <c r="L183" s="21" t="str">
        <f>IF(H183="","",VLOOKUP(H183,pais[#ALL],2,0))</f>
        <v/>
      </c>
    </row>
    <row r="184">
      <c r="A184" s="21"/>
      <c r="B184" s="21"/>
      <c r="C184" s="21"/>
      <c r="D184" s="21"/>
      <c r="E184" s="21"/>
      <c r="F184" s="21"/>
      <c r="G184" s="21"/>
      <c r="H184" s="21"/>
      <c r="I184" s="21" t="str">
        <f>IF(E184="","",VLOOKUP(E184,tipo_organizacion[#ALL],2,0))</f>
        <v/>
      </c>
      <c r="J184" s="21" t="str">
        <f>IF(F184="","",VLOOKUP(F184,razon_social[#ALL],2,0))</f>
        <v/>
      </c>
      <c r="K184" s="21" t="str">
        <f>IF(G184="","",VLOOKUP(G184,tipo_contribuyente[#ALL],2,0))</f>
        <v/>
      </c>
      <c r="L184" s="21" t="str">
        <f>IF(H184="","",VLOOKUP(H184,pais[#ALL],2,0))</f>
        <v/>
      </c>
    </row>
    <row r="185">
      <c r="A185" s="21"/>
      <c r="B185" s="21"/>
      <c r="C185" s="21"/>
      <c r="D185" s="21"/>
      <c r="E185" s="21"/>
      <c r="F185" s="21"/>
      <c r="G185" s="21"/>
      <c r="H185" s="21"/>
      <c r="I185" s="21" t="str">
        <f>IF(E185="","",VLOOKUP(E185,tipo_organizacion[#ALL],2,0))</f>
        <v/>
      </c>
      <c r="J185" s="21" t="str">
        <f>IF(F185="","",VLOOKUP(F185,razon_social[#ALL],2,0))</f>
        <v/>
      </c>
      <c r="K185" s="21" t="str">
        <f>IF(G185="","",VLOOKUP(G185,tipo_contribuyente[#ALL],2,0))</f>
        <v/>
      </c>
      <c r="L185" s="21" t="str">
        <f>IF(H185="","",VLOOKUP(H185,pais[#ALL],2,0))</f>
        <v/>
      </c>
    </row>
    <row r="186">
      <c r="A186" s="21"/>
      <c r="B186" s="21"/>
      <c r="C186" s="21"/>
      <c r="D186" s="21"/>
      <c r="E186" s="21"/>
      <c r="F186" s="21"/>
      <c r="G186" s="21"/>
      <c r="H186" s="21"/>
      <c r="I186" s="21" t="str">
        <f>IF(E186="","",VLOOKUP(E186,tipo_organizacion[#ALL],2,0))</f>
        <v/>
      </c>
      <c r="J186" s="21" t="str">
        <f>IF(F186="","",VLOOKUP(F186,razon_social[#ALL],2,0))</f>
        <v/>
      </c>
      <c r="K186" s="21" t="str">
        <f>IF(G186="","",VLOOKUP(G186,tipo_contribuyente[#ALL],2,0))</f>
        <v/>
      </c>
      <c r="L186" s="21" t="str">
        <f>IF(H186="","",VLOOKUP(H186,pais[#ALL],2,0))</f>
        <v/>
      </c>
    </row>
    <row r="187">
      <c r="A187" s="21"/>
      <c r="B187" s="21"/>
      <c r="C187" s="21"/>
      <c r="D187" s="21"/>
      <c r="E187" s="21"/>
      <c r="F187" s="21"/>
      <c r="G187" s="21"/>
      <c r="H187" s="21"/>
      <c r="I187" s="21" t="str">
        <f>IF(E187="","",VLOOKUP(E187,tipo_organizacion[#ALL],2,0))</f>
        <v/>
      </c>
      <c r="J187" s="21" t="str">
        <f>IF(F187="","",VLOOKUP(F187,razon_social[#ALL],2,0))</f>
        <v/>
      </c>
      <c r="K187" s="21" t="str">
        <f>IF(G187="","",VLOOKUP(G187,tipo_contribuyente[#ALL],2,0))</f>
        <v/>
      </c>
      <c r="L187" s="21" t="str">
        <f>IF(H187="","",VLOOKUP(H187,pais[#ALL],2,0))</f>
        <v/>
      </c>
    </row>
    <row r="188">
      <c r="A188" s="21"/>
      <c r="B188" s="21"/>
      <c r="C188" s="21"/>
      <c r="D188" s="21"/>
      <c r="E188" s="21"/>
      <c r="F188" s="21"/>
      <c r="G188" s="21"/>
      <c r="H188" s="21"/>
      <c r="I188" s="21" t="str">
        <f>IF(E188="","",VLOOKUP(E188,tipo_organizacion[#ALL],2,0))</f>
        <v/>
      </c>
      <c r="J188" s="21" t="str">
        <f>IF(F188="","",VLOOKUP(F188,razon_social[#ALL],2,0))</f>
        <v/>
      </c>
      <c r="K188" s="21" t="str">
        <f>IF(G188="","",VLOOKUP(G188,tipo_contribuyente[#ALL],2,0))</f>
        <v/>
      </c>
      <c r="L188" s="21" t="str">
        <f>IF(H188="","",VLOOKUP(H188,pais[#ALL],2,0))</f>
        <v/>
      </c>
    </row>
    <row r="189">
      <c r="A189" s="21"/>
      <c r="B189" s="21"/>
      <c r="C189" s="21"/>
      <c r="D189" s="21"/>
      <c r="E189" s="21"/>
      <c r="F189" s="21"/>
      <c r="G189" s="21"/>
      <c r="H189" s="21"/>
      <c r="I189" s="21" t="str">
        <f>IF(E189="","",VLOOKUP(E189,tipo_organizacion[#ALL],2,0))</f>
        <v/>
      </c>
      <c r="J189" s="21" t="str">
        <f>IF(F189="","",VLOOKUP(F189,razon_social[#ALL],2,0))</f>
        <v/>
      </c>
      <c r="K189" s="21" t="str">
        <f>IF(G189="","",VLOOKUP(G189,tipo_contribuyente[#ALL],2,0))</f>
        <v/>
      </c>
      <c r="L189" s="21" t="str">
        <f>IF(H189="","",VLOOKUP(H189,pais[#ALL],2,0))</f>
        <v/>
      </c>
    </row>
    <row r="190">
      <c r="A190" s="21"/>
      <c r="B190" s="21"/>
      <c r="C190" s="21"/>
      <c r="D190" s="21"/>
      <c r="E190" s="21"/>
      <c r="F190" s="21"/>
      <c r="G190" s="21"/>
      <c r="H190" s="21"/>
      <c r="I190" s="21" t="str">
        <f>IF(E190="","",VLOOKUP(E190,tipo_organizacion[#ALL],2,0))</f>
        <v/>
      </c>
      <c r="J190" s="21" t="str">
        <f>IF(F190="","",VLOOKUP(F190,razon_social[#ALL],2,0))</f>
        <v/>
      </c>
      <c r="K190" s="21" t="str">
        <f>IF(G190="","",VLOOKUP(G190,tipo_contribuyente[#ALL],2,0))</f>
        <v/>
      </c>
      <c r="L190" s="21" t="str">
        <f>IF(H190="","",VLOOKUP(H190,pais[#ALL],2,0))</f>
        <v/>
      </c>
    </row>
    <row r="191">
      <c r="A191" s="21"/>
      <c r="B191" s="21"/>
      <c r="C191" s="21"/>
      <c r="D191" s="21"/>
      <c r="E191" s="21"/>
      <c r="F191" s="21"/>
      <c r="G191" s="21"/>
      <c r="H191" s="21"/>
      <c r="I191" s="21" t="str">
        <f>IF(E191="","",VLOOKUP(E191,tipo_organizacion[#ALL],2,0))</f>
        <v/>
      </c>
      <c r="J191" s="21" t="str">
        <f>IF(F191="","",VLOOKUP(F191,razon_social[#ALL],2,0))</f>
        <v/>
      </c>
      <c r="K191" s="21" t="str">
        <f>IF(G191="","",VLOOKUP(G191,tipo_contribuyente[#ALL],2,0))</f>
        <v/>
      </c>
      <c r="L191" s="21" t="str">
        <f>IF(H191="","",VLOOKUP(H191,pais[#ALL],2,0))</f>
        <v/>
      </c>
    </row>
    <row r="192">
      <c r="A192" s="21"/>
      <c r="B192" s="21"/>
      <c r="C192" s="21"/>
      <c r="D192" s="21"/>
      <c r="E192" s="21"/>
      <c r="F192" s="21"/>
      <c r="G192" s="21"/>
      <c r="H192" s="21"/>
      <c r="I192" s="21" t="str">
        <f>IF(E192="","",VLOOKUP(E192,tipo_organizacion[#ALL],2,0))</f>
        <v/>
      </c>
      <c r="J192" s="21" t="str">
        <f>IF(F192="","",VLOOKUP(F192,razon_social[#ALL],2,0))</f>
        <v/>
      </c>
      <c r="K192" s="21" t="str">
        <f>IF(G192="","",VLOOKUP(G192,tipo_contribuyente[#ALL],2,0))</f>
        <v/>
      </c>
      <c r="L192" s="21" t="str">
        <f>IF(H192="","",VLOOKUP(H192,pais[#ALL],2,0))</f>
        <v/>
      </c>
    </row>
    <row r="193">
      <c r="A193" s="21"/>
      <c r="B193" s="21"/>
      <c r="C193" s="21"/>
      <c r="D193" s="21"/>
      <c r="E193" s="21"/>
      <c r="F193" s="21"/>
      <c r="G193" s="21"/>
      <c r="H193" s="21"/>
      <c r="I193" s="21" t="str">
        <f>IF(E193="","",VLOOKUP(E193,tipo_organizacion[#ALL],2,0))</f>
        <v/>
      </c>
      <c r="J193" s="21" t="str">
        <f>IF(F193="","",VLOOKUP(F193,razon_social[#ALL],2,0))</f>
        <v/>
      </c>
      <c r="K193" s="21" t="str">
        <f>IF(G193="","",VLOOKUP(G193,tipo_contribuyente[#ALL],2,0))</f>
        <v/>
      </c>
      <c r="L193" s="21" t="str">
        <f>IF(H193="","",VLOOKUP(H193,pais[#ALL],2,0))</f>
        <v/>
      </c>
    </row>
    <row r="194">
      <c r="A194" s="21"/>
      <c r="B194" s="21"/>
      <c r="C194" s="21"/>
      <c r="D194" s="21"/>
      <c r="E194" s="21"/>
      <c r="F194" s="21"/>
      <c r="G194" s="21"/>
      <c r="H194" s="21"/>
      <c r="I194" s="21" t="str">
        <f>IF(E194="","",VLOOKUP(E194,tipo_organizacion[#ALL],2,0))</f>
        <v/>
      </c>
      <c r="J194" s="21" t="str">
        <f>IF(F194="","",VLOOKUP(F194,razon_social[#ALL],2,0))</f>
        <v/>
      </c>
      <c r="K194" s="21" t="str">
        <f>IF(G194="","",VLOOKUP(G194,tipo_contribuyente[#ALL],2,0))</f>
        <v/>
      </c>
      <c r="L194" s="21" t="str">
        <f>IF(H194="","",VLOOKUP(H194,pais[#ALL],2,0))</f>
        <v/>
      </c>
    </row>
    <row r="195">
      <c r="A195" s="21"/>
      <c r="B195" s="21"/>
      <c r="C195" s="21"/>
      <c r="D195" s="21"/>
      <c r="E195" s="21"/>
      <c r="F195" s="21"/>
      <c r="G195" s="21"/>
      <c r="H195" s="21"/>
      <c r="I195" s="21" t="str">
        <f>IF(E195="","",VLOOKUP(E195,tipo_organizacion[#ALL],2,0))</f>
        <v/>
      </c>
      <c r="J195" s="21" t="str">
        <f>IF(F195="","",VLOOKUP(F195,razon_social[#ALL],2,0))</f>
        <v/>
      </c>
      <c r="K195" s="21" t="str">
        <f>IF(G195="","",VLOOKUP(G195,tipo_contribuyente[#ALL],2,0))</f>
        <v/>
      </c>
      <c r="L195" s="21" t="str">
        <f>IF(H195="","",VLOOKUP(H195,pais[#ALL],2,0))</f>
        <v/>
      </c>
    </row>
    <row r="196">
      <c r="A196" s="21"/>
      <c r="B196" s="21"/>
      <c r="C196" s="21"/>
      <c r="D196" s="21"/>
      <c r="E196" s="21"/>
      <c r="F196" s="21"/>
      <c r="G196" s="21"/>
      <c r="H196" s="21"/>
      <c r="I196" s="21" t="str">
        <f>IF(E196="","",VLOOKUP(E196,tipo_organizacion[#ALL],2,0))</f>
        <v/>
      </c>
      <c r="J196" s="21" t="str">
        <f>IF(F196="","",VLOOKUP(F196,razon_social[#ALL],2,0))</f>
        <v/>
      </c>
      <c r="K196" s="21" t="str">
        <f>IF(G196="","",VLOOKUP(G196,tipo_contribuyente[#ALL],2,0))</f>
        <v/>
      </c>
      <c r="L196" s="21" t="str">
        <f>IF(H196="","",VLOOKUP(H196,pais[#ALL],2,0))</f>
        <v/>
      </c>
    </row>
    <row r="197">
      <c r="A197" s="21"/>
      <c r="B197" s="21"/>
      <c r="C197" s="21"/>
      <c r="D197" s="21"/>
      <c r="E197" s="21"/>
      <c r="F197" s="21"/>
      <c r="G197" s="21"/>
      <c r="H197" s="21"/>
      <c r="I197" s="21" t="str">
        <f>IF(E197="","",VLOOKUP(E197,tipo_organizacion[#ALL],2,0))</f>
        <v/>
      </c>
      <c r="J197" s="21" t="str">
        <f>IF(F197="","",VLOOKUP(F197,razon_social[#ALL],2,0))</f>
        <v/>
      </c>
      <c r="K197" s="21" t="str">
        <f>IF(G197="","",VLOOKUP(G197,tipo_contribuyente[#ALL],2,0))</f>
        <v/>
      </c>
      <c r="L197" s="21" t="str">
        <f>IF(H197="","",VLOOKUP(H197,pais[#ALL],2,0))</f>
        <v/>
      </c>
    </row>
    <row r="198">
      <c r="A198" s="21"/>
      <c r="B198" s="21"/>
      <c r="C198" s="21"/>
      <c r="D198" s="21"/>
      <c r="E198" s="21"/>
      <c r="F198" s="21"/>
      <c r="G198" s="21"/>
      <c r="H198" s="21"/>
      <c r="I198" s="21" t="str">
        <f>IF(E198="","",VLOOKUP(E198,tipo_organizacion[#ALL],2,0))</f>
        <v/>
      </c>
      <c r="J198" s="21" t="str">
        <f>IF(F198="","",VLOOKUP(F198,razon_social[#ALL],2,0))</f>
        <v/>
      </c>
      <c r="K198" s="21" t="str">
        <f>IF(G198="","",VLOOKUP(G198,tipo_contribuyente[#ALL],2,0))</f>
        <v/>
      </c>
      <c r="L198" s="21" t="str">
        <f>IF(H198="","",VLOOKUP(H198,pais[#ALL],2,0))</f>
        <v/>
      </c>
    </row>
    <row r="199">
      <c r="A199" s="21"/>
      <c r="B199" s="21"/>
      <c r="C199" s="21"/>
      <c r="D199" s="21"/>
      <c r="E199" s="21"/>
      <c r="F199" s="21"/>
      <c r="G199" s="21"/>
      <c r="H199" s="21"/>
      <c r="I199" s="21" t="str">
        <f>IF(E199="","",VLOOKUP(E199,tipo_organizacion[#ALL],2,0))</f>
        <v/>
      </c>
      <c r="J199" s="21" t="str">
        <f>IF(F199="","",VLOOKUP(F199,razon_social[#ALL],2,0))</f>
        <v/>
      </c>
      <c r="K199" s="21" t="str">
        <f>IF(G199="","",VLOOKUP(G199,tipo_contribuyente[#ALL],2,0))</f>
        <v/>
      </c>
      <c r="L199" s="21" t="str">
        <f>IF(H199="","",VLOOKUP(H199,pais[#ALL],2,0))</f>
        <v/>
      </c>
    </row>
    <row r="200">
      <c r="A200" s="21"/>
      <c r="B200" s="21"/>
      <c r="C200" s="21"/>
      <c r="D200" s="21"/>
      <c r="E200" s="21"/>
      <c r="F200" s="21"/>
      <c r="G200" s="21"/>
      <c r="H200" s="21"/>
      <c r="I200" s="21" t="str">
        <f>IF(E200="","",VLOOKUP(E200,tipo_organizacion[#ALL],2,0))</f>
        <v/>
      </c>
      <c r="J200" s="21" t="str">
        <f>IF(F200="","",VLOOKUP(F200,razon_social[#ALL],2,0))</f>
        <v/>
      </c>
      <c r="K200" s="21" t="str">
        <f>IF(G200="","",VLOOKUP(G200,tipo_contribuyente[#ALL],2,0))</f>
        <v/>
      </c>
      <c r="L200" s="21" t="str">
        <f>IF(H200="","",VLOOKUP(H200,pais[#ALL],2,0))</f>
        <v/>
      </c>
    </row>
    <row r="201">
      <c r="A201" s="21"/>
      <c r="B201" s="21"/>
      <c r="C201" s="21"/>
      <c r="D201" s="21"/>
      <c r="E201" s="21"/>
      <c r="F201" s="21"/>
      <c r="G201" s="21"/>
      <c r="H201" s="21"/>
      <c r="I201" s="21" t="str">
        <f>IF(E201="","",VLOOKUP(E201,tipo_organizacion[#ALL],2,0))</f>
        <v/>
      </c>
      <c r="J201" s="21" t="str">
        <f>IF(F201="","",VLOOKUP(F201,razon_social[#ALL],2,0))</f>
        <v/>
      </c>
      <c r="K201" s="21" t="str">
        <f>IF(G201="","",VLOOKUP(G201,tipo_contribuyente[#ALL],2,0))</f>
        <v/>
      </c>
      <c r="L201" s="21" t="str">
        <f>IF(H201="","",VLOOKUP(H201,pais[#ALL],2,0))</f>
        <v/>
      </c>
    </row>
    <row r="202">
      <c r="A202" s="21"/>
      <c r="B202" s="21"/>
      <c r="C202" s="21"/>
      <c r="D202" s="21"/>
      <c r="E202" s="21"/>
      <c r="F202" s="21"/>
      <c r="G202" s="21"/>
      <c r="H202" s="21"/>
      <c r="I202" s="21" t="str">
        <f>IF(E202="","",VLOOKUP(E202,tipo_organizacion[#ALL],2,0))</f>
        <v/>
      </c>
      <c r="J202" s="21" t="str">
        <f>IF(F202="","",VLOOKUP(F202,razon_social[#ALL],2,0))</f>
        <v/>
      </c>
      <c r="K202" s="21" t="str">
        <f>IF(G202="","",VLOOKUP(G202,tipo_contribuyente[#ALL],2,0))</f>
        <v/>
      </c>
      <c r="L202" s="21" t="str">
        <f>IF(H202="","",VLOOKUP(H202,pais[#ALL],2,0))</f>
        <v/>
      </c>
    </row>
    <row r="203">
      <c r="A203" s="21"/>
      <c r="B203" s="21"/>
      <c r="C203" s="21"/>
      <c r="D203" s="21"/>
      <c r="E203" s="21"/>
      <c r="F203" s="21"/>
      <c r="G203" s="21"/>
      <c r="H203" s="21"/>
      <c r="I203" s="21" t="str">
        <f>IF(E203="","",VLOOKUP(E203,tipo_organizacion[#ALL],2,0))</f>
        <v/>
      </c>
      <c r="J203" s="21" t="str">
        <f>IF(F203="","",VLOOKUP(F203,razon_social[#ALL],2,0))</f>
        <v/>
      </c>
      <c r="K203" s="21" t="str">
        <f>IF(G203="","",VLOOKUP(G203,tipo_contribuyente[#ALL],2,0))</f>
        <v/>
      </c>
      <c r="L203" s="21" t="str">
        <f>IF(H203="","",VLOOKUP(H203,pais[#ALL],2,0))</f>
        <v/>
      </c>
    </row>
    <row r="204">
      <c r="A204" s="21"/>
      <c r="B204" s="21"/>
      <c r="C204" s="21"/>
      <c r="D204" s="21"/>
      <c r="E204" s="21"/>
      <c r="F204" s="21"/>
      <c r="G204" s="21"/>
      <c r="H204" s="21"/>
      <c r="I204" s="21" t="str">
        <f>IF(E204="","",VLOOKUP(E204,tipo_organizacion[#ALL],2,0))</f>
        <v/>
      </c>
      <c r="J204" s="21" t="str">
        <f>IF(F204="","",VLOOKUP(F204,razon_social[#ALL],2,0))</f>
        <v/>
      </c>
      <c r="K204" s="21" t="str">
        <f>IF(G204="","",VLOOKUP(G204,tipo_contribuyente[#ALL],2,0))</f>
        <v/>
      </c>
      <c r="L204" s="21" t="str">
        <f>IF(H204="","",VLOOKUP(H204,pais[#ALL],2,0))</f>
        <v/>
      </c>
    </row>
    <row r="205">
      <c r="A205" s="21"/>
      <c r="B205" s="21"/>
      <c r="C205" s="21"/>
      <c r="D205" s="21"/>
      <c r="E205" s="21"/>
      <c r="F205" s="21"/>
      <c r="G205" s="21"/>
      <c r="H205" s="21"/>
      <c r="I205" s="21" t="str">
        <f>IF(E205="","",VLOOKUP(E205,tipo_organizacion[#ALL],2,0))</f>
        <v/>
      </c>
      <c r="J205" s="21" t="str">
        <f>IF(F205="","",VLOOKUP(F205,razon_social[#ALL],2,0))</f>
        <v/>
      </c>
      <c r="K205" s="21" t="str">
        <f>IF(G205="","",VLOOKUP(G205,tipo_contribuyente[#ALL],2,0))</f>
        <v/>
      </c>
      <c r="L205" s="21" t="str">
        <f>IF(H205="","",VLOOKUP(H205,pais[#ALL],2,0))</f>
        <v/>
      </c>
    </row>
    <row r="206">
      <c r="A206" s="21"/>
      <c r="B206" s="21"/>
      <c r="C206" s="21"/>
      <c r="D206" s="21"/>
      <c r="E206" s="21"/>
      <c r="F206" s="21"/>
      <c r="G206" s="21"/>
      <c r="H206" s="21"/>
      <c r="I206" s="21" t="str">
        <f>IF(E206="","",VLOOKUP(E206,tipo_organizacion[#ALL],2,0))</f>
        <v/>
      </c>
      <c r="J206" s="21" t="str">
        <f>IF(F206="","",VLOOKUP(F206,razon_social[#ALL],2,0))</f>
        <v/>
      </c>
      <c r="K206" s="21" t="str">
        <f>IF(G206="","",VLOOKUP(G206,tipo_contribuyente[#ALL],2,0))</f>
        <v/>
      </c>
      <c r="L206" s="21" t="str">
        <f>IF(H206="","",VLOOKUP(H206,pais[#ALL],2,0))</f>
        <v/>
      </c>
    </row>
    <row r="207">
      <c r="A207" s="21"/>
      <c r="B207" s="21"/>
      <c r="C207" s="21"/>
      <c r="D207" s="21"/>
      <c r="E207" s="21"/>
      <c r="F207" s="21"/>
      <c r="G207" s="21"/>
      <c r="H207" s="21"/>
      <c r="I207" s="21" t="str">
        <f>IF(E207="","",VLOOKUP(E207,tipo_organizacion[#ALL],2,0))</f>
        <v/>
      </c>
      <c r="J207" s="21" t="str">
        <f>IF(F207="","",VLOOKUP(F207,razon_social[#ALL],2,0))</f>
        <v/>
      </c>
      <c r="K207" s="21" t="str">
        <f>IF(G207="","",VLOOKUP(G207,tipo_contribuyente[#ALL],2,0))</f>
        <v/>
      </c>
      <c r="L207" s="21" t="str">
        <f>IF(H207="","",VLOOKUP(H207,pais[#ALL],2,0))</f>
        <v/>
      </c>
    </row>
    <row r="208">
      <c r="A208" s="21"/>
      <c r="B208" s="21"/>
      <c r="C208" s="21"/>
      <c r="D208" s="21"/>
      <c r="E208" s="21"/>
      <c r="F208" s="21"/>
      <c r="G208" s="21"/>
      <c r="H208" s="21"/>
      <c r="I208" s="21" t="str">
        <f>IF(E208="","",VLOOKUP(E208,tipo_organizacion[#ALL],2,0))</f>
        <v/>
      </c>
      <c r="J208" s="21" t="str">
        <f>IF(F208="","",VLOOKUP(F208,razon_social[#ALL],2,0))</f>
        <v/>
      </c>
      <c r="K208" s="21" t="str">
        <f>IF(G208="","",VLOOKUP(G208,tipo_contribuyente[#ALL],2,0))</f>
        <v/>
      </c>
      <c r="L208" s="21" t="str">
        <f>IF(H208="","",VLOOKUP(H208,pais[#ALL],2,0))</f>
        <v/>
      </c>
    </row>
    <row r="209">
      <c r="A209" s="21"/>
      <c r="B209" s="21"/>
      <c r="C209" s="21"/>
      <c r="D209" s="21"/>
      <c r="E209" s="21"/>
      <c r="F209" s="21"/>
      <c r="G209" s="21"/>
      <c r="H209" s="21"/>
      <c r="I209" s="21" t="str">
        <f>IF(E209="","",VLOOKUP(E209,tipo_organizacion[#ALL],2,0))</f>
        <v/>
      </c>
      <c r="J209" s="21" t="str">
        <f>IF(F209="","",VLOOKUP(F209,razon_social[#ALL],2,0))</f>
        <v/>
      </c>
      <c r="K209" s="21" t="str">
        <f>IF(G209="","",VLOOKUP(G209,tipo_contribuyente[#ALL],2,0))</f>
        <v/>
      </c>
      <c r="L209" s="21" t="str">
        <f>IF(H209="","",VLOOKUP(H209,pais[#ALL],2,0))</f>
        <v/>
      </c>
    </row>
    <row r="210">
      <c r="A210" s="21"/>
      <c r="B210" s="21"/>
      <c r="C210" s="21"/>
      <c r="D210" s="21"/>
      <c r="E210" s="21"/>
      <c r="F210" s="21"/>
      <c r="G210" s="21"/>
      <c r="H210" s="21"/>
      <c r="I210" s="21" t="str">
        <f>IF(E210="","",VLOOKUP(E210,tipo_organizacion[#ALL],2,0))</f>
        <v/>
      </c>
      <c r="J210" s="21" t="str">
        <f>IF(F210="","",VLOOKUP(F210,razon_social[#ALL],2,0))</f>
        <v/>
      </c>
      <c r="K210" s="21" t="str">
        <f>IF(G210="","",VLOOKUP(G210,tipo_contribuyente[#ALL],2,0))</f>
        <v/>
      </c>
      <c r="L210" s="21" t="str">
        <f>IF(H210="","",VLOOKUP(H210,pais[#ALL],2,0))</f>
        <v/>
      </c>
    </row>
    <row r="211">
      <c r="A211" s="21"/>
      <c r="B211" s="21"/>
      <c r="C211" s="21"/>
      <c r="D211" s="21"/>
      <c r="E211" s="21"/>
      <c r="F211" s="21"/>
      <c r="G211" s="21"/>
      <c r="H211" s="21"/>
      <c r="I211" s="21" t="str">
        <f>IF(E211="","",VLOOKUP(E211,tipo_organizacion[#ALL],2,0))</f>
        <v/>
      </c>
      <c r="J211" s="21" t="str">
        <f>IF(F211="","",VLOOKUP(F211,razon_social[#ALL],2,0))</f>
        <v/>
      </c>
      <c r="K211" s="21" t="str">
        <f>IF(G211="","",VLOOKUP(G211,tipo_contribuyente[#ALL],2,0))</f>
        <v/>
      </c>
      <c r="L211" s="21" t="str">
        <f>IF(H211="","",VLOOKUP(H211,pais[#ALL],2,0))</f>
        <v/>
      </c>
    </row>
    <row r="212">
      <c r="A212" s="21"/>
      <c r="B212" s="21"/>
      <c r="C212" s="21"/>
      <c r="D212" s="21"/>
      <c r="E212" s="21"/>
      <c r="F212" s="21"/>
      <c r="G212" s="21"/>
      <c r="H212" s="21"/>
      <c r="I212" s="21" t="str">
        <f>IF(E212="","",VLOOKUP(E212,tipo_organizacion[#ALL],2,0))</f>
        <v/>
      </c>
      <c r="J212" s="21" t="str">
        <f>IF(F212="","",VLOOKUP(F212,razon_social[#ALL],2,0))</f>
        <v/>
      </c>
      <c r="K212" s="21" t="str">
        <f>IF(G212="","",VLOOKUP(G212,tipo_contribuyente[#ALL],2,0))</f>
        <v/>
      </c>
      <c r="L212" s="21" t="str">
        <f>IF(H212="","",VLOOKUP(H212,pais[#ALL],2,0))</f>
        <v/>
      </c>
    </row>
    <row r="213">
      <c r="A213" s="21"/>
      <c r="B213" s="21"/>
      <c r="C213" s="21"/>
      <c r="D213" s="21"/>
      <c r="E213" s="21"/>
      <c r="F213" s="21"/>
      <c r="G213" s="21"/>
      <c r="H213" s="21"/>
      <c r="I213" s="21" t="str">
        <f>IF(E213="","",VLOOKUP(E213,tipo_organizacion[#ALL],2,0))</f>
        <v/>
      </c>
      <c r="J213" s="21" t="str">
        <f>IF(F213="","",VLOOKUP(F213,razon_social[#ALL],2,0))</f>
        <v/>
      </c>
      <c r="K213" s="21" t="str">
        <f>IF(G213="","",VLOOKUP(G213,tipo_contribuyente[#ALL],2,0))</f>
        <v/>
      </c>
      <c r="L213" s="21" t="str">
        <f>IF(H213="","",VLOOKUP(H213,pais[#ALL],2,0))</f>
        <v/>
      </c>
    </row>
    <row r="214">
      <c r="A214" s="21"/>
      <c r="B214" s="21"/>
      <c r="C214" s="21"/>
      <c r="D214" s="21"/>
      <c r="E214" s="21"/>
      <c r="F214" s="21"/>
      <c r="G214" s="21"/>
      <c r="H214" s="21"/>
      <c r="I214" s="21" t="str">
        <f>IF(E214="","",VLOOKUP(E214,tipo_organizacion[#ALL],2,0))</f>
        <v/>
      </c>
      <c r="J214" s="21" t="str">
        <f>IF(F214="","",VLOOKUP(F214,razon_social[#ALL],2,0))</f>
        <v/>
      </c>
      <c r="K214" s="21" t="str">
        <f>IF(G214="","",VLOOKUP(G214,tipo_contribuyente[#ALL],2,0))</f>
        <v/>
      </c>
      <c r="L214" s="21" t="str">
        <f>IF(H214="","",VLOOKUP(H214,pais[#ALL],2,0))</f>
        <v/>
      </c>
    </row>
    <row r="215">
      <c r="A215" s="21"/>
      <c r="B215" s="21"/>
      <c r="C215" s="21"/>
      <c r="D215" s="21"/>
      <c r="E215" s="21"/>
      <c r="F215" s="21"/>
      <c r="G215" s="21"/>
      <c r="H215" s="21"/>
      <c r="I215" s="21" t="str">
        <f>IF(E215="","",VLOOKUP(E215,tipo_organizacion[#ALL],2,0))</f>
        <v/>
      </c>
      <c r="J215" s="21" t="str">
        <f>IF(F215="","",VLOOKUP(F215,razon_social[#ALL],2,0))</f>
        <v/>
      </c>
      <c r="K215" s="21" t="str">
        <f>IF(G215="","",VLOOKUP(G215,tipo_contribuyente[#ALL],2,0))</f>
        <v/>
      </c>
      <c r="L215" s="21" t="str">
        <f>IF(H215="","",VLOOKUP(H215,pais[#ALL],2,0))</f>
        <v/>
      </c>
    </row>
    <row r="216">
      <c r="A216" s="21"/>
      <c r="B216" s="21"/>
      <c r="C216" s="21"/>
      <c r="D216" s="21"/>
      <c r="E216" s="21"/>
      <c r="F216" s="21"/>
      <c r="G216" s="21"/>
      <c r="H216" s="21"/>
      <c r="I216" s="21" t="str">
        <f>IF(E216="","",VLOOKUP(E216,tipo_organizacion[#ALL],2,0))</f>
        <v/>
      </c>
      <c r="J216" s="21" t="str">
        <f>IF(F216="","",VLOOKUP(F216,razon_social[#ALL],2,0))</f>
        <v/>
      </c>
      <c r="K216" s="21" t="str">
        <f>IF(G216="","",VLOOKUP(G216,tipo_contribuyente[#ALL],2,0))</f>
        <v/>
      </c>
      <c r="L216" s="21" t="str">
        <f>IF(H216="","",VLOOKUP(H216,pais[#ALL],2,0))</f>
        <v/>
      </c>
    </row>
    <row r="217">
      <c r="A217" s="21"/>
      <c r="B217" s="21"/>
      <c r="C217" s="21"/>
      <c r="D217" s="21"/>
      <c r="E217" s="21"/>
      <c r="F217" s="21"/>
      <c r="G217" s="21"/>
      <c r="H217" s="21"/>
      <c r="I217" s="21" t="str">
        <f>IF(E217="","",VLOOKUP(E217,tipo_organizacion[#ALL],2,0))</f>
        <v/>
      </c>
      <c r="J217" s="21" t="str">
        <f>IF(F217="","",VLOOKUP(F217,razon_social[#ALL],2,0))</f>
        <v/>
      </c>
      <c r="K217" s="21" t="str">
        <f>IF(G217="","",VLOOKUP(G217,tipo_contribuyente[#ALL],2,0))</f>
        <v/>
      </c>
      <c r="L217" s="21" t="str">
        <f>IF(H217="","",VLOOKUP(H217,pais[#ALL],2,0))</f>
        <v/>
      </c>
    </row>
    <row r="218">
      <c r="A218" s="21"/>
      <c r="B218" s="21"/>
      <c r="C218" s="21"/>
      <c r="D218" s="21"/>
      <c r="E218" s="21"/>
      <c r="F218" s="21"/>
      <c r="G218" s="21"/>
      <c r="H218" s="21"/>
      <c r="I218" s="21" t="str">
        <f>IF(E218="","",VLOOKUP(E218,tipo_organizacion[#ALL],2,0))</f>
        <v/>
      </c>
      <c r="J218" s="21" t="str">
        <f>IF(F218="","",VLOOKUP(F218,razon_social[#ALL],2,0))</f>
        <v/>
      </c>
      <c r="K218" s="21" t="str">
        <f>IF(G218="","",VLOOKUP(G218,tipo_contribuyente[#ALL],2,0))</f>
        <v/>
      </c>
      <c r="L218" s="21" t="str">
        <f>IF(H218="","",VLOOKUP(H218,pais[#ALL],2,0))</f>
        <v/>
      </c>
    </row>
    <row r="219">
      <c r="A219" s="21"/>
      <c r="B219" s="21"/>
      <c r="C219" s="21"/>
      <c r="D219" s="21"/>
      <c r="E219" s="21"/>
      <c r="F219" s="21"/>
      <c r="G219" s="21"/>
      <c r="H219" s="21"/>
      <c r="I219" s="21" t="str">
        <f>IF(E219="","",VLOOKUP(E219,tipo_organizacion[#ALL],2,0))</f>
        <v/>
      </c>
      <c r="J219" s="21" t="str">
        <f>IF(F219="","",VLOOKUP(F219,razon_social[#ALL],2,0))</f>
        <v/>
      </c>
      <c r="K219" s="21" t="str">
        <f>IF(G219="","",VLOOKUP(G219,tipo_contribuyente[#ALL],2,0))</f>
        <v/>
      </c>
      <c r="L219" s="21" t="str">
        <f>IF(H219="","",VLOOKUP(H219,pais[#ALL],2,0))</f>
        <v/>
      </c>
    </row>
    <row r="220">
      <c r="A220" s="21"/>
      <c r="B220" s="21"/>
      <c r="C220" s="21"/>
      <c r="D220" s="21"/>
      <c r="E220" s="21"/>
      <c r="F220" s="21"/>
      <c r="G220" s="21"/>
      <c r="H220" s="21"/>
      <c r="I220" s="21" t="str">
        <f>IF(E220="","",VLOOKUP(E220,tipo_organizacion[#ALL],2,0))</f>
        <v/>
      </c>
      <c r="J220" s="21" t="str">
        <f>IF(F220="","",VLOOKUP(F220,razon_social[#ALL],2,0))</f>
        <v/>
      </c>
      <c r="K220" s="21" t="str">
        <f>IF(G220="","",VLOOKUP(G220,tipo_contribuyente[#ALL],2,0))</f>
        <v/>
      </c>
      <c r="L220" s="21" t="str">
        <f>IF(H220="","",VLOOKUP(H220,pais[#ALL],2,0))</f>
        <v/>
      </c>
    </row>
    <row r="221">
      <c r="A221" s="21"/>
      <c r="B221" s="21"/>
      <c r="C221" s="21"/>
      <c r="D221" s="21"/>
      <c r="E221" s="21"/>
      <c r="F221" s="21"/>
      <c r="G221" s="21"/>
      <c r="H221" s="21"/>
      <c r="I221" s="21" t="str">
        <f>IF(E221="","",VLOOKUP(E221,tipo_organizacion[#ALL],2,0))</f>
        <v/>
      </c>
      <c r="J221" s="21" t="str">
        <f>IF(F221="","",VLOOKUP(F221,razon_social[#ALL],2,0))</f>
        <v/>
      </c>
      <c r="K221" s="21" t="str">
        <f>IF(G221="","",VLOOKUP(G221,tipo_contribuyente[#ALL],2,0))</f>
        <v/>
      </c>
      <c r="L221" s="21" t="str">
        <f>IF(H221="","",VLOOKUP(H221,pais[#ALL],2,0))</f>
        <v/>
      </c>
    </row>
    <row r="222">
      <c r="A222" s="21"/>
      <c r="B222" s="21"/>
      <c r="C222" s="21"/>
      <c r="D222" s="21"/>
      <c r="E222" s="21"/>
      <c r="F222" s="21"/>
      <c r="G222" s="21"/>
      <c r="H222" s="21"/>
      <c r="I222" s="21" t="str">
        <f>IF(E222="","",VLOOKUP(E222,tipo_organizacion[#ALL],2,0))</f>
        <v/>
      </c>
      <c r="J222" s="21" t="str">
        <f>IF(F222="","",VLOOKUP(F222,razon_social[#ALL],2,0))</f>
        <v/>
      </c>
      <c r="K222" s="21" t="str">
        <f>IF(G222="","",VLOOKUP(G222,tipo_contribuyente[#ALL],2,0))</f>
        <v/>
      </c>
      <c r="L222" s="21" t="str">
        <f>IF(H222="","",VLOOKUP(H222,pais[#ALL],2,0))</f>
        <v/>
      </c>
    </row>
    <row r="223">
      <c r="A223" s="21"/>
      <c r="B223" s="21"/>
      <c r="C223" s="21"/>
      <c r="D223" s="21"/>
      <c r="E223" s="21"/>
      <c r="F223" s="21"/>
      <c r="G223" s="21"/>
      <c r="H223" s="21"/>
      <c r="I223" s="21" t="str">
        <f>IF(E223="","",VLOOKUP(E223,tipo_organizacion[#ALL],2,0))</f>
        <v/>
      </c>
      <c r="J223" s="21" t="str">
        <f>IF(F223="","",VLOOKUP(F223,razon_social[#ALL],2,0))</f>
        <v/>
      </c>
      <c r="K223" s="21" t="str">
        <f>IF(G223="","",VLOOKUP(G223,tipo_contribuyente[#ALL],2,0))</f>
        <v/>
      </c>
      <c r="L223" s="21" t="str">
        <f>IF(H223="","",VLOOKUP(H223,pais[#ALL],2,0))</f>
        <v/>
      </c>
    </row>
    <row r="224">
      <c r="A224" s="21"/>
      <c r="B224" s="21"/>
      <c r="C224" s="21"/>
      <c r="D224" s="21"/>
      <c r="E224" s="21"/>
      <c r="F224" s="21"/>
      <c r="G224" s="21"/>
      <c r="H224" s="21"/>
      <c r="I224" s="21" t="str">
        <f>IF(E224="","",VLOOKUP(E224,tipo_organizacion[#ALL],2,0))</f>
        <v/>
      </c>
      <c r="J224" s="21" t="str">
        <f>IF(F224="","",VLOOKUP(F224,razon_social[#ALL],2,0))</f>
        <v/>
      </c>
      <c r="K224" s="21" t="str">
        <f>IF(G224="","",VLOOKUP(G224,tipo_contribuyente[#ALL],2,0))</f>
        <v/>
      </c>
      <c r="L224" s="21" t="str">
        <f>IF(H224="","",VLOOKUP(H224,pais[#ALL],2,0))</f>
        <v/>
      </c>
    </row>
    <row r="225">
      <c r="A225" s="21"/>
      <c r="B225" s="21"/>
      <c r="C225" s="21"/>
      <c r="D225" s="21"/>
      <c r="E225" s="21"/>
      <c r="F225" s="21"/>
      <c r="G225" s="21"/>
      <c r="H225" s="21"/>
      <c r="I225" s="21" t="str">
        <f>IF(E225="","",VLOOKUP(E225,tipo_organizacion[#ALL],2,0))</f>
        <v/>
      </c>
      <c r="J225" s="21" t="str">
        <f>IF(F225="","",VLOOKUP(F225,razon_social[#ALL],2,0))</f>
        <v/>
      </c>
      <c r="K225" s="21" t="str">
        <f>IF(G225="","",VLOOKUP(G225,tipo_contribuyente[#ALL],2,0))</f>
        <v/>
      </c>
      <c r="L225" s="21" t="str">
        <f>IF(H225="","",VLOOKUP(H225,pais[#ALL],2,0))</f>
        <v/>
      </c>
    </row>
    <row r="226">
      <c r="A226" s="21"/>
      <c r="B226" s="21"/>
      <c r="C226" s="21"/>
      <c r="D226" s="21"/>
      <c r="E226" s="21"/>
      <c r="F226" s="21"/>
      <c r="G226" s="21"/>
      <c r="H226" s="21"/>
      <c r="I226" s="21" t="str">
        <f>IF(E226="","",VLOOKUP(E226,tipo_organizacion[#ALL],2,0))</f>
        <v/>
      </c>
      <c r="J226" s="21" t="str">
        <f>IF(F226="","",VLOOKUP(F226,razon_social[#ALL],2,0))</f>
        <v/>
      </c>
      <c r="K226" s="21" t="str">
        <f>IF(G226="","",VLOOKUP(G226,tipo_contribuyente[#ALL],2,0))</f>
        <v/>
      </c>
      <c r="L226" s="21" t="str">
        <f>IF(H226="","",VLOOKUP(H226,pais[#ALL],2,0))</f>
        <v/>
      </c>
    </row>
    <row r="227">
      <c r="A227" s="21"/>
      <c r="B227" s="21"/>
      <c r="C227" s="21"/>
      <c r="D227" s="21"/>
      <c r="E227" s="21"/>
      <c r="F227" s="21"/>
      <c r="G227" s="21"/>
      <c r="H227" s="21"/>
      <c r="I227" s="21" t="str">
        <f>IF(E227="","",VLOOKUP(E227,tipo_organizacion[#ALL],2,0))</f>
        <v/>
      </c>
      <c r="J227" s="21" t="str">
        <f>IF(F227="","",VLOOKUP(F227,razon_social[#ALL],2,0))</f>
        <v/>
      </c>
      <c r="K227" s="21" t="str">
        <f>IF(G227="","",VLOOKUP(G227,tipo_contribuyente[#ALL],2,0))</f>
        <v/>
      </c>
      <c r="L227" s="21" t="str">
        <f>IF(H227="","",VLOOKUP(H227,pais[#ALL],2,0))</f>
        <v/>
      </c>
    </row>
    <row r="228">
      <c r="A228" s="21"/>
      <c r="B228" s="21"/>
      <c r="C228" s="21"/>
      <c r="D228" s="21"/>
      <c r="E228" s="21"/>
      <c r="F228" s="21"/>
      <c r="G228" s="21"/>
      <c r="H228" s="21"/>
      <c r="I228" s="21" t="str">
        <f>IF(E228="","",VLOOKUP(E228,tipo_organizacion[#ALL],2,0))</f>
        <v/>
      </c>
      <c r="J228" s="21" t="str">
        <f>IF(F228="","",VLOOKUP(F228,razon_social[#ALL],2,0))</f>
        <v/>
      </c>
      <c r="K228" s="21" t="str">
        <f>IF(G228="","",VLOOKUP(G228,tipo_contribuyente[#ALL],2,0))</f>
        <v/>
      </c>
      <c r="L228" s="21" t="str">
        <f>IF(H228="","",VLOOKUP(H228,pais[#ALL],2,0))</f>
        <v/>
      </c>
    </row>
    <row r="229">
      <c r="A229" s="21"/>
      <c r="B229" s="21"/>
      <c r="C229" s="21"/>
      <c r="D229" s="21"/>
      <c r="E229" s="21"/>
      <c r="F229" s="21"/>
      <c r="G229" s="21"/>
      <c r="H229" s="21"/>
      <c r="I229" s="21" t="str">
        <f>IF(E229="","",VLOOKUP(E229,tipo_organizacion[#ALL],2,0))</f>
        <v/>
      </c>
      <c r="J229" s="21" t="str">
        <f>IF(F229="","",VLOOKUP(F229,razon_social[#ALL],2,0))</f>
        <v/>
      </c>
      <c r="K229" s="21" t="str">
        <f>IF(G229="","",VLOOKUP(G229,tipo_contribuyente[#ALL],2,0))</f>
        <v/>
      </c>
      <c r="L229" s="21" t="str">
        <f>IF(H229="","",VLOOKUP(H229,pais[#ALL],2,0))</f>
        <v/>
      </c>
    </row>
    <row r="230">
      <c r="A230" s="21"/>
      <c r="B230" s="21"/>
      <c r="C230" s="21"/>
      <c r="D230" s="21"/>
      <c r="E230" s="21"/>
      <c r="F230" s="21"/>
      <c r="G230" s="21"/>
      <c r="H230" s="21"/>
      <c r="I230" s="21" t="str">
        <f>IF(E230="","",VLOOKUP(E230,tipo_organizacion[#ALL],2,0))</f>
        <v/>
      </c>
      <c r="J230" s="21" t="str">
        <f>IF(F230="","",VLOOKUP(F230,razon_social[#ALL],2,0))</f>
        <v/>
      </c>
      <c r="K230" s="21" t="str">
        <f>IF(G230="","",VLOOKUP(G230,tipo_contribuyente[#ALL],2,0))</f>
        <v/>
      </c>
      <c r="L230" s="21" t="str">
        <f>IF(H230="","",VLOOKUP(H230,pais[#ALL],2,0))</f>
        <v/>
      </c>
    </row>
    <row r="231">
      <c r="A231" s="21"/>
      <c r="B231" s="21"/>
      <c r="C231" s="21"/>
      <c r="D231" s="21"/>
      <c r="E231" s="21"/>
      <c r="F231" s="21"/>
      <c r="G231" s="21"/>
      <c r="H231" s="21"/>
      <c r="I231" s="21" t="str">
        <f>IF(E231="","",VLOOKUP(E231,tipo_organizacion[#ALL],2,0))</f>
        <v/>
      </c>
      <c r="J231" s="21" t="str">
        <f>IF(F231="","",VLOOKUP(F231,razon_social[#ALL],2,0))</f>
        <v/>
      </c>
      <c r="K231" s="21" t="str">
        <f>IF(G231="","",VLOOKUP(G231,tipo_contribuyente[#ALL],2,0))</f>
        <v/>
      </c>
      <c r="L231" s="21" t="str">
        <f>IF(H231="","",VLOOKUP(H231,pais[#ALL],2,0))</f>
        <v/>
      </c>
    </row>
    <row r="232">
      <c r="A232" s="21"/>
      <c r="B232" s="21"/>
      <c r="C232" s="21"/>
      <c r="D232" s="21"/>
      <c r="E232" s="21"/>
      <c r="F232" s="21"/>
      <c r="G232" s="21"/>
      <c r="H232" s="21"/>
      <c r="I232" s="21" t="str">
        <f>IF(E232="","",VLOOKUP(E232,tipo_organizacion[#ALL],2,0))</f>
        <v/>
      </c>
      <c r="J232" s="21" t="str">
        <f>IF(F232="","",VLOOKUP(F232,razon_social[#ALL],2,0))</f>
        <v/>
      </c>
      <c r="K232" s="21" t="str">
        <f>IF(G232="","",VLOOKUP(G232,tipo_contribuyente[#ALL],2,0))</f>
        <v/>
      </c>
      <c r="L232" s="21" t="str">
        <f>IF(H232="","",VLOOKUP(H232,pais[#ALL],2,0))</f>
        <v/>
      </c>
    </row>
    <row r="233">
      <c r="A233" s="21"/>
      <c r="B233" s="21"/>
      <c r="C233" s="21"/>
      <c r="D233" s="21"/>
      <c r="E233" s="21"/>
      <c r="F233" s="21"/>
      <c r="G233" s="21"/>
      <c r="H233" s="21"/>
      <c r="I233" s="21" t="str">
        <f>IF(E233="","",VLOOKUP(E233,tipo_organizacion[#ALL],2,0))</f>
        <v/>
      </c>
      <c r="J233" s="21" t="str">
        <f>IF(F233="","",VLOOKUP(F233,razon_social[#ALL],2,0))</f>
        <v/>
      </c>
      <c r="K233" s="21" t="str">
        <f>IF(G233="","",VLOOKUP(G233,tipo_contribuyente[#ALL],2,0))</f>
        <v/>
      </c>
      <c r="L233" s="21" t="str">
        <f>IF(H233="","",VLOOKUP(H233,pais[#ALL],2,0))</f>
        <v/>
      </c>
    </row>
    <row r="234">
      <c r="A234" s="21"/>
      <c r="B234" s="21"/>
      <c r="C234" s="21"/>
      <c r="D234" s="21"/>
      <c r="E234" s="21"/>
      <c r="F234" s="21"/>
      <c r="G234" s="21"/>
      <c r="H234" s="21"/>
      <c r="I234" s="21" t="str">
        <f>IF(E234="","",VLOOKUP(E234,tipo_organizacion[#ALL],2,0))</f>
        <v/>
      </c>
      <c r="J234" s="21" t="str">
        <f>IF(F234="","",VLOOKUP(F234,razon_social[#ALL],2,0))</f>
        <v/>
      </c>
      <c r="K234" s="21" t="str">
        <f>IF(G234="","",VLOOKUP(G234,tipo_contribuyente[#ALL],2,0))</f>
        <v/>
      </c>
      <c r="L234" s="21" t="str">
        <f>IF(H234="","",VLOOKUP(H234,pais[#ALL],2,0))</f>
        <v/>
      </c>
    </row>
    <row r="235">
      <c r="A235" s="21"/>
      <c r="B235" s="21"/>
      <c r="C235" s="21"/>
      <c r="D235" s="21"/>
      <c r="E235" s="21"/>
      <c r="F235" s="21"/>
      <c r="G235" s="21"/>
      <c r="H235" s="21"/>
      <c r="I235" s="21" t="str">
        <f>IF(E235="","",VLOOKUP(E235,tipo_organizacion[#ALL],2,0))</f>
        <v/>
      </c>
      <c r="J235" s="21" t="str">
        <f>IF(F235="","",VLOOKUP(F235,razon_social[#ALL],2,0))</f>
        <v/>
      </c>
      <c r="K235" s="21" t="str">
        <f>IF(G235="","",VLOOKUP(G235,tipo_contribuyente[#ALL],2,0))</f>
        <v/>
      </c>
      <c r="L235" s="21" t="str">
        <f>IF(H235="","",VLOOKUP(H235,pais[#ALL],2,0))</f>
        <v/>
      </c>
    </row>
    <row r="236">
      <c r="A236" s="21"/>
      <c r="B236" s="21"/>
      <c r="C236" s="21"/>
      <c r="D236" s="21"/>
      <c r="E236" s="21"/>
      <c r="F236" s="21"/>
      <c r="G236" s="21"/>
      <c r="H236" s="21"/>
      <c r="I236" s="21" t="str">
        <f>IF(E236="","",VLOOKUP(E236,tipo_organizacion[#ALL],2,0))</f>
        <v/>
      </c>
      <c r="J236" s="21" t="str">
        <f>IF(F236="","",VLOOKUP(F236,razon_social[#ALL],2,0))</f>
        <v/>
      </c>
      <c r="K236" s="21" t="str">
        <f>IF(G236="","",VLOOKUP(G236,tipo_contribuyente[#ALL],2,0))</f>
        <v/>
      </c>
      <c r="L236" s="21" t="str">
        <f>IF(H236="","",VLOOKUP(H236,pais[#ALL],2,0))</f>
        <v/>
      </c>
    </row>
    <row r="237">
      <c r="A237" s="21"/>
      <c r="B237" s="21"/>
      <c r="C237" s="21"/>
      <c r="D237" s="21"/>
      <c r="E237" s="21"/>
      <c r="F237" s="21"/>
      <c r="G237" s="21"/>
      <c r="H237" s="21"/>
      <c r="I237" s="21" t="str">
        <f>IF(E237="","",VLOOKUP(E237,tipo_organizacion[#ALL],2,0))</f>
        <v/>
      </c>
      <c r="J237" s="21" t="str">
        <f>IF(F237="","",VLOOKUP(F237,razon_social[#ALL],2,0))</f>
        <v/>
      </c>
      <c r="K237" s="21" t="str">
        <f>IF(G237="","",VLOOKUP(G237,tipo_contribuyente[#ALL],2,0))</f>
        <v/>
      </c>
      <c r="L237" s="21" t="str">
        <f>IF(H237="","",VLOOKUP(H237,pais[#ALL],2,0))</f>
        <v/>
      </c>
    </row>
    <row r="238">
      <c r="A238" s="21"/>
      <c r="B238" s="21"/>
      <c r="C238" s="21"/>
      <c r="D238" s="21"/>
      <c r="E238" s="21"/>
      <c r="F238" s="21"/>
      <c r="G238" s="21"/>
      <c r="H238" s="21"/>
      <c r="I238" s="21" t="str">
        <f>IF(E238="","",VLOOKUP(E238,tipo_organizacion[#ALL],2,0))</f>
        <v/>
      </c>
      <c r="J238" s="21" t="str">
        <f>IF(F238="","",VLOOKUP(F238,razon_social[#ALL],2,0))</f>
        <v/>
      </c>
      <c r="K238" s="21" t="str">
        <f>IF(G238="","",VLOOKUP(G238,tipo_contribuyente[#ALL],2,0))</f>
        <v/>
      </c>
      <c r="L238" s="21" t="str">
        <f>IF(H238="","",VLOOKUP(H238,pais[#ALL],2,0))</f>
        <v/>
      </c>
    </row>
    <row r="239">
      <c r="A239" s="21"/>
      <c r="B239" s="21"/>
      <c r="C239" s="21"/>
      <c r="D239" s="21"/>
      <c r="E239" s="21"/>
      <c r="F239" s="21"/>
      <c r="G239" s="21"/>
      <c r="H239" s="21"/>
      <c r="I239" s="21" t="str">
        <f>IF(E239="","",VLOOKUP(E239,tipo_organizacion[#ALL],2,0))</f>
        <v/>
      </c>
      <c r="J239" s="21" t="str">
        <f>IF(F239="","",VLOOKUP(F239,razon_social[#ALL],2,0))</f>
        <v/>
      </c>
      <c r="K239" s="21" t="str">
        <f>IF(G239="","",VLOOKUP(G239,tipo_contribuyente[#ALL],2,0))</f>
        <v/>
      </c>
      <c r="L239" s="21" t="str">
        <f>IF(H239="","",VLOOKUP(H239,pais[#ALL],2,0))</f>
        <v/>
      </c>
    </row>
    <row r="240">
      <c r="A240" s="21"/>
      <c r="B240" s="21"/>
      <c r="C240" s="21"/>
      <c r="D240" s="21"/>
      <c r="E240" s="21"/>
      <c r="F240" s="21"/>
      <c r="G240" s="21"/>
      <c r="H240" s="21"/>
      <c r="I240" s="21" t="str">
        <f>IF(E240="","",VLOOKUP(E240,tipo_organizacion[#ALL],2,0))</f>
        <v/>
      </c>
      <c r="J240" s="21" t="str">
        <f>IF(F240="","",VLOOKUP(F240,razon_social[#ALL],2,0))</f>
        <v/>
      </c>
      <c r="K240" s="21" t="str">
        <f>IF(G240="","",VLOOKUP(G240,tipo_contribuyente[#ALL],2,0))</f>
        <v/>
      </c>
      <c r="L240" s="21" t="str">
        <f>IF(H240="","",VLOOKUP(H240,pais[#ALL],2,0))</f>
        <v/>
      </c>
    </row>
    <row r="241">
      <c r="A241" s="21"/>
      <c r="B241" s="21"/>
      <c r="C241" s="21"/>
      <c r="D241" s="21"/>
      <c r="E241" s="21"/>
      <c r="F241" s="21"/>
      <c r="G241" s="21"/>
      <c r="H241" s="21"/>
      <c r="I241" s="21" t="str">
        <f>IF(E241="","",VLOOKUP(E241,tipo_organizacion[#ALL],2,0))</f>
        <v/>
      </c>
      <c r="J241" s="21" t="str">
        <f>IF(F241="","",VLOOKUP(F241,razon_social[#ALL],2,0))</f>
        <v/>
      </c>
      <c r="K241" s="21" t="str">
        <f>IF(G241="","",VLOOKUP(G241,tipo_contribuyente[#ALL],2,0))</f>
        <v/>
      </c>
      <c r="L241" s="21" t="str">
        <f>IF(H241="","",VLOOKUP(H241,pais[#ALL],2,0))</f>
        <v/>
      </c>
    </row>
    <row r="242">
      <c r="A242" s="21"/>
      <c r="B242" s="21"/>
      <c r="C242" s="21"/>
      <c r="D242" s="21"/>
      <c r="E242" s="21"/>
      <c r="F242" s="21"/>
      <c r="G242" s="21"/>
      <c r="H242" s="21"/>
      <c r="I242" s="21" t="str">
        <f>IF(E242="","",VLOOKUP(E242,tipo_organizacion[#ALL],2,0))</f>
        <v/>
      </c>
      <c r="J242" s="21" t="str">
        <f>IF(F242="","",VLOOKUP(F242,razon_social[#ALL],2,0))</f>
        <v/>
      </c>
      <c r="K242" s="21" t="str">
        <f>IF(G242="","",VLOOKUP(G242,tipo_contribuyente[#ALL],2,0))</f>
        <v/>
      </c>
      <c r="L242" s="21" t="str">
        <f>IF(H242="","",VLOOKUP(H242,pais[#ALL],2,0))</f>
        <v/>
      </c>
    </row>
    <row r="243">
      <c r="A243" s="21"/>
      <c r="B243" s="21"/>
      <c r="C243" s="21"/>
      <c r="D243" s="21"/>
      <c r="E243" s="21"/>
      <c r="F243" s="21"/>
      <c r="G243" s="21"/>
      <c r="H243" s="21"/>
      <c r="I243" s="21" t="str">
        <f>IF(E243="","",VLOOKUP(E243,tipo_organizacion[#ALL],2,0))</f>
        <v/>
      </c>
      <c r="J243" s="21" t="str">
        <f>IF(F243="","",VLOOKUP(F243,razon_social[#ALL],2,0))</f>
        <v/>
      </c>
      <c r="K243" s="21" t="str">
        <f>IF(G243="","",VLOOKUP(G243,tipo_contribuyente[#ALL],2,0))</f>
        <v/>
      </c>
      <c r="L243" s="21" t="str">
        <f>IF(H243="","",VLOOKUP(H243,pais[#ALL],2,0))</f>
        <v/>
      </c>
    </row>
    <row r="244">
      <c r="A244" s="21"/>
      <c r="B244" s="21"/>
      <c r="C244" s="21"/>
      <c r="D244" s="21"/>
      <c r="E244" s="21"/>
      <c r="F244" s="21"/>
      <c r="G244" s="21"/>
      <c r="H244" s="21"/>
      <c r="I244" s="21" t="str">
        <f>IF(E244="","",VLOOKUP(E244,tipo_organizacion[#ALL],2,0))</f>
        <v/>
      </c>
      <c r="J244" s="21" t="str">
        <f>IF(F244="","",VLOOKUP(F244,razon_social[#ALL],2,0))</f>
        <v/>
      </c>
      <c r="K244" s="21" t="str">
        <f>IF(G244="","",VLOOKUP(G244,tipo_contribuyente[#ALL],2,0))</f>
        <v/>
      </c>
      <c r="L244" s="21" t="str">
        <f>IF(H244="","",VLOOKUP(H244,pais[#ALL],2,0))</f>
        <v/>
      </c>
    </row>
    <row r="245">
      <c r="A245" s="21"/>
      <c r="B245" s="21"/>
      <c r="C245" s="21"/>
      <c r="D245" s="21"/>
      <c r="E245" s="21"/>
      <c r="F245" s="21"/>
      <c r="G245" s="21"/>
      <c r="H245" s="21"/>
      <c r="I245" s="21" t="str">
        <f>IF(E245="","",VLOOKUP(E245,tipo_organizacion[#ALL],2,0))</f>
        <v/>
      </c>
      <c r="J245" s="21" t="str">
        <f>IF(F245="","",VLOOKUP(F245,razon_social[#ALL],2,0))</f>
        <v/>
      </c>
      <c r="K245" s="21" t="str">
        <f>IF(G245="","",VLOOKUP(G245,tipo_contribuyente[#ALL],2,0))</f>
        <v/>
      </c>
      <c r="L245" s="21" t="str">
        <f>IF(H245="","",VLOOKUP(H245,pais[#ALL],2,0))</f>
        <v/>
      </c>
    </row>
    <row r="246">
      <c r="A246" s="21"/>
      <c r="B246" s="21"/>
      <c r="C246" s="21"/>
      <c r="D246" s="21"/>
      <c r="E246" s="21"/>
      <c r="F246" s="21"/>
      <c r="G246" s="21"/>
      <c r="H246" s="21"/>
      <c r="I246" s="21" t="str">
        <f>IF(E246="","",VLOOKUP(E246,tipo_organizacion[#ALL],2,0))</f>
        <v/>
      </c>
      <c r="J246" s="21" t="str">
        <f>IF(F246="","",VLOOKUP(F246,razon_social[#ALL],2,0))</f>
        <v/>
      </c>
      <c r="K246" s="21" t="str">
        <f>IF(G246="","",VLOOKUP(G246,tipo_contribuyente[#ALL],2,0))</f>
        <v/>
      </c>
      <c r="L246" s="21" t="str">
        <f>IF(H246="","",VLOOKUP(H246,pais[#ALL],2,0))</f>
        <v/>
      </c>
    </row>
    <row r="247">
      <c r="A247" s="21"/>
      <c r="B247" s="21"/>
      <c r="C247" s="21"/>
      <c r="D247" s="21"/>
      <c r="E247" s="21"/>
      <c r="F247" s="21"/>
      <c r="G247" s="21"/>
      <c r="H247" s="21"/>
      <c r="I247" s="21" t="str">
        <f>IF(E247="","",VLOOKUP(E247,tipo_organizacion[#ALL],2,0))</f>
        <v/>
      </c>
      <c r="J247" s="21" t="str">
        <f>IF(F247="","",VLOOKUP(F247,razon_social[#ALL],2,0))</f>
        <v/>
      </c>
      <c r="K247" s="21" t="str">
        <f>IF(G247="","",VLOOKUP(G247,tipo_contribuyente[#ALL],2,0))</f>
        <v/>
      </c>
      <c r="L247" s="21" t="str">
        <f>IF(H247="","",VLOOKUP(H247,pais[#ALL],2,0))</f>
        <v/>
      </c>
    </row>
    <row r="248">
      <c r="A248" s="21"/>
      <c r="B248" s="21"/>
      <c r="C248" s="21"/>
      <c r="D248" s="21"/>
      <c r="E248" s="21"/>
      <c r="F248" s="21"/>
      <c r="G248" s="21"/>
      <c r="H248" s="21"/>
      <c r="I248" s="21" t="str">
        <f>IF(E248="","",VLOOKUP(E248,tipo_organizacion[#ALL],2,0))</f>
        <v/>
      </c>
      <c r="J248" s="21" t="str">
        <f>IF(F248="","",VLOOKUP(F248,razon_social[#ALL],2,0))</f>
        <v/>
      </c>
      <c r="K248" s="21" t="str">
        <f>IF(G248="","",VLOOKUP(G248,tipo_contribuyente[#ALL],2,0))</f>
        <v/>
      </c>
      <c r="L248" s="21" t="str">
        <f>IF(H248="","",VLOOKUP(H248,pais[#ALL],2,0))</f>
        <v/>
      </c>
    </row>
    <row r="249">
      <c r="A249" s="21"/>
      <c r="B249" s="21"/>
      <c r="C249" s="21"/>
      <c r="D249" s="21"/>
      <c r="E249" s="21"/>
      <c r="F249" s="21"/>
      <c r="G249" s="21"/>
      <c r="H249" s="21"/>
      <c r="I249" s="21" t="str">
        <f>IF(E249="","",VLOOKUP(E249,tipo_organizacion[#ALL],2,0))</f>
        <v/>
      </c>
      <c r="J249" s="21" t="str">
        <f>IF(F249="","",VLOOKUP(F249,razon_social[#ALL],2,0))</f>
        <v/>
      </c>
      <c r="K249" s="21" t="str">
        <f>IF(G249="","",VLOOKUP(G249,tipo_contribuyente[#ALL],2,0))</f>
        <v/>
      </c>
      <c r="L249" s="21" t="str">
        <f>IF(H249="","",VLOOKUP(H249,pais[#ALL],2,0))</f>
        <v/>
      </c>
    </row>
    <row r="250">
      <c r="A250" s="21"/>
      <c r="B250" s="21"/>
      <c r="C250" s="21"/>
      <c r="D250" s="21"/>
      <c r="E250" s="21"/>
      <c r="F250" s="21"/>
      <c r="G250" s="21"/>
      <c r="H250" s="21"/>
      <c r="I250" s="21" t="str">
        <f>IF(E250="","",VLOOKUP(E250,tipo_organizacion[#ALL],2,0))</f>
        <v/>
      </c>
      <c r="J250" s="21" t="str">
        <f>IF(F250="","",VLOOKUP(F250,razon_social[#ALL],2,0))</f>
        <v/>
      </c>
      <c r="K250" s="21" t="str">
        <f>IF(G250="","",VLOOKUP(G250,tipo_contribuyente[#ALL],2,0))</f>
        <v/>
      </c>
      <c r="L250" s="21" t="str">
        <f>IF(H250="","",VLOOKUP(H250,pais[#ALL],2,0))</f>
        <v/>
      </c>
    </row>
    <row r="251">
      <c r="A251" s="21"/>
      <c r="B251" s="21"/>
      <c r="C251" s="21"/>
      <c r="D251" s="21"/>
      <c r="E251" s="21"/>
      <c r="F251" s="21"/>
      <c r="G251" s="21"/>
      <c r="H251" s="21"/>
      <c r="I251" s="21" t="str">
        <f>IF(E251="","",VLOOKUP(E251,tipo_organizacion[#ALL],2,0))</f>
        <v/>
      </c>
      <c r="J251" s="21" t="str">
        <f>IF(F251="","",VLOOKUP(F251,razon_social[#ALL],2,0))</f>
        <v/>
      </c>
      <c r="K251" s="21" t="str">
        <f>IF(G251="","",VLOOKUP(G251,tipo_contribuyente[#ALL],2,0))</f>
        <v/>
      </c>
      <c r="L251" s="21" t="str">
        <f>IF(H251="","",VLOOKUP(H251,pais[#ALL],2,0))</f>
        <v/>
      </c>
    </row>
    <row r="252">
      <c r="A252" s="21"/>
      <c r="B252" s="21"/>
      <c r="C252" s="21"/>
      <c r="D252" s="21"/>
      <c r="E252" s="21"/>
      <c r="F252" s="21"/>
      <c r="G252" s="21"/>
      <c r="H252" s="21"/>
      <c r="I252" s="21" t="str">
        <f>IF(E252="","",VLOOKUP(E252,tipo_organizacion[#ALL],2,0))</f>
        <v/>
      </c>
      <c r="J252" s="21" t="str">
        <f>IF(F252="","",VLOOKUP(F252,razon_social[#ALL],2,0))</f>
        <v/>
      </c>
      <c r="K252" s="21" t="str">
        <f>IF(G252="","",VLOOKUP(G252,tipo_contribuyente[#ALL],2,0))</f>
        <v/>
      </c>
      <c r="L252" s="21" t="str">
        <f>IF(H252="","",VLOOKUP(H252,pais[#ALL],2,0))</f>
        <v/>
      </c>
    </row>
    <row r="253">
      <c r="A253" s="21"/>
      <c r="B253" s="21"/>
      <c r="C253" s="21"/>
      <c r="D253" s="21"/>
      <c r="E253" s="21"/>
      <c r="F253" s="21"/>
      <c r="G253" s="21"/>
      <c r="H253" s="21"/>
      <c r="I253" s="21" t="str">
        <f>IF(E253="","",VLOOKUP(E253,tipo_organizacion[#ALL],2,0))</f>
        <v/>
      </c>
      <c r="J253" s="21" t="str">
        <f>IF(F253="","",VLOOKUP(F253,razon_social[#ALL],2,0))</f>
        <v/>
      </c>
      <c r="K253" s="21" t="str">
        <f>IF(G253="","",VLOOKUP(G253,tipo_contribuyente[#ALL],2,0))</f>
        <v/>
      </c>
      <c r="L253" s="21" t="str">
        <f>IF(H253="","",VLOOKUP(H253,pais[#ALL],2,0))</f>
        <v/>
      </c>
    </row>
    <row r="254">
      <c r="A254" s="21"/>
      <c r="B254" s="21"/>
      <c r="C254" s="21"/>
      <c r="D254" s="21"/>
      <c r="E254" s="21"/>
      <c r="F254" s="21"/>
      <c r="G254" s="21"/>
      <c r="H254" s="21"/>
      <c r="I254" s="21" t="str">
        <f>IF(E254="","",VLOOKUP(E254,tipo_organizacion[#ALL],2,0))</f>
        <v/>
      </c>
      <c r="J254" s="21" t="str">
        <f>IF(F254="","",VLOOKUP(F254,razon_social[#ALL],2,0))</f>
        <v/>
      </c>
      <c r="K254" s="21" t="str">
        <f>IF(G254="","",VLOOKUP(G254,tipo_contribuyente[#ALL],2,0))</f>
        <v/>
      </c>
      <c r="L254" s="21" t="str">
        <f>IF(H254="","",VLOOKUP(H254,pais[#ALL],2,0))</f>
        <v/>
      </c>
    </row>
    <row r="255">
      <c r="A255" s="21"/>
      <c r="B255" s="21"/>
      <c r="C255" s="21"/>
      <c r="D255" s="21"/>
      <c r="E255" s="21"/>
      <c r="F255" s="21"/>
      <c r="G255" s="21"/>
      <c r="H255" s="21"/>
      <c r="I255" s="21" t="str">
        <f>IF(E255="","",VLOOKUP(E255,tipo_organizacion[#ALL],2,0))</f>
        <v/>
      </c>
      <c r="J255" s="21" t="str">
        <f>IF(F255="","",VLOOKUP(F255,razon_social[#ALL],2,0))</f>
        <v/>
      </c>
      <c r="K255" s="21" t="str">
        <f>IF(G255="","",VLOOKUP(G255,tipo_contribuyente[#ALL],2,0))</f>
        <v/>
      </c>
      <c r="L255" s="21" t="str">
        <f>IF(H255="","",VLOOKUP(H255,pais[#ALL],2,0))</f>
        <v/>
      </c>
    </row>
    <row r="256">
      <c r="A256" s="21"/>
      <c r="B256" s="21"/>
      <c r="C256" s="21"/>
      <c r="D256" s="21"/>
      <c r="E256" s="21"/>
      <c r="F256" s="21"/>
      <c r="G256" s="21"/>
      <c r="H256" s="21"/>
      <c r="I256" s="21" t="str">
        <f>IF(E256="","",VLOOKUP(E256,tipo_organizacion[#ALL],2,0))</f>
        <v/>
      </c>
      <c r="J256" s="21" t="str">
        <f>IF(F256="","",VLOOKUP(F256,razon_social[#ALL],2,0))</f>
        <v/>
      </c>
      <c r="K256" s="21" t="str">
        <f>IF(G256="","",VLOOKUP(G256,tipo_contribuyente[#ALL],2,0))</f>
        <v/>
      </c>
      <c r="L256" s="21" t="str">
        <f>IF(H256="","",VLOOKUP(H256,pais[#ALL],2,0))</f>
        <v/>
      </c>
    </row>
    <row r="257">
      <c r="A257" s="21"/>
      <c r="B257" s="21"/>
      <c r="C257" s="21"/>
      <c r="D257" s="21"/>
      <c r="E257" s="21"/>
      <c r="F257" s="21"/>
      <c r="G257" s="21"/>
      <c r="H257" s="21"/>
      <c r="I257" s="21" t="str">
        <f>IF(E257="","",VLOOKUP(E257,tipo_organizacion[#ALL],2,0))</f>
        <v/>
      </c>
      <c r="J257" s="21" t="str">
        <f>IF(F257="","",VLOOKUP(F257,razon_social[#ALL],2,0))</f>
        <v/>
      </c>
      <c r="K257" s="21" t="str">
        <f>IF(G257="","",VLOOKUP(G257,tipo_contribuyente[#ALL],2,0))</f>
        <v/>
      </c>
      <c r="L257" s="21" t="str">
        <f>IF(H257="","",VLOOKUP(H257,pais[#ALL],2,0))</f>
        <v/>
      </c>
    </row>
    <row r="258">
      <c r="A258" s="21"/>
      <c r="B258" s="21"/>
      <c r="C258" s="21"/>
      <c r="D258" s="21"/>
      <c r="E258" s="21"/>
      <c r="F258" s="21"/>
      <c r="G258" s="21"/>
      <c r="H258" s="21"/>
      <c r="I258" s="21" t="str">
        <f>IF(E258="","",VLOOKUP(E258,tipo_organizacion[#ALL],2,0))</f>
        <v/>
      </c>
      <c r="J258" s="21" t="str">
        <f>IF(F258="","",VLOOKUP(F258,razon_social[#ALL],2,0))</f>
        <v/>
      </c>
      <c r="K258" s="21" t="str">
        <f>IF(G258="","",VLOOKUP(G258,tipo_contribuyente[#ALL],2,0))</f>
        <v/>
      </c>
      <c r="L258" s="21" t="str">
        <f>IF(H258="","",VLOOKUP(H258,pais[#ALL],2,0))</f>
        <v/>
      </c>
    </row>
    <row r="259">
      <c r="A259" s="21"/>
      <c r="B259" s="21"/>
      <c r="C259" s="21"/>
      <c r="D259" s="21"/>
      <c r="E259" s="21"/>
      <c r="F259" s="21"/>
      <c r="G259" s="21"/>
      <c r="H259" s="21"/>
      <c r="I259" s="21" t="str">
        <f>IF(E259="","",VLOOKUP(E259,tipo_organizacion[#ALL],2,0))</f>
        <v/>
      </c>
      <c r="J259" s="21" t="str">
        <f>IF(F259="","",VLOOKUP(F259,razon_social[#ALL],2,0))</f>
        <v/>
      </c>
      <c r="K259" s="21" t="str">
        <f>IF(G259="","",VLOOKUP(G259,tipo_contribuyente[#ALL],2,0))</f>
        <v/>
      </c>
      <c r="L259" s="21" t="str">
        <f>IF(H259="","",VLOOKUP(H259,pais[#ALL],2,0))</f>
        <v/>
      </c>
    </row>
    <row r="260">
      <c r="A260" s="21"/>
      <c r="B260" s="21"/>
      <c r="C260" s="21"/>
      <c r="D260" s="21"/>
      <c r="E260" s="21"/>
      <c r="F260" s="21"/>
      <c r="G260" s="21"/>
      <c r="H260" s="21"/>
      <c r="I260" s="21" t="str">
        <f>IF(E260="","",VLOOKUP(E260,tipo_organizacion[#ALL],2,0))</f>
        <v/>
      </c>
      <c r="J260" s="21" t="str">
        <f>IF(F260="","",VLOOKUP(F260,razon_social[#ALL],2,0))</f>
        <v/>
      </c>
      <c r="K260" s="21" t="str">
        <f>IF(G260="","",VLOOKUP(G260,tipo_contribuyente[#ALL],2,0))</f>
        <v/>
      </c>
      <c r="L260" s="21" t="str">
        <f>IF(H260="","",VLOOKUP(H260,pais[#ALL],2,0))</f>
        <v/>
      </c>
    </row>
    <row r="261">
      <c r="A261" s="21"/>
      <c r="B261" s="21"/>
      <c r="C261" s="21"/>
      <c r="D261" s="21"/>
      <c r="E261" s="21"/>
      <c r="F261" s="21"/>
      <c r="G261" s="21"/>
      <c r="H261" s="21"/>
      <c r="I261" s="21" t="str">
        <f>IF(E261="","",VLOOKUP(E261,tipo_organizacion[#ALL],2,0))</f>
        <v/>
      </c>
      <c r="J261" s="21" t="str">
        <f>IF(F261="","",VLOOKUP(F261,razon_social[#ALL],2,0))</f>
        <v/>
      </c>
      <c r="K261" s="21" t="str">
        <f>IF(G261="","",VLOOKUP(G261,tipo_contribuyente[#ALL],2,0))</f>
        <v/>
      </c>
      <c r="L261" s="21" t="str">
        <f>IF(H261="","",VLOOKUP(H261,pais[#ALL],2,0))</f>
        <v/>
      </c>
    </row>
    <row r="262">
      <c r="A262" s="21"/>
      <c r="B262" s="21"/>
      <c r="C262" s="21"/>
      <c r="D262" s="21"/>
      <c r="E262" s="21"/>
      <c r="F262" s="21"/>
      <c r="G262" s="21"/>
      <c r="H262" s="21"/>
      <c r="I262" s="21" t="str">
        <f>IF(E262="","",VLOOKUP(E262,tipo_organizacion[#ALL],2,0))</f>
        <v/>
      </c>
      <c r="J262" s="21" t="str">
        <f>IF(F262="","",VLOOKUP(F262,razon_social[#ALL],2,0))</f>
        <v/>
      </c>
      <c r="K262" s="21" t="str">
        <f>IF(G262="","",VLOOKUP(G262,tipo_contribuyente[#ALL],2,0))</f>
        <v/>
      </c>
      <c r="L262" s="21" t="str">
        <f>IF(H262="","",VLOOKUP(H262,pais[#ALL],2,0))</f>
        <v/>
      </c>
    </row>
    <row r="263">
      <c r="A263" s="21"/>
      <c r="B263" s="21"/>
      <c r="C263" s="21"/>
      <c r="D263" s="21"/>
      <c r="E263" s="21"/>
      <c r="F263" s="21"/>
      <c r="G263" s="21"/>
      <c r="H263" s="21"/>
      <c r="I263" s="21" t="str">
        <f>IF(E263="","",VLOOKUP(E263,tipo_organizacion[#ALL],2,0))</f>
        <v/>
      </c>
      <c r="J263" s="21" t="str">
        <f>IF(F263="","",VLOOKUP(F263,razon_social[#ALL],2,0))</f>
        <v/>
      </c>
      <c r="K263" s="21" t="str">
        <f>IF(G263="","",VLOOKUP(G263,tipo_contribuyente[#ALL],2,0))</f>
        <v/>
      </c>
      <c r="L263" s="21" t="str">
        <f>IF(H263="","",VLOOKUP(H263,pais[#ALL],2,0))</f>
        <v/>
      </c>
    </row>
    <row r="264">
      <c r="A264" s="21"/>
      <c r="B264" s="21"/>
      <c r="C264" s="21"/>
      <c r="D264" s="21"/>
      <c r="E264" s="21"/>
      <c r="F264" s="21"/>
      <c r="G264" s="21"/>
      <c r="H264" s="21"/>
      <c r="I264" s="21" t="str">
        <f>IF(E264="","",VLOOKUP(E264,tipo_organizacion[#ALL],2,0))</f>
        <v/>
      </c>
      <c r="J264" s="21" t="str">
        <f>IF(F264="","",VLOOKUP(F264,razon_social[#ALL],2,0))</f>
        <v/>
      </c>
      <c r="K264" s="21" t="str">
        <f>IF(G264="","",VLOOKUP(G264,tipo_contribuyente[#ALL],2,0))</f>
        <v/>
      </c>
      <c r="L264" s="21" t="str">
        <f>IF(H264="","",VLOOKUP(H264,pais[#ALL],2,0))</f>
        <v/>
      </c>
    </row>
    <row r="265">
      <c r="A265" s="21"/>
      <c r="B265" s="21"/>
      <c r="C265" s="21"/>
      <c r="D265" s="21"/>
      <c r="E265" s="21"/>
      <c r="F265" s="21"/>
      <c r="G265" s="21"/>
      <c r="H265" s="21"/>
      <c r="I265" s="21" t="str">
        <f>IF(E265="","",VLOOKUP(E265,tipo_organizacion[#ALL],2,0))</f>
        <v/>
      </c>
      <c r="J265" s="21" t="str">
        <f>IF(F265="","",VLOOKUP(F265,razon_social[#ALL],2,0))</f>
        <v/>
      </c>
      <c r="K265" s="21" t="str">
        <f>IF(G265="","",VLOOKUP(G265,tipo_contribuyente[#ALL],2,0))</f>
        <v/>
      </c>
      <c r="L265" s="21" t="str">
        <f>IF(H265="","",VLOOKUP(H265,pais[#ALL],2,0))</f>
        <v/>
      </c>
    </row>
    <row r="266">
      <c r="A266" s="21"/>
      <c r="B266" s="21"/>
      <c r="C266" s="21"/>
      <c r="D266" s="21"/>
      <c r="E266" s="21"/>
      <c r="F266" s="21"/>
      <c r="G266" s="21"/>
      <c r="H266" s="21"/>
      <c r="I266" s="21" t="str">
        <f>IF(E266="","",VLOOKUP(E266,tipo_organizacion[#ALL],2,0))</f>
        <v/>
      </c>
      <c r="J266" s="21" t="str">
        <f>IF(F266="","",VLOOKUP(F266,razon_social[#ALL],2,0))</f>
        <v/>
      </c>
      <c r="K266" s="21" t="str">
        <f>IF(G266="","",VLOOKUP(G266,tipo_contribuyente[#ALL],2,0))</f>
        <v/>
      </c>
      <c r="L266" s="21" t="str">
        <f>IF(H266="","",VLOOKUP(H266,pais[#ALL],2,0))</f>
        <v/>
      </c>
    </row>
    <row r="267">
      <c r="A267" s="21"/>
      <c r="B267" s="21"/>
      <c r="C267" s="21"/>
      <c r="D267" s="21"/>
      <c r="E267" s="21"/>
      <c r="F267" s="21"/>
      <c r="G267" s="21"/>
      <c r="H267" s="21"/>
      <c r="I267" s="21" t="str">
        <f>IF(E267="","",VLOOKUP(E267,tipo_organizacion[#ALL],2,0))</f>
        <v/>
      </c>
      <c r="J267" s="21" t="str">
        <f>IF(F267="","",VLOOKUP(F267,razon_social[#ALL],2,0))</f>
        <v/>
      </c>
      <c r="K267" s="21" t="str">
        <f>IF(G267="","",VLOOKUP(G267,tipo_contribuyente[#ALL],2,0))</f>
        <v/>
      </c>
      <c r="L267" s="21" t="str">
        <f>IF(H267="","",VLOOKUP(H267,pais[#ALL],2,0))</f>
        <v/>
      </c>
    </row>
    <row r="268">
      <c r="A268" s="21"/>
      <c r="B268" s="21"/>
      <c r="C268" s="21"/>
      <c r="D268" s="21"/>
      <c r="E268" s="21"/>
      <c r="F268" s="21"/>
      <c r="G268" s="21"/>
      <c r="H268" s="21"/>
      <c r="I268" s="21" t="str">
        <f>IF(E268="","",VLOOKUP(E268,tipo_organizacion[#ALL],2,0))</f>
        <v/>
      </c>
      <c r="J268" s="21" t="str">
        <f>IF(F268="","",VLOOKUP(F268,razon_social[#ALL],2,0))</f>
        <v/>
      </c>
      <c r="K268" s="21" t="str">
        <f>IF(G268="","",VLOOKUP(G268,tipo_contribuyente[#ALL],2,0))</f>
        <v/>
      </c>
      <c r="L268" s="21" t="str">
        <f>IF(H268="","",VLOOKUP(H268,pais[#ALL],2,0))</f>
        <v/>
      </c>
    </row>
    <row r="269">
      <c r="A269" s="21"/>
      <c r="B269" s="21"/>
      <c r="C269" s="21"/>
      <c r="D269" s="21"/>
      <c r="E269" s="21"/>
      <c r="F269" s="21"/>
      <c r="G269" s="21"/>
      <c r="H269" s="21"/>
      <c r="I269" s="21" t="str">
        <f>IF(E269="","",VLOOKUP(E269,tipo_organizacion[#ALL],2,0))</f>
        <v/>
      </c>
      <c r="J269" s="21" t="str">
        <f>IF(F269="","",VLOOKUP(F269,razon_social[#ALL],2,0))</f>
        <v/>
      </c>
      <c r="K269" s="21" t="str">
        <f>IF(G269="","",VLOOKUP(G269,tipo_contribuyente[#ALL],2,0))</f>
        <v/>
      </c>
      <c r="L269" s="21" t="str">
        <f>IF(H269="","",VLOOKUP(H269,pais[#ALL],2,0))</f>
        <v/>
      </c>
    </row>
    <row r="270">
      <c r="A270" s="21"/>
      <c r="B270" s="21"/>
      <c r="C270" s="21"/>
      <c r="D270" s="21"/>
      <c r="E270" s="21"/>
      <c r="F270" s="21"/>
      <c r="G270" s="21"/>
      <c r="H270" s="21"/>
      <c r="I270" s="21" t="str">
        <f>IF(E270="","",VLOOKUP(E270,tipo_organizacion[#ALL],2,0))</f>
        <v/>
      </c>
      <c r="J270" s="21" t="str">
        <f>IF(F270="","",VLOOKUP(F270,razon_social[#ALL],2,0))</f>
        <v/>
      </c>
      <c r="K270" s="21" t="str">
        <f>IF(G270="","",VLOOKUP(G270,tipo_contribuyente[#ALL],2,0))</f>
        <v/>
      </c>
      <c r="L270" s="21" t="str">
        <f>IF(H270="","",VLOOKUP(H270,pais[#ALL],2,0))</f>
        <v/>
      </c>
    </row>
    <row r="271">
      <c r="A271" s="21"/>
      <c r="B271" s="21"/>
      <c r="C271" s="21"/>
      <c r="D271" s="21"/>
      <c r="E271" s="21"/>
      <c r="F271" s="21"/>
      <c r="G271" s="21"/>
      <c r="H271" s="21"/>
      <c r="I271" s="21" t="str">
        <f>IF(E271="","",VLOOKUP(E271,tipo_organizacion[#ALL],2,0))</f>
        <v/>
      </c>
      <c r="J271" s="21" t="str">
        <f>IF(F271="","",VLOOKUP(F271,razon_social[#ALL],2,0))</f>
        <v/>
      </c>
      <c r="K271" s="21" t="str">
        <f>IF(G271="","",VLOOKUP(G271,tipo_contribuyente[#ALL],2,0))</f>
        <v/>
      </c>
      <c r="L271" s="21" t="str">
        <f>IF(H271="","",VLOOKUP(H271,pais[#ALL],2,0))</f>
        <v/>
      </c>
    </row>
    <row r="272">
      <c r="A272" s="21"/>
      <c r="B272" s="21"/>
      <c r="C272" s="21"/>
      <c r="D272" s="21"/>
      <c r="E272" s="21"/>
      <c r="F272" s="21"/>
      <c r="G272" s="21"/>
      <c r="H272" s="21"/>
      <c r="I272" s="21" t="str">
        <f>IF(E272="","",VLOOKUP(E272,tipo_organizacion[#ALL],2,0))</f>
        <v/>
      </c>
      <c r="J272" s="21" t="str">
        <f>IF(F272="","",VLOOKUP(F272,razon_social[#ALL],2,0))</f>
        <v/>
      </c>
      <c r="K272" s="21" t="str">
        <f>IF(G272="","",VLOOKUP(G272,tipo_contribuyente[#ALL],2,0))</f>
        <v/>
      </c>
      <c r="L272" s="21" t="str">
        <f>IF(H272="","",VLOOKUP(H272,pais[#ALL],2,0))</f>
        <v/>
      </c>
    </row>
    <row r="273">
      <c r="A273" s="21"/>
      <c r="B273" s="21"/>
      <c r="C273" s="21"/>
      <c r="D273" s="21"/>
      <c r="E273" s="21"/>
      <c r="F273" s="21"/>
      <c r="G273" s="21"/>
      <c r="H273" s="21"/>
      <c r="I273" s="21" t="str">
        <f>IF(E273="","",VLOOKUP(E273,tipo_organizacion[#ALL],2,0))</f>
        <v/>
      </c>
      <c r="J273" s="21" t="str">
        <f>IF(F273="","",VLOOKUP(F273,razon_social[#ALL],2,0))</f>
        <v/>
      </c>
      <c r="K273" s="21" t="str">
        <f>IF(G273="","",VLOOKUP(G273,tipo_contribuyente[#ALL],2,0))</f>
        <v/>
      </c>
      <c r="L273" s="21" t="str">
        <f>IF(H273="","",VLOOKUP(H273,pais[#ALL],2,0))</f>
        <v/>
      </c>
    </row>
    <row r="274">
      <c r="A274" s="21"/>
      <c r="B274" s="21"/>
      <c r="C274" s="21"/>
      <c r="D274" s="21"/>
      <c r="E274" s="21"/>
      <c r="F274" s="21"/>
      <c r="G274" s="21"/>
      <c r="H274" s="21"/>
      <c r="I274" s="21" t="str">
        <f>IF(E274="","",VLOOKUP(E274,tipo_organizacion[#ALL],2,0))</f>
        <v/>
      </c>
      <c r="J274" s="21" t="str">
        <f>IF(F274="","",VLOOKUP(F274,razon_social[#ALL],2,0))</f>
        <v/>
      </c>
      <c r="K274" s="21" t="str">
        <f>IF(G274="","",VLOOKUP(G274,tipo_contribuyente[#ALL],2,0))</f>
        <v/>
      </c>
      <c r="L274" s="21" t="str">
        <f>IF(H274="","",VLOOKUP(H274,pais[#ALL],2,0))</f>
        <v/>
      </c>
    </row>
    <row r="275">
      <c r="A275" s="21"/>
      <c r="B275" s="21"/>
      <c r="C275" s="21"/>
      <c r="D275" s="21"/>
      <c r="E275" s="21"/>
      <c r="F275" s="21"/>
      <c r="G275" s="21"/>
      <c r="H275" s="21"/>
      <c r="I275" s="21" t="str">
        <f>IF(E275="","",VLOOKUP(E275,tipo_organizacion[#ALL],2,0))</f>
        <v/>
      </c>
      <c r="J275" s="21" t="str">
        <f>IF(F275="","",VLOOKUP(F275,razon_social[#ALL],2,0))</f>
        <v/>
      </c>
      <c r="K275" s="21" t="str">
        <f>IF(G275="","",VLOOKUP(G275,tipo_contribuyente[#ALL],2,0))</f>
        <v/>
      </c>
      <c r="L275" s="21" t="str">
        <f>IF(H275="","",VLOOKUP(H275,pais[#ALL],2,0))</f>
        <v/>
      </c>
    </row>
    <row r="276">
      <c r="A276" s="21"/>
      <c r="B276" s="21"/>
      <c r="C276" s="21"/>
      <c r="D276" s="21"/>
      <c r="E276" s="21"/>
      <c r="F276" s="21"/>
      <c r="G276" s="21"/>
      <c r="H276" s="21"/>
      <c r="I276" s="21" t="str">
        <f>IF(E276="","",VLOOKUP(E276,tipo_organizacion[#ALL],2,0))</f>
        <v/>
      </c>
      <c r="J276" s="21" t="str">
        <f>IF(F276="","",VLOOKUP(F276,razon_social[#ALL],2,0))</f>
        <v/>
      </c>
      <c r="K276" s="21" t="str">
        <f>IF(G276="","",VLOOKUP(G276,tipo_contribuyente[#ALL],2,0))</f>
        <v/>
      </c>
      <c r="L276" s="21" t="str">
        <f>IF(H276="","",VLOOKUP(H276,pais[#ALL],2,0))</f>
        <v/>
      </c>
    </row>
    <row r="277">
      <c r="A277" s="21"/>
      <c r="B277" s="21"/>
      <c r="C277" s="21"/>
      <c r="D277" s="21"/>
      <c r="E277" s="21"/>
      <c r="F277" s="21"/>
      <c r="G277" s="21"/>
      <c r="H277" s="21"/>
      <c r="I277" s="21" t="str">
        <f>IF(E277="","",VLOOKUP(E277,tipo_organizacion[#ALL],2,0))</f>
        <v/>
      </c>
      <c r="J277" s="21" t="str">
        <f>IF(F277="","",VLOOKUP(F277,razon_social[#ALL],2,0))</f>
        <v/>
      </c>
      <c r="K277" s="21" t="str">
        <f>IF(G277="","",VLOOKUP(G277,tipo_contribuyente[#ALL],2,0))</f>
        <v/>
      </c>
      <c r="L277" s="21" t="str">
        <f>IF(H277="","",VLOOKUP(H277,pais[#ALL],2,0))</f>
        <v/>
      </c>
    </row>
    <row r="278">
      <c r="A278" s="21"/>
      <c r="B278" s="21"/>
      <c r="C278" s="21"/>
      <c r="D278" s="21"/>
      <c r="E278" s="21"/>
      <c r="F278" s="21"/>
      <c r="G278" s="21"/>
      <c r="H278" s="21"/>
      <c r="I278" s="21" t="str">
        <f>IF(E278="","",VLOOKUP(E278,tipo_organizacion[#ALL],2,0))</f>
        <v/>
      </c>
      <c r="J278" s="21" t="str">
        <f>IF(F278="","",VLOOKUP(F278,razon_social[#ALL],2,0))</f>
        <v/>
      </c>
      <c r="K278" s="21" t="str">
        <f>IF(G278="","",VLOOKUP(G278,tipo_contribuyente[#ALL],2,0))</f>
        <v/>
      </c>
      <c r="L278" s="21" t="str">
        <f>IF(H278="","",VLOOKUP(H278,pais[#ALL],2,0))</f>
        <v/>
      </c>
    </row>
    <row r="279">
      <c r="A279" s="21"/>
      <c r="B279" s="21"/>
      <c r="C279" s="21"/>
      <c r="D279" s="21"/>
      <c r="E279" s="21"/>
      <c r="F279" s="21"/>
      <c r="G279" s="21"/>
      <c r="H279" s="21"/>
      <c r="I279" s="21" t="str">
        <f>IF(E279="","",VLOOKUP(E279,tipo_organizacion[#ALL],2,0))</f>
        <v/>
      </c>
      <c r="J279" s="21" t="str">
        <f>IF(F279="","",VLOOKUP(F279,razon_social[#ALL],2,0))</f>
        <v/>
      </c>
      <c r="K279" s="21" t="str">
        <f>IF(G279="","",VLOOKUP(G279,tipo_contribuyente[#ALL],2,0))</f>
        <v/>
      </c>
      <c r="L279" s="21" t="str">
        <f>IF(H279="","",VLOOKUP(H279,pais[#ALL],2,0))</f>
        <v/>
      </c>
    </row>
    <row r="280">
      <c r="A280" s="21"/>
      <c r="B280" s="21"/>
      <c r="C280" s="21"/>
      <c r="D280" s="21"/>
      <c r="E280" s="21"/>
      <c r="F280" s="21"/>
      <c r="G280" s="21"/>
      <c r="H280" s="21"/>
      <c r="I280" s="21" t="str">
        <f>IF(E280="","",VLOOKUP(E280,tipo_organizacion[#ALL],2,0))</f>
        <v/>
      </c>
      <c r="J280" s="21" t="str">
        <f>IF(F280="","",VLOOKUP(F280,razon_social[#ALL],2,0))</f>
        <v/>
      </c>
      <c r="K280" s="21" t="str">
        <f>IF(G280="","",VLOOKUP(G280,tipo_contribuyente[#ALL],2,0))</f>
        <v/>
      </c>
      <c r="L280" s="21" t="str">
        <f>IF(H280="","",VLOOKUP(H280,pais[#ALL],2,0))</f>
        <v/>
      </c>
    </row>
    <row r="281">
      <c r="A281" s="21"/>
      <c r="B281" s="21"/>
      <c r="C281" s="21"/>
      <c r="D281" s="21"/>
      <c r="E281" s="21"/>
      <c r="F281" s="21"/>
      <c r="G281" s="21"/>
      <c r="H281" s="21"/>
      <c r="I281" s="21" t="str">
        <f>IF(E281="","",VLOOKUP(E281,tipo_organizacion[#ALL],2,0))</f>
        <v/>
      </c>
      <c r="J281" s="21" t="str">
        <f>IF(F281="","",VLOOKUP(F281,razon_social[#ALL],2,0))</f>
        <v/>
      </c>
      <c r="K281" s="21" t="str">
        <f>IF(G281="","",VLOOKUP(G281,tipo_contribuyente[#ALL],2,0))</f>
        <v/>
      </c>
      <c r="L281" s="21" t="str">
        <f>IF(H281="","",VLOOKUP(H281,pais[#ALL],2,0))</f>
        <v/>
      </c>
    </row>
    <row r="282">
      <c r="A282" s="21"/>
      <c r="B282" s="21"/>
      <c r="C282" s="21"/>
      <c r="D282" s="21"/>
      <c r="E282" s="21"/>
      <c r="F282" s="21"/>
      <c r="G282" s="21"/>
      <c r="H282" s="21"/>
      <c r="I282" s="21" t="str">
        <f>IF(E282="","",VLOOKUP(E282,tipo_organizacion[#ALL],2,0))</f>
        <v/>
      </c>
      <c r="J282" s="21" t="str">
        <f>IF(F282="","",VLOOKUP(F282,razon_social[#ALL],2,0))</f>
        <v/>
      </c>
      <c r="K282" s="21" t="str">
        <f>IF(G282="","",VLOOKUP(G282,tipo_contribuyente[#ALL],2,0))</f>
        <v/>
      </c>
      <c r="L282" s="21" t="str">
        <f>IF(H282="","",VLOOKUP(H282,pais[#ALL],2,0))</f>
        <v/>
      </c>
    </row>
    <row r="283">
      <c r="A283" s="21"/>
      <c r="B283" s="21"/>
      <c r="C283" s="21"/>
      <c r="D283" s="21"/>
      <c r="E283" s="21"/>
      <c r="F283" s="21"/>
      <c r="G283" s="21"/>
      <c r="H283" s="21"/>
      <c r="I283" s="21" t="str">
        <f>IF(E283="","",VLOOKUP(E283,tipo_organizacion[#ALL],2,0))</f>
        <v/>
      </c>
      <c r="J283" s="21" t="str">
        <f>IF(F283="","",VLOOKUP(F283,razon_social[#ALL],2,0))</f>
        <v/>
      </c>
      <c r="K283" s="21" t="str">
        <f>IF(G283="","",VLOOKUP(G283,tipo_contribuyente[#ALL],2,0))</f>
        <v/>
      </c>
      <c r="L283" s="21" t="str">
        <f>IF(H283="","",VLOOKUP(H283,pais[#ALL],2,0))</f>
        <v/>
      </c>
    </row>
    <row r="284">
      <c r="A284" s="21"/>
      <c r="B284" s="21"/>
      <c r="C284" s="21"/>
      <c r="D284" s="21"/>
      <c r="E284" s="21"/>
      <c r="F284" s="21"/>
      <c r="G284" s="21"/>
      <c r="H284" s="21"/>
      <c r="I284" s="21" t="str">
        <f>IF(E284="","",VLOOKUP(E284,tipo_organizacion[#ALL],2,0))</f>
        <v/>
      </c>
      <c r="J284" s="21" t="str">
        <f>IF(F284="","",VLOOKUP(F284,razon_social[#ALL],2,0))</f>
        <v/>
      </c>
      <c r="K284" s="21" t="str">
        <f>IF(G284="","",VLOOKUP(G284,tipo_contribuyente[#ALL],2,0))</f>
        <v/>
      </c>
      <c r="L284" s="21" t="str">
        <f>IF(H284="","",VLOOKUP(H284,pais[#ALL],2,0))</f>
        <v/>
      </c>
    </row>
    <row r="285">
      <c r="A285" s="21"/>
      <c r="B285" s="21"/>
      <c r="C285" s="21"/>
      <c r="D285" s="21"/>
      <c r="E285" s="21"/>
      <c r="F285" s="21"/>
      <c r="G285" s="21"/>
      <c r="H285" s="21"/>
      <c r="I285" s="21" t="str">
        <f>IF(E285="","",VLOOKUP(E285,tipo_organizacion[#ALL],2,0))</f>
        <v/>
      </c>
      <c r="J285" s="21" t="str">
        <f>IF(F285="","",VLOOKUP(F285,razon_social[#ALL],2,0))</f>
        <v/>
      </c>
      <c r="K285" s="21" t="str">
        <f>IF(G285="","",VLOOKUP(G285,tipo_contribuyente[#ALL],2,0))</f>
        <v/>
      </c>
      <c r="L285" s="21" t="str">
        <f>IF(H285="","",VLOOKUP(H285,pais[#ALL],2,0))</f>
        <v/>
      </c>
    </row>
    <row r="286">
      <c r="A286" s="21"/>
      <c r="B286" s="21"/>
      <c r="C286" s="21"/>
      <c r="D286" s="21"/>
      <c r="E286" s="21"/>
      <c r="F286" s="21"/>
      <c r="G286" s="21"/>
      <c r="H286" s="21"/>
      <c r="I286" s="21" t="str">
        <f>IF(E286="","",VLOOKUP(E286,tipo_organizacion[#ALL],2,0))</f>
        <v/>
      </c>
      <c r="J286" s="21" t="str">
        <f>IF(F286="","",VLOOKUP(F286,razon_social[#ALL],2,0))</f>
        <v/>
      </c>
      <c r="K286" s="21" t="str">
        <f>IF(G286="","",VLOOKUP(G286,tipo_contribuyente[#ALL],2,0))</f>
        <v/>
      </c>
      <c r="L286" s="21" t="str">
        <f>IF(H286="","",VLOOKUP(H286,pais[#ALL],2,0))</f>
        <v/>
      </c>
    </row>
    <row r="287">
      <c r="A287" s="21"/>
      <c r="B287" s="21"/>
      <c r="C287" s="21"/>
      <c r="D287" s="21"/>
      <c r="E287" s="21"/>
      <c r="F287" s="21"/>
      <c r="G287" s="21"/>
      <c r="H287" s="21"/>
      <c r="I287" s="21" t="str">
        <f>IF(E287="","",VLOOKUP(E287,tipo_organizacion[#ALL],2,0))</f>
        <v/>
      </c>
      <c r="J287" s="21" t="str">
        <f>IF(F287="","",VLOOKUP(F287,razon_social[#ALL],2,0))</f>
        <v/>
      </c>
      <c r="K287" s="21" t="str">
        <f>IF(G287="","",VLOOKUP(G287,tipo_contribuyente[#ALL],2,0))</f>
        <v/>
      </c>
      <c r="L287" s="21" t="str">
        <f>IF(H287="","",VLOOKUP(H287,pais[#ALL],2,0))</f>
        <v/>
      </c>
    </row>
    <row r="288">
      <c r="A288" s="21"/>
      <c r="B288" s="21"/>
      <c r="C288" s="21"/>
      <c r="D288" s="21"/>
      <c r="E288" s="21"/>
      <c r="F288" s="21"/>
      <c r="G288" s="21"/>
      <c r="H288" s="21"/>
      <c r="I288" s="21" t="str">
        <f>IF(E288="","",VLOOKUP(E288,tipo_organizacion[#ALL],2,0))</f>
        <v/>
      </c>
      <c r="J288" s="21" t="str">
        <f>IF(F288="","",VLOOKUP(F288,razon_social[#ALL],2,0))</f>
        <v/>
      </c>
      <c r="K288" s="21" t="str">
        <f>IF(G288="","",VLOOKUP(G288,tipo_contribuyente[#ALL],2,0))</f>
        <v/>
      </c>
      <c r="L288" s="21" t="str">
        <f>IF(H288="","",VLOOKUP(H288,pais[#ALL],2,0))</f>
        <v/>
      </c>
    </row>
    <row r="289">
      <c r="A289" s="21"/>
      <c r="B289" s="21"/>
      <c r="C289" s="21"/>
      <c r="D289" s="21"/>
      <c r="E289" s="21"/>
      <c r="F289" s="21"/>
      <c r="G289" s="21"/>
      <c r="H289" s="21"/>
      <c r="I289" s="21" t="str">
        <f>IF(E289="","",VLOOKUP(E289,tipo_organizacion[#ALL],2,0))</f>
        <v/>
      </c>
      <c r="J289" s="21" t="str">
        <f>IF(F289="","",VLOOKUP(F289,razon_social[#ALL],2,0))</f>
        <v/>
      </c>
      <c r="K289" s="21" t="str">
        <f>IF(G289="","",VLOOKUP(G289,tipo_contribuyente[#ALL],2,0))</f>
        <v/>
      </c>
      <c r="L289" s="21" t="str">
        <f>IF(H289="","",VLOOKUP(H289,pais[#ALL],2,0))</f>
        <v/>
      </c>
    </row>
    <row r="290">
      <c r="A290" s="21"/>
      <c r="B290" s="21"/>
      <c r="C290" s="21"/>
      <c r="D290" s="21"/>
      <c r="E290" s="21"/>
      <c r="F290" s="21"/>
      <c r="G290" s="21"/>
      <c r="H290" s="21"/>
      <c r="I290" s="21" t="str">
        <f>IF(E290="","",VLOOKUP(E290,tipo_organizacion[#ALL],2,0))</f>
        <v/>
      </c>
      <c r="J290" s="21" t="str">
        <f>IF(F290="","",VLOOKUP(F290,razon_social[#ALL],2,0))</f>
        <v/>
      </c>
      <c r="K290" s="21" t="str">
        <f>IF(G290="","",VLOOKUP(G290,tipo_contribuyente[#ALL],2,0))</f>
        <v/>
      </c>
      <c r="L290" s="21" t="str">
        <f>IF(H290="","",VLOOKUP(H290,pais[#ALL],2,0))</f>
        <v/>
      </c>
    </row>
    <row r="291">
      <c r="A291" s="21"/>
      <c r="B291" s="21"/>
      <c r="C291" s="21"/>
      <c r="D291" s="21"/>
      <c r="E291" s="21"/>
      <c r="F291" s="21"/>
      <c r="G291" s="21"/>
      <c r="H291" s="21"/>
      <c r="I291" s="21" t="str">
        <f>IF(E291="","",VLOOKUP(E291,tipo_organizacion[#ALL],2,0))</f>
        <v/>
      </c>
      <c r="J291" s="21" t="str">
        <f>IF(F291="","",VLOOKUP(F291,razon_social[#ALL],2,0))</f>
        <v/>
      </c>
      <c r="K291" s="21" t="str">
        <f>IF(G291="","",VLOOKUP(G291,tipo_contribuyente[#ALL],2,0))</f>
        <v/>
      </c>
      <c r="L291" s="21" t="str">
        <f>IF(H291="","",VLOOKUP(H291,pais[#ALL],2,0))</f>
        <v/>
      </c>
    </row>
    <row r="292">
      <c r="A292" s="21"/>
      <c r="B292" s="21"/>
      <c r="C292" s="21"/>
      <c r="D292" s="21"/>
      <c r="E292" s="21"/>
      <c r="F292" s="21"/>
      <c r="G292" s="21"/>
      <c r="H292" s="21"/>
      <c r="I292" s="21" t="str">
        <f>IF(E292="","",VLOOKUP(E292,tipo_organizacion[#ALL],2,0))</f>
        <v/>
      </c>
      <c r="J292" s="21" t="str">
        <f>IF(F292="","",VLOOKUP(F292,razon_social[#ALL],2,0))</f>
        <v/>
      </c>
      <c r="K292" s="21" t="str">
        <f>IF(G292="","",VLOOKUP(G292,tipo_contribuyente[#ALL],2,0))</f>
        <v/>
      </c>
      <c r="L292" s="21" t="str">
        <f>IF(H292="","",VLOOKUP(H292,pais[#ALL],2,0))</f>
        <v/>
      </c>
    </row>
    <row r="293">
      <c r="A293" s="21"/>
      <c r="B293" s="21"/>
      <c r="C293" s="21"/>
      <c r="D293" s="21"/>
      <c r="E293" s="21"/>
      <c r="F293" s="21"/>
      <c r="G293" s="21"/>
      <c r="H293" s="21"/>
      <c r="I293" s="21" t="str">
        <f>IF(E293="","",VLOOKUP(E293,tipo_organizacion[#ALL],2,0))</f>
        <v/>
      </c>
      <c r="J293" s="21" t="str">
        <f>IF(F293="","",VLOOKUP(F293,razon_social[#ALL],2,0))</f>
        <v/>
      </c>
      <c r="K293" s="21" t="str">
        <f>IF(G293="","",VLOOKUP(G293,tipo_contribuyente[#ALL],2,0))</f>
        <v/>
      </c>
      <c r="L293" s="21" t="str">
        <f>IF(H293="","",VLOOKUP(H293,pais[#ALL],2,0))</f>
        <v/>
      </c>
    </row>
    <row r="294">
      <c r="A294" s="21"/>
      <c r="B294" s="21"/>
      <c r="C294" s="21"/>
      <c r="D294" s="21"/>
      <c r="E294" s="21"/>
      <c r="F294" s="21"/>
      <c r="G294" s="21"/>
      <c r="H294" s="21"/>
      <c r="I294" s="21" t="str">
        <f>IF(E294="","",VLOOKUP(E294,tipo_organizacion[#ALL],2,0))</f>
        <v/>
      </c>
      <c r="J294" s="21" t="str">
        <f>IF(F294="","",VLOOKUP(F294,razon_social[#ALL],2,0))</f>
        <v/>
      </c>
      <c r="K294" s="21" t="str">
        <f>IF(G294="","",VLOOKUP(G294,tipo_contribuyente[#ALL],2,0))</f>
        <v/>
      </c>
      <c r="L294" s="21" t="str">
        <f>IF(H294="","",VLOOKUP(H294,pais[#ALL],2,0))</f>
        <v/>
      </c>
    </row>
    <row r="295">
      <c r="A295" s="21"/>
      <c r="B295" s="21"/>
      <c r="C295" s="21"/>
      <c r="D295" s="21"/>
      <c r="E295" s="21"/>
      <c r="F295" s="21"/>
      <c r="G295" s="21"/>
      <c r="H295" s="21"/>
      <c r="I295" s="21" t="str">
        <f>IF(E295="","",VLOOKUP(E295,tipo_organizacion[#ALL],2,0))</f>
        <v/>
      </c>
      <c r="J295" s="21" t="str">
        <f>IF(F295="","",VLOOKUP(F295,razon_social[#ALL],2,0))</f>
        <v/>
      </c>
      <c r="K295" s="21" t="str">
        <f>IF(G295="","",VLOOKUP(G295,tipo_contribuyente[#ALL],2,0))</f>
        <v/>
      </c>
      <c r="L295" s="21" t="str">
        <f>IF(H295="","",VLOOKUP(H295,pais[#ALL],2,0))</f>
        <v/>
      </c>
    </row>
    <row r="296">
      <c r="A296" s="21"/>
      <c r="B296" s="21"/>
      <c r="C296" s="21"/>
      <c r="D296" s="21"/>
      <c r="E296" s="21"/>
      <c r="F296" s="21"/>
      <c r="G296" s="21"/>
      <c r="H296" s="21"/>
      <c r="I296" s="21" t="str">
        <f>IF(E296="","",VLOOKUP(E296,tipo_organizacion[#ALL],2,0))</f>
        <v/>
      </c>
      <c r="J296" s="21" t="str">
        <f>IF(F296="","",VLOOKUP(F296,razon_social[#ALL],2,0))</f>
        <v/>
      </c>
      <c r="K296" s="21" t="str">
        <f>IF(G296="","",VLOOKUP(G296,tipo_contribuyente[#ALL],2,0))</f>
        <v/>
      </c>
      <c r="L296" s="21" t="str">
        <f>IF(H296="","",VLOOKUP(H296,pais[#ALL],2,0))</f>
        <v/>
      </c>
    </row>
    <row r="297">
      <c r="A297" s="21"/>
      <c r="B297" s="21"/>
      <c r="C297" s="21"/>
      <c r="D297" s="21"/>
      <c r="E297" s="21"/>
      <c r="F297" s="21"/>
      <c r="G297" s="21"/>
      <c r="H297" s="21"/>
      <c r="I297" s="21" t="str">
        <f>IF(E297="","",VLOOKUP(E297,tipo_organizacion[#ALL],2,0))</f>
        <v/>
      </c>
      <c r="J297" s="21" t="str">
        <f>IF(F297="","",VLOOKUP(F297,razon_social[#ALL],2,0))</f>
        <v/>
      </c>
      <c r="K297" s="21" t="str">
        <f>IF(G297="","",VLOOKUP(G297,tipo_contribuyente[#ALL],2,0))</f>
        <v/>
      </c>
      <c r="L297" s="21" t="str">
        <f>IF(H297="","",VLOOKUP(H297,pais[#ALL],2,0))</f>
        <v/>
      </c>
    </row>
    <row r="298">
      <c r="A298" s="21"/>
      <c r="B298" s="21"/>
      <c r="C298" s="21"/>
      <c r="D298" s="21"/>
      <c r="E298" s="21"/>
      <c r="F298" s="21"/>
      <c r="G298" s="21"/>
      <c r="H298" s="21"/>
      <c r="I298" s="21" t="str">
        <f>IF(E298="","",VLOOKUP(E298,tipo_organizacion[#ALL],2,0))</f>
        <v/>
      </c>
      <c r="J298" s="21" t="str">
        <f>IF(F298="","",VLOOKUP(F298,razon_social[#ALL],2,0))</f>
        <v/>
      </c>
      <c r="K298" s="21" t="str">
        <f>IF(G298="","",VLOOKUP(G298,tipo_contribuyente[#ALL],2,0))</f>
        <v/>
      </c>
      <c r="L298" s="21" t="str">
        <f>IF(H298="","",VLOOKUP(H298,pais[#ALL],2,0))</f>
        <v/>
      </c>
    </row>
    <row r="299">
      <c r="A299" s="21"/>
      <c r="B299" s="21"/>
      <c r="C299" s="21"/>
      <c r="D299" s="21"/>
      <c r="E299" s="21"/>
      <c r="F299" s="21"/>
      <c r="G299" s="21"/>
      <c r="H299" s="21"/>
      <c r="I299" s="21" t="str">
        <f>IF(E299="","",VLOOKUP(E299,tipo_organizacion[#ALL],2,0))</f>
        <v/>
      </c>
      <c r="J299" s="21" t="str">
        <f>IF(F299="","",VLOOKUP(F299,razon_social[#ALL],2,0))</f>
        <v/>
      </c>
      <c r="K299" s="21" t="str">
        <f>IF(G299="","",VLOOKUP(G299,tipo_contribuyente[#ALL],2,0))</f>
        <v/>
      </c>
      <c r="L299" s="21" t="str">
        <f>IF(H299="","",VLOOKUP(H299,pais[#ALL],2,0))</f>
        <v/>
      </c>
    </row>
    <row r="300">
      <c r="A300" s="21"/>
      <c r="B300" s="21"/>
      <c r="C300" s="21"/>
      <c r="D300" s="21"/>
      <c r="E300" s="21"/>
      <c r="F300" s="21"/>
      <c r="G300" s="21"/>
      <c r="H300" s="21"/>
      <c r="I300" s="21" t="str">
        <f>IF(E300="","",VLOOKUP(E300,tipo_organizacion[#ALL],2,0))</f>
        <v/>
      </c>
      <c r="J300" s="21" t="str">
        <f>IF(F300="","",VLOOKUP(F300,razon_social[#ALL],2,0))</f>
        <v/>
      </c>
      <c r="K300" s="21" t="str">
        <f>IF(G300="","",VLOOKUP(G300,tipo_contribuyente[#ALL],2,0))</f>
        <v/>
      </c>
      <c r="L300" s="21" t="str">
        <f>IF(H300="","",VLOOKUP(H300,pais[#ALL],2,0))</f>
        <v/>
      </c>
    </row>
    <row r="301">
      <c r="A301" s="21"/>
      <c r="B301" s="21"/>
      <c r="C301" s="21"/>
      <c r="D301" s="21"/>
      <c r="E301" s="21"/>
      <c r="F301" s="21"/>
      <c r="G301" s="21"/>
      <c r="H301" s="21"/>
      <c r="I301" s="21" t="str">
        <f>IF(E301="","",VLOOKUP(E301,tipo_organizacion[#ALL],2,0))</f>
        <v/>
      </c>
      <c r="J301" s="21" t="str">
        <f>IF(F301="","",VLOOKUP(F301,razon_social[#ALL],2,0))</f>
        <v/>
      </c>
      <c r="K301" s="21" t="str">
        <f>IF(G301="","",VLOOKUP(G301,tipo_contribuyente[#ALL],2,0))</f>
        <v/>
      </c>
      <c r="L301" s="21" t="str">
        <f>IF(H301="","",VLOOKUP(H301,pais[#ALL],2,0))</f>
        <v/>
      </c>
    </row>
    <row r="302">
      <c r="A302" s="21"/>
      <c r="B302" s="21"/>
      <c r="C302" s="21"/>
      <c r="D302" s="21"/>
      <c r="E302" s="21"/>
      <c r="F302" s="21"/>
      <c r="G302" s="21"/>
      <c r="H302" s="21"/>
      <c r="I302" s="21" t="str">
        <f>IF(E302="","",VLOOKUP(E302,tipo_organizacion[#ALL],2,0))</f>
        <v/>
      </c>
      <c r="J302" s="21" t="str">
        <f>IF(F302="","",VLOOKUP(F302,razon_social[#ALL],2,0))</f>
        <v/>
      </c>
      <c r="K302" s="21" t="str">
        <f>IF(G302="","",VLOOKUP(G302,tipo_contribuyente[#ALL],2,0))</f>
        <v/>
      </c>
      <c r="L302" s="21" t="str">
        <f>IF(H302="","",VLOOKUP(H302,pais[#ALL],2,0))</f>
        <v/>
      </c>
    </row>
    <row r="303">
      <c r="A303" s="21"/>
      <c r="B303" s="21"/>
      <c r="C303" s="21"/>
      <c r="D303" s="21"/>
      <c r="E303" s="21"/>
      <c r="F303" s="21"/>
      <c r="G303" s="21"/>
      <c r="H303" s="21"/>
      <c r="I303" s="21" t="str">
        <f>IF(E303="","",VLOOKUP(E303,tipo_organizacion[#ALL],2,0))</f>
        <v/>
      </c>
      <c r="J303" s="21" t="str">
        <f>IF(F303="","",VLOOKUP(F303,razon_social[#ALL],2,0))</f>
        <v/>
      </c>
      <c r="K303" s="21" t="str">
        <f>IF(G303="","",VLOOKUP(G303,tipo_contribuyente[#ALL],2,0))</f>
        <v/>
      </c>
      <c r="L303" s="21" t="str">
        <f>IF(H303="","",VLOOKUP(H303,pais[#ALL],2,0))</f>
        <v/>
      </c>
    </row>
    <row r="304">
      <c r="A304" s="21"/>
      <c r="B304" s="21"/>
      <c r="C304" s="21"/>
      <c r="D304" s="21"/>
      <c r="E304" s="21"/>
      <c r="F304" s="21"/>
      <c r="G304" s="21"/>
      <c r="H304" s="21"/>
      <c r="I304" s="21" t="str">
        <f>IF(E304="","",VLOOKUP(E304,tipo_organizacion[#ALL],2,0))</f>
        <v/>
      </c>
      <c r="J304" s="21" t="str">
        <f>IF(F304="","",VLOOKUP(F304,razon_social[#ALL],2,0))</f>
        <v/>
      </c>
      <c r="K304" s="21" t="str">
        <f>IF(G304="","",VLOOKUP(G304,tipo_contribuyente[#ALL],2,0))</f>
        <v/>
      </c>
      <c r="L304" s="21" t="str">
        <f>IF(H304="","",VLOOKUP(H304,pais[#ALL],2,0))</f>
        <v/>
      </c>
    </row>
    <row r="305">
      <c r="A305" s="21"/>
      <c r="B305" s="21"/>
      <c r="C305" s="21"/>
      <c r="D305" s="21"/>
      <c r="E305" s="21"/>
      <c r="F305" s="21"/>
      <c r="G305" s="21"/>
      <c r="H305" s="21"/>
      <c r="I305" s="21" t="str">
        <f>IF(E305="","",VLOOKUP(E305,tipo_organizacion[#ALL],2,0))</f>
        <v/>
      </c>
      <c r="J305" s="21" t="str">
        <f>IF(F305="","",VLOOKUP(F305,razon_social[#ALL],2,0))</f>
        <v/>
      </c>
      <c r="K305" s="21" t="str">
        <f>IF(G305="","",VLOOKUP(G305,tipo_contribuyente[#ALL],2,0))</f>
        <v/>
      </c>
      <c r="L305" s="21" t="str">
        <f>IF(H305="","",VLOOKUP(H305,pais[#ALL],2,0))</f>
        <v/>
      </c>
    </row>
    <row r="306">
      <c r="A306" s="21"/>
      <c r="B306" s="21"/>
      <c r="C306" s="21"/>
      <c r="D306" s="21"/>
      <c r="E306" s="21"/>
      <c r="F306" s="21"/>
      <c r="G306" s="21"/>
      <c r="H306" s="21"/>
      <c r="I306" s="21" t="str">
        <f>IF(E306="","",VLOOKUP(E306,tipo_organizacion[#ALL],2,0))</f>
        <v/>
      </c>
      <c r="J306" s="21" t="str">
        <f>IF(F306="","",VLOOKUP(F306,razon_social[#ALL],2,0))</f>
        <v/>
      </c>
      <c r="K306" s="21" t="str">
        <f>IF(G306="","",VLOOKUP(G306,tipo_contribuyente[#ALL],2,0))</f>
        <v/>
      </c>
      <c r="L306" s="21" t="str">
        <f>IF(H306="","",VLOOKUP(H306,pais[#ALL],2,0))</f>
        <v/>
      </c>
    </row>
    <row r="307">
      <c r="A307" s="21"/>
      <c r="B307" s="21"/>
      <c r="C307" s="21"/>
      <c r="D307" s="21"/>
      <c r="E307" s="21"/>
      <c r="F307" s="21"/>
      <c r="G307" s="21"/>
      <c r="H307" s="21"/>
      <c r="I307" s="21" t="str">
        <f>IF(E307="","",VLOOKUP(E307,tipo_organizacion[#ALL],2,0))</f>
        <v/>
      </c>
      <c r="J307" s="21" t="str">
        <f>IF(F307="","",VLOOKUP(F307,razon_social[#ALL],2,0))</f>
        <v/>
      </c>
      <c r="K307" s="21" t="str">
        <f>IF(G307="","",VLOOKUP(G307,tipo_contribuyente[#ALL],2,0))</f>
        <v/>
      </c>
      <c r="L307" s="21" t="str">
        <f>IF(H307="","",VLOOKUP(H307,pais[#ALL],2,0))</f>
        <v/>
      </c>
    </row>
    <row r="308">
      <c r="A308" s="21"/>
      <c r="B308" s="21"/>
      <c r="C308" s="21"/>
      <c r="D308" s="21"/>
      <c r="E308" s="21"/>
      <c r="F308" s="21"/>
      <c r="G308" s="21"/>
      <c r="H308" s="21"/>
      <c r="I308" s="21" t="str">
        <f>IF(E308="","",VLOOKUP(E308,tipo_organizacion[#ALL],2,0))</f>
        <v/>
      </c>
      <c r="J308" s="21" t="str">
        <f>IF(F308="","",VLOOKUP(F308,razon_social[#ALL],2,0))</f>
        <v/>
      </c>
      <c r="K308" s="21" t="str">
        <f>IF(G308="","",VLOOKUP(G308,tipo_contribuyente[#ALL],2,0))</f>
        <v/>
      </c>
      <c r="L308" s="21" t="str">
        <f>IF(H308="","",VLOOKUP(H308,pais[#ALL],2,0))</f>
        <v/>
      </c>
    </row>
    <row r="309">
      <c r="A309" s="21"/>
      <c r="B309" s="21"/>
      <c r="C309" s="21"/>
      <c r="D309" s="21"/>
      <c r="E309" s="21"/>
      <c r="F309" s="21"/>
      <c r="G309" s="21"/>
      <c r="H309" s="21"/>
      <c r="I309" s="21" t="str">
        <f>IF(E309="","",VLOOKUP(E309,tipo_organizacion[#ALL],2,0))</f>
        <v/>
      </c>
      <c r="J309" s="21" t="str">
        <f>IF(F309="","",VLOOKUP(F309,razon_social[#ALL],2,0))</f>
        <v/>
      </c>
      <c r="K309" s="21" t="str">
        <f>IF(G309="","",VLOOKUP(G309,tipo_contribuyente[#ALL],2,0))</f>
        <v/>
      </c>
      <c r="L309" s="21" t="str">
        <f>IF(H309="","",VLOOKUP(H309,pais[#ALL],2,0))</f>
        <v/>
      </c>
    </row>
    <row r="310">
      <c r="A310" s="21"/>
      <c r="B310" s="21"/>
      <c r="C310" s="21"/>
      <c r="D310" s="21"/>
      <c r="E310" s="21"/>
      <c r="F310" s="21"/>
      <c r="G310" s="21"/>
      <c r="H310" s="21"/>
      <c r="I310" s="21" t="str">
        <f>IF(E310="","",VLOOKUP(E310,tipo_organizacion[#ALL],2,0))</f>
        <v/>
      </c>
      <c r="J310" s="21" t="str">
        <f>IF(F310="","",VLOOKUP(F310,razon_social[#ALL],2,0))</f>
        <v/>
      </c>
      <c r="K310" s="21" t="str">
        <f>IF(G310="","",VLOOKUP(G310,tipo_contribuyente[#ALL],2,0))</f>
        <v/>
      </c>
      <c r="L310" s="21" t="str">
        <f>IF(H310="","",VLOOKUP(H310,pais[#ALL],2,0))</f>
        <v/>
      </c>
    </row>
    <row r="311">
      <c r="A311" s="21"/>
      <c r="B311" s="21"/>
      <c r="C311" s="21"/>
      <c r="D311" s="21"/>
      <c r="E311" s="21"/>
      <c r="F311" s="21"/>
      <c r="G311" s="21"/>
      <c r="H311" s="21"/>
      <c r="I311" s="21" t="str">
        <f>IF(E311="","",VLOOKUP(E311,tipo_organizacion[#ALL],2,0))</f>
        <v/>
      </c>
      <c r="J311" s="21" t="str">
        <f>IF(F311="","",VLOOKUP(F311,razon_social[#ALL],2,0))</f>
        <v/>
      </c>
      <c r="K311" s="21" t="str">
        <f>IF(G311="","",VLOOKUP(G311,tipo_contribuyente[#ALL],2,0))</f>
        <v/>
      </c>
      <c r="L311" s="21" t="str">
        <f>IF(H311="","",VLOOKUP(H311,pais[#ALL],2,0))</f>
        <v/>
      </c>
    </row>
    <row r="312">
      <c r="A312" s="21"/>
      <c r="B312" s="21"/>
      <c r="C312" s="21"/>
      <c r="D312" s="21"/>
      <c r="E312" s="21"/>
      <c r="F312" s="21"/>
      <c r="G312" s="21"/>
      <c r="H312" s="21"/>
      <c r="I312" s="21" t="str">
        <f>IF(E312="","",VLOOKUP(E312,tipo_organizacion[#ALL],2,0))</f>
        <v/>
      </c>
      <c r="J312" s="21" t="str">
        <f>IF(F312="","",VLOOKUP(F312,razon_social[#ALL],2,0))</f>
        <v/>
      </c>
      <c r="K312" s="21" t="str">
        <f>IF(G312="","",VLOOKUP(G312,tipo_contribuyente[#ALL],2,0))</f>
        <v/>
      </c>
      <c r="L312" s="21" t="str">
        <f>IF(H312="","",VLOOKUP(H312,pais[#ALL],2,0))</f>
        <v/>
      </c>
    </row>
    <row r="313">
      <c r="A313" s="21"/>
      <c r="B313" s="21"/>
      <c r="C313" s="21"/>
      <c r="D313" s="21"/>
      <c r="E313" s="21"/>
      <c r="F313" s="21"/>
      <c r="G313" s="21"/>
      <c r="H313" s="21"/>
      <c r="I313" s="21" t="str">
        <f>IF(E313="","",VLOOKUP(E313,tipo_organizacion[#ALL],2,0))</f>
        <v/>
      </c>
      <c r="J313" s="21" t="str">
        <f>IF(F313="","",VLOOKUP(F313,razon_social[#ALL],2,0))</f>
        <v/>
      </c>
      <c r="K313" s="21" t="str">
        <f>IF(G313="","",VLOOKUP(G313,tipo_contribuyente[#ALL],2,0))</f>
        <v/>
      </c>
      <c r="L313" s="21" t="str">
        <f>IF(H313="","",VLOOKUP(H313,pais[#ALL],2,0))</f>
        <v/>
      </c>
    </row>
    <row r="314">
      <c r="A314" s="21"/>
      <c r="B314" s="21"/>
      <c r="C314" s="21"/>
      <c r="D314" s="21"/>
      <c r="E314" s="21"/>
      <c r="F314" s="21"/>
      <c r="G314" s="21"/>
      <c r="H314" s="21"/>
      <c r="I314" s="21" t="str">
        <f>IF(E314="","",VLOOKUP(E314,tipo_organizacion[#ALL],2,0))</f>
        <v/>
      </c>
      <c r="J314" s="21" t="str">
        <f>IF(F314="","",VLOOKUP(F314,razon_social[#ALL],2,0))</f>
        <v/>
      </c>
      <c r="K314" s="21" t="str">
        <f>IF(G314="","",VLOOKUP(G314,tipo_contribuyente[#ALL],2,0))</f>
        <v/>
      </c>
      <c r="L314" s="21" t="str">
        <f>IF(H314="","",VLOOKUP(H314,pais[#ALL],2,0))</f>
        <v/>
      </c>
    </row>
    <row r="315">
      <c r="A315" s="21"/>
      <c r="B315" s="21"/>
      <c r="C315" s="21"/>
      <c r="D315" s="21"/>
      <c r="E315" s="21"/>
      <c r="F315" s="21"/>
      <c r="G315" s="21"/>
      <c r="H315" s="21"/>
      <c r="I315" s="21" t="str">
        <f>IF(E315="","",VLOOKUP(E315,tipo_organizacion[#ALL],2,0))</f>
        <v/>
      </c>
      <c r="J315" s="21" t="str">
        <f>IF(F315="","",VLOOKUP(F315,razon_social[#ALL],2,0))</f>
        <v/>
      </c>
      <c r="K315" s="21" t="str">
        <f>IF(G315="","",VLOOKUP(G315,tipo_contribuyente[#ALL],2,0))</f>
        <v/>
      </c>
      <c r="L315" s="21" t="str">
        <f>IF(H315="","",VLOOKUP(H315,pais[#ALL],2,0))</f>
        <v/>
      </c>
    </row>
    <row r="316">
      <c r="A316" s="21"/>
      <c r="B316" s="21"/>
      <c r="C316" s="21"/>
      <c r="D316" s="21"/>
      <c r="E316" s="21"/>
      <c r="F316" s="21"/>
      <c r="G316" s="21"/>
      <c r="H316" s="21"/>
      <c r="I316" s="21" t="str">
        <f>IF(E316="","",VLOOKUP(E316,tipo_organizacion[#ALL],2,0))</f>
        <v/>
      </c>
      <c r="J316" s="21" t="str">
        <f>IF(F316="","",VLOOKUP(F316,razon_social[#ALL],2,0))</f>
        <v/>
      </c>
      <c r="K316" s="21" t="str">
        <f>IF(G316="","",VLOOKUP(G316,tipo_contribuyente[#ALL],2,0))</f>
        <v/>
      </c>
      <c r="L316" s="21" t="str">
        <f>IF(H316="","",VLOOKUP(H316,pais[#ALL],2,0))</f>
        <v/>
      </c>
    </row>
    <row r="317">
      <c r="A317" s="21"/>
      <c r="B317" s="21"/>
      <c r="C317" s="21"/>
      <c r="D317" s="21"/>
      <c r="E317" s="21"/>
      <c r="F317" s="21"/>
      <c r="G317" s="21"/>
      <c r="H317" s="21"/>
      <c r="I317" s="21" t="str">
        <f>IF(E317="","",VLOOKUP(E317,tipo_organizacion[#ALL],2,0))</f>
        <v/>
      </c>
      <c r="J317" s="21" t="str">
        <f>IF(F317="","",VLOOKUP(F317,razon_social[#ALL],2,0))</f>
        <v/>
      </c>
      <c r="K317" s="21" t="str">
        <f>IF(G317="","",VLOOKUP(G317,tipo_contribuyente[#ALL],2,0))</f>
        <v/>
      </c>
      <c r="L317" s="21" t="str">
        <f>IF(H317="","",VLOOKUP(H317,pais[#ALL],2,0))</f>
        <v/>
      </c>
    </row>
    <row r="318">
      <c r="A318" s="21"/>
      <c r="B318" s="21"/>
      <c r="C318" s="21"/>
      <c r="D318" s="21"/>
      <c r="E318" s="21"/>
      <c r="F318" s="21"/>
      <c r="G318" s="21"/>
      <c r="H318" s="21"/>
      <c r="I318" s="21" t="str">
        <f>IF(E318="","",VLOOKUP(E318,tipo_organizacion[#ALL],2,0))</f>
        <v/>
      </c>
      <c r="J318" s="21" t="str">
        <f>IF(F318="","",VLOOKUP(F318,razon_social[#ALL],2,0))</f>
        <v/>
      </c>
      <c r="K318" s="21" t="str">
        <f>IF(G318="","",VLOOKUP(G318,tipo_contribuyente[#ALL],2,0))</f>
        <v/>
      </c>
      <c r="L318" s="21" t="str">
        <f>IF(H318="","",VLOOKUP(H318,pais[#ALL],2,0))</f>
        <v/>
      </c>
    </row>
    <row r="319">
      <c r="A319" s="21"/>
      <c r="B319" s="21"/>
      <c r="C319" s="21"/>
      <c r="D319" s="21"/>
      <c r="E319" s="21"/>
      <c r="F319" s="21"/>
      <c r="G319" s="21"/>
      <c r="H319" s="21"/>
      <c r="I319" s="21" t="str">
        <f>IF(E319="","",VLOOKUP(E319,tipo_organizacion[#ALL],2,0))</f>
        <v/>
      </c>
      <c r="J319" s="21" t="str">
        <f>IF(F319="","",VLOOKUP(F319,razon_social[#ALL],2,0))</f>
        <v/>
      </c>
      <c r="K319" s="21" t="str">
        <f>IF(G319="","",VLOOKUP(G319,tipo_contribuyente[#ALL],2,0))</f>
        <v/>
      </c>
      <c r="L319" s="21" t="str">
        <f>IF(H319="","",VLOOKUP(H319,pais[#ALL],2,0))</f>
        <v/>
      </c>
    </row>
    <row r="320">
      <c r="A320" s="21"/>
      <c r="B320" s="21"/>
      <c r="C320" s="21"/>
      <c r="D320" s="21"/>
      <c r="E320" s="21"/>
      <c r="F320" s="21"/>
      <c r="G320" s="21"/>
      <c r="H320" s="21"/>
      <c r="I320" s="21" t="str">
        <f>IF(E320="","",VLOOKUP(E320,tipo_organizacion[#ALL],2,0))</f>
        <v/>
      </c>
      <c r="J320" s="21" t="str">
        <f>IF(F320="","",VLOOKUP(F320,razon_social[#ALL],2,0))</f>
        <v/>
      </c>
      <c r="K320" s="21" t="str">
        <f>IF(G320="","",VLOOKUP(G320,tipo_contribuyente[#ALL],2,0))</f>
        <v/>
      </c>
      <c r="L320" s="21" t="str">
        <f>IF(H320="","",VLOOKUP(H320,pais[#ALL],2,0))</f>
        <v/>
      </c>
    </row>
    <row r="321">
      <c r="A321" s="21"/>
      <c r="B321" s="21"/>
      <c r="C321" s="21"/>
      <c r="D321" s="21"/>
      <c r="E321" s="21"/>
      <c r="F321" s="21"/>
      <c r="G321" s="21"/>
      <c r="H321" s="21"/>
      <c r="I321" s="21" t="str">
        <f>IF(E321="","",VLOOKUP(E321,tipo_organizacion[#ALL],2,0))</f>
        <v/>
      </c>
      <c r="J321" s="21" t="str">
        <f>IF(F321="","",VLOOKUP(F321,razon_social[#ALL],2,0))</f>
        <v/>
      </c>
      <c r="K321" s="21" t="str">
        <f>IF(G321="","",VLOOKUP(G321,tipo_contribuyente[#ALL],2,0))</f>
        <v/>
      </c>
      <c r="L321" s="21" t="str">
        <f>IF(H321="","",VLOOKUP(H321,pais[#ALL],2,0))</f>
        <v/>
      </c>
    </row>
    <row r="322">
      <c r="A322" s="21"/>
      <c r="B322" s="21"/>
      <c r="C322" s="21"/>
      <c r="D322" s="21"/>
      <c r="E322" s="21"/>
      <c r="F322" s="21"/>
      <c r="G322" s="21"/>
      <c r="H322" s="21"/>
      <c r="I322" s="21" t="str">
        <f>IF(E322="","",VLOOKUP(E322,tipo_organizacion[#ALL],2,0))</f>
        <v/>
      </c>
      <c r="J322" s="21" t="str">
        <f>IF(F322="","",VLOOKUP(F322,razon_social[#ALL],2,0))</f>
        <v/>
      </c>
      <c r="K322" s="21" t="str">
        <f>IF(G322="","",VLOOKUP(G322,tipo_contribuyente[#ALL],2,0))</f>
        <v/>
      </c>
      <c r="L322" s="21" t="str">
        <f>IF(H322="","",VLOOKUP(H322,pais[#ALL],2,0))</f>
        <v/>
      </c>
    </row>
    <row r="323">
      <c r="A323" s="21"/>
      <c r="B323" s="21"/>
      <c r="C323" s="21"/>
      <c r="D323" s="21"/>
      <c r="E323" s="21"/>
      <c r="F323" s="21"/>
      <c r="G323" s="21"/>
      <c r="H323" s="21"/>
      <c r="I323" s="21" t="str">
        <f>IF(E323="","",VLOOKUP(E323,tipo_organizacion[#ALL],2,0))</f>
        <v/>
      </c>
      <c r="J323" s="21" t="str">
        <f>IF(F323="","",VLOOKUP(F323,razon_social[#ALL],2,0))</f>
        <v/>
      </c>
      <c r="K323" s="21" t="str">
        <f>IF(G323="","",VLOOKUP(G323,tipo_contribuyente[#ALL],2,0))</f>
        <v/>
      </c>
      <c r="L323" s="21" t="str">
        <f>IF(H323="","",VLOOKUP(H323,pais[#ALL],2,0))</f>
        <v/>
      </c>
    </row>
    <row r="324">
      <c r="A324" s="21"/>
      <c r="B324" s="21"/>
      <c r="C324" s="21"/>
      <c r="D324" s="21"/>
      <c r="E324" s="21"/>
      <c r="F324" s="21"/>
      <c r="G324" s="21"/>
      <c r="H324" s="21"/>
      <c r="I324" s="21" t="str">
        <f>IF(E324="","",VLOOKUP(E324,tipo_organizacion[#ALL],2,0))</f>
        <v/>
      </c>
      <c r="J324" s="21" t="str">
        <f>IF(F324="","",VLOOKUP(F324,razon_social[#ALL],2,0))</f>
        <v/>
      </c>
      <c r="K324" s="21" t="str">
        <f>IF(G324="","",VLOOKUP(G324,tipo_contribuyente[#ALL],2,0))</f>
        <v/>
      </c>
      <c r="L324" s="21" t="str">
        <f>IF(H324="","",VLOOKUP(H324,pais[#ALL],2,0))</f>
        <v/>
      </c>
    </row>
    <row r="325">
      <c r="A325" s="21"/>
      <c r="B325" s="21"/>
      <c r="C325" s="21"/>
      <c r="D325" s="21"/>
      <c r="E325" s="21"/>
      <c r="F325" s="21"/>
      <c r="G325" s="21"/>
      <c r="H325" s="21"/>
      <c r="I325" s="21" t="str">
        <f>IF(E325="","",VLOOKUP(E325,tipo_organizacion[#ALL],2,0))</f>
        <v/>
      </c>
      <c r="J325" s="21" t="str">
        <f>IF(F325="","",VLOOKUP(F325,razon_social[#ALL],2,0))</f>
        <v/>
      </c>
      <c r="K325" s="21" t="str">
        <f>IF(G325="","",VLOOKUP(G325,tipo_contribuyente[#ALL],2,0))</f>
        <v/>
      </c>
      <c r="L325" s="21" t="str">
        <f>IF(H325="","",VLOOKUP(H325,pais[#ALL],2,0))</f>
        <v/>
      </c>
    </row>
    <row r="326">
      <c r="A326" s="21"/>
      <c r="B326" s="21"/>
      <c r="C326" s="21"/>
      <c r="D326" s="21"/>
      <c r="E326" s="21"/>
      <c r="F326" s="21"/>
      <c r="G326" s="21"/>
      <c r="H326" s="21"/>
      <c r="I326" s="21" t="str">
        <f>IF(E326="","",VLOOKUP(E326,tipo_organizacion[#ALL],2,0))</f>
        <v/>
      </c>
      <c r="J326" s="21" t="str">
        <f>IF(F326="","",VLOOKUP(F326,razon_social[#ALL],2,0))</f>
        <v/>
      </c>
      <c r="K326" s="21" t="str">
        <f>IF(G326="","",VLOOKUP(G326,tipo_contribuyente[#ALL],2,0))</f>
        <v/>
      </c>
      <c r="L326" s="21" t="str">
        <f>IF(H326="","",VLOOKUP(H326,pais[#ALL],2,0))</f>
        <v/>
      </c>
    </row>
    <row r="327">
      <c r="A327" s="21"/>
      <c r="B327" s="21"/>
      <c r="C327" s="21"/>
      <c r="D327" s="21"/>
      <c r="E327" s="21"/>
      <c r="F327" s="21"/>
      <c r="G327" s="21"/>
      <c r="H327" s="21"/>
      <c r="I327" s="21" t="str">
        <f>IF(E327="","",VLOOKUP(E327,tipo_organizacion[#ALL],2,0))</f>
        <v/>
      </c>
      <c r="J327" s="21" t="str">
        <f>IF(F327="","",VLOOKUP(F327,razon_social[#ALL],2,0))</f>
        <v/>
      </c>
      <c r="K327" s="21" t="str">
        <f>IF(G327="","",VLOOKUP(G327,tipo_contribuyente[#ALL],2,0))</f>
        <v/>
      </c>
      <c r="L327" s="21" t="str">
        <f>IF(H327="","",VLOOKUP(H327,pais[#ALL],2,0))</f>
        <v/>
      </c>
    </row>
    <row r="328">
      <c r="A328" s="21"/>
      <c r="B328" s="21"/>
      <c r="C328" s="21"/>
      <c r="D328" s="21"/>
      <c r="E328" s="21"/>
      <c r="F328" s="21"/>
      <c r="G328" s="21"/>
      <c r="H328" s="21"/>
      <c r="I328" s="21" t="str">
        <f>IF(E328="","",VLOOKUP(E328,tipo_organizacion[#ALL],2,0))</f>
        <v/>
      </c>
      <c r="J328" s="21" t="str">
        <f>IF(F328="","",VLOOKUP(F328,razon_social[#ALL],2,0))</f>
        <v/>
      </c>
      <c r="K328" s="21" t="str">
        <f>IF(G328="","",VLOOKUP(G328,tipo_contribuyente[#ALL],2,0))</f>
        <v/>
      </c>
      <c r="L328" s="21" t="str">
        <f>IF(H328="","",VLOOKUP(H328,pais[#ALL],2,0))</f>
        <v/>
      </c>
    </row>
    <row r="329">
      <c r="A329" s="21"/>
      <c r="B329" s="21"/>
      <c r="C329" s="21"/>
      <c r="D329" s="21"/>
      <c r="E329" s="21"/>
      <c r="F329" s="21"/>
      <c r="G329" s="21"/>
      <c r="H329" s="21"/>
      <c r="I329" s="21" t="str">
        <f>IF(E329="","",VLOOKUP(E329,tipo_organizacion[#ALL],2,0))</f>
        <v/>
      </c>
      <c r="J329" s="21" t="str">
        <f>IF(F329="","",VLOOKUP(F329,razon_social[#ALL],2,0))</f>
        <v/>
      </c>
      <c r="K329" s="21" t="str">
        <f>IF(G329="","",VLOOKUP(G329,tipo_contribuyente[#ALL],2,0))</f>
        <v/>
      </c>
      <c r="L329" s="21" t="str">
        <f>IF(H329="","",VLOOKUP(H329,pais[#ALL],2,0))</f>
        <v/>
      </c>
    </row>
    <row r="330">
      <c r="A330" s="21"/>
      <c r="B330" s="21"/>
      <c r="C330" s="21"/>
      <c r="D330" s="21"/>
      <c r="E330" s="21"/>
      <c r="F330" s="21"/>
      <c r="G330" s="21"/>
      <c r="H330" s="21"/>
      <c r="I330" s="21" t="str">
        <f>IF(E330="","",VLOOKUP(E330,tipo_organizacion[#ALL],2,0))</f>
        <v/>
      </c>
      <c r="J330" s="21" t="str">
        <f>IF(F330="","",VLOOKUP(F330,razon_social[#ALL],2,0))</f>
        <v/>
      </c>
      <c r="K330" s="21" t="str">
        <f>IF(G330="","",VLOOKUP(G330,tipo_contribuyente[#ALL],2,0))</f>
        <v/>
      </c>
      <c r="L330" s="21" t="str">
        <f>IF(H330="","",VLOOKUP(H330,pais[#ALL],2,0))</f>
        <v/>
      </c>
    </row>
    <row r="331">
      <c r="A331" s="21"/>
      <c r="B331" s="21"/>
      <c r="C331" s="21"/>
      <c r="D331" s="21"/>
      <c r="E331" s="21"/>
      <c r="F331" s="21"/>
      <c r="G331" s="21"/>
      <c r="H331" s="21"/>
      <c r="I331" s="21" t="str">
        <f>IF(E331="","",VLOOKUP(E331,tipo_organizacion[#ALL],2,0))</f>
        <v/>
      </c>
      <c r="J331" s="21" t="str">
        <f>IF(F331="","",VLOOKUP(F331,razon_social[#ALL],2,0))</f>
        <v/>
      </c>
      <c r="K331" s="21" t="str">
        <f>IF(G331="","",VLOOKUP(G331,tipo_contribuyente[#ALL],2,0))</f>
        <v/>
      </c>
      <c r="L331" s="21" t="str">
        <f>IF(H331="","",VLOOKUP(H331,pais[#ALL],2,0))</f>
        <v/>
      </c>
    </row>
    <row r="332">
      <c r="A332" s="21"/>
      <c r="B332" s="21"/>
      <c r="C332" s="21"/>
      <c r="D332" s="21"/>
      <c r="E332" s="21"/>
      <c r="F332" s="21"/>
      <c r="G332" s="21"/>
      <c r="H332" s="21"/>
      <c r="I332" s="21" t="str">
        <f>IF(E332="","",VLOOKUP(E332,tipo_organizacion[#ALL],2,0))</f>
        <v/>
      </c>
      <c r="J332" s="21" t="str">
        <f>IF(F332="","",VLOOKUP(F332,razon_social[#ALL],2,0))</f>
        <v/>
      </c>
      <c r="K332" s="21" t="str">
        <f>IF(G332="","",VLOOKUP(G332,tipo_contribuyente[#ALL],2,0))</f>
        <v/>
      </c>
      <c r="L332" s="21" t="str">
        <f>IF(H332="","",VLOOKUP(H332,pais[#ALL],2,0))</f>
        <v/>
      </c>
    </row>
    <row r="333">
      <c r="A333" s="21"/>
      <c r="B333" s="21"/>
      <c r="C333" s="21"/>
      <c r="D333" s="21"/>
      <c r="E333" s="21"/>
      <c r="F333" s="21"/>
      <c r="G333" s="21"/>
      <c r="H333" s="21"/>
      <c r="I333" s="21" t="str">
        <f>IF(E333="","",VLOOKUP(E333,tipo_organizacion[#ALL],2,0))</f>
        <v/>
      </c>
      <c r="J333" s="21" t="str">
        <f>IF(F333="","",VLOOKUP(F333,razon_social[#ALL],2,0))</f>
        <v/>
      </c>
      <c r="K333" s="21" t="str">
        <f>IF(G333="","",VLOOKUP(G333,tipo_contribuyente[#ALL],2,0))</f>
        <v/>
      </c>
      <c r="L333" s="21" t="str">
        <f>IF(H333="","",VLOOKUP(H333,pais[#ALL],2,0))</f>
        <v/>
      </c>
    </row>
    <row r="334">
      <c r="A334" s="21"/>
      <c r="B334" s="21"/>
      <c r="C334" s="21"/>
      <c r="D334" s="21"/>
      <c r="E334" s="21"/>
      <c r="F334" s="21"/>
      <c r="G334" s="21"/>
      <c r="H334" s="21"/>
      <c r="I334" s="21" t="str">
        <f>IF(E334="","",VLOOKUP(E334,tipo_organizacion[#ALL],2,0))</f>
        <v/>
      </c>
      <c r="J334" s="21" t="str">
        <f>IF(F334="","",VLOOKUP(F334,razon_social[#ALL],2,0))</f>
        <v/>
      </c>
      <c r="K334" s="21" t="str">
        <f>IF(G334="","",VLOOKUP(G334,tipo_contribuyente[#ALL],2,0))</f>
        <v/>
      </c>
      <c r="L334" s="21" t="str">
        <f>IF(H334="","",VLOOKUP(H334,pais[#ALL],2,0))</f>
        <v/>
      </c>
    </row>
    <row r="335">
      <c r="A335" s="21"/>
      <c r="B335" s="21"/>
      <c r="C335" s="21"/>
      <c r="D335" s="21"/>
      <c r="E335" s="21"/>
      <c r="F335" s="21"/>
      <c r="G335" s="21"/>
      <c r="H335" s="21"/>
      <c r="I335" s="21" t="str">
        <f>IF(E335="","",VLOOKUP(E335,tipo_organizacion[#ALL],2,0))</f>
        <v/>
      </c>
      <c r="J335" s="21" t="str">
        <f>IF(F335="","",VLOOKUP(F335,razon_social[#ALL],2,0))</f>
        <v/>
      </c>
      <c r="K335" s="21" t="str">
        <f>IF(G335="","",VLOOKUP(G335,tipo_contribuyente[#ALL],2,0))</f>
        <v/>
      </c>
      <c r="L335" s="21" t="str">
        <f>IF(H335="","",VLOOKUP(H335,pais[#ALL],2,0))</f>
        <v/>
      </c>
    </row>
    <row r="336">
      <c r="A336" s="21"/>
      <c r="B336" s="21"/>
      <c r="C336" s="21"/>
      <c r="D336" s="21"/>
      <c r="E336" s="21"/>
      <c r="F336" s="21"/>
      <c r="G336" s="21"/>
      <c r="H336" s="21"/>
      <c r="I336" s="21" t="str">
        <f>IF(E336="","",VLOOKUP(E336,tipo_organizacion[#ALL],2,0))</f>
        <v/>
      </c>
      <c r="J336" s="21" t="str">
        <f>IF(F336="","",VLOOKUP(F336,razon_social[#ALL],2,0))</f>
        <v/>
      </c>
      <c r="K336" s="21" t="str">
        <f>IF(G336="","",VLOOKUP(G336,tipo_contribuyente[#ALL],2,0))</f>
        <v/>
      </c>
      <c r="L336" s="21" t="str">
        <f>IF(H336="","",VLOOKUP(H336,pais[#ALL],2,0))</f>
        <v/>
      </c>
    </row>
    <row r="337">
      <c r="A337" s="21"/>
      <c r="B337" s="21"/>
      <c r="C337" s="21"/>
      <c r="D337" s="21"/>
      <c r="E337" s="21"/>
      <c r="F337" s="21"/>
      <c r="G337" s="21"/>
      <c r="H337" s="21"/>
      <c r="I337" s="21" t="str">
        <f>IF(E337="","",VLOOKUP(E337,tipo_organizacion[#ALL],2,0))</f>
        <v/>
      </c>
      <c r="J337" s="21" t="str">
        <f>IF(F337="","",VLOOKUP(F337,razon_social[#ALL],2,0))</f>
        <v/>
      </c>
      <c r="K337" s="21" t="str">
        <f>IF(G337="","",VLOOKUP(G337,tipo_contribuyente[#ALL],2,0))</f>
        <v/>
      </c>
      <c r="L337" s="21" t="str">
        <f>IF(H337="","",VLOOKUP(H337,pais[#ALL],2,0))</f>
        <v/>
      </c>
    </row>
    <row r="338">
      <c r="A338" s="21"/>
      <c r="B338" s="21"/>
      <c r="C338" s="21"/>
      <c r="D338" s="21"/>
      <c r="E338" s="21"/>
      <c r="F338" s="21"/>
      <c r="G338" s="21"/>
      <c r="H338" s="21"/>
      <c r="I338" s="21" t="str">
        <f>IF(E338="","",VLOOKUP(E338,tipo_organizacion[#ALL],2,0))</f>
        <v/>
      </c>
      <c r="J338" s="21" t="str">
        <f>IF(F338="","",VLOOKUP(F338,razon_social[#ALL],2,0))</f>
        <v/>
      </c>
      <c r="K338" s="21" t="str">
        <f>IF(G338="","",VLOOKUP(G338,tipo_contribuyente[#ALL],2,0))</f>
        <v/>
      </c>
      <c r="L338" s="21" t="str">
        <f>IF(H338="","",VLOOKUP(H338,pais[#ALL],2,0))</f>
        <v/>
      </c>
    </row>
    <row r="339">
      <c r="A339" s="21"/>
      <c r="B339" s="21"/>
      <c r="C339" s="21"/>
      <c r="D339" s="21"/>
      <c r="E339" s="21"/>
      <c r="F339" s="21"/>
      <c r="G339" s="21"/>
      <c r="H339" s="21"/>
      <c r="I339" s="21" t="str">
        <f>IF(E339="","",VLOOKUP(E339,tipo_organizacion[#ALL],2,0))</f>
        <v/>
      </c>
      <c r="J339" s="21" t="str">
        <f>IF(F339="","",VLOOKUP(F339,razon_social[#ALL],2,0))</f>
        <v/>
      </c>
      <c r="K339" s="21" t="str">
        <f>IF(G339="","",VLOOKUP(G339,tipo_contribuyente[#ALL],2,0))</f>
        <v/>
      </c>
      <c r="L339" s="21" t="str">
        <f>IF(H339="","",VLOOKUP(H339,pais[#ALL],2,0))</f>
        <v/>
      </c>
    </row>
    <row r="340">
      <c r="A340" s="21"/>
      <c r="B340" s="21"/>
      <c r="C340" s="21"/>
      <c r="D340" s="21"/>
      <c r="E340" s="21"/>
      <c r="F340" s="21"/>
      <c r="G340" s="21"/>
      <c r="H340" s="21"/>
      <c r="I340" s="21" t="str">
        <f>IF(E340="","",VLOOKUP(E340,tipo_organizacion[#ALL],2,0))</f>
        <v/>
      </c>
      <c r="J340" s="21" t="str">
        <f>IF(F340="","",VLOOKUP(F340,razon_social[#ALL],2,0))</f>
        <v/>
      </c>
      <c r="K340" s="21" t="str">
        <f>IF(G340="","",VLOOKUP(G340,tipo_contribuyente[#ALL],2,0))</f>
        <v/>
      </c>
      <c r="L340" s="21" t="str">
        <f>IF(H340="","",VLOOKUP(H340,pais[#ALL],2,0))</f>
        <v/>
      </c>
    </row>
    <row r="341">
      <c r="A341" s="21"/>
      <c r="B341" s="21"/>
      <c r="C341" s="21"/>
      <c r="D341" s="21"/>
      <c r="E341" s="21"/>
      <c r="F341" s="21"/>
      <c r="G341" s="21"/>
      <c r="H341" s="21"/>
      <c r="I341" s="21" t="str">
        <f>IF(E341="","",VLOOKUP(E341,tipo_organizacion[#ALL],2,0))</f>
        <v/>
      </c>
      <c r="J341" s="21" t="str">
        <f>IF(F341="","",VLOOKUP(F341,razon_social[#ALL],2,0))</f>
        <v/>
      </c>
      <c r="K341" s="21" t="str">
        <f>IF(G341="","",VLOOKUP(G341,tipo_contribuyente[#ALL],2,0))</f>
        <v/>
      </c>
      <c r="L341" s="21" t="str">
        <f>IF(H341="","",VLOOKUP(H341,pais[#ALL],2,0))</f>
        <v/>
      </c>
    </row>
    <row r="342">
      <c r="A342" s="21"/>
      <c r="B342" s="21"/>
      <c r="C342" s="21"/>
      <c r="D342" s="21"/>
      <c r="E342" s="21"/>
      <c r="F342" s="21"/>
      <c r="G342" s="21"/>
      <c r="H342" s="21"/>
      <c r="I342" s="21" t="str">
        <f>IF(E342="","",VLOOKUP(E342,tipo_organizacion[#ALL],2,0))</f>
        <v/>
      </c>
      <c r="J342" s="21" t="str">
        <f>IF(F342="","",VLOOKUP(F342,razon_social[#ALL],2,0))</f>
        <v/>
      </c>
      <c r="K342" s="21" t="str">
        <f>IF(G342="","",VLOOKUP(G342,tipo_contribuyente[#ALL],2,0))</f>
        <v/>
      </c>
      <c r="L342" s="21" t="str">
        <f>IF(H342="","",VLOOKUP(H342,pais[#ALL],2,0))</f>
        <v/>
      </c>
    </row>
    <row r="343">
      <c r="A343" s="21"/>
      <c r="B343" s="21"/>
      <c r="C343" s="21"/>
      <c r="D343" s="21"/>
      <c r="E343" s="21"/>
      <c r="F343" s="21"/>
      <c r="G343" s="21"/>
      <c r="H343" s="21"/>
      <c r="I343" s="21" t="str">
        <f>IF(E343="","",VLOOKUP(E343,tipo_organizacion[#ALL],2,0))</f>
        <v/>
      </c>
      <c r="J343" s="21" t="str">
        <f>IF(F343="","",VLOOKUP(F343,razon_social[#ALL],2,0))</f>
        <v/>
      </c>
      <c r="K343" s="21" t="str">
        <f>IF(G343="","",VLOOKUP(G343,tipo_contribuyente[#ALL],2,0))</f>
        <v/>
      </c>
      <c r="L343" s="21" t="str">
        <f>IF(H343="","",VLOOKUP(H343,pais[#ALL],2,0))</f>
        <v/>
      </c>
    </row>
    <row r="344">
      <c r="A344" s="21"/>
      <c r="B344" s="21"/>
      <c r="C344" s="21"/>
      <c r="D344" s="21"/>
      <c r="E344" s="21"/>
      <c r="F344" s="21"/>
      <c r="G344" s="21"/>
      <c r="H344" s="21"/>
      <c r="I344" s="21" t="str">
        <f>IF(E344="","",VLOOKUP(E344,tipo_organizacion[#ALL],2,0))</f>
        <v/>
      </c>
      <c r="J344" s="21" t="str">
        <f>IF(F344="","",VLOOKUP(F344,razon_social[#ALL],2,0))</f>
        <v/>
      </c>
      <c r="K344" s="21" t="str">
        <f>IF(G344="","",VLOOKUP(G344,tipo_contribuyente[#ALL],2,0))</f>
        <v/>
      </c>
      <c r="L344" s="21" t="str">
        <f>IF(H344="","",VLOOKUP(H344,pais[#ALL],2,0))</f>
        <v/>
      </c>
    </row>
    <row r="345">
      <c r="A345" s="21"/>
      <c r="B345" s="21"/>
      <c r="C345" s="21"/>
      <c r="D345" s="21"/>
      <c r="E345" s="21"/>
      <c r="F345" s="21"/>
      <c r="G345" s="21"/>
      <c r="H345" s="21"/>
      <c r="I345" s="21" t="str">
        <f>IF(E345="","",VLOOKUP(E345,tipo_organizacion[#ALL],2,0))</f>
        <v/>
      </c>
      <c r="J345" s="21" t="str">
        <f>IF(F345="","",VLOOKUP(F345,razon_social[#ALL],2,0))</f>
        <v/>
      </c>
      <c r="K345" s="21" t="str">
        <f>IF(G345="","",VLOOKUP(G345,tipo_contribuyente[#ALL],2,0))</f>
        <v/>
      </c>
      <c r="L345" s="21" t="str">
        <f>IF(H345="","",VLOOKUP(H345,pais[#ALL],2,0))</f>
        <v/>
      </c>
    </row>
    <row r="346">
      <c r="A346" s="21"/>
      <c r="B346" s="21"/>
      <c r="C346" s="21"/>
      <c r="D346" s="21"/>
      <c r="E346" s="21"/>
      <c r="F346" s="21"/>
      <c r="G346" s="21"/>
      <c r="H346" s="21"/>
      <c r="I346" s="21" t="str">
        <f>IF(E346="","",VLOOKUP(E346,tipo_organizacion[#ALL],2,0))</f>
        <v/>
      </c>
      <c r="J346" s="21" t="str">
        <f>IF(F346="","",VLOOKUP(F346,razon_social[#ALL],2,0))</f>
        <v/>
      </c>
      <c r="K346" s="21" t="str">
        <f>IF(G346="","",VLOOKUP(G346,tipo_contribuyente[#ALL],2,0))</f>
        <v/>
      </c>
      <c r="L346" s="21" t="str">
        <f>IF(H346="","",VLOOKUP(H346,pais[#ALL],2,0))</f>
        <v/>
      </c>
    </row>
    <row r="347">
      <c r="A347" s="21"/>
      <c r="B347" s="21"/>
      <c r="C347" s="21"/>
      <c r="D347" s="21"/>
      <c r="E347" s="21"/>
      <c r="F347" s="21"/>
      <c r="G347" s="21"/>
      <c r="H347" s="21"/>
      <c r="I347" s="21" t="str">
        <f>IF(E347="","",VLOOKUP(E347,tipo_organizacion[#ALL],2,0))</f>
        <v/>
      </c>
      <c r="J347" s="21" t="str">
        <f>IF(F347="","",VLOOKUP(F347,razon_social[#ALL],2,0))</f>
        <v/>
      </c>
      <c r="K347" s="21" t="str">
        <f>IF(G347="","",VLOOKUP(G347,tipo_contribuyente[#ALL],2,0))</f>
        <v/>
      </c>
      <c r="L347" s="21" t="str">
        <f>IF(H347="","",VLOOKUP(H347,pais[#ALL],2,0))</f>
        <v/>
      </c>
    </row>
    <row r="348">
      <c r="A348" s="21"/>
      <c r="B348" s="21"/>
      <c r="C348" s="21"/>
      <c r="D348" s="21"/>
      <c r="E348" s="21"/>
      <c r="F348" s="21"/>
      <c r="G348" s="21"/>
      <c r="H348" s="21"/>
      <c r="I348" s="21" t="str">
        <f>IF(E348="","",VLOOKUP(E348,tipo_organizacion[#ALL],2,0))</f>
        <v/>
      </c>
      <c r="J348" s="21" t="str">
        <f>IF(F348="","",VLOOKUP(F348,razon_social[#ALL],2,0))</f>
        <v/>
      </c>
      <c r="K348" s="21" t="str">
        <f>IF(G348="","",VLOOKUP(G348,tipo_contribuyente[#ALL],2,0))</f>
        <v/>
      </c>
      <c r="L348" s="21" t="str">
        <f>IF(H348="","",VLOOKUP(H348,pais[#ALL],2,0))</f>
        <v/>
      </c>
    </row>
    <row r="349">
      <c r="A349" s="21"/>
      <c r="B349" s="21"/>
      <c r="C349" s="21"/>
      <c r="D349" s="21"/>
      <c r="E349" s="21"/>
      <c r="F349" s="21"/>
      <c r="G349" s="21"/>
      <c r="H349" s="21"/>
      <c r="I349" s="21" t="str">
        <f>IF(E349="","",VLOOKUP(E349,tipo_organizacion[#ALL],2,0))</f>
        <v/>
      </c>
      <c r="J349" s="21" t="str">
        <f>IF(F349="","",VLOOKUP(F349,razon_social[#ALL],2,0))</f>
        <v/>
      </c>
      <c r="K349" s="21" t="str">
        <f>IF(G349="","",VLOOKUP(G349,tipo_contribuyente[#ALL],2,0))</f>
        <v/>
      </c>
      <c r="L349" s="21" t="str">
        <f>IF(H349="","",VLOOKUP(H349,pais[#ALL],2,0))</f>
        <v/>
      </c>
    </row>
    <row r="350">
      <c r="A350" s="21"/>
      <c r="B350" s="21"/>
      <c r="C350" s="21"/>
      <c r="D350" s="21"/>
      <c r="E350" s="21"/>
      <c r="F350" s="21"/>
      <c r="G350" s="21"/>
      <c r="H350" s="21"/>
      <c r="I350" s="21" t="str">
        <f>IF(E350="","",VLOOKUP(E350,tipo_organizacion[#ALL],2,0))</f>
        <v/>
      </c>
      <c r="J350" s="21" t="str">
        <f>IF(F350="","",VLOOKUP(F350,razon_social[#ALL],2,0))</f>
        <v/>
      </c>
      <c r="K350" s="21" t="str">
        <f>IF(G350="","",VLOOKUP(G350,tipo_contribuyente[#ALL],2,0))</f>
        <v/>
      </c>
      <c r="L350" s="21" t="str">
        <f>IF(H350="","",VLOOKUP(H350,pais[#ALL],2,0))</f>
        <v/>
      </c>
    </row>
    <row r="351">
      <c r="A351" s="21"/>
      <c r="B351" s="21"/>
      <c r="C351" s="21"/>
      <c r="D351" s="21"/>
      <c r="E351" s="21"/>
      <c r="F351" s="21"/>
      <c r="G351" s="21"/>
      <c r="H351" s="21"/>
      <c r="I351" s="21" t="str">
        <f>IF(E351="","",VLOOKUP(E351,tipo_organizacion[#ALL],2,0))</f>
        <v/>
      </c>
      <c r="J351" s="21" t="str">
        <f>IF(F351="","",VLOOKUP(F351,razon_social[#ALL],2,0))</f>
        <v/>
      </c>
      <c r="K351" s="21" t="str">
        <f>IF(G351="","",VLOOKUP(G351,tipo_contribuyente[#ALL],2,0))</f>
        <v/>
      </c>
      <c r="L351" s="21" t="str">
        <f>IF(H351="","",VLOOKUP(H351,pais[#ALL],2,0))</f>
        <v/>
      </c>
    </row>
    <row r="352">
      <c r="A352" s="21"/>
      <c r="B352" s="21"/>
      <c r="C352" s="21"/>
      <c r="D352" s="21"/>
      <c r="E352" s="21"/>
      <c r="F352" s="21"/>
      <c r="G352" s="21"/>
      <c r="H352" s="21"/>
      <c r="I352" s="21" t="str">
        <f>IF(E352="","",VLOOKUP(E352,tipo_organizacion[#ALL],2,0))</f>
        <v/>
      </c>
      <c r="J352" s="21" t="str">
        <f>IF(F352="","",VLOOKUP(F352,razon_social[#ALL],2,0))</f>
        <v/>
      </c>
      <c r="K352" s="21" t="str">
        <f>IF(G352="","",VLOOKUP(G352,tipo_contribuyente[#ALL],2,0))</f>
        <v/>
      </c>
      <c r="L352" s="21" t="str">
        <f>IF(H352="","",VLOOKUP(H352,pais[#ALL],2,0))</f>
        <v/>
      </c>
    </row>
    <row r="353">
      <c r="A353" s="21"/>
      <c r="B353" s="21"/>
      <c r="C353" s="21"/>
      <c r="D353" s="21"/>
      <c r="E353" s="21"/>
      <c r="F353" s="21"/>
      <c r="G353" s="21"/>
      <c r="H353" s="21"/>
      <c r="I353" s="21" t="str">
        <f>IF(E353="","",VLOOKUP(E353,tipo_organizacion[#ALL],2,0))</f>
        <v/>
      </c>
      <c r="J353" s="21" t="str">
        <f>IF(F353="","",VLOOKUP(F353,razon_social[#ALL],2,0))</f>
        <v/>
      </c>
      <c r="K353" s="21" t="str">
        <f>IF(G353="","",VLOOKUP(G353,tipo_contribuyente[#ALL],2,0))</f>
        <v/>
      </c>
      <c r="L353" s="21" t="str">
        <f>IF(H353="","",VLOOKUP(H353,pais[#ALL],2,0))</f>
        <v/>
      </c>
    </row>
    <row r="354">
      <c r="A354" s="21"/>
      <c r="B354" s="21"/>
      <c r="C354" s="21"/>
      <c r="D354" s="21"/>
      <c r="E354" s="21"/>
      <c r="F354" s="21"/>
      <c r="G354" s="21"/>
      <c r="H354" s="21"/>
      <c r="I354" s="21" t="str">
        <f>IF(E354="","",VLOOKUP(E354,tipo_organizacion[#ALL],2,0))</f>
        <v/>
      </c>
      <c r="J354" s="21" t="str">
        <f>IF(F354="","",VLOOKUP(F354,razon_social[#ALL],2,0))</f>
        <v/>
      </c>
      <c r="K354" s="21" t="str">
        <f>IF(G354="","",VLOOKUP(G354,tipo_contribuyente[#ALL],2,0))</f>
        <v/>
      </c>
      <c r="L354" s="21" t="str">
        <f>IF(H354="","",VLOOKUP(H354,pais[#ALL],2,0))</f>
        <v/>
      </c>
    </row>
    <row r="355">
      <c r="A355" s="21"/>
      <c r="B355" s="21"/>
      <c r="C355" s="21"/>
      <c r="D355" s="21"/>
      <c r="E355" s="21"/>
      <c r="F355" s="21"/>
      <c r="G355" s="21"/>
      <c r="H355" s="21"/>
      <c r="I355" s="21" t="str">
        <f>IF(E355="","",VLOOKUP(E355,tipo_organizacion[#ALL],2,0))</f>
        <v/>
      </c>
      <c r="J355" s="21" t="str">
        <f>IF(F355="","",VLOOKUP(F355,razon_social[#ALL],2,0))</f>
        <v/>
      </c>
      <c r="K355" s="21" t="str">
        <f>IF(G355="","",VLOOKUP(G355,tipo_contribuyente[#ALL],2,0))</f>
        <v/>
      </c>
      <c r="L355" s="21" t="str">
        <f>IF(H355="","",VLOOKUP(H355,pais[#ALL],2,0))</f>
        <v/>
      </c>
    </row>
    <row r="356">
      <c r="A356" s="21"/>
      <c r="B356" s="21"/>
      <c r="C356" s="21"/>
      <c r="D356" s="21"/>
      <c r="E356" s="21"/>
      <c r="F356" s="21"/>
      <c r="G356" s="21"/>
      <c r="H356" s="21"/>
      <c r="I356" s="21" t="str">
        <f>IF(E356="","",VLOOKUP(E356,tipo_organizacion[#ALL],2,0))</f>
        <v/>
      </c>
      <c r="J356" s="21" t="str">
        <f>IF(F356="","",VLOOKUP(F356,razon_social[#ALL],2,0))</f>
        <v/>
      </c>
      <c r="K356" s="21" t="str">
        <f>IF(G356="","",VLOOKUP(G356,tipo_contribuyente[#ALL],2,0))</f>
        <v/>
      </c>
      <c r="L356" s="21" t="str">
        <f>IF(H356="","",VLOOKUP(H356,pais[#ALL],2,0))</f>
        <v/>
      </c>
    </row>
    <row r="357">
      <c r="A357" s="21"/>
      <c r="B357" s="21"/>
      <c r="C357" s="21"/>
      <c r="D357" s="21"/>
      <c r="E357" s="21"/>
      <c r="F357" s="21"/>
      <c r="G357" s="21"/>
      <c r="H357" s="21"/>
      <c r="I357" s="21" t="str">
        <f>IF(E357="","",VLOOKUP(E357,tipo_organizacion[#ALL],2,0))</f>
        <v/>
      </c>
      <c r="J357" s="21" t="str">
        <f>IF(F357="","",VLOOKUP(F357,razon_social[#ALL],2,0))</f>
        <v/>
      </c>
      <c r="K357" s="21" t="str">
        <f>IF(G357="","",VLOOKUP(G357,tipo_contribuyente[#ALL],2,0))</f>
        <v/>
      </c>
      <c r="L357" s="21" t="str">
        <f>IF(H357="","",VLOOKUP(H357,pais[#ALL],2,0))</f>
        <v/>
      </c>
    </row>
    <row r="358">
      <c r="A358" s="21"/>
      <c r="B358" s="21"/>
      <c r="C358" s="21"/>
      <c r="D358" s="21"/>
      <c r="E358" s="21"/>
      <c r="F358" s="21"/>
      <c r="G358" s="21"/>
      <c r="H358" s="21"/>
      <c r="I358" s="21" t="str">
        <f>IF(E358="","",VLOOKUP(E358,tipo_organizacion[#ALL],2,0))</f>
        <v/>
      </c>
      <c r="J358" s="21" t="str">
        <f>IF(F358="","",VLOOKUP(F358,razon_social[#ALL],2,0))</f>
        <v/>
      </c>
      <c r="K358" s="21" t="str">
        <f>IF(G358="","",VLOOKUP(G358,tipo_contribuyente[#ALL],2,0))</f>
        <v/>
      </c>
      <c r="L358" s="21" t="str">
        <f>IF(H358="","",VLOOKUP(H358,pais[#ALL],2,0))</f>
        <v/>
      </c>
    </row>
    <row r="359">
      <c r="A359" s="21"/>
      <c r="B359" s="21"/>
      <c r="C359" s="21"/>
      <c r="D359" s="21"/>
      <c r="E359" s="21"/>
      <c r="F359" s="21"/>
      <c r="G359" s="21"/>
      <c r="H359" s="21"/>
      <c r="I359" s="21" t="str">
        <f>IF(E359="","",VLOOKUP(E359,tipo_organizacion[#ALL],2,0))</f>
        <v/>
      </c>
      <c r="J359" s="21" t="str">
        <f>IF(F359="","",VLOOKUP(F359,razon_social[#ALL],2,0))</f>
        <v/>
      </c>
      <c r="K359" s="21" t="str">
        <f>IF(G359="","",VLOOKUP(G359,tipo_contribuyente[#ALL],2,0))</f>
        <v/>
      </c>
      <c r="L359" s="21" t="str">
        <f>IF(H359="","",VLOOKUP(H359,pais[#ALL],2,0))</f>
        <v/>
      </c>
    </row>
    <row r="360">
      <c r="A360" s="21"/>
      <c r="B360" s="21"/>
      <c r="C360" s="21"/>
      <c r="D360" s="21"/>
      <c r="E360" s="21"/>
      <c r="F360" s="21"/>
      <c r="G360" s="21"/>
      <c r="H360" s="21"/>
      <c r="I360" s="21" t="str">
        <f>IF(E360="","",VLOOKUP(E360,tipo_organizacion[#ALL],2,0))</f>
        <v/>
      </c>
      <c r="J360" s="21" t="str">
        <f>IF(F360="","",VLOOKUP(F360,razon_social[#ALL],2,0))</f>
        <v/>
      </c>
      <c r="K360" s="21" t="str">
        <f>IF(G360="","",VLOOKUP(G360,tipo_contribuyente[#ALL],2,0))</f>
        <v/>
      </c>
      <c r="L360" s="21" t="str">
        <f>IF(H360="","",VLOOKUP(H360,pais[#ALL],2,0))</f>
        <v/>
      </c>
    </row>
    <row r="361">
      <c r="A361" s="21"/>
      <c r="B361" s="21"/>
      <c r="C361" s="21"/>
      <c r="D361" s="21"/>
      <c r="E361" s="21"/>
      <c r="F361" s="21"/>
      <c r="G361" s="21"/>
      <c r="H361" s="21"/>
      <c r="I361" s="21" t="str">
        <f>IF(E361="","",VLOOKUP(E361,tipo_organizacion[#ALL],2,0))</f>
        <v/>
      </c>
      <c r="J361" s="21" t="str">
        <f>IF(F361="","",VLOOKUP(F361,razon_social[#ALL],2,0))</f>
        <v/>
      </c>
      <c r="K361" s="21" t="str">
        <f>IF(G361="","",VLOOKUP(G361,tipo_contribuyente[#ALL],2,0))</f>
        <v/>
      </c>
      <c r="L361" s="21" t="str">
        <f>IF(H361="","",VLOOKUP(H361,pais[#ALL],2,0))</f>
        <v/>
      </c>
    </row>
    <row r="362">
      <c r="A362" s="21"/>
      <c r="B362" s="21"/>
      <c r="C362" s="21"/>
      <c r="D362" s="21"/>
      <c r="E362" s="21"/>
      <c r="F362" s="21"/>
      <c r="G362" s="21"/>
      <c r="H362" s="21"/>
      <c r="I362" s="21" t="str">
        <f>IF(E362="","",VLOOKUP(E362,tipo_organizacion[#ALL],2,0))</f>
        <v/>
      </c>
      <c r="J362" s="21" t="str">
        <f>IF(F362="","",VLOOKUP(F362,razon_social[#ALL],2,0))</f>
        <v/>
      </c>
      <c r="K362" s="21" t="str">
        <f>IF(G362="","",VLOOKUP(G362,tipo_contribuyente[#ALL],2,0))</f>
        <v/>
      </c>
      <c r="L362" s="21" t="str">
        <f>IF(H362="","",VLOOKUP(H362,pais[#ALL],2,0))</f>
        <v/>
      </c>
    </row>
    <row r="363">
      <c r="A363" s="21"/>
      <c r="B363" s="21"/>
      <c r="C363" s="21"/>
      <c r="D363" s="21"/>
      <c r="E363" s="21"/>
      <c r="F363" s="21"/>
      <c r="G363" s="21"/>
      <c r="H363" s="21"/>
      <c r="I363" s="21" t="str">
        <f>IF(E363="","",VLOOKUP(E363,tipo_organizacion[#ALL],2,0))</f>
        <v/>
      </c>
      <c r="J363" s="21" t="str">
        <f>IF(F363="","",VLOOKUP(F363,razon_social[#ALL],2,0))</f>
        <v/>
      </c>
      <c r="K363" s="21" t="str">
        <f>IF(G363="","",VLOOKUP(G363,tipo_contribuyente[#ALL],2,0))</f>
        <v/>
      </c>
      <c r="L363" s="21" t="str">
        <f>IF(H363="","",VLOOKUP(H363,pais[#ALL],2,0))</f>
        <v/>
      </c>
    </row>
    <row r="364">
      <c r="A364" s="21"/>
      <c r="B364" s="21"/>
      <c r="C364" s="21"/>
      <c r="D364" s="21"/>
      <c r="E364" s="21"/>
      <c r="F364" s="21"/>
      <c r="G364" s="21"/>
      <c r="H364" s="21"/>
      <c r="I364" s="21" t="str">
        <f>IF(E364="","",VLOOKUP(E364,tipo_organizacion[#ALL],2,0))</f>
        <v/>
      </c>
      <c r="J364" s="21" t="str">
        <f>IF(F364="","",VLOOKUP(F364,razon_social[#ALL],2,0))</f>
        <v/>
      </c>
      <c r="K364" s="21" t="str">
        <f>IF(G364="","",VLOOKUP(G364,tipo_contribuyente[#ALL],2,0))</f>
        <v/>
      </c>
      <c r="L364" s="21" t="str">
        <f>IF(H364="","",VLOOKUP(H364,pais[#ALL],2,0))</f>
        <v/>
      </c>
    </row>
    <row r="365">
      <c r="A365" s="21"/>
      <c r="B365" s="21"/>
      <c r="C365" s="21"/>
      <c r="D365" s="21"/>
      <c r="E365" s="21"/>
      <c r="F365" s="21"/>
      <c r="G365" s="21"/>
      <c r="H365" s="21"/>
      <c r="I365" s="21" t="str">
        <f>IF(E365="","",VLOOKUP(E365,tipo_organizacion[#ALL],2,0))</f>
        <v/>
      </c>
      <c r="J365" s="21" t="str">
        <f>IF(F365="","",VLOOKUP(F365,razon_social[#ALL],2,0))</f>
        <v/>
      </c>
      <c r="K365" s="21" t="str">
        <f>IF(G365="","",VLOOKUP(G365,tipo_contribuyente[#ALL],2,0))</f>
        <v/>
      </c>
      <c r="L365" s="21" t="str">
        <f>IF(H365="","",VLOOKUP(H365,pais[#ALL],2,0))</f>
        <v/>
      </c>
    </row>
    <row r="366">
      <c r="A366" s="21"/>
      <c r="B366" s="21"/>
      <c r="C366" s="21"/>
      <c r="D366" s="21"/>
      <c r="E366" s="21"/>
      <c r="F366" s="21"/>
      <c r="G366" s="21"/>
      <c r="H366" s="21"/>
      <c r="I366" s="21" t="str">
        <f>IF(E366="","",VLOOKUP(E366,tipo_organizacion[#ALL],2,0))</f>
        <v/>
      </c>
      <c r="J366" s="21" t="str">
        <f>IF(F366="","",VLOOKUP(F366,razon_social[#ALL],2,0))</f>
        <v/>
      </c>
      <c r="K366" s="21" t="str">
        <f>IF(G366="","",VLOOKUP(G366,tipo_contribuyente[#ALL],2,0))</f>
        <v/>
      </c>
      <c r="L366" s="21" t="str">
        <f>IF(H366="","",VLOOKUP(H366,pais[#ALL],2,0))</f>
        <v/>
      </c>
    </row>
    <row r="367">
      <c r="A367" s="21"/>
      <c r="B367" s="21"/>
      <c r="C367" s="21"/>
      <c r="D367" s="21"/>
      <c r="E367" s="21"/>
      <c r="F367" s="21"/>
      <c r="G367" s="21"/>
      <c r="H367" s="21"/>
      <c r="I367" s="21" t="str">
        <f>IF(E367="","",VLOOKUP(E367,tipo_organizacion[#ALL],2,0))</f>
        <v/>
      </c>
      <c r="J367" s="21" t="str">
        <f>IF(F367="","",VLOOKUP(F367,razon_social[#ALL],2,0))</f>
        <v/>
      </c>
      <c r="K367" s="21" t="str">
        <f>IF(G367="","",VLOOKUP(G367,tipo_contribuyente[#ALL],2,0))</f>
        <v/>
      </c>
      <c r="L367" s="21" t="str">
        <f>IF(H367="","",VLOOKUP(H367,pais[#ALL],2,0))</f>
        <v/>
      </c>
    </row>
    <row r="368">
      <c r="A368" s="21"/>
      <c r="B368" s="21"/>
      <c r="C368" s="21"/>
      <c r="D368" s="21"/>
      <c r="E368" s="21"/>
      <c r="F368" s="21"/>
      <c r="G368" s="21"/>
      <c r="H368" s="21"/>
      <c r="I368" s="21" t="str">
        <f>IF(E368="","",VLOOKUP(E368,tipo_organizacion[#ALL],2,0))</f>
        <v/>
      </c>
      <c r="J368" s="21" t="str">
        <f>IF(F368="","",VLOOKUP(F368,razon_social[#ALL],2,0))</f>
        <v/>
      </c>
      <c r="K368" s="21" t="str">
        <f>IF(G368="","",VLOOKUP(G368,tipo_contribuyente[#ALL],2,0))</f>
        <v/>
      </c>
      <c r="L368" s="21" t="str">
        <f>IF(H368="","",VLOOKUP(H368,pais[#ALL],2,0))</f>
        <v/>
      </c>
    </row>
    <row r="369">
      <c r="A369" s="21"/>
      <c r="B369" s="21"/>
      <c r="C369" s="21"/>
      <c r="D369" s="21"/>
      <c r="E369" s="21"/>
      <c r="F369" s="21"/>
      <c r="G369" s="21"/>
      <c r="H369" s="21"/>
      <c r="I369" s="21" t="str">
        <f>IF(E369="","",VLOOKUP(E369,tipo_organizacion[#ALL],2,0))</f>
        <v/>
      </c>
      <c r="J369" s="21" t="str">
        <f>IF(F369="","",VLOOKUP(F369,razon_social[#ALL],2,0))</f>
        <v/>
      </c>
      <c r="K369" s="21" t="str">
        <f>IF(G369="","",VLOOKUP(G369,tipo_contribuyente[#ALL],2,0))</f>
        <v/>
      </c>
      <c r="L369" s="21" t="str">
        <f>IF(H369="","",VLOOKUP(H369,pais[#ALL],2,0))</f>
        <v/>
      </c>
    </row>
    <row r="370">
      <c r="A370" s="21"/>
      <c r="B370" s="21"/>
      <c r="C370" s="21"/>
      <c r="D370" s="21"/>
      <c r="E370" s="21"/>
      <c r="F370" s="21"/>
      <c r="G370" s="21"/>
      <c r="H370" s="21"/>
      <c r="I370" s="21" t="str">
        <f>IF(E370="","",VLOOKUP(E370,tipo_organizacion[#ALL],2,0))</f>
        <v/>
      </c>
      <c r="J370" s="21" t="str">
        <f>IF(F370="","",VLOOKUP(F370,razon_social[#ALL],2,0))</f>
        <v/>
      </c>
      <c r="K370" s="21" t="str">
        <f>IF(G370="","",VLOOKUP(G370,tipo_contribuyente[#ALL],2,0))</f>
        <v/>
      </c>
      <c r="L370" s="21" t="str">
        <f>IF(H370="","",VLOOKUP(H370,pais[#ALL],2,0))</f>
        <v/>
      </c>
    </row>
    <row r="371">
      <c r="A371" s="21"/>
      <c r="B371" s="21"/>
      <c r="C371" s="21"/>
      <c r="D371" s="21"/>
      <c r="E371" s="21"/>
      <c r="F371" s="21"/>
      <c r="G371" s="21"/>
      <c r="H371" s="21"/>
      <c r="I371" s="21" t="str">
        <f>IF(E371="","",VLOOKUP(E371,tipo_organizacion[#ALL],2,0))</f>
        <v/>
      </c>
      <c r="J371" s="21" t="str">
        <f>IF(F371="","",VLOOKUP(F371,razon_social[#ALL],2,0))</f>
        <v/>
      </c>
      <c r="K371" s="21" t="str">
        <f>IF(G371="","",VLOOKUP(G371,tipo_contribuyente[#ALL],2,0))</f>
        <v/>
      </c>
      <c r="L371" s="21" t="str">
        <f>IF(H371="","",VLOOKUP(H371,pais[#ALL],2,0))</f>
        <v/>
      </c>
    </row>
    <row r="372">
      <c r="A372" s="21"/>
      <c r="B372" s="21"/>
      <c r="C372" s="21"/>
      <c r="D372" s="21"/>
      <c r="E372" s="21"/>
      <c r="F372" s="21"/>
      <c r="G372" s="21"/>
      <c r="H372" s="21"/>
      <c r="I372" s="21" t="str">
        <f>IF(E372="","",VLOOKUP(E372,tipo_organizacion[#ALL],2,0))</f>
        <v/>
      </c>
      <c r="J372" s="21" t="str">
        <f>IF(F372="","",VLOOKUP(F372,razon_social[#ALL],2,0))</f>
        <v/>
      </c>
      <c r="K372" s="21" t="str">
        <f>IF(G372="","",VLOOKUP(G372,tipo_contribuyente[#ALL],2,0))</f>
        <v/>
      </c>
      <c r="L372" s="21" t="str">
        <f>IF(H372="","",VLOOKUP(H372,pais[#ALL],2,0))</f>
        <v/>
      </c>
    </row>
    <row r="373">
      <c r="A373" s="21"/>
      <c r="B373" s="21"/>
      <c r="C373" s="21"/>
      <c r="D373" s="21"/>
      <c r="E373" s="21"/>
      <c r="F373" s="21"/>
      <c r="G373" s="21"/>
      <c r="H373" s="21"/>
      <c r="I373" s="21" t="str">
        <f>IF(E373="","",VLOOKUP(E373,tipo_organizacion[#ALL],2,0))</f>
        <v/>
      </c>
      <c r="J373" s="21" t="str">
        <f>IF(F373="","",VLOOKUP(F373,razon_social[#ALL],2,0))</f>
        <v/>
      </c>
      <c r="K373" s="21" t="str">
        <f>IF(G373="","",VLOOKUP(G373,tipo_contribuyente[#ALL],2,0))</f>
        <v/>
      </c>
      <c r="L373" s="21" t="str">
        <f>IF(H373="","",VLOOKUP(H373,pais[#ALL],2,0))</f>
        <v/>
      </c>
    </row>
    <row r="374">
      <c r="A374" s="21"/>
      <c r="B374" s="21"/>
      <c r="C374" s="21"/>
      <c r="D374" s="21"/>
      <c r="E374" s="21"/>
      <c r="F374" s="21"/>
      <c r="G374" s="21"/>
      <c r="H374" s="21"/>
      <c r="I374" s="21" t="str">
        <f>IF(E374="","",VLOOKUP(E374,tipo_organizacion[#ALL],2,0))</f>
        <v/>
      </c>
      <c r="J374" s="21" t="str">
        <f>IF(F374="","",VLOOKUP(F374,razon_social[#ALL],2,0))</f>
        <v/>
      </c>
      <c r="K374" s="21" t="str">
        <f>IF(G374="","",VLOOKUP(G374,tipo_contribuyente[#ALL],2,0))</f>
        <v/>
      </c>
      <c r="L374" s="21" t="str">
        <f>IF(H374="","",VLOOKUP(H374,pais[#ALL],2,0))</f>
        <v/>
      </c>
    </row>
    <row r="375">
      <c r="A375" s="21"/>
      <c r="B375" s="21"/>
      <c r="C375" s="21"/>
      <c r="D375" s="21"/>
      <c r="E375" s="21"/>
      <c r="F375" s="21"/>
      <c r="G375" s="21"/>
      <c r="H375" s="21"/>
      <c r="I375" s="21" t="str">
        <f>IF(E375="","",VLOOKUP(E375,tipo_organizacion[#ALL],2,0))</f>
        <v/>
      </c>
      <c r="J375" s="21" t="str">
        <f>IF(F375="","",VLOOKUP(F375,razon_social[#ALL],2,0))</f>
        <v/>
      </c>
      <c r="K375" s="21" t="str">
        <f>IF(G375="","",VLOOKUP(G375,tipo_contribuyente[#ALL],2,0))</f>
        <v/>
      </c>
      <c r="L375" s="21" t="str">
        <f>IF(H375="","",VLOOKUP(H375,pais[#ALL],2,0))</f>
        <v/>
      </c>
    </row>
    <row r="376">
      <c r="A376" s="21"/>
      <c r="B376" s="21"/>
      <c r="C376" s="21"/>
      <c r="D376" s="21"/>
      <c r="E376" s="21"/>
      <c r="F376" s="21"/>
      <c r="G376" s="21"/>
      <c r="H376" s="21"/>
      <c r="I376" s="21" t="str">
        <f>IF(E376="","",VLOOKUP(E376,tipo_organizacion[#ALL],2,0))</f>
        <v/>
      </c>
      <c r="J376" s="21" t="str">
        <f>IF(F376="","",VLOOKUP(F376,razon_social[#ALL],2,0))</f>
        <v/>
      </c>
      <c r="K376" s="21" t="str">
        <f>IF(G376="","",VLOOKUP(G376,tipo_contribuyente[#ALL],2,0))</f>
        <v/>
      </c>
      <c r="L376" s="21" t="str">
        <f>IF(H376="","",VLOOKUP(H376,pais[#ALL],2,0))</f>
        <v/>
      </c>
    </row>
    <row r="377">
      <c r="A377" s="21"/>
      <c r="B377" s="21"/>
      <c r="C377" s="21"/>
      <c r="D377" s="21"/>
      <c r="E377" s="21"/>
      <c r="F377" s="21"/>
      <c r="G377" s="21"/>
      <c r="H377" s="21"/>
      <c r="I377" s="21" t="str">
        <f>IF(E377="","",VLOOKUP(E377,tipo_organizacion[#ALL],2,0))</f>
        <v/>
      </c>
      <c r="J377" s="21" t="str">
        <f>IF(F377="","",VLOOKUP(F377,razon_social[#ALL],2,0))</f>
        <v/>
      </c>
      <c r="K377" s="21" t="str">
        <f>IF(G377="","",VLOOKUP(G377,tipo_contribuyente[#ALL],2,0))</f>
        <v/>
      </c>
      <c r="L377" s="21" t="str">
        <f>IF(H377="","",VLOOKUP(H377,pais[#ALL],2,0))</f>
        <v/>
      </c>
    </row>
    <row r="378">
      <c r="A378" s="21"/>
      <c r="B378" s="21"/>
      <c r="C378" s="21"/>
      <c r="D378" s="21"/>
      <c r="E378" s="21"/>
      <c r="F378" s="21"/>
      <c r="G378" s="21"/>
      <c r="H378" s="21"/>
      <c r="I378" s="21" t="str">
        <f>IF(E378="","",VLOOKUP(E378,tipo_organizacion[#ALL],2,0))</f>
        <v/>
      </c>
      <c r="J378" s="21" t="str">
        <f>IF(F378="","",VLOOKUP(F378,razon_social[#ALL],2,0))</f>
        <v/>
      </c>
      <c r="K378" s="21" t="str">
        <f>IF(G378="","",VLOOKUP(G378,tipo_contribuyente[#ALL],2,0))</f>
        <v/>
      </c>
      <c r="L378" s="21" t="str">
        <f>IF(H378="","",VLOOKUP(H378,pais[#ALL],2,0))</f>
        <v/>
      </c>
    </row>
    <row r="379">
      <c r="A379" s="21"/>
      <c r="B379" s="21"/>
      <c r="C379" s="21"/>
      <c r="D379" s="21"/>
      <c r="E379" s="21"/>
      <c r="F379" s="21"/>
      <c r="G379" s="21"/>
      <c r="H379" s="21"/>
      <c r="I379" s="21" t="str">
        <f>IF(E379="","",VLOOKUP(E379,tipo_organizacion[#ALL],2,0))</f>
        <v/>
      </c>
      <c r="J379" s="21" t="str">
        <f>IF(F379="","",VLOOKUP(F379,razon_social[#ALL],2,0))</f>
        <v/>
      </c>
      <c r="K379" s="21" t="str">
        <f>IF(G379="","",VLOOKUP(G379,tipo_contribuyente[#ALL],2,0))</f>
        <v/>
      </c>
      <c r="L379" s="21" t="str">
        <f>IF(H379="","",VLOOKUP(H379,pais[#ALL],2,0))</f>
        <v/>
      </c>
    </row>
    <row r="380">
      <c r="A380" s="21"/>
      <c r="B380" s="21"/>
      <c r="C380" s="21"/>
      <c r="D380" s="21"/>
      <c r="E380" s="21"/>
      <c r="F380" s="21"/>
      <c r="G380" s="21"/>
      <c r="H380" s="21"/>
      <c r="I380" s="21" t="str">
        <f>IF(E380="","",VLOOKUP(E380,tipo_organizacion[#ALL],2,0))</f>
        <v/>
      </c>
      <c r="J380" s="21" t="str">
        <f>IF(F380="","",VLOOKUP(F380,razon_social[#ALL],2,0))</f>
        <v/>
      </c>
      <c r="K380" s="21" t="str">
        <f>IF(G380="","",VLOOKUP(G380,tipo_contribuyente[#ALL],2,0))</f>
        <v/>
      </c>
      <c r="L380" s="21" t="str">
        <f>IF(H380="","",VLOOKUP(H380,pais[#ALL],2,0))</f>
        <v/>
      </c>
    </row>
    <row r="381">
      <c r="A381" s="21"/>
      <c r="B381" s="21"/>
      <c r="C381" s="21"/>
      <c r="D381" s="21"/>
      <c r="E381" s="21"/>
      <c r="F381" s="21"/>
      <c r="G381" s="21"/>
      <c r="H381" s="21"/>
      <c r="I381" s="21" t="str">
        <f>IF(E381="","",VLOOKUP(E381,tipo_organizacion[#ALL],2,0))</f>
        <v/>
      </c>
      <c r="J381" s="21" t="str">
        <f>IF(F381="","",VLOOKUP(F381,razon_social[#ALL],2,0))</f>
        <v/>
      </c>
      <c r="K381" s="21" t="str">
        <f>IF(G381="","",VLOOKUP(G381,tipo_contribuyente[#ALL],2,0))</f>
        <v/>
      </c>
      <c r="L381" s="21" t="str">
        <f>IF(H381="","",VLOOKUP(H381,pais[#ALL],2,0))</f>
        <v/>
      </c>
    </row>
    <row r="382">
      <c r="A382" s="21"/>
      <c r="B382" s="21"/>
      <c r="C382" s="21"/>
      <c r="D382" s="21"/>
      <c r="E382" s="21"/>
      <c r="F382" s="21"/>
      <c r="G382" s="21"/>
      <c r="H382" s="21"/>
      <c r="I382" s="21" t="str">
        <f>IF(E382="","",VLOOKUP(E382,tipo_organizacion[#ALL],2,0))</f>
        <v/>
      </c>
      <c r="J382" s="21" t="str">
        <f>IF(F382="","",VLOOKUP(F382,razon_social[#ALL],2,0))</f>
        <v/>
      </c>
      <c r="K382" s="21" t="str">
        <f>IF(G382="","",VLOOKUP(G382,tipo_contribuyente[#ALL],2,0))</f>
        <v/>
      </c>
      <c r="L382" s="21" t="str">
        <f>IF(H382="","",VLOOKUP(H382,pais[#ALL],2,0))</f>
        <v/>
      </c>
    </row>
    <row r="383">
      <c r="A383" s="21"/>
      <c r="B383" s="21"/>
      <c r="C383" s="21"/>
      <c r="D383" s="21"/>
      <c r="E383" s="21"/>
      <c r="F383" s="21"/>
      <c r="G383" s="21"/>
      <c r="H383" s="21"/>
      <c r="I383" s="21" t="str">
        <f>IF(E383="","",VLOOKUP(E383,tipo_organizacion[#ALL],2,0))</f>
        <v/>
      </c>
      <c r="J383" s="21" t="str">
        <f>IF(F383="","",VLOOKUP(F383,razon_social[#ALL],2,0))</f>
        <v/>
      </c>
      <c r="K383" s="21" t="str">
        <f>IF(G383="","",VLOOKUP(G383,tipo_contribuyente[#ALL],2,0))</f>
        <v/>
      </c>
      <c r="L383" s="21" t="str">
        <f>IF(H383="","",VLOOKUP(H383,pais[#ALL],2,0))</f>
        <v/>
      </c>
    </row>
    <row r="384">
      <c r="A384" s="21"/>
      <c r="B384" s="21"/>
      <c r="C384" s="21"/>
      <c r="D384" s="21"/>
      <c r="E384" s="21"/>
      <c r="F384" s="21"/>
      <c r="G384" s="21"/>
      <c r="H384" s="21"/>
      <c r="I384" s="21" t="str">
        <f>IF(E384="","",VLOOKUP(E384,tipo_organizacion[#ALL],2,0))</f>
        <v/>
      </c>
      <c r="J384" s="21" t="str">
        <f>IF(F384="","",VLOOKUP(F384,razon_social[#ALL],2,0))</f>
        <v/>
      </c>
      <c r="K384" s="21" t="str">
        <f>IF(G384="","",VLOOKUP(G384,tipo_contribuyente[#ALL],2,0))</f>
        <v/>
      </c>
      <c r="L384" s="21" t="str">
        <f>IF(H384="","",VLOOKUP(H384,pais[#ALL],2,0))</f>
        <v/>
      </c>
    </row>
    <row r="385">
      <c r="A385" s="21"/>
      <c r="B385" s="21"/>
      <c r="C385" s="21"/>
      <c r="D385" s="21"/>
      <c r="E385" s="21"/>
      <c r="F385" s="21"/>
      <c r="G385" s="21"/>
      <c r="H385" s="21"/>
      <c r="I385" s="21" t="str">
        <f>IF(E385="","",VLOOKUP(E385,tipo_organizacion[#ALL],2,0))</f>
        <v/>
      </c>
      <c r="J385" s="21" t="str">
        <f>IF(F385="","",VLOOKUP(F385,razon_social[#ALL],2,0))</f>
        <v/>
      </c>
      <c r="K385" s="21" t="str">
        <f>IF(G385="","",VLOOKUP(G385,tipo_contribuyente[#ALL],2,0))</f>
        <v/>
      </c>
      <c r="L385" s="21" t="str">
        <f>IF(H385="","",VLOOKUP(H385,pais[#ALL],2,0))</f>
        <v/>
      </c>
    </row>
    <row r="386">
      <c r="A386" s="21"/>
      <c r="B386" s="21"/>
      <c r="C386" s="21"/>
      <c r="D386" s="21"/>
      <c r="E386" s="21"/>
      <c r="F386" s="21"/>
      <c r="G386" s="21"/>
      <c r="H386" s="21"/>
      <c r="I386" s="21" t="str">
        <f>IF(E386="","",VLOOKUP(E386,tipo_organizacion[#ALL],2,0))</f>
        <v/>
      </c>
      <c r="J386" s="21" t="str">
        <f>IF(F386="","",VLOOKUP(F386,razon_social[#ALL],2,0))</f>
        <v/>
      </c>
      <c r="K386" s="21" t="str">
        <f>IF(G386="","",VLOOKUP(G386,tipo_contribuyente[#ALL],2,0))</f>
        <v/>
      </c>
      <c r="L386" s="21" t="str">
        <f>IF(H386="","",VLOOKUP(H386,pais[#ALL],2,0))</f>
        <v/>
      </c>
    </row>
    <row r="387">
      <c r="A387" s="21"/>
      <c r="B387" s="21"/>
      <c r="C387" s="21"/>
      <c r="D387" s="21"/>
      <c r="E387" s="21"/>
      <c r="F387" s="21"/>
      <c r="G387" s="21"/>
      <c r="H387" s="21"/>
      <c r="I387" s="21" t="str">
        <f>IF(E387="","",VLOOKUP(E387,tipo_organizacion[#ALL],2,0))</f>
        <v/>
      </c>
      <c r="J387" s="21" t="str">
        <f>IF(F387="","",VLOOKUP(F387,razon_social[#ALL],2,0))</f>
        <v/>
      </c>
      <c r="K387" s="21" t="str">
        <f>IF(G387="","",VLOOKUP(G387,tipo_contribuyente[#ALL],2,0))</f>
        <v/>
      </c>
      <c r="L387" s="21" t="str">
        <f>IF(H387="","",VLOOKUP(H387,pais[#ALL],2,0))</f>
        <v/>
      </c>
    </row>
    <row r="388">
      <c r="A388" s="21"/>
      <c r="B388" s="21"/>
      <c r="C388" s="21"/>
      <c r="D388" s="21"/>
      <c r="E388" s="21"/>
      <c r="F388" s="21"/>
      <c r="G388" s="21"/>
      <c r="H388" s="21"/>
      <c r="I388" s="21" t="str">
        <f>IF(E388="","",VLOOKUP(E388,tipo_organizacion[#ALL],2,0))</f>
        <v/>
      </c>
      <c r="J388" s="21" t="str">
        <f>IF(F388="","",VLOOKUP(F388,razon_social[#ALL],2,0))</f>
        <v/>
      </c>
      <c r="K388" s="21" t="str">
        <f>IF(G388="","",VLOOKUP(G388,tipo_contribuyente[#ALL],2,0))</f>
        <v/>
      </c>
      <c r="L388" s="21" t="str">
        <f>IF(H388="","",VLOOKUP(H388,pais[#ALL],2,0))</f>
        <v/>
      </c>
    </row>
    <row r="389">
      <c r="A389" s="21"/>
      <c r="B389" s="21"/>
      <c r="C389" s="21"/>
      <c r="D389" s="21"/>
      <c r="E389" s="21"/>
      <c r="F389" s="21"/>
      <c r="G389" s="21"/>
      <c r="H389" s="21"/>
      <c r="I389" s="21" t="str">
        <f>IF(E389="","",VLOOKUP(E389,tipo_organizacion[#ALL],2,0))</f>
        <v/>
      </c>
      <c r="J389" s="21" t="str">
        <f>IF(F389="","",VLOOKUP(F389,razon_social[#ALL],2,0))</f>
        <v/>
      </c>
      <c r="K389" s="21" t="str">
        <f>IF(G389="","",VLOOKUP(G389,tipo_contribuyente[#ALL],2,0))</f>
        <v/>
      </c>
      <c r="L389" s="21" t="str">
        <f>IF(H389="","",VLOOKUP(H389,pais[#ALL],2,0))</f>
        <v/>
      </c>
    </row>
    <row r="390">
      <c r="A390" s="21"/>
      <c r="B390" s="21"/>
      <c r="C390" s="21"/>
      <c r="D390" s="21"/>
      <c r="E390" s="21"/>
      <c r="F390" s="21"/>
      <c r="G390" s="21"/>
      <c r="H390" s="21"/>
      <c r="I390" s="21" t="str">
        <f>IF(E390="","",VLOOKUP(E390,tipo_organizacion[#ALL],2,0))</f>
        <v/>
      </c>
      <c r="J390" s="21" t="str">
        <f>IF(F390="","",VLOOKUP(F390,razon_social[#ALL],2,0))</f>
        <v/>
      </c>
      <c r="K390" s="21" t="str">
        <f>IF(G390="","",VLOOKUP(G390,tipo_contribuyente[#ALL],2,0))</f>
        <v/>
      </c>
      <c r="L390" s="21" t="str">
        <f>IF(H390="","",VLOOKUP(H390,pais[#ALL],2,0))</f>
        <v/>
      </c>
    </row>
    <row r="391">
      <c r="A391" s="21"/>
      <c r="B391" s="21"/>
      <c r="C391" s="21"/>
      <c r="D391" s="21"/>
      <c r="E391" s="21"/>
      <c r="F391" s="21"/>
      <c r="G391" s="21"/>
      <c r="H391" s="21"/>
      <c r="I391" s="21" t="str">
        <f>IF(E391="","",VLOOKUP(E391,tipo_organizacion[#ALL],2,0))</f>
        <v/>
      </c>
      <c r="J391" s="21" t="str">
        <f>IF(F391="","",VLOOKUP(F391,razon_social[#ALL],2,0))</f>
        <v/>
      </c>
      <c r="K391" s="21" t="str">
        <f>IF(G391="","",VLOOKUP(G391,tipo_contribuyente[#ALL],2,0))</f>
        <v/>
      </c>
      <c r="L391" s="21" t="str">
        <f>IF(H391="","",VLOOKUP(H391,pais[#ALL],2,0))</f>
        <v/>
      </c>
    </row>
    <row r="392">
      <c r="A392" s="21"/>
      <c r="B392" s="21"/>
      <c r="C392" s="21"/>
      <c r="D392" s="21"/>
      <c r="E392" s="21"/>
      <c r="F392" s="21"/>
      <c r="G392" s="21"/>
      <c r="H392" s="21"/>
      <c r="I392" s="21" t="str">
        <f>IF(E392="","",VLOOKUP(E392,tipo_organizacion[#ALL],2,0))</f>
        <v/>
      </c>
      <c r="J392" s="21" t="str">
        <f>IF(F392="","",VLOOKUP(F392,razon_social[#ALL],2,0))</f>
        <v/>
      </c>
      <c r="K392" s="21" t="str">
        <f>IF(G392="","",VLOOKUP(G392,tipo_contribuyente[#ALL],2,0))</f>
        <v/>
      </c>
      <c r="L392" s="21" t="str">
        <f>IF(H392="","",VLOOKUP(H392,pais[#ALL],2,0))</f>
        <v/>
      </c>
    </row>
    <row r="393">
      <c r="A393" s="21"/>
      <c r="B393" s="21"/>
      <c r="C393" s="21"/>
      <c r="D393" s="21"/>
      <c r="E393" s="21"/>
      <c r="F393" s="21"/>
      <c r="G393" s="21"/>
      <c r="H393" s="21"/>
      <c r="I393" s="21" t="str">
        <f>IF(E393="","",VLOOKUP(E393,tipo_organizacion[#ALL],2,0))</f>
        <v/>
      </c>
      <c r="J393" s="21" t="str">
        <f>IF(F393="","",VLOOKUP(F393,razon_social[#ALL],2,0))</f>
        <v/>
      </c>
      <c r="K393" s="21" t="str">
        <f>IF(G393="","",VLOOKUP(G393,tipo_contribuyente[#ALL],2,0))</f>
        <v/>
      </c>
      <c r="L393" s="21" t="str">
        <f>IF(H393="","",VLOOKUP(H393,pais[#ALL],2,0))</f>
        <v/>
      </c>
    </row>
    <row r="394">
      <c r="A394" s="21"/>
      <c r="B394" s="21"/>
      <c r="C394" s="21"/>
      <c r="D394" s="21"/>
      <c r="E394" s="21"/>
      <c r="F394" s="21"/>
      <c r="G394" s="21"/>
      <c r="H394" s="21"/>
      <c r="I394" s="21" t="str">
        <f>IF(E394="","",VLOOKUP(E394,tipo_organizacion[#ALL],2,0))</f>
        <v/>
      </c>
      <c r="J394" s="21" t="str">
        <f>IF(F394="","",VLOOKUP(F394,razon_social[#ALL],2,0))</f>
        <v/>
      </c>
      <c r="K394" s="21" t="str">
        <f>IF(G394="","",VLOOKUP(G394,tipo_contribuyente[#ALL],2,0))</f>
        <v/>
      </c>
      <c r="L394" s="21" t="str">
        <f>IF(H394="","",VLOOKUP(H394,pais[#ALL],2,0))</f>
        <v/>
      </c>
    </row>
    <row r="395">
      <c r="A395" s="21"/>
      <c r="B395" s="21"/>
      <c r="C395" s="21"/>
      <c r="D395" s="21"/>
      <c r="E395" s="21"/>
      <c r="F395" s="21"/>
      <c r="G395" s="21"/>
      <c r="H395" s="21"/>
      <c r="I395" s="21" t="str">
        <f>IF(E395="","",VLOOKUP(E395,tipo_organizacion[#ALL],2,0))</f>
        <v/>
      </c>
      <c r="J395" s="21" t="str">
        <f>IF(F395="","",VLOOKUP(F395,razon_social[#ALL],2,0))</f>
        <v/>
      </c>
      <c r="K395" s="21" t="str">
        <f>IF(G395="","",VLOOKUP(G395,tipo_contribuyente[#ALL],2,0))</f>
        <v/>
      </c>
      <c r="L395" s="21" t="str">
        <f>IF(H395="","",VLOOKUP(H395,pais[#ALL],2,0))</f>
        <v/>
      </c>
    </row>
    <row r="396">
      <c r="A396" s="21"/>
      <c r="B396" s="21"/>
      <c r="C396" s="21"/>
      <c r="D396" s="21"/>
      <c r="E396" s="21"/>
      <c r="F396" s="21"/>
      <c r="G396" s="21"/>
      <c r="H396" s="21"/>
      <c r="I396" s="21" t="str">
        <f>IF(E396="","",VLOOKUP(E396,tipo_organizacion[#ALL],2,0))</f>
        <v/>
      </c>
      <c r="J396" s="21" t="str">
        <f>IF(F396="","",VLOOKUP(F396,razon_social[#ALL],2,0))</f>
        <v/>
      </c>
      <c r="K396" s="21" t="str">
        <f>IF(G396="","",VLOOKUP(G396,tipo_contribuyente[#ALL],2,0))</f>
        <v/>
      </c>
      <c r="L396" s="21" t="str">
        <f>IF(H396="","",VLOOKUP(H396,pais[#ALL],2,0))</f>
        <v/>
      </c>
    </row>
    <row r="397">
      <c r="A397" s="21"/>
      <c r="B397" s="21"/>
      <c r="C397" s="21"/>
      <c r="D397" s="21"/>
      <c r="E397" s="21"/>
      <c r="F397" s="21"/>
      <c r="G397" s="21"/>
      <c r="H397" s="21"/>
      <c r="I397" s="21" t="str">
        <f>IF(E397="","",VLOOKUP(E397,tipo_organizacion[#ALL],2,0))</f>
        <v/>
      </c>
      <c r="J397" s="21" t="str">
        <f>IF(F397="","",VLOOKUP(F397,razon_social[#ALL],2,0))</f>
        <v/>
      </c>
      <c r="K397" s="21" t="str">
        <f>IF(G397="","",VLOOKUP(G397,tipo_contribuyente[#ALL],2,0))</f>
        <v/>
      </c>
      <c r="L397" s="21" t="str">
        <f>IF(H397="","",VLOOKUP(H397,pais[#ALL],2,0))</f>
        <v/>
      </c>
    </row>
    <row r="398">
      <c r="A398" s="21"/>
      <c r="B398" s="21"/>
      <c r="C398" s="21"/>
      <c r="D398" s="21"/>
      <c r="E398" s="21"/>
      <c r="F398" s="21"/>
      <c r="G398" s="21"/>
      <c r="H398" s="21"/>
      <c r="I398" s="21" t="str">
        <f>IF(E398="","",VLOOKUP(E398,tipo_organizacion[#ALL],2,0))</f>
        <v/>
      </c>
      <c r="J398" s="21" t="str">
        <f>IF(F398="","",VLOOKUP(F398,razon_social[#ALL],2,0))</f>
        <v/>
      </c>
      <c r="K398" s="21" t="str">
        <f>IF(G398="","",VLOOKUP(G398,tipo_contribuyente[#ALL],2,0))</f>
        <v/>
      </c>
      <c r="L398" s="21" t="str">
        <f>IF(H398="","",VLOOKUP(H398,pais[#ALL],2,0))</f>
        <v/>
      </c>
    </row>
    <row r="399">
      <c r="A399" s="21"/>
      <c r="B399" s="21"/>
      <c r="C399" s="21"/>
      <c r="D399" s="21"/>
      <c r="E399" s="21"/>
      <c r="F399" s="21"/>
      <c r="G399" s="21"/>
      <c r="H399" s="21"/>
      <c r="I399" s="21" t="str">
        <f>IF(E399="","",VLOOKUP(E399,tipo_organizacion[#ALL],2,0))</f>
        <v/>
      </c>
      <c r="J399" s="21" t="str">
        <f>IF(F399="","",VLOOKUP(F399,razon_social[#ALL],2,0))</f>
        <v/>
      </c>
      <c r="K399" s="21" t="str">
        <f>IF(G399="","",VLOOKUP(G399,tipo_contribuyente[#ALL],2,0))</f>
        <v/>
      </c>
      <c r="L399" s="21" t="str">
        <f>IF(H399="","",VLOOKUP(H399,pais[#ALL],2,0))</f>
        <v/>
      </c>
    </row>
    <row r="400">
      <c r="A400" s="21"/>
      <c r="B400" s="21"/>
      <c r="C400" s="21"/>
      <c r="D400" s="21"/>
      <c r="E400" s="21"/>
      <c r="F400" s="21"/>
      <c r="G400" s="21"/>
      <c r="H400" s="21"/>
      <c r="I400" s="21" t="str">
        <f>IF(E400="","",VLOOKUP(E400,tipo_organizacion[#ALL],2,0))</f>
        <v/>
      </c>
      <c r="J400" s="21" t="str">
        <f>IF(F400="","",VLOOKUP(F400,razon_social[#ALL],2,0))</f>
        <v/>
      </c>
      <c r="K400" s="21" t="str">
        <f>IF(G400="","",VLOOKUP(G400,tipo_contribuyente[#ALL],2,0))</f>
        <v/>
      </c>
      <c r="L400" s="21" t="str">
        <f>IF(H400="","",VLOOKUP(H400,pais[#ALL],2,0))</f>
        <v/>
      </c>
    </row>
    <row r="401">
      <c r="A401" s="21"/>
      <c r="B401" s="21"/>
      <c r="C401" s="21"/>
      <c r="D401" s="21"/>
      <c r="E401" s="21"/>
      <c r="F401" s="21"/>
      <c r="G401" s="21"/>
      <c r="H401" s="21"/>
      <c r="I401" s="21" t="str">
        <f>IF(E401="","",VLOOKUP(E401,tipo_organizacion[#ALL],2,0))</f>
        <v/>
      </c>
      <c r="J401" s="21" t="str">
        <f>IF(F401="","",VLOOKUP(F401,razon_social[#ALL],2,0))</f>
        <v/>
      </c>
      <c r="K401" s="21" t="str">
        <f>IF(G401="","",VLOOKUP(G401,tipo_contribuyente[#ALL],2,0))</f>
        <v/>
      </c>
      <c r="L401" s="21" t="str">
        <f>IF(H401="","",VLOOKUP(H401,pais[#ALL],2,0))</f>
        <v/>
      </c>
    </row>
    <row r="402">
      <c r="A402" s="21"/>
      <c r="B402" s="21"/>
      <c r="C402" s="21"/>
      <c r="D402" s="21"/>
      <c r="E402" s="21"/>
      <c r="F402" s="21"/>
      <c r="G402" s="21"/>
      <c r="H402" s="21"/>
      <c r="I402" s="21" t="str">
        <f>IF(E402="","",VLOOKUP(E402,tipo_organizacion[#ALL],2,0))</f>
        <v/>
      </c>
      <c r="J402" s="21" t="str">
        <f>IF(F402="","",VLOOKUP(F402,razon_social[#ALL],2,0))</f>
        <v/>
      </c>
      <c r="K402" s="21" t="str">
        <f>IF(G402="","",VLOOKUP(G402,tipo_contribuyente[#ALL],2,0))</f>
        <v/>
      </c>
      <c r="L402" s="21" t="str">
        <f>IF(H402="","",VLOOKUP(H402,pais[#ALL],2,0))</f>
        <v/>
      </c>
    </row>
    <row r="403">
      <c r="A403" s="21"/>
      <c r="B403" s="21"/>
      <c r="C403" s="21"/>
      <c r="D403" s="21"/>
      <c r="E403" s="21"/>
      <c r="F403" s="21"/>
      <c r="G403" s="21"/>
      <c r="H403" s="21"/>
      <c r="I403" s="21" t="str">
        <f>IF(E403="","",VLOOKUP(E403,tipo_organizacion[#ALL],2,0))</f>
        <v/>
      </c>
      <c r="J403" s="21" t="str">
        <f>IF(F403="","",VLOOKUP(F403,razon_social[#ALL],2,0))</f>
        <v/>
      </c>
      <c r="K403" s="21" t="str">
        <f>IF(G403="","",VLOOKUP(G403,tipo_contribuyente[#ALL],2,0))</f>
        <v/>
      </c>
      <c r="L403" s="21" t="str">
        <f>IF(H403="","",VLOOKUP(H403,pais[#ALL],2,0))</f>
        <v/>
      </c>
    </row>
    <row r="404">
      <c r="A404" s="21"/>
      <c r="B404" s="21"/>
      <c r="C404" s="21"/>
      <c r="D404" s="21"/>
      <c r="E404" s="21"/>
      <c r="F404" s="21"/>
      <c r="G404" s="21"/>
      <c r="H404" s="21"/>
      <c r="I404" s="21" t="str">
        <f>IF(E404="","",VLOOKUP(E404,tipo_organizacion[#ALL],2,0))</f>
        <v/>
      </c>
      <c r="J404" s="21" t="str">
        <f>IF(F404="","",VLOOKUP(F404,razon_social[#ALL],2,0))</f>
        <v/>
      </c>
      <c r="K404" s="21" t="str">
        <f>IF(G404="","",VLOOKUP(G404,tipo_contribuyente[#ALL],2,0))</f>
        <v/>
      </c>
      <c r="L404" s="21" t="str">
        <f>IF(H404="","",VLOOKUP(H404,pais[#ALL],2,0))</f>
        <v/>
      </c>
    </row>
    <row r="405">
      <c r="A405" s="21"/>
      <c r="B405" s="21"/>
      <c r="C405" s="21"/>
      <c r="D405" s="21"/>
      <c r="E405" s="21"/>
      <c r="F405" s="21"/>
      <c r="G405" s="21"/>
      <c r="H405" s="21"/>
      <c r="I405" s="21" t="str">
        <f>IF(E405="","",VLOOKUP(E405,tipo_organizacion[#ALL],2,0))</f>
        <v/>
      </c>
      <c r="J405" s="21" t="str">
        <f>IF(F405="","",VLOOKUP(F405,razon_social[#ALL],2,0))</f>
        <v/>
      </c>
      <c r="K405" s="21" t="str">
        <f>IF(G405="","",VLOOKUP(G405,tipo_contribuyente[#ALL],2,0))</f>
        <v/>
      </c>
      <c r="L405" s="21" t="str">
        <f>IF(H405="","",VLOOKUP(H405,pais[#ALL],2,0))</f>
        <v/>
      </c>
    </row>
    <row r="406">
      <c r="A406" s="21"/>
      <c r="B406" s="21"/>
      <c r="C406" s="21"/>
      <c r="D406" s="21"/>
      <c r="E406" s="21"/>
      <c r="F406" s="21"/>
      <c r="G406" s="21"/>
      <c r="H406" s="21"/>
      <c r="I406" s="21" t="str">
        <f>IF(E406="","",VLOOKUP(E406,tipo_organizacion[#ALL],2,0))</f>
        <v/>
      </c>
      <c r="J406" s="21" t="str">
        <f>IF(F406="","",VLOOKUP(F406,razon_social[#ALL],2,0))</f>
        <v/>
      </c>
      <c r="K406" s="21" t="str">
        <f>IF(G406="","",VLOOKUP(G406,tipo_contribuyente[#ALL],2,0))</f>
        <v/>
      </c>
      <c r="L406" s="21" t="str">
        <f>IF(H406="","",VLOOKUP(H406,pais[#ALL],2,0))</f>
        <v/>
      </c>
    </row>
    <row r="407">
      <c r="A407" s="21"/>
      <c r="B407" s="21"/>
      <c r="C407" s="21"/>
      <c r="D407" s="21"/>
      <c r="E407" s="21"/>
      <c r="F407" s="21"/>
      <c r="G407" s="21"/>
      <c r="H407" s="21"/>
      <c r="I407" s="21" t="str">
        <f>IF(E407="","",VLOOKUP(E407,tipo_organizacion[#ALL],2,0))</f>
        <v/>
      </c>
      <c r="J407" s="21" t="str">
        <f>IF(F407="","",VLOOKUP(F407,razon_social[#ALL],2,0))</f>
        <v/>
      </c>
      <c r="K407" s="21" t="str">
        <f>IF(G407="","",VLOOKUP(G407,tipo_contribuyente[#ALL],2,0))</f>
        <v/>
      </c>
      <c r="L407" s="21" t="str">
        <f>IF(H407="","",VLOOKUP(H407,pais[#ALL],2,0))</f>
        <v/>
      </c>
    </row>
    <row r="408">
      <c r="A408" s="21"/>
      <c r="B408" s="21"/>
      <c r="C408" s="21"/>
      <c r="D408" s="21"/>
      <c r="E408" s="21"/>
      <c r="F408" s="21"/>
      <c r="G408" s="21"/>
      <c r="H408" s="21"/>
      <c r="I408" s="21" t="str">
        <f>IF(E408="","",VLOOKUP(E408,tipo_organizacion[#ALL],2,0))</f>
        <v/>
      </c>
      <c r="J408" s="21" t="str">
        <f>IF(F408="","",VLOOKUP(F408,razon_social[#ALL],2,0))</f>
        <v/>
      </c>
      <c r="K408" s="21" t="str">
        <f>IF(G408="","",VLOOKUP(G408,tipo_contribuyente[#ALL],2,0))</f>
        <v/>
      </c>
      <c r="L408" s="21" t="str">
        <f>IF(H408="","",VLOOKUP(H408,pais[#ALL],2,0))</f>
        <v/>
      </c>
    </row>
    <row r="409">
      <c r="A409" s="21"/>
      <c r="B409" s="21"/>
      <c r="C409" s="21"/>
      <c r="D409" s="21"/>
      <c r="E409" s="21"/>
      <c r="F409" s="21"/>
      <c r="G409" s="21"/>
      <c r="H409" s="21"/>
      <c r="I409" s="21" t="str">
        <f>IF(E409="","",VLOOKUP(E409,tipo_organizacion[#ALL],2,0))</f>
        <v/>
      </c>
      <c r="J409" s="21" t="str">
        <f>IF(F409="","",VLOOKUP(F409,razon_social[#ALL],2,0))</f>
        <v/>
      </c>
      <c r="K409" s="21" t="str">
        <f>IF(G409="","",VLOOKUP(G409,tipo_contribuyente[#ALL],2,0))</f>
        <v/>
      </c>
      <c r="L409" s="21" t="str">
        <f>IF(H409="","",VLOOKUP(H409,pais[#ALL],2,0))</f>
        <v/>
      </c>
    </row>
    <row r="410">
      <c r="A410" s="21"/>
      <c r="B410" s="21"/>
      <c r="C410" s="21"/>
      <c r="D410" s="21"/>
      <c r="E410" s="21"/>
      <c r="F410" s="21"/>
      <c r="G410" s="21"/>
      <c r="H410" s="21"/>
      <c r="I410" s="21" t="str">
        <f>IF(E410="","",VLOOKUP(E410,tipo_organizacion[#ALL],2,0))</f>
        <v/>
      </c>
      <c r="J410" s="21" t="str">
        <f>IF(F410="","",VLOOKUP(F410,razon_social[#ALL],2,0))</f>
        <v/>
      </c>
      <c r="K410" s="21" t="str">
        <f>IF(G410="","",VLOOKUP(G410,tipo_contribuyente[#ALL],2,0))</f>
        <v/>
      </c>
      <c r="L410" s="21" t="str">
        <f>IF(H410="","",VLOOKUP(H410,pais[#ALL],2,0))</f>
        <v/>
      </c>
    </row>
    <row r="411">
      <c r="A411" s="21"/>
      <c r="B411" s="21"/>
      <c r="C411" s="21"/>
      <c r="D411" s="21"/>
      <c r="E411" s="21"/>
      <c r="F411" s="21"/>
      <c r="G411" s="21"/>
      <c r="H411" s="21"/>
      <c r="I411" s="21" t="str">
        <f>IF(E411="","",VLOOKUP(E411,tipo_organizacion[#ALL],2,0))</f>
        <v/>
      </c>
      <c r="J411" s="21" t="str">
        <f>IF(F411="","",VLOOKUP(F411,razon_social[#ALL],2,0))</f>
        <v/>
      </c>
      <c r="K411" s="21" t="str">
        <f>IF(G411="","",VLOOKUP(G411,tipo_contribuyente[#ALL],2,0))</f>
        <v/>
      </c>
      <c r="L411" s="21" t="str">
        <f>IF(H411="","",VLOOKUP(H411,pais[#ALL],2,0))</f>
        <v/>
      </c>
    </row>
    <row r="412">
      <c r="A412" s="21"/>
      <c r="B412" s="21"/>
      <c r="C412" s="21"/>
      <c r="D412" s="21"/>
      <c r="E412" s="21"/>
      <c r="F412" s="21"/>
      <c r="G412" s="21"/>
      <c r="H412" s="21"/>
      <c r="I412" s="21" t="str">
        <f>IF(E412="","",VLOOKUP(E412,tipo_organizacion[#ALL],2,0))</f>
        <v/>
      </c>
      <c r="J412" s="21" t="str">
        <f>IF(F412="","",VLOOKUP(F412,razon_social[#ALL],2,0))</f>
        <v/>
      </c>
      <c r="K412" s="21" t="str">
        <f>IF(G412="","",VLOOKUP(G412,tipo_contribuyente[#ALL],2,0))</f>
        <v/>
      </c>
      <c r="L412" s="21" t="str">
        <f>IF(H412="","",VLOOKUP(H412,pais[#ALL],2,0))</f>
        <v/>
      </c>
    </row>
    <row r="413">
      <c r="A413" s="21"/>
      <c r="B413" s="21"/>
      <c r="C413" s="21"/>
      <c r="D413" s="21"/>
      <c r="E413" s="21"/>
      <c r="F413" s="21"/>
      <c r="G413" s="21"/>
      <c r="H413" s="21"/>
      <c r="I413" s="21" t="str">
        <f>IF(E413="","",VLOOKUP(E413,tipo_organizacion[#ALL],2,0))</f>
        <v/>
      </c>
      <c r="J413" s="21" t="str">
        <f>IF(F413="","",VLOOKUP(F413,razon_social[#ALL],2,0))</f>
        <v/>
      </c>
      <c r="K413" s="21" t="str">
        <f>IF(G413="","",VLOOKUP(G413,tipo_contribuyente[#ALL],2,0))</f>
        <v/>
      </c>
      <c r="L413" s="21" t="str">
        <f>IF(H413="","",VLOOKUP(H413,pais[#ALL],2,0))</f>
        <v/>
      </c>
    </row>
    <row r="414">
      <c r="A414" s="21"/>
      <c r="B414" s="21"/>
      <c r="C414" s="21"/>
      <c r="D414" s="21"/>
      <c r="E414" s="21"/>
      <c r="F414" s="21"/>
      <c r="G414" s="21"/>
      <c r="H414" s="21"/>
      <c r="I414" s="21" t="str">
        <f>IF(E414="","",VLOOKUP(E414,tipo_organizacion[#ALL],2,0))</f>
        <v/>
      </c>
      <c r="J414" s="21" t="str">
        <f>IF(F414="","",VLOOKUP(F414,razon_social[#ALL],2,0))</f>
        <v/>
      </c>
      <c r="K414" s="21" t="str">
        <f>IF(G414="","",VLOOKUP(G414,tipo_contribuyente[#ALL],2,0))</f>
        <v/>
      </c>
      <c r="L414" s="21" t="str">
        <f>IF(H414="","",VLOOKUP(H414,pais[#ALL],2,0))</f>
        <v/>
      </c>
    </row>
    <row r="415">
      <c r="A415" s="21"/>
      <c r="B415" s="21"/>
      <c r="C415" s="21"/>
      <c r="D415" s="21"/>
      <c r="E415" s="21"/>
      <c r="F415" s="21"/>
      <c r="G415" s="21"/>
      <c r="H415" s="21"/>
      <c r="I415" s="21" t="str">
        <f>IF(E415="","",VLOOKUP(E415,tipo_organizacion[#ALL],2,0))</f>
        <v/>
      </c>
      <c r="J415" s="21" t="str">
        <f>IF(F415="","",VLOOKUP(F415,razon_social[#ALL],2,0))</f>
        <v/>
      </c>
      <c r="K415" s="21" t="str">
        <f>IF(G415="","",VLOOKUP(G415,tipo_contribuyente[#ALL],2,0))</f>
        <v/>
      </c>
      <c r="L415" s="21" t="str">
        <f>IF(H415="","",VLOOKUP(H415,pais[#ALL],2,0))</f>
        <v/>
      </c>
    </row>
    <row r="416">
      <c r="A416" s="21"/>
      <c r="B416" s="21"/>
      <c r="C416" s="21"/>
      <c r="D416" s="21"/>
      <c r="E416" s="21"/>
      <c r="F416" s="21"/>
      <c r="G416" s="21"/>
      <c r="H416" s="21"/>
      <c r="I416" s="21" t="str">
        <f>IF(E416="","",VLOOKUP(E416,tipo_organizacion[#ALL],2,0))</f>
        <v/>
      </c>
      <c r="J416" s="21" t="str">
        <f>IF(F416="","",VLOOKUP(F416,razon_social[#ALL],2,0))</f>
        <v/>
      </c>
      <c r="K416" s="21" t="str">
        <f>IF(G416="","",VLOOKUP(G416,tipo_contribuyente[#ALL],2,0))</f>
        <v/>
      </c>
      <c r="L416" s="21" t="str">
        <f>IF(H416="","",VLOOKUP(H416,pais[#ALL],2,0))</f>
        <v/>
      </c>
    </row>
    <row r="417">
      <c r="A417" s="21"/>
      <c r="B417" s="21"/>
      <c r="C417" s="21"/>
      <c r="D417" s="21"/>
      <c r="E417" s="21"/>
      <c r="F417" s="21"/>
      <c r="G417" s="21"/>
      <c r="H417" s="21"/>
      <c r="I417" s="21" t="str">
        <f>IF(E417="","",VLOOKUP(E417,tipo_organizacion[#ALL],2,0))</f>
        <v/>
      </c>
      <c r="J417" s="21" t="str">
        <f>IF(F417="","",VLOOKUP(F417,razon_social[#ALL],2,0))</f>
        <v/>
      </c>
      <c r="K417" s="21" t="str">
        <f>IF(G417="","",VLOOKUP(G417,tipo_contribuyente[#ALL],2,0))</f>
        <v/>
      </c>
      <c r="L417" s="21" t="str">
        <f>IF(H417="","",VLOOKUP(H417,pais[#ALL],2,0))</f>
        <v/>
      </c>
    </row>
    <row r="418">
      <c r="A418" s="21"/>
      <c r="B418" s="21"/>
      <c r="C418" s="21"/>
      <c r="D418" s="21"/>
      <c r="E418" s="21"/>
      <c r="F418" s="21"/>
      <c r="G418" s="21"/>
      <c r="H418" s="21"/>
      <c r="I418" s="21" t="str">
        <f>IF(E418="","",VLOOKUP(E418,tipo_organizacion[#ALL],2,0))</f>
        <v/>
      </c>
      <c r="J418" s="21" t="str">
        <f>IF(F418="","",VLOOKUP(F418,razon_social[#ALL],2,0))</f>
        <v/>
      </c>
      <c r="K418" s="21" t="str">
        <f>IF(G418="","",VLOOKUP(G418,tipo_contribuyente[#ALL],2,0))</f>
        <v/>
      </c>
      <c r="L418" s="21" t="str">
        <f>IF(H418="","",VLOOKUP(H418,pais[#ALL],2,0))</f>
        <v/>
      </c>
    </row>
    <row r="419">
      <c r="A419" s="21"/>
      <c r="B419" s="21"/>
      <c r="C419" s="21"/>
      <c r="D419" s="21"/>
      <c r="E419" s="21"/>
      <c r="F419" s="21"/>
      <c r="G419" s="21"/>
      <c r="H419" s="21"/>
      <c r="I419" s="21" t="str">
        <f>IF(E419="","",VLOOKUP(E419,tipo_organizacion[#ALL],2,0))</f>
        <v/>
      </c>
      <c r="J419" s="21" t="str">
        <f>IF(F419="","",VLOOKUP(F419,razon_social[#ALL],2,0))</f>
        <v/>
      </c>
      <c r="K419" s="21" t="str">
        <f>IF(G419="","",VLOOKUP(G419,tipo_contribuyente[#ALL],2,0))</f>
        <v/>
      </c>
      <c r="L419" s="21" t="str">
        <f>IF(H419="","",VLOOKUP(H419,pais[#ALL],2,0))</f>
        <v/>
      </c>
    </row>
    <row r="420">
      <c r="A420" s="21"/>
      <c r="B420" s="21"/>
      <c r="C420" s="21"/>
      <c r="D420" s="21"/>
      <c r="E420" s="21"/>
      <c r="F420" s="21"/>
      <c r="G420" s="21"/>
      <c r="H420" s="21"/>
      <c r="I420" s="21" t="str">
        <f>IF(E420="","",VLOOKUP(E420,tipo_organizacion[#ALL],2,0))</f>
        <v/>
      </c>
      <c r="J420" s="21" t="str">
        <f>IF(F420="","",VLOOKUP(F420,razon_social[#ALL],2,0))</f>
        <v/>
      </c>
      <c r="K420" s="21" t="str">
        <f>IF(G420="","",VLOOKUP(G420,tipo_contribuyente[#ALL],2,0))</f>
        <v/>
      </c>
      <c r="L420" s="21" t="str">
        <f>IF(H420="","",VLOOKUP(H420,pais[#ALL],2,0))</f>
        <v/>
      </c>
    </row>
    <row r="421">
      <c r="A421" s="21"/>
      <c r="B421" s="21"/>
      <c r="C421" s="21"/>
      <c r="D421" s="21"/>
      <c r="E421" s="21"/>
      <c r="F421" s="21"/>
      <c r="G421" s="21"/>
      <c r="H421" s="21"/>
      <c r="I421" s="21" t="str">
        <f>IF(E421="","",VLOOKUP(E421,tipo_organizacion[#ALL],2,0))</f>
        <v/>
      </c>
      <c r="J421" s="21" t="str">
        <f>IF(F421="","",VLOOKUP(F421,razon_social[#ALL],2,0))</f>
        <v/>
      </c>
      <c r="K421" s="21" t="str">
        <f>IF(G421="","",VLOOKUP(G421,tipo_contribuyente[#ALL],2,0))</f>
        <v/>
      </c>
      <c r="L421" s="21" t="str">
        <f>IF(H421="","",VLOOKUP(H421,pais[#ALL],2,0))</f>
        <v/>
      </c>
    </row>
    <row r="422">
      <c r="A422" s="21"/>
      <c r="B422" s="21"/>
      <c r="C422" s="21"/>
      <c r="D422" s="21"/>
      <c r="E422" s="21"/>
      <c r="F422" s="21"/>
      <c r="G422" s="21"/>
      <c r="H422" s="21"/>
      <c r="I422" s="21" t="str">
        <f>IF(E422="","",VLOOKUP(E422,tipo_organizacion[#ALL],2,0))</f>
        <v/>
      </c>
      <c r="J422" s="21" t="str">
        <f>IF(F422="","",VLOOKUP(F422,razon_social[#ALL],2,0))</f>
        <v/>
      </c>
      <c r="K422" s="21" t="str">
        <f>IF(G422="","",VLOOKUP(G422,tipo_contribuyente[#ALL],2,0))</f>
        <v/>
      </c>
      <c r="L422" s="21" t="str">
        <f>IF(H422="","",VLOOKUP(H422,pais[#ALL],2,0))</f>
        <v/>
      </c>
    </row>
    <row r="423">
      <c r="A423" s="21"/>
      <c r="B423" s="21"/>
      <c r="C423" s="21"/>
      <c r="D423" s="21"/>
      <c r="E423" s="21"/>
      <c r="F423" s="21"/>
      <c r="G423" s="21"/>
      <c r="H423" s="21"/>
      <c r="I423" s="21" t="str">
        <f>IF(E423="","",VLOOKUP(E423,tipo_organizacion[#ALL],2,0))</f>
        <v/>
      </c>
      <c r="J423" s="21" t="str">
        <f>IF(F423="","",VLOOKUP(F423,razon_social[#ALL],2,0))</f>
        <v/>
      </c>
      <c r="K423" s="21" t="str">
        <f>IF(G423="","",VLOOKUP(G423,tipo_contribuyente[#ALL],2,0))</f>
        <v/>
      </c>
      <c r="L423" s="21" t="str">
        <f>IF(H423="","",VLOOKUP(H423,pais[#ALL],2,0))</f>
        <v/>
      </c>
    </row>
    <row r="424">
      <c r="A424" s="21"/>
      <c r="B424" s="21"/>
      <c r="C424" s="21"/>
      <c r="D424" s="21"/>
      <c r="E424" s="21"/>
      <c r="F424" s="21"/>
      <c r="G424" s="21"/>
      <c r="H424" s="21"/>
      <c r="I424" s="21" t="str">
        <f>IF(E424="","",VLOOKUP(E424,tipo_organizacion[#ALL],2,0))</f>
        <v/>
      </c>
      <c r="J424" s="21" t="str">
        <f>IF(F424="","",VLOOKUP(F424,razon_social[#ALL],2,0))</f>
        <v/>
      </c>
      <c r="K424" s="21" t="str">
        <f>IF(G424="","",VLOOKUP(G424,tipo_contribuyente[#ALL],2,0))</f>
        <v/>
      </c>
      <c r="L424" s="21" t="str">
        <f>IF(H424="","",VLOOKUP(H424,pais[#ALL],2,0))</f>
        <v/>
      </c>
    </row>
    <row r="425">
      <c r="A425" s="21"/>
      <c r="B425" s="21"/>
      <c r="C425" s="21"/>
      <c r="D425" s="21"/>
      <c r="E425" s="21"/>
      <c r="F425" s="21"/>
      <c r="G425" s="21"/>
      <c r="H425" s="21"/>
      <c r="I425" s="21" t="str">
        <f>IF(E425="","",VLOOKUP(E425,tipo_organizacion[#ALL],2,0))</f>
        <v/>
      </c>
      <c r="J425" s="21" t="str">
        <f>IF(F425="","",VLOOKUP(F425,razon_social[#ALL],2,0))</f>
        <v/>
      </c>
      <c r="K425" s="21" t="str">
        <f>IF(G425="","",VLOOKUP(G425,tipo_contribuyente[#ALL],2,0))</f>
        <v/>
      </c>
      <c r="L425" s="21" t="str">
        <f>IF(H425="","",VLOOKUP(H425,pais[#ALL],2,0))</f>
        <v/>
      </c>
    </row>
    <row r="426">
      <c r="A426" s="21"/>
      <c r="B426" s="21"/>
      <c r="C426" s="21"/>
      <c r="D426" s="21"/>
      <c r="E426" s="21"/>
      <c r="F426" s="21"/>
      <c r="G426" s="21"/>
      <c r="H426" s="21"/>
      <c r="I426" s="21" t="str">
        <f>IF(E426="","",VLOOKUP(E426,tipo_organizacion[#ALL],2,0))</f>
        <v/>
      </c>
      <c r="J426" s="21" t="str">
        <f>IF(F426="","",VLOOKUP(F426,razon_social[#ALL],2,0))</f>
        <v/>
      </c>
      <c r="K426" s="21" t="str">
        <f>IF(G426="","",VLOOKUP(G426,tipo_contribuyente[#ALL],2,0))</f>
        <v/>
      </c>
      <c r="L426" s="21" t="str">
        <f>IF(H426="","",VLOOKUP(H426,pais[#ALL],2,0))</f>
        <v/>
      </c>
    </row>
    <row r="427">
      <c r="A427" s="21"/>
      <c r="B427" s="21"/>
      <c r="C427" s="21"/>
      <c r="D427" s="21"/>
      <c r="E427" s="21"/>
      <c r="F427" s="21"/>
      <c r="G427" s="21"/>
      <c r="H427" s="21"/>
      <c r="I427" s="21" t="str">
        <f>IF(E427="","",VLOOKUP(E427,tipo_organizacion[#ALL],2,0))</f>
        <v/>
      </c>
      <c r="J427" s="21" t="str">
        <f>IF(F427="","",VLOOKUP(F427,razon_social[#ALL],2,0))</f>
        <v/>
      </c>
      <c r="K427" s="21" t="str">
        <f>IF(G427="","",VLOOKUP(G427,tipo_contribuyente[#ALL],2,0))</f>
        <v/>
      </c>
      <c r="L427" s="21" t="str">
        <f>IF(H427="","",VLOOKUP(H427,pais[#ALL],2,0))</f>
        <v/>
      </c>
    </row>
    <row r="428">
      <c r="A428" s="21"/>
      <c r="B428" s="21"/>
      <c r="C428" s="21"/>
      <c r="D428" s="21"/>
      <c r="E428" s="21"/>
      <c r="F428" s="21"/>
      <c r="G428" s="21"/>
      <c r="H428" s="21"/>
      <c r="I428" s="21" t="str">
        <f>IF(E428="","",VLOOKUP(E428,tipo_organizacion[#ALL],2,0))</f>
        <v/>
      </c>
      <c r="J428" s="21" t="str">
        <f>IF(F428="","",VLOOKUP(F428,razon_social[#ALL],2,0))</f>
        <v/>
      </c>
      <c r="K428" s="21" t="str">
        <f>IF(G428="","",VLOOKUP(G428,tipo_contribuyente[#ALL],2,0))</f>
        <v/>
      </c>
      <c r="L428" s="21" t="str">
        <f>IF(H428="","",VLOOKUP(H428,pais[#ALL],2,0))</f>
        <v/>
      </c>
    </row>
    <row r="429">
      <c r="A429" s="21"/>
      <c r="B429" s="21"/>
      <c r="C429" s="21"/>
      <c r="D429" s="21"/>
      <c r="E429" s="21"/>
      <c r="F429" s="21"/>
      <c r="G429" s="21"/>
      <c r="H429" s="21"/>
      <c r="I429" s="21" t="str">
        <f>IF(E429="","",VLOOKUP(E429,tipo_organizacion[#ALL],2,0))</f>
        <v/>
      </c>
      <c r="J429" s="21" t="str">
        <f>IF(F429="","",VLOOKUP(F429,razon_social[#ALL],2,0))</f>
        <v/>
      </c>
      <c r="K429" s="21" t="str">
        <f>IF(G429="","",VLOOKUP(G429,tipo_contribuyente[#ALL],2,0))</f>
        <v/>
      </c>
      <c r="L429" s="21" t="str">
        <f>IF(H429="","",VLOOKUP(H429,pais[#ALL],2,0))</f>
        <v/>
      </c>
    </row>
    <row r="430">
      <c r="A430" s="21"/>
      <c r="B430" s="21"/>
      <c r="C430" s="21"/>
      <c r="D430" s="21"/>
      <c r="E430" s="21"/>
      <c r="F430" s="21"/>
      <c r="G430" s="21"/>
      <c r="H430" s="21"/>
      <c r="I430" s="21" t="str">
        <f>IF(E430="","",VLOOKUP(E430,tipo_organizacion[#ALL],2,0))</f>
        <v/>
      </c>
      <c r="J430" s="21" t="str">
        <f>IF(F430="","",VLOOKUP(F430,razon_social[#ALL],2,0))</f>
        <v/>
      </c>
      <c r="K430" s="21" t="str">
        <f>IF(G430="","",VLOOKUP(G430,tipo_contribuyente[#ALL],2,0))</f>
        <v/>
      </c>
      <c r="L430" s="21" t="str">
        <f>IF(H430="","",VLOOKUP(H430,pais[#ALL],2,0))</f>
        <v/>
      </c>
    </row>
    <row r="431">
      <c r="A431" s="21"/>
      <c r="B431" s="21"/>
      <c r="C431" s="21"/>
      <c r="D431" s="21"/>
      <c r="E431" s="21"/>
      <c r="F431" s="21"/>
      <c r="G431" s="21"/>
      <c r="H431" s="21"/>
      <c r="I431" s="21" t="str">
        <f>IF(E431="","",VLOOKUP(E431,tipo_organizacion[#ALL],2,0))</f>
        <v/>
      </c>
      <c r="J431" s="21" t="str">
        <f>IF(F431="","",VLOOKUP(F431,razon_social[#ALL],2,0))</f>
        <v/>
      </c>
      <c r="K431" s="21" t="str">
        <f>IF(G431="","",VLOOKUP(G431,tipo_contribuyente[#ALL],2,0))</f>
        <v/>
      </c>
      <c r="L431" s="21" t="str">
        <f>IF(H431="","",VLOOKUP(H431,pais[#ALL],2,0))</f>
        <v/>
      </c>
    </row>
    <row r="432">
      <c r="A432" s="21"/>
      <c r="B432" s="21"/>
      <c r="C432" s="21"/>
      <c r="D432" s="21"/>
      <c r="E432" s="21"/>
      <c r="F432" s="21"/>
      <c r="G432" s="21"/>
      <c r="H432" s="21"/>
      <c r="I432" s="21" t="str">
        <f>IF(E432="","",VLOOKUP(E432,tipo_organizacion[#ALL],2,0))</f>
        <v/>
      </c>
      <c r="J432" s="21" t="str">
        <f>IF(F432="","",VLOOKUP(F432,razon_social[#ALL],2,0))</f>
        <v/>
      </c>
      <c r="K432" s="21" t="str">
        <f>IF(G432="","",VLOOKUP(G432,tipo_contribuyente[#ALL],2,0))</f>
        <v/>
      </c>
      <c r="L432" s="21" t="str">
        <f>IF(H432="","",VLOOKUP(H432,pais[#ALL],2,0))</f>
        <v/>
      </c>
    </row>
    <row r="433">
      <c r="A433" s="21"/>
      <c r="B433" s="21"/>
      <c r="C433" s="21"/>
      <c r="D433" s="21"/>
      <c r="E433" s="21"/>
      <c r="F433" s="21"/>
      <c r="G433" s="21"/>
      <c r="H433" s="21"/>
      <c r="I433" s="21" t="str">
        <f>IF(E433="","",VLOOKUP(E433,tipo_organizacion[#ALL],2,0))</f>
        <v/>
      </c>
      <c r="J433" s="21" t="str">
        <f>IF(F433="","",VLOOKUP(F433,razon_social[#ALL],2,0))</f>
        <v/>
      </c>
      <c r="K433" s="21" t="str">
        <f>IF(G433="","",VLOOKUP(G433,tipo_contribuyente[#ALL],2,0))</f>
        <v/>
      </c>
      <c r="L433" s="21" t="str">
        <f>IF(H433="","",VLOOKUP(H433,pais[#ALL],2,0))</f>
        <v/>
      </c>
    </row>
    <row r="434">
      <c r="A434" s="21"/>
      <c r="B434" s="21"/>
      <c r="C434" s="21"/>
      <c r="D434" s="21"/>
      <c r="E434" s="21"/>
      <c r="F434" s="21"/>
      <c r="G434" s="21"/>
      <c r="H434" s="21"/>
      <c r="I434" s="21" t="str">
        <f>IF(E434="","",VLOOKUP(E434,tipo_organizacion[#ALL],2,0))</f>
        <v/>
      </c>
      <c r="J434" s="21" t="str">
        <f>IF(F434="","",VLOOKUP(F434,razon_social[#ALL],2,0))</f>
        <v/>
      </c>
      <c r="K434" s="21" t="str">
        <f>IF(G434="","",VLOOKUP(G434,tipo_contribuyente[#ALL],2,0))</f>
        <v/>
      </c>
      <c r="L434" s="21" t="str">
        <f>IF(H434="","",VLOOKUP(H434,pais[#ALL],2,0))</f>
        <v/>
      </c>
    </row>
    <row r="435">
      <c r="A435" s="21"/>
      <c r="B435" s="21"/>
      <c r="C435" s="21"/>
      <c r="D435" s="21"/>
      <c r="E435" s="21"/>
      <c r="F435" s="21"/>
      <c r="G435" s="21"/>
      <c r="H435" s="21"/>
      <c r="I435" s="21" t="str">
        <f>IF(E435="","",VLOOKUP(E435,tipo_organizacion[#ALL],2,0))</f>
        <v/>
      </c>
      <c r="J435" s="21" t="str">
        <f>IF(F435="","",VLOOKUP(F435,razon_social[#ALL],2,0))</f>
        <v/>
      </c>
      <c r="K435" s="21" t="str">
        <f>IF(G435="","",VLOOKUP(G435,tipo_contribuyente[#ALL],2,0))</f>
        <v/>
      </c>
      <c r="L435" s="21" t="str">
        <f>IF(H435="","",VLOOKUP(H435,pais[#ALL],2,0))</f>
        <v/>
      </c>
    </row>
    <row r="436">
      <c r="A436" s="21"/>
      <c r="B436" s="21"/>
      <c r="C436" s="21"/>
      <c r="D436" s="21"/>
      <c r="E436" s="21"/>
      <c r="F436" s="21"/>
      <c r="G436" s="21"/>
      <c r="H436" s="21"/>
      <c r="I436" s="21" t="str">
        <f>IF(E436="","",VLOOKUP(E436,tipo_organizacion[#ALL],2,0))</f>
        <v/>
      </c>
      <c r="J436" s="21" t="str">
        <f>IF(F436="","",VLOOKUP(F436,razon_social[#ALL],2,0))</f>
        <v/>
      </c>
      <c r="K436" s="21" t="str">
        <f>IF(G436="","",VLOOKUP(G436,tipo_contribuyente[#ALL],2,0))</f>
        <v/>
      </c>
      <c r="L436" s="21" t="str">
        <f>IF(H436="","",VLOOKUP(H436,pais[#ALL],2,0))</f>
        <v/>
      </c>
    </row>
    <row r="437">
      <c r="A437" s="21"/>
      <c r="B437" s="21"/>
      <c r="C437" s="21"/>
      <c r="D437" s="21"/>
      <c r="E437" s="21"/>
      <c r="F437" s="21"/>
      <c r="G437" s="21"/>
      <c r="H437" s="21"/>
      <c r="I437" s="21" t="str">
        <f>IF(E437="","",VLOOKUP(E437,tipo_organizacion[#ALL],2,0))</f>
        <v/>
      </c>
      <c r="J437" s="21" t="str">
        <f>IF(F437="","",VLOOKUP(F437,razon_social[#ALL],2,0))</f>
        <v/>
      </c>
      <c r="K437" s="21" t="str">
        <f>IF(G437="","",VLOOKUP(G437,tipo_contribuyente[#ALL],2,0))</f>
        <v/>
      </c>
      <c r="L437" s="21" t="str">
        <f>IF(H437="","",VLOOKUP(H437,pais[#ALL],2,0))</f>
        <v/>
      </c>
    </row>
    <row r="438">
      <c r="A438" s="21"/>
      <c r="B438" s="21"/>
      <c r="C438" s="21"/>
      <c r="D438" s="21"/>
      <c r="E438" s="21"/>
      <c r="F438" s="21"/>
      <c r="G438" s="21"/>
      <c r="H438" s="21"/>
      <c r="I438" s="21" t="str">
        <f>IF(E438="","",VLOOKUP(E438,tipo_organizacion[#ALL],2,0))</f>
        <v/>
      </c>
      <c r="J438" s="21" t="str">
        <f>IF(F438="","",VLOOKUP(F438,razon_social[#ALL],2,0))</f>
        <v/>
      </c>
      <c r="K438" s="21" t="str">
        <f>IF(G438="","",VLOOKUP(G438,tipo_contribuyente[#ALL],2,0))</f>
        <v/>
      </c>
      <c r="L438" s="21" t="str">
        <f>IF(H438="","",VLOOKUP(H438,pais[#ALL],2,0))</f>
        <v/>
      </c>
    </row>
    <row r="439">
      <c r="A439" s="21"/>
      <c r="B439" s="21"/>
      <c r="C439" s="21"/>
      <c r="D439" s="21"/>
      <c r="E439" s="21"/>
      <c r="F439" s="21"/>
      <c r="G439" s="21"/>
      <c r="H439" s="21"/>
      <c r="I439" s="21" t="str">
        <f>IF(E439="","",VLOOKUP(E439,tipo_organizacion[#ALL],2,0))</f>
        <v/>
      </c>
      <c r="J439" s="21" t="str">
        <f>IF(F439="","",VLOOKUP(F439,razon_social[#ALL],2,0))</f>
        <v/>
      </c>
      <c r="K439" s="21" t="str">
        <f>IF(G439="","",VLOOKUP(G439,tipo_contribuyente[#ALL],2,0))</f>
        <v/>
      </c>
      <c r="L439" s="21" t="str">
        <f>IF(H439="","",VLOOKUP(H439,pais[#ALL],2,0))</f>
        <v/>
      </c>
    </row>
    <row r="440">
      <c r="A440" s="21"/>
      <c r="B440" s="21"/>
      <c r="C440" s="21"/>
      <c r="D440" s="21"/>
      <c r="E440" s="21"/>
      <c r="F440" s="21"/>
      <c r="G440" s="21"/>
      <c r="H440" s="21"/>
      <c r="I440" s="21" t="str">
        <f>IF(E440="","",VLOOKUP(E440,tipo_organizacion[#ALL],2,0))</f>
        <v/>
      </c>
      <c r="J440" s="21" t="str">
        <f>IF(F440="","",VLOOKUP(F440,razon_social[#ALL],2,0))</f>
        <v/>
      </c>
      <c r="K440" s="21" t="str">
        <f>IF(G440="","",VLOOKUP(G440,tipo_contribuyente[#ALL],2,0))</f>
        <v/>
      </c>
      <c r="L440" s="21" t="str">
        <f>IF(H440="","",VLOOKUP(H440,pais[#ALL],2,0))</f>
        <v/>
      </c>
    </row>
    <row r="441">
      <c r="A441" s="21"/>
      <c r="B441" s="21"/>
      <c r="C441" s="21"/>
      <c r="D441" s="21"/>
      <c r="E441" s="21"/>
      <c r="F441" s="21"/>
      <c r="G441" s="21"/>
      <c r="H441" s="21"/>
      <c r="I441" s="21" t="str">
        <f>IF(E441="","",VLOOKUP(E441,tipo_organizacion[#ALL],2,0))</f>
        <v/>
      </c>
      <c r="J441" s="21" t="str">
        <f>IF(F441="","",VLOOKUP(F441,razon_social[#ALL],2,0))</f>
        <v/>
      </c>
      <c r="K441" s="21" t="str">
        <f>IF(G441="","",VLOOKUP(G441,tipo_contribuyente[#ALL],2,0))</f>
        <v/>
      </c>
      <c r="L441" s="21" t="str">
        <f>IF(H441="","",VLOOKUP(H441,pais[#ALL],2,0))</f>
        <v/>
      </c>
    </row>
    <row r="442">
      <c r="A442" s="21"/>
      <c r="B442" s="21"/>
      <c r="C442" s="21"/>
      <c r="D442" s="21"/>
      <c r="E442" s="21"/>
      <c r="F442" s="21"/>
      <c r="G442" s="21"/>
      <c r="H442" s="21"/>
      <c r="I442" s="21" t="str">
        <f>IF(E442="","",VLOOKUP(E442,tipo_organizacion[#ALL],2,0))</f>
        <v/>
      </c>
      <c r="J442" s="21" t="str">
        <f>IF(F442="","",VLOOKUP(F442,razon_social[#ALL],2,0))</f>
        <v/>
      </c>
      <c r="K442" s="21" t="str">
        <f>IF(G442="","",VLOOKUP(G442,tipo_contribuyente[#ALL],2,0))</f>
        <v/>
      </c>
      <c r="L442" s="21" t="str">
        <f>IF(H442="","",VLOOKUP(H442,pais[#ALL],2,0))</f>
        <v/>
      </c>
    </row>
    <row r="443">
      <c r="A443" s="21"/>
      <c r="B443" s="21"/>
      <c r="C443" s="21"/>
      <c r="D443" s="21"/>
      <c r="E443" s="21"/>
      <c r="F443" s="21"/>
      <c r="G443" s="21"/>
      <c r="H443" s="21"/>
      <c r="I443" s="21" t="str">
        <f>IF(E443="","",VLOOKUP(E443,tipo_organizacion[#ALL],2,0))</f>
        <v/>
      </c>
      <c r="J443" s="21" t="str">
        <f>IF(F443="","",VLOOKUP(F443,razon_social[#ALL],2,0))</f>
        <v/>
      </c>
      <c r="K443" s="21" t="str">
        <f>IF(G443="","",VLOOKUP(G443,tipo_contribuyente[#ALL],2,0))</f>
        <v/>
      </c>
      <c r="L443" s="21" t="str">
        <f>IF(H443="","",VLOOKUP(H443,pais[#ALL],2,0))</f>
        <v/>
      </c>
    </row>
    <row r="444">
      <c r="A444" s="21"/>
      <c r="B444" s="21"/>
      <c r="C444" s="21"/>
      <c r="D444" s="21"/>
      <c r="E444" s="21"/>
      <c r="F444" s="21"/>
      <c r="G444" s="21"/>
      <c r="H444" s="21"/>
      <c r="I444" s="21" t="str">
        <f>IF(E444="","",VLOOKUP(E444,tipo_organizacion[#ALL],2,0))</f>
        <v/>
      </c>
      <c r="J444" s="21" t="str">
        <f>IF(F444="","",VLOOKUP(F444,razon_social[#ALL],2,0))</f>
        <v/>
      </c>
      <c r="K444" s="21" t="str">
        <f>IF(G444="","",VLOOKUP(G444,tipo_contribuyente[#ALL],2,0))</f>
        <v/>
      </c>
      <c r="L444" s="21" t="str">
        <f>IF(H444="","",VLOOKUP(H444,pais[#ALL],2,0))</f>
        <v/>
      </c>
    </row>
    <row r="445">
      <c r="A445" s="21"/>
      <c r="B445" s="21"/>
      <c r="C445" s="21"/>
      <c r="D445" s="21"/>
      <c r="E445" s="21"/>
      <c r="F445" s="21"/>
      <c r="G445" s="21"/>
      <c r="H445" s="21"/>
      <c r="I445" s="21" t="str">
        <f>IF(E445="","",VLOOKUP(E445,tipo_organizacion[#ALL],2,0))</f>
        <v/>
      </c>
      <c r="J445" s="21" t="str">
        <f>IF(F445="","",VLOOKUP(F445,razon_social[#ALL],2,0))</f>
        <v/>
      </c>
      <c r="K445" s="21" t="str">
        <f>IF(G445="","",VLOOKUP(G445,tipo_contribuyente[#ALL],2,0))</f>
        <v/>
      </c>
      <c r="L445" s="21" t="str">
        <f>IF(H445="","",VLOOKUP(H445,pais[#ALL],2,0))</f>
        <v/>
      </c>
    </row>
    <row r="446">
      <c r="A446" s="21"/>
      <c r="B446" s="21"/>
      <c r="C446" s="21"/>
      <c r="D446" s="21"/>
      <c r="E446" s="21"/>
      <c r="F446" s="21"/>
      <c r="G446" s="21"/>
      <c r="H446" s="21"/>
      <c r="I446" s="21" t="str">
        <f>IF(E446="","",VLOOKUP(E446,tipo_organizacion[#ALL],2,0))</f>
        <v/>
      </c>
      <c r="J446" s="21" t="str">
        <f>IF(F446="","",VLOOKUP(F446,razon_social[#ALL],2,0))</f>
        <v/>
      </c>
      <c r="K446" s="21" t="str">
        <f>IF(G446="","",VLOOKUP(G446,tipo_contribuyente[#ALL],2,0))</f>
        <v/>
      </c>
      <c r="L446" s="21" t="str">
        <f>IF(H446="","",VLOOKUP(H446,pais[#ALL],2,0))</f>
        <v/>
      </c>
    </row>
    <row r="447">
      <c r="A447" s="21"/>
      <c r="B447" s="21"/>
      <c r="C447" s="21"/>
      <c r="D447" s="21"/>
      <c r="E447" s="21"/>
      <c r="F447" s="21"/>
      <c r="G447" s="21"/>
      <c r="H447" s="21"/>
      <c r="I447" s="21" t="str">
        <f>IF(E447="","",VLOOKUP(E447,tipo_organizacion[#ALL],2,0))</f>
        <v/>
      </c>
      <c r="J447" s="21" t="str">
        <f>IF(F447="","",VLOOKUP(F447,razon_social[#ALL],2,0))</f>
        <v/>
      </c>
      <c r="K447" s="21" t="str">
        <f>IF(G447="","",VLOOKUP(G447,tipo_contribuyente[#ALL],2,0))</f>
        <v/>
      </c>
      <c r="L447" s="21" t="str">
        <f>IF(H447="","",VLOOKUP(H447,pais[#ALL],2,0))</f>
        <v/>
      </c>
    </row>
    <row r="448">
      <c r="A448" s="21"/>
      <c r="B448" s="21"/>
      <c r="C448" s="21"/>
      <c r="D448" s="21"/>
      <c r="E448" s="21"/>
      <c r="F448" s="21"/>
      <c r="G448" s="21"/>
      <c r="H448" s="21"/>
      <c r="I448" s="21" t="str">
        <f>IF(E448="","",VLOOKUP(E448,tipo_organizacion[#ALL],2,0))</f>
        <v/>
      </c>
      <c r="J448" s="21" t="str">
        <f>IF(F448="","",VLOOKUP(F448,razon_social[#ALL],2,0))</f>
        <v/>
      </c>
      <c r="K448" s="21" t="str">
        <f>IF(G448="","",VLOOKUP(G448,tipo_contribuyente[#ALL],2,0))</f>
        <v/>
      </c>
      <c r="L448" s="21" t="str">
        <f>IF(H448="","",VLOOKUP(H448,pais[#ALL],2,0))</f>
        <v/>
      </c>
    </row>
    <row r="449">
      <c r="A449" s="21"/>
      <c r="B449" s="21"/>
      <c r="C449" s="21"/>
      <c r="D449" s="21"/>
      <c r="E449" s="21"/>
      <c r="F449" s="21"/>
      <c r="G449" s="21"/>
      <c r="H449" s="21"/>
      <c r="I449" s="21" t="str">
        <f>IF(E449="","",VLOOKUP(E449,tipo_organizacion[#ALL],2,0))</f>
        <v/>
      </c>
      <c r="J449" s="21" t="str">
        <f>IF(F449="","",VLOOKUP(F449,razon_social[#ALL],2,0))</f>
        <v/>
      </c>
      <c r="K449" s="21" t="str">
        <f>IF(G449="","",VLOOKUP(G449,tipo_contribuyente[#ALL],2,0))</f>
        <v/>
      </c>
      <c r="L449" s="21" t="str">
        <f>IF(H449="","",VLOOKUP(H449,pais[#ALL],2,0))</f>
        <v/>
      </c>
    </row>
    <row r="450">
      <c r="A450" s="21"/>
      <c r="B450" s="21"/>
      <c r="C450" s="21"/>
      <c r="D450" s="21"/>
      <c r="E450" s="21"/>
      <c r="F450" s="21"/>
      <c r="G450" s="21"/>
      <c r="H450" s="21"/>
      <c r="I450" s="21" t="str">
        <f>IF(E450="","",VLOOKUP(E450,tipo_organizacion[#ALL],2,0))</f>
        <v/>
      </c>
      <c r="J450" s="21" t="str">
        <f>IF(F450="","",VLOOKUP(F450,razon_social[#ALL],2,0))</f>
        <v/>
      </c>
      <c r="K450" s="21" t="str">
        <f>IF(G450="","",VLOOKUP(G450,tipo_contribuyente[#ALL],2,0))</f>
        <v/>
      </c>
      <c r="L450" s="21" t="str">
        <f>IF(H450="","",VLOOKUP(H450,pais[#ALL],2,0))</f>
        <v/>
      </c>
    </row>
    <row r="451">
      <c r="A451" s="21"/>
      <c r="B451" s="21"/>
      <c r="C451" s="21"/>
      <c r="D451" s="21"/>
      <c r="E451" s="21"/>
      <c r="F451" s="21"/>
      <c r="G451" s="21"/>
      <c r="H451" s="21"/>
      <c r="I451" s="21" t="str">
        <f>IF(E451="","",VLOOKUP(E451,tipo_organizacion[#ALL],2,0))</f>
        <v/>
      </c>
      <c r="J451" s="21" t="str">
        <f>IF(F451="","",VLOOKUP(F451,razon_social[#ALL],2,0))</f>
        <v/>
      </c>
      <c r="K451" s="21" t="str">
        <f>IF(G451="","",VLOOKUP(G451,tipo_contribuyente[#ALL],2,0))</f>
        <v/>
      </c>
      <c r="L451" s="21" t="str">
        <f>IF(H451="","",VLOOKUP(H451,pais[#ALL],2,0))</f>
        <v/>
      </c>
    </row>
    <row r="452">
      <c r="A452" s="21"/>
      <c r="B452" s="21"/>
      <c r="C452" s="21"/>
      <c r="D452" s="21"/>
      <c r="E452" s="21"/>
      <c r="F452" s="21"/>
      <c r="G452" s="21"/>
      <c r="H452" s="21"/>
      <c r="I452" s="21" t="str">
        <f>IF(E452="","",VLOOKUP(E452,tipo_organizacion[#ALL],2,0))</f>
        <v/>
      </c>
      <c r="J452" s="21" t="str">
        <f>IF(F452="","",VLOOKUP(F452,razon_social[#ALL],2,0))</f>
        <v/>
      </c>
      <c r="K452" s="21" t="str">
        <f>IF(G452="","",VLOOKUP(G452,tipo_contribuyente[#ALL],2,0))</f>
        <v/>
      </c>
      <c r="L452" s="21" t="str">
        <f>IF(H452="","",VLOOKUP(H452,pais[#ALL],2,0))</f>
        <v/>
      </c>
    </row>
    <row r="453">
      <c r="A453" s="21"/>
      <c r="B453" s="21"/>
      <c r="C453" s="21"/>
      <c r="D453" s="21"/>
      <c r="E453" s="21"/>
      <c r="F453" s="21"/>
      <c r="G453" s="21"/>
      <c r="H453" s="21"/>
      <c r="I453" s="21" t="str">
        <f>IF(E453="","",VLOOKUP(E453,tipo_organizacion[#ALL],2,0))</f>
        <v/>
      </c>
      <c r="J453" s="21" t="str">
        <f>IF(F453="","",VLOOKUP(F453,razon_social[#ALL],2,0))</f>
        <v/>
      </c>
      <c r="K453" s="21" t="str">
        <f>IF(G453="","",VLOOKUP(G453,tipo_contribuyente[#ALL],2,0))</f>
        <v/>
      </c>
      <c r="L453" s="21" t="str">
        <f>IF(H453="","",VLOOKUP(H453,pais[#ALL],2,0))</f>
        <v/>
      </c>
    </row>
    <row r="454">
      <c r="A454" s="21"/>
      <c r="B454" s="21"/>
      <c r="C454" s="21"/>
      <c r="D454" s="21"/>
      <c r="E454" s="21"/>
      <c r="F454" s="21"/>
      <c r="G454" s="21"/>
      <c r="H454" s="21"/>
      <c r="I454" s="21" t="str">
        <f>IF(E454="","",VLOOKUP(E454,tipo_organizacion[#ALL],2,0))</f>
        <v/>
      </c>
      <c r="J454" s="21" t="str">
        <f>IF(F454="","",VLOOKUP(F454,razon_social[#ALL],2,0))</f>
        <v/>
      </c>
      <c r="K454" s="21" t="str">
        <f>IF(G454="","",VLOOKUP(G454,tipo_contribuyente[#ALL],2,0))</f>
        <v/>
      </c>
      <c r="L454" s="21" t="str">
        <f>IF(H454="","",VLOOKUP(H454,pais[#ALL],2,0))</f>
        <v/>
      </c>
    </row>
    <row r="455">
      <c r="A455" s="21"/>
      <c r="B455" s="21"/>
      <c r="C455" s="21"/>
      <c r="D455" s="21"/>
      <c r="E455" s="21"/>
      <c r="F455" s="21"/>
      <c r="G455" s="21"/>
      <c r="H455" s="21"/>
      <c r="I455" s="21" t="str">
        <f>IF(E455="","",VLOOKUP(E455,tipo_organizacion[#ALL],2,0))</f>
        <v/>
      </c>
      <c r="J455" s="21" t="str">
        <f>IF(F455="","",VLOOKUP(F455,razon_social[#ALL],2,0))</f>
        <v/>
      </c>
      <c r="K455" s="21" t="str">
        <f>IF(G455="","",VLOOKUP(G455,tipo_contribuyente[#ALL],2,0))</f>
        <v/>
      </c>
      <c r="L455" s="21" t="str">
        <f>IF(H455="","",VLOOKUP(H455,pais[#ALL],2,0))</f>
        <v/>
      </c>
    </row>
    <row r="456">
      <c r="A456" s="21"/>
      <c r="B456" s="21"/>
      <c r="C456" s="21"/>
      <c r="D456" s="21"/>
      <c r="E456" s="21"/>
      <c r="F456" s="21"/>
      <c r="G456" s="21"/>
      <c r="H456" s="21"/>
      <c r="I456" s="21" t="str">
        <f>IF(E456="","",VLOOKUP(E456,tipo_organizacion[#ALL],2,0))</f>
        <v/>
      </c>
      <c r="J456" s="21" t="str">
        <f>IF(F456="","",VLOOKUP(F456,razon_social[#ALL],2,0))</f>
        <v/>
      </c>
      <c r="K456" s="21" t="str">
        <f>IF(G456="","",VLOOKUP(G456,tipo_contribuyente[#ALL],2,0))</f>
        <v/>
      </c>
      <c r="L456" s="21" t="str">
        <f>IF(H456="","",VLOOKUP(H456,pais[#ALL],2,0))</f>
        <v/>
      </c>
    </row>
    <row r="457">
      <c r="A457" s="21"/>
      <c r="B457" s="21"/>
      <c r="C457" s="21"/>
      <c r="D457" s="21"/>
      <c r="E457" s="21"/>
      <c r="F457" s="21"/>
      <c r="G457" s="21"/>
      <c r="H457" s="21"/>
      <c r="I457" s="21" t="str">
        <f>IF(E457="","",VLOOKUP(E457,tipo_organizacion[#ALL],2,0))</f>
        <v/>
      </c>
      <c r="J457" s="21" t="str">
        <f>IF(F457="","",VLOOKUP(F457,razon_social[#ALL],2,0))</f>
        <v/>
      </c>
      <c r="K457" s="21" t="str">
        <f>IF(G457="","",VLOOKUP(G457,tipo_contribuyente[#ALL],2,0))</f>
        <v/>
      </c>
      <c r="L457" s="21" t="str">
        <f>IF(H457="","",VLOOKUP(H457,pais[#ALL],2,0))</f>
        <v/>
      </c>
    </row>
    <row r="458">
      <c r="A458" s="21"/>
      <c r="B458" s="21"/>
      <c r="C458" s="21"/>
      <c r="D458" s="21"/>
      <c r="E458" s="21"/>
      <c r="F458" s="21"/>
      <c r="G458" s="21"/>
      <c r="H458" s="21"/>
      <c r="I458" s="21" t="str">
        <f>IF(E458="","",VLOOKUP(E458,tipo_organizacion[#ALL],2,0))</f>
        <v/>
      </c>
      <c r="J458" s="21" t="str">
        <f>IF(F458="","",VLOOKUP(F458,razon_social[#ALL],2,0))</f>
        <v/>
      </c>
      <c r="K458" s="21" t="str">
        <f>IF(G458="","",VLOOKUP(G458,tipo_contribuyente[#ALL],2,0))</f>
        <v/>
      </c>
      <c r="L458" s="21" t="str">
        <f>IF(H458="","",VLOOKUP(H458,pais[#ALL],2,0))</f>
        <v/>
      </c>
    </row>
    <row r="459">
      <c r="A459" s="21"/>
      <c r="B459" s="21"/>
      <c r="C459" s="21"/>
      <c r="D459" s="21"/>
      <c r="E459" s="21"/>
      <c r="F459" s="21"/>
      <c r="G459" s="21"/>
      <c r="H459" s="21"/>
      <c r="I459" s="21" t="str">
        <f>IF(E459="","",VLOOKUP(E459,tipo_organizacion[#ALL],2,0))</f>
        <v/>
      </c>
      <c r="J459" s="21" t="str">
        <f>IF(F459="","",VLOOKUP(F459,razon_social[#ALL],2,0))</f>
        <v/>
      </c>
      <c r="K459" s="21" t="str">
        <f>IF(G459="","",VLOOKUP(G459,tipo_contribuyente[#ALL],2,0))</f>
        <v/>
      </c>
      <c r="L459" s="21" t="str">
        <f>IF(H459="","",VLOOKUP(H459,pais[#ALL],2,0))</f>
        <v/>
      </c>
    </row>
    <row r="460">
      <c r="A460" s="21"/>
      <c r="B460" s="21"/>
      <c r="C460" s="21"/>
      <c r="D460" s="21"/>
      <c r="E460" s="21"/>
      <c r="F460" s="21"/>
      <c r="G460" s="21"/>
      <c r="H460" s="21"/>
      <c r="I460" s="21" t="str">
        <f>IF(E460="","",VLOOKUP(E460,tipo_organizacion[#ALL],2,0))</f>
        <v/>
      </c>
      <c r="J460" s="21" t="str">
        <f>IF(F460="","",VLOOKUP(F460,razon_social[#ALL],2,0))</f>
        <v/>
      </c>
      <c r="K460" s="21" t="str">
        <f>IF(G460="","",VLOOKUP(G460,tipo_contribuyente[#ALL],2,0))</f>
        <v/>
      </c>
      <c r="L460" s="21" t="str">
        <f>IF(H460="","",VLOOKUP(H460,pais[#ALL],2,0))</f>
        <v/>
      </c>
    </row>
    <row r="461">
      <c r="A461" s="21"/>
      <c r="B461" s="21"/>
      <c r="C461" s="21"/>
      <c r="D461" s="21"/>
      <c r="E461" s="21"/>
      <c r="F461" s="21"/>
      <c r="G461" s="21"/>
      <c r="H461" s="21"/>
      <c r="I461" s="21" t="str">
        <f>IF(E461="","",VLOOKUP(E461,tipo_organizacion[#ALL],2,0))</f>
        <v/>
      </c>
      <c r="J461" s="21" t="str">
        <f>IF(F461="","",VLOOKUP(F461,razon_social[#ALL],2,0))</f>
        <v/>
      </c>
      <c r="K461" s="21" t="str">
        <f>IF(G461="","",VLOOKUP(G461,tipo_contribuyente[#ALL],2,0))</f>
        <v/>
      </c>
      <c r="L461" s="21" t="str">
        <f>IF(H461="","",VLOOKUP(H461,pais[#ALL],2,0))</f>
        <v/>
      </c>
    </row>
    <row r="462">
      <c r="A462" s="21"/>
      <c r="B462" s="21"/>
      <c r="C462" s="21"/>
      <c r="D462" s="21"/>
      <c r="E462" s="21"/>
      <c r="F462" s="21"/>
      <c r="G462" s="21"/>
      <c r="H462" s="21"/>
      <c r="I462" s="21" t="str">
        <f>IF(E462="","",VLOOKUP(E462,tipo_organizacion[#ALL],2,0))</f>
        <v/>
      </c>
      <c r="J462" s="21" t="str">
        <f>IF(F462="","",VLOOKUP(F462,razon_social[#ALL],2,0))</f>
        <v/>
      </c>
      <c r="K462" s="21" t="str">
        <f>IF(G462="","",VLOOKUP(G462,tipo_contribuyente[#ALL],2,0))</f>
        <v/>
      </c>
      <c r="L462" s="21" t="str">
        <f>IF(H462="","",VLOOKUP(H462,pais[#ALL],2,0))</f>
        <v/>
      </c>
    </row>
    <row r="463">
      <c r="A463" s="21"/>
      <c r="B463" s="21"/>
      <c r="C463" s="21"/>
      <c r="D463" s="21"/>
      <c r="E463" s="21"/>
      <c r="F463" s="21"/>
      <c r="G463" s="21"/>
      <c r="H463" s="21"/>
      <c r="I463" s="21" t="str">
        <f>IF(E463="","",VLOOKUP(E463,tipo_organizacion[#ALL],2,0))</f>
        <v/>
      </c>
      <c r="J463" s="21" t="str">
        <f>IF(F463="","",VLOOKUP(F463,razon_social[#ALL],2,0))</f>
        <v/>
      </c>
      <c r="K463" s="21" t="str">
        <f>IF(G463="","",VLOOKUP(G463,tipo_contribuyente[#ALL],2,0))</f>
        <v/>
      </c>
      <c r="L463" s="21" t="str">
        <f>IF(H463="","",VLOOKUP(H463,pais[#ALL],2,0))</f>
        <v/>
      </c>
    </row>
    <row r="464">
      <c r="A464" s="21"/>
      <c r="B464" s="21"/>
      <c r="C464" s="21"/>
      <c r="D464" s="21"/>
      <c r="E464" s="21"/>
      <c r="F464" s="21"/>
      <c r="G464" s="21"/>
      <c r="H464" s="21"/>
      <c r="I464" s="21" t="str">
        <f>IF(E464="","",VLOOKUP(E464,tipo_organizacion[#ALL],2,0))</f>
        <v/>
      </c>
      <c r="J464" s="21" t="str">
        <f>IF(F464="","",VLOOKUP(F464,razon_social[#ALL],2,0))</f>
        <v/>
      </c>
      <c r="K464" s="21" t="str">
        <f>IF(G464="","",VLOOKUP(G464,tipo_contribuyente[#ALL],2,0))</f>
        <v/>
      </c>
      <c r="L464" s="21" t="str">
        <f>IF(H464="","",VLOOKUP(H464,pais[#ALL],2,0))</f>
        <v/>
      </c>
    </row>
    <row r="465">
      <c r="A465" s="21"/>
      <c r="B465" s="21"/>
      <c r="C465" s="21"/>
      <c r="D465" s="21"/>
      <c r="E465" s="21"/>
      <c r="F465" s="21"/>
      <c r="G465" s="21"/>
      <c r="H465" s="21"/>
      <c r="I465" s="21" t="str">
        <f>IF(E465="","",VLOOKUP(E465,tipo_organizacion[#ALL],2,0))</f>
        <v/>
      </c>
      <c r="J465" s="21" t="str">
        <f>IF(F465="","",VLOOKUP(F465,razon_social[#ALL],2,0))</f>
        <v/>
      </c>
      <c r="K465" s="21" t="str">
        <f>IF(G465="","",VLOOKUP(G465,tipo_contribuyente[#ALL],2,0))</f>
        <v/>
      </c>
      <c r="L465" s="21" t="str">
        <f>IF(H465="","",VLOOKUP(H465,pais[#ALL],2,0))</f>
        <v/>
      </c>
    </row>
    <row r="466">
      <c r="A466" s="21"/>
      <c r="B466" s="21"/>
      <c r="C466" s="21"/>
      <c r="D466" s="21"/>
      <c r="E466" s="21"/>
      <c r="F466" s="21"/>
      <c r="G466" s="21"/>
      <c r="H466" s="21"/>
      <c r="I466" s="21" t="str">
        <f>IF(E466="","",VLOOKUP(E466,tipo_organizacion[#ALL],2,0))</f>
        <v/>
      </c>
      <c r="J466" s="21" t="str">
        <f>IF(F466="","",VLOOKUP(F466,razon_social[#ALL],2,0))</f>
        <v/>
      </c>
      <c r="K466" s="21" t="str">
        <f>IF(G466="","",VLOOKUP(G466,tipo_contribuyente[#ALL],2,0))</f>
        <v/>
      </c>
      <c r="L466" s="21" t="str">
        <f>IF(H466="","",VLOOKUP(H466,pais[#ALL],2,0))</f>
        <v/>
      </c>
    </row>
    <row r="467">
      <c r="A467" s="21"/>
      <c r="B467" s="21"/>
      <c r="C467" s="21"/>
      <c r="D467" s="21"/>
      <c r="E467" s="21"/>
      <c r="F467" s="21"/>
      <c r="G467" s="21"/>
      <c r="H467" s="21"/>
      <c r="I467" s="21" t="str">
        <f>IF(E467="","",VLOOKUP(E467,tipo_organizacion[#ALL],2,0))</f>
        <v/>
      </c>
      <c r="J467" s="21" t="str">
        <f>IF(F467="","",VLOOKUP(F467,razon_social[#ALL],2,0))</f>
        <v/>
      </c>
      <c r="K467" s="21" t="str">
        <f>IF(G467="","",VLOOKUP(G467,tipo_contribuyente[#ALL],2,0))</f>
        <v/>
      </c>
      <c r="L467" s="21" t="str">
        <f>IF(H467="","",VLOOKUP(H467,pais[#ALL],2,0))</f>
        <v/>
      </c>
    </row>
    <row r="468">
      <c r="A468" s="21"/>
      <c r="B468" s="21"/>
      <c r="C468" s="21"/>
      <c r="D468" s="21"/>
      <c r="E468" s="21"/>
      <c r="F468" s="21"/>
      <c r="G468" s="21"/>
      <c r="H468" s="21"/>
      <c r="I468" s="21" t="str">
        <f>IF(E468="","",VLOOKUP(E468,tipo_organizacion[#ALL],2,0))</f>
        <v/>
      </c>
      <c r="J468" s="21" t="str">
        <f>IF(F468="","",VLOOKUP(F468,razon_social[#ALL],2,0))</f>
        <v/>
      </c>
      <c r="K468" s="21" t="str">
        <f>IF(G468="","",VLOOKUP(G468,tipo_contribuyente[#ALL],2,0))</f>
        <v/>
      </c>
      <c r="L468" s="21" t="str">
        <f>IF(H468="","",VLOOKUP(H468,pais[#ALL],2,0))</f>
        <v/>
      </c>
    </row>
    <row r="469">
      <c r="A469" s="21"/>
      <c r="B469" s="21"/>
      <c r="C469" s="21"/>
      <c r="D469" s="21"/>
      <c r="E469" s="21"/>
      <c r="F469" s="21"/>
      <c r="G469" s="21"/>
      <c r="H469" s="21"/>
      <c r="I469" s="21" t="str">
        <f>IF(E469="","",VLOOKUP(E469,tipo_organizacion[#ALL],2,0))</f>
        <v/>
      </c>
      <c r="J469" s="21" t="str">
        <f>IF(F469="","",VLOOKUP(F469,razon_social[#ALL],2,0))</f>
        <v/>
      </c>
      <c r="K469" s="21" t="str">
        <f>IF(G469="","",VLOOKUP(G469,tipo_contribuyente[#ALL],2,0))</f>
        <v/>
      </c>
      <c r="L469" s="21" t="str">
        <f>IF(H469="","",VLOOKUP(H469,pais[#ALL],2,0))</f>
        <v/>
      </c>
    </row>
    <row r="470">
      <c r="A470" s="21"/>
      <c r="B470" s="21"/>
      <c r="C470" s="21"/>
      <c r="D470" s="21"/>
      <c r="E470" s="21"/>
      <c r="F470" s="21"/>
      <c r="G470" s="21"/>
      <c r="H470" s="21"/>
      <c r="I470" s="21" t="str">
        <f>IF(E470="","",VLOOKUP(E470,tipo_organizacion[#ALL],2,0))</f>
        <v/>
      </c>
      <c r="J470" s="21" t="str">
        <f>IF(F470="","",VLOOKUP(F470,razon_social[#ALL],2,0))</f>
        <v/>
      </c>
      <c r="K470" s="21" t="str">
        <f>IF(G470="","",VLOOKUP(G470,tipo_contribuyente[#ALL],2,0))</f>
        <v/>
      </c>
      <c r="L470" s="21" t="str">
        <f>IF(H470="","",VLOOKUP(H470,pais[#ALL],2,0))</f>
        <v/>
      </c>
    </row>
    <row r="471">
      <c r="A471" s="21"/>
      <c r="B471" s="21"/>
      <c r="C471" s="21"/>
      <c r="D471" s="21"/>
      <c r="E471" s="21"/>
      <c r="F471" s="21"/>
      <c r="G471" s="21"/>
      <c r="H471" s="21"/>
      <c r="I471" s="21" t="str">
        <f>IF(E471="","",VLOOKUP(E471,tipo_organizacion[#ALL],2,0))</f>
        <v/>
      </c>
      <c r="J471" s="21" t="str">
        <f>IF(F471="","",VLOOKUP(F471,razon_social[#ALL],2,0))</f>
        <v/>
      </c>
      <c r="K471" s="21" t="str">
        <f>IF(G471="","",VLOOKUP(G471,tipo_contribuyente[#ALL],2,0))</f>
        <v/>
      </c>
      <c r="L471" s="21" t="str">
        <f>IF(H471="","",VLOOKUP(H471,pais[#ALL],2,0))</f>
        <v/>
      </c>
    </row>
    <row r="472">
      <c r="A472" s="21"/>
      <c r="B472" s="21"/>
      <c r="C472" s="21"/>
      <c r="D472" s="21"/>
      <c r="E472" s="21"/>
      <c r="F472" s="21"/>
      <c r="G472" s="21"/>
      <c r="H472" s="21"/>
      <c r="I472" s="21" t="str">
        <f>IF(E472="","",VLOOKUP(E472,tipo_organizacion[#ALL],2,0))</f>
        <v/>
      </c>
      <c r="J472" s="21" t="str">
        <f>IF(F472="","",VLOOKUP(F472,razon_social[#ALL],2,0))</f>
        <v/>
      </c>
      <c r="K472" s="21" t="str">
        <f>IF(G472="","",VLOOKUP(G472,tipo_contribuyente[#ALL],2,0))</f>
        <v/>
      </c>
      <c r="L472" s="21" t="str">
        <f>IF(H472="","",VLOOKUP(H472,pais[#ALL],2,0))</f>
        <v/>
      </c>
    </row>
    <row r="473">
      <c r="A473" s="21"/>
      <c r="B473" s="21"/>
      <c r="C473" s="21"/>
      <c r="D473" s="21"/>
      <c r="E473" s="21"/>
      <c r="F473" s="21"/>
      <c r="G473" s="21"/>
      <c r="H473" s="21"/>
      <c r="I473" s="21" t="str">
        <f>IF(E473="","",VLOOKUP(E473,tipo_organizacion[#ALL],2,0))</f>
        <v/>
      </c>
      <c r="J473" s="21" t="str">
        <f>IF(F473="","",VLOOKUP(F473,razon_social[#ALL],2,0))</f>
        <v/>
      </c>
      <c r="K473" s="21" t="str">
        <f>IF(G473="","",VLOOKUP(G473,tipo_contribuyente[#ALL],2,0))</f>
        <v/>
      </c>
      <c r="L473" s="21" t="str">
        <f>IF(H473="","",VLOOKUP(H473,pais[#ALL],2,0))</f>
        <v/>
      </c>
    </row>
    <row r="474">
      <c r="A474" s="21"/>
      <c r="B474" s="21"/>
      <c r="C474" s="21"/>
      <c r="D474" s="21"/>
      <c r="E474" s="21"/>
      <c r="F474" s="21"/>
      <c r="G474" s="21"/>
      <c r="H474" s="21"/>
      <c r="I474" s="21" t="str">
        <f>IF(E474="","",VLOOKUP(E474,tipo_organizacion[#ALL],2,0))</f>
        <v/>
      </c>
      <c r="J474" s="21" t="str">
        <f>IF(F474="","",VLOOKUP(F474,razon_social[#ALL],2,0))</f>
        <v/>
      </c>
      <c r="K474" s="21" t="str">
        <f>IF(G474="","",VLOOKUP(G474,tipo_contribuyente[#ALL],2,0))</f>
        <v/>
      </c>
      <c r="L474" s="21" t="str">
        <f>IF(H474="","",VLOOKUP(H474,pais[#ALL],2,0))</f>
        <v/>
      </c>
    </row>
    <row r="475">
      <c r="A475" s="21"/>
      <c r="B475" s="21"/>
      <c r="C475" s="21"/>
      <c r="D475" s="21"/>
      <c r="E475" s="21"/>
      <c r="F475" s="21"/>
      <c r="G475" s="21"/>
      <c r="H475" s="21"/>
      <c r="I475" s="21" t="str">
        <f>IF(E475="","",VLOOKUP(E475,tipo_organizacion[#ALL],2,0))</f>
        <v/>
      </c>
      <c r="J475" s="21" t="str">
        <f>IF(F475="","",VLOOKUP(F475,razon_social[#ALL],2,0))</f>
        <v/>
      </c>
      <c r="K475" s="21" t="str">
        <f>IF(G475="","",VLOOKUP(G475,tipo_contribuyente[#ALL],2,0))</f>
        <v/>
      </c>
      <c r="L475" s="21" t="str">
        <f>IF(H475="","",VLOOKUP(H475,pais[#ALL],2,0))</f>
        <v/>
      </c>
    </row>
    <row r="476">
      <c r="A476" s="21"/>
      <c r="B476" s="21"/>
      <c r="C476" s="21"/>
      <c r="D476" s="21"/>
      <c r="E476" s="21"/>
      <c r="F476" s="21"/>
      <c r="G476" s="21"/>
      <c r="H476" s="21"/>
      <c r="I476" s="21" t="str">
        <f>IF(E476="","",VLOOKUP(E476,tipo_organizacion[#ALL],2,0))</f>
        <v/>
      </c>
      <c r="J476" s="21" t="str">
        <f>IF(F476="","",VLOOKUP(F476,razon_social[#ALL],2,0))</f>
        <v/>
      </c>
      <c r="K476" s="21" t="str">
        <f>IF(G476="","",VLOOKUP(G476,tipo_contribuyente[#ALL],2,0))</f>
        <v/>
      </c>
      <c r="L476" s="21" t="str">
        <f>IF(H476="","",VLOOKUP(H476,pais[#ALL],2,0))</f>
        <v/>
      </c>
    </row>
    <row r="477">
      <c r="A477" s="21"/>
      <c r="B477" s="21"/>
      <c r="C477" s="21"/>
      <c r="D477" s="21"/>
      <c r="E477" s="21"/>
      <c r="F477" s="21"/>
      <c r="G477" s="21"/>
      <c r="H477" s="21"/>
      <c r="I477" s="21" t="str">
        <f>IF(E477="","",VLOOKUP(E477,tipo_organizacion[#ALL],2,0))</f>
        <v/>
      </c>
      <c r="J477" s="21" t="str">
        <f>IF(F477="","",VLOOKUP(F477,razon_social[#ALL],2,0))</f>
        <v/>
      </c>
      <c r="K477" s="21" t="str">
        <f>IF(G477="","",VLOOKUP(G477,tipo_contribuyente[#ALL],2,0))</f>
        <v/>
      </c>
      <c r="L477" s="21" t="str">
        <f>IF(H477="","",VLOOKUP(H477,pais[#ALL],2,0))</f>
        <v/>
      </c>
    </row>
    <row r="478">
      <c r="A478" s="21"/>
      <c r="B478" s="21"/>
      <c r="C478" s="21"/>
      <c r="D478" s="21"/>
      <c r="E478" s="21"/>
      <c r="F478" s="21"/>
      <c r="G478" s="21"/>
      <c r="H478" s="21"/>
      <c r="I478" s="21" t="str">
        <f>IF(E478="","",VLOOKUP(E478,tipo_organizacion[#ALL],2,0))</f>
        <v/>
      </c>
      <c r="J478" s="21" t="str">
        <f>IF(F478="","",VLOOKUP(F478,razon_social[#ALL],2,0))</f>
        <v/>
      </c>
      <c r="K478" s="21" t="str">
        <f>IF(G478="","",VLOOKUP(G478,tipo_contribuyente[#ALL],2,0))</f>
        <v/>
      </c>
      <c r="L478" s="21" t="str">
        <f>IF(H478="","",VLOOKUP(H478,pais[#ALL],2,0))</f>
        <v/>
      </c>
    </row>
    <row r="479">
      <c r="A479" s="21"/>
      <c r="B479" s="21"/>
      <c r="C479" s="21"/>
      <c r="D479" s="21"/>
      <c r="E479" s="21"/>
      <c r="F479" s="21"/>
      <c r="G479" s="21"/>
      <c r="H479" s="21"/>
      <c r="I479" s="21" t="str">
        <f>IF(E479="","",VLOOKUP(E479,tipo_organizacion[#ALL],2,0))</f>
        <v/>
      </c>
      <c r="J479" s="21" t="str">
        <f>IF(F479="","",VLOOKUP(F479,razon_social[#ALL],2,0))</f>
        <v/>
      </c>
      <c r="K479" s="21" t="str">
        <f>IF(G479="","",VLOOKUP(G479,tipo_contribuyente[#ALL],2,0))</f>
        <v/>
      </c>
      <c r="L479" s="21" t="str">
        <f>IF(H479="","",VLOOKUP(H479,pais[#ALL],2,0))</f>
        <v/>
      </c>
    </row>
    <row r="480">
      <c r="A480" s="21"/>
      <c r="B480" s="21"/>
      <c r="C480" s="21"/>
      <c r="D480" s="21"/>
      <c r="E480" s="21"/>
      <c r="F480" s="21"/>
      <c r="G480" s="21"/>
      <c r="H480" s="21"/>
      <c r="I480" s="21" t="str">
        <f>IF(E480="","",VLOOKUP(E480,tipo_organizacion[#ALL],2,0))</f>
        <v/>
      </c>
      <c r="J480" s="21" t="str">
        <f>IF(F480="","",VLOOKUP(F480,razon_social[#ALL],2,0))</f>
        <v/>
      </c>
      <c r="K480" s="21" t="str">
        <f>IF(G480="","",VLOOKUP(G480,tipo_contribuyente[#ALL],2,0))</f>
        <v/>
      </c>
      <c r="L480" s="21" t="str">
        <f>IF(H480="","",VLOOKUP(H480,pais[#ALL],2,0))</f>
        <v/>
      </c>
    </row>
    <row r="481">
      <c r="A481" s="21"/>
      <c r="B481" s="21"/>
      <c r="C481" s="21"/>
      <c r="D481" s="21"/>
      <c r="E481" s="21"/>
      <c r="F481" s="21"/>
      <c r="G481" s="21"/>
      <c r="H481" s="21"/>
      <c r="I481" s="21" t="str">
        <f>IF(E481="","",VLOOKUP(E481,tipo_organizacion[#ALL],2,0))</f>
        <v/>
      </c>
      <c r="J481" s="21" t="str">
        <f>IF(F481="","",VLOOKUP(F481,razon_social[#ALL],2,0))</f>
        <v/>
      </c>
      <c r="K481" s="21" t="str">
        <f>IF(G481="","",VLOOKUP(G481,tipo_contribuyente[#ALL],2,0))</f>
        <v/>
      </c>
      <c r="L481" s="21" t="str">
        <f>IF(H481="","",VLOOKUP(H481,pais[#ALL],2,0))</f>
        <v/>
      </c>
    </row>
    <row r="482">
      <c r="A482" s="21"/>
      <c r="B482" s="21"/>
      <c r="C482" s="21"/>
      <c r="D482" s="21"/>
      <c r="E482" s="21"/>
      <c r="F482" s="21"/>
      <c r="G482" s="21"/>
      <c r="H482" s="21"/>
      <c r="I482" s="21" t="str">
        <f>IF(E482="","",VLOOKUP(E482,tipo_organizacion[#ALL],2,0))</f>
        <v/>
      </c>
      <c r="J482" s="21" t="str">
        <f>IF(F482="","",VLOOKUP(F482,razon_social[#ALL],2,0))</f>
        <v/>
      </c>
      <c r="K482" s="21" t="str">
        <f>IF(G482="","",VLOOKUP(G482,tipo_contribuyente[#ALL],2,0))</f>
        <v/>
      </c>
      <c r="L482" s="21" t="str">
        <f>IF(H482="","",VLOOKUP(H482,pais[#ALL],2,0))</f>
        <v/>
      </c>
    </row>
    <row r="483">
      <c r="A483" s="21"/>
      <c r="B483" s="21"/>
      <c r="C483" s="21"/>
      <c r="D483" s="21"/>
      <c r="E483" s="21"/>
      <c r="F483" s="21"/>
      <c r="G483" s="21"/>
      <c r="H483" s="21"/>
      <c r="I483" s="21" t="str">
        <f>IF(E483="","",VLOOKUP(E483,tipo_organizacion[#ALL],2,0))</f>
        <v/>
      </c>
      <c r="J483" s="21" t="str">
        <f>IF(F483="","",VLOOKUP(F483,razon_social[#ALL],2,0))</f>
        <v/>
      </c>
      <c r="K483" s="21" t="str">
        <f>IF(G483="","",VLOOKUP(G483,tipo_contribuyente[#ALL],2,0))</f>
        <v/>
      </c>
      <c r="L483" s="21" t="str">
        <f>IF(H483="","",VLOOKUP(H483,pais[#ALL],2,0))</f>
        <v/>
      </c>
    </row>
    <row r="484">
      <c r="A484" s="21"/>
      <c r="B484" s="21"/>
      <c r="C484" s="21"/>
      <c r="D484" s="21"/>
      <c r="E484" s="21"/>
      <c r="F484" s="21"/>
      <c r="G484" s="21"/>
      <c r="H484" s="21"/>
      <c r="I484" s="21" t="str">
        <f>IF(E484="","",VLOOKUP(E484,tipo_organizacion[#ALL],2,0))</f>
        <v/>
      </c>
      <c r="J484" s="21" t="str">
        <f>IF(F484="","",VLOOKUP(F484,razon_social[#ALL],2,0))</f>
        <v/>
      </c>
      <c r="K484" s="21" t="str">
        <f>IF(G484="","",VLOOKUP(G484,tipo_contribuyente[#ALL],2,0))</f>
        <v/>
      </c>
      <c r="L484" s="21" t="str">
        <f>IF(H484="","",VLOOKUP(H484,pais[#ALL],2,0))</f>
        <v/>
      </c>
    </row>
    <row r="485">
      <c r="A485" s="21"/>
      <c r="B485" s="21"/>
      <c r="C485" s="21"/>
      <c r="D485" s="21"/>
      <c r="E485" s="21"/>
      <c r="F485" s="21"/>
      <c r="G485" s="21"/>
      <c r="H485" s="21"/>
      <c r="I485" s="21" t="str">
        <f>IF(E485="","",VLOOKUP(E485,tipo_organizacion[#ALL],2,0))</f>
        <v/>
      </c>
      <c r="J485" s="21" t="str">
        <f>IF(F485="","",VLOOKUP(F485,razon_social[#ALL],2,0))</f>
        <v/>
      </c>
      <c r="K485" s="21" t="str">
        <f>IF(G485="","",VLOOKUP(G485,tipo_contribuyente[#ALL],2,0))</f>
        <v/>
      </c>
      <c r="L485" s="21" t="str">
        <f>IF(H485="","",VLOOKUP(H485,pais[#ALL],2,0))</f>
        <v/>
      </c>
    </row>
    <row r="486">
      <c r="A486" s="21"/>
      <c r="B486" s="21"/>
      <c r="C486" s="21"/>
      <c r="D486" s="21"/>
      <c r="E486" s="21"/>
      <c r="F486" s="21"/>
      <c r="G486" s="21"/>
      <c r="H486" s="21"/>
      <c r="I486" s="21" t="str">
        <f>IF(E486="","",VLOOKUP(E486,tipo_organizacion[#ALL],2,0))</f>
        <v/>
      </c>
      <c r="J486" s="21" t="str">
        <f>IF(F486="","",VLOOKUP(F486,razon_social[#ALL],2,0))</f>
        <v/>
      </c>
      <c r="K486" s="21" t="str">
        <f>IF(G486="","",VLOOKUP(G486,tipo_contribuyente[#ALL],2,0))</f>
        <v/>
      </c>
      <c r="L486" s="21" t="str">
        <f>IF(H486="","",VLOOKUP(H486,pais[#ALL],2,0))</f>
        <v/>
      </c>
    </row>
    <row r="487">
      <c r="A487" s="21"/>
      <c r="B487" s="21"/>
      <c r="C487" s="21"/>
      <c r="D487" s="21"/>
      <c r="E487" s="21"/>
      <c r="F487" s="21"/>
      <c r="G487" s="21"/>
      <c r="H487" s="21"/>
      <c r="I487" s="21" t="str">
        <f>IF(E487="","",VLOOKUP(E487,tipo_organizacion[#ALL],2,0))</f>
        <v/>
      </c>
      <c r="J487" s="21" t="str">
        <f>IF(F487="","",VLOOKUP(F487,razon_social[#ALL],2,0))</f>
        <v/>
      </c>
      <c r="K487" s="21" t="str">
        <f>IF(G487="","",VLOOKUP(G487,tipo_contribuyente[#ALL],2,0))</f>
        <v/>
      </c>
      <c r="L487" s="21" t="str">
        <f>IF(H487="","",VLOOKUP(H487,pais[#ALL],2,0))</f>
        <v/>
      </c>
    </row>
    <row r="488">
      <c r="A488" s="21"/>
      <c r="B488" s="21"/>
      <c r="C488" s="21"/>
      <c r="D488" s="21"/>
      <c r="E488" s="21"/>
      <c r="F488" s="21"/>
      <c r="G488" s="21"/>
      <c r="H488" s="21"/>
      <c r="I488" s="21" t="str">
        <f>IF(E488="","",VLOOKUP(E488,tipo_organizacion[#ALL],2,0))</f>
        <v/>
      </c>
      <c r="J488" s="21" t="str">
        <f>IF(F488="","",VLOOKUP(F488,razon_social[#ALL],2,0))</f>
        <v/>
      </c>
      <c r="K488" s="21" t="str">
        <f>IF(G488="","",VLOOKUP(G488,tipo_contribuyente[#ALL],2,0))</f>
        <v/>
      </c>
      <c r="L488" s="21" t="str">
        <f>IF(H488="","",VLOOKUP(H488,pais[#ALL],2,0))</f>
        <v/>
      </c>
    </row>
    <row r="489">
      <c r="A489" s="21"/>
      <c r="B489" s="21"/>
      <c r="C489" s="21"/>
      <c r="D489" s="21"/>
      <c r="E489" s="21"/>
      <c r="F489" s="21"/>
      <c r="G489" s="21"/>
      <c r="H489" s="21"/>
      <c r="I489" s="21" t="str">
        <f>IF(E489="","",VLOOKUP(E489,tipo_organizacion[#ALL],2,0))</f>
        <v/>
      </c>
      <c r="J489" s="21" t="str">
        <f>IF(F489="","",VLOOKUP(F489,razon_social[#ALL],2,0))</f>
        <v/>
      </c>
      <c r="K489" s="21" t="str">
        <f>IF(G489="","",VLOOKUP(G489,tipo_contribuyente[#ALL],2,0))</f>
        <v/>
      </c>
      <c r="L489" s="21" t="str">
        <f>IF(H489="","",VLOOKUP(H489,pais[#ALL],2,0))</f>
        <v/>
      </c>
    </row>
    <row r="490">
      <c r="A490" s="21"/>
      <c r="B490" s="21"/>
      <c r="C490" s="21"/>
      <c r="D490" s="21"/>
      <c r="E490" s="21"/>
      <c r="F490" s="21"/>
      <c r="G490" s="21"/>
      <c r="H490" s="21"/>
      <c r="I490" s="21" t="str">
        <f>IF(E490="","",VLOOKUP(E490,tipo_organizacion[#ALL],2,0))</f>
        <v/>
      </c>
      <c r="J490" s="21" t="str">
        <f>IF(F490="","",VLOOKUP(F490,razon_social[#ALL],2,0))</f>
        <v/>
      </c>
      <c r="K490" s="21" t="str">
        <f>IF(G490="","",VLOOKUP(G490,tipo_contribuyente[#ALL],2,0))</f>
        <v/>
      </c>
      <c r="L490" s="21" t="str">
        <f>IF(H490="","",VLOOKUP(H490,pais[#ALL],2,0))</f>
        <v/>
      </c>
    </row>
    <row r="491">
      <c r="A491" s="21"/>
      <c r="B491" s="21"/>
      <c r="C491" s="21"/>
      <c r="D491" s="21"/>
      <c r="E491" s="21"/>
      <c r="F491" s="21"/>
      <c r="G491" s="21"/>
      <c r="H491" s="21"/>
      <c r="I491" s="21" t="str">
        <f>IF(E491="","",VLOOKUP(E491,tipo_organizacion[#ALL],2,0))</f>
        <v/>
      </c>
      <c r="J491" s="21" t="str">
        <f>IF(F491="","",VLOOKUP(F491,razon_social[#ALL],2,0))</f>
        <v/>
      </c>
      <c r="K491" s="21" t="str">
        <f>IF(G491="","",VLOOKUP(G491,tipo_contribuyente[#ALL],2,0))</f>
        <v/>
      </c>
      <c r="L491" s="21" t="str">
        <f>IF(H491="","",VLOOKUP(H491,pais[#ALL],2,0))</f>
        <v/>
      </c>
    </row>
    <row r="492">
      <c r="A492" s="21"/>
      <c r="B492" s="21"/>
      <c r="C492" s="21"/>
      <c r="D492" s="21"/>
      <c r="E492" s="21"/>
      <c r="F492" s="21"/>
      <c r="G492" s="21"/>
      <c r="H492" s="21"/>
      <c r="I492" s="21" t="str">
        <f>IF(E492="","",VLOOKUP(E492,tipo_organizacion[#ALL],2,0))</f>
        <v/>
      </c>
      <c r="J492" s="21" t="str">
        <f>IF(F492="","",VLOOKUP(F492,razon_social[#ALL],2,0))</f>
        <v/>
      </c>
      <c r="K492" s="21" t="str">
        <f>IF(G492="","",VLOOKUP(G492,tipo_contribuyente[#ALL],2,0))</f>
        <v/>
      </c>
      <c r="L492" s="21" t="str">
        <f>IF(H492="","",VLOOKUP(H492,pais[#ALL],2,0))</f>
        <v/>
      </c>
    </row>
    <row r="493">
      <c r="A493" s="21"/>
      <c r="B493" s="21"/>
      <c r="C493" s="21"/>
      <c r="D493" s="21"/>
      <c r="E493" s="21"/>
      <c r="F493" s="21"/>
      <c r="G493" s="21"/>
      <c r="H493" s="21"/>
      <c r="I493" s="21" t="str">
        <f>IF(E493="","",VLOOKUP(E493,tipo_organizacion[#ALL],2,0))</f>
        <v/>
      </c>
      <c r="J493" s="21" t="str">
        <f>IF(F493="","",VLOOKUP(F493,razon_social[#ALL],2,0))</f>
        <v/>
      </c>
      <c r="K493" s="21" t="str">
        <f>IF(G493="","",VLOOKUP(G493,tipo_contribuyente[#ALL],2,0))</f>
        <v/>
      </c>
      <c r="L493" s="21" t="str">
        <f>IF(H493="","",VLOOKUP(H493,pais[#ALL],2,0))</f>
        <v/>
      </c>
    </row>
    <row r="494">
      <c r="A494" s="21"/>
      <c r="B494" s="21"/>
      <c r="C494" s="21"/>
      <c r="D494" s="21"/>
      <c r="E494" s="21"/>
      <c r="F494" s="21"/>
      <c r="G494" s="21"/>
      <c r="H494" s="21"/>
      <c r="I494" s="21" t="str">
        <f>IF(E494="","",VLOOKUP(E494,tipo_organizacion[#ALL],2,0))</f>
        <v/>
      </c>
      <c r="J494" s="21" t="str">
        <f>IF(F494="","",VLOOKUP(F494,razon_social[#ALL],2,0))</f>
        <v/>
      </c>
      <c r="K494" s="21" t="str">
        <f>IF(G494="","",VLOOKUP(G494,tipo_contribuyente[#ALL],2,0))</f>
        <v/>
      </c>
      <c r="L494" s="21" t="str">
        <f>IF(H494="","",VLOOKUP(H494,pais[#ALL],2,0))</f>
        <v/>
      </c>
    </row>
    <row r="495">
      <c r="A495" s="21"/>
      <c r="B495" s="21"/>
      <c r="C495" s="21"/>
      <c r="D495" s="21"/>
      <c r="E495" s="21"/>
      <c r="F495" s="21"/>
      <c r="G495" s="21"/>
      <c r="H495" s="21"/>
      <c r="I495" s="21" t="str">
        <f>IF(E495="","",VLOOKUP(E495,tipo_organizacion[#ALL],2,0))</f>
        <v/>
      </c>
      <c r="J495" s="21" t="str">
        <f>IF(F495="","",VLOOKUP(F495,razon_social[#ALL],2,0))</f>
        <v/>
      </c>
      <c r="K495" s="21" t="str">
        <f>IF(G495="","",VLOOKUP(G495,tipo_contribuyente[#ALL],2,0))</f>
        <v/>
      </c>
      <c r="L495" s="21" t="str">
        <f>IF(H495="","",VLOOKUP(H495,pais[#ALL],2,0))</f>
        <v/>
      </c>
    </row>
    <row r="496">
      <c r="A496" s="21"/>
      <c r="B496" s="21"/>
      <c r="C496" s="21"/>
      <c r="D496" s="21"/>
      <c r="E496" s="21"/>
      <c r="F496" s="21"/>
      <c r="G496" s="21"/>
      <c r="H496" s="21"/>
      <c r="I496" s="21" t="str">
        <f>IF(E496="","",VLOOKUP(E496,tipo_organizacion[#ALL],2,0))</f>
        <v/>
      </c>
      <c r="J496" s="21" t="str">
        <f>IF(F496="","",VLOOKUP(F496,razon_social[#ALL],2,0))</f>
        <v/>
      </c>
      <c r="K496" s="21" t="str">
        <f>IF(G496="","",VLOOKUP(G496,tipo_contribuyente[#ALL],2,0))</f>
        <v/>
      </c>
      <c r="L496" s="21" t="str">
        <f>IF(H496="","",VLOOKUP(H496,pais[#ALL],2,0))</f>
        <v/>
      </c>
    </row>
    <row r="497">
      <c r="A497" s="21"/>
      <c r="B497" s="21"/>
      <c r="C497" s="21"/>
      <c r="D497" s="21"/>
      <c r="E497" s="21"/>
      <c r="F497" s="21"/>
      <c r="G497" s="21"/>
      <c r="H497" s="21"/>
      <c r="I497" s="21" t="str">
        <f>IF(E497="","",VLOOKUP(E497,tipo_organizacion[#ALL],2,0))</f>
        <v/>
      </c>
      <c r="J497" s="21" t="str">
        <f>IF(F497="","",VLOOKUP(F497,razon_social[#ALL],2,0))</f>
        <v/>
      </c>
      <c r="K497" s="21" t="str">
        <f>IF(G497="","",VLOOKUP(G497,tipo_contribuyente[#ALL],2,0))</f>
        <v/>
      </c>
      <c r="L497" s="21" t="str">
        <f>IF(H497="","",VLOOKUP(H497,pais[#ALL],2,0))</f>
        <v/>
      </c>
    </row>
    <row r="498">
      <c r="A498" s="21"/>
      <c r="B498" s="21"/>
      <c r="C498" s="21"/>
      <c r="D498" s="21"/>
      <c r="E498" s="21"/>
      <c r="F498" s="21"/>
      <c r="G498" s="21"/>
      <c r="H498" s="21"/>
      <c r="I498" s="21" t="str">
        <f>IF(E498="","",VLOOKUP(E498,tipo_organizacion[#ALL],2,0))</f>
        <v/>
      </c>
      <c r="J498" s="21" t="str">
        <f>IF(F498="","",VLOOKUP(F498,razon_social[#ALL],2,0))</f>
        <v/>
      </c>
      <c r="K498" s="21" t="str">
        <f>IF(G498="","",VLOOKUP(G498,tipo_contribuyente[#ALL],2,0))</f>
        <v/>
      </c>
      <c r="L498" s="21" t="str">
        <f>IF(H498="","",VLOOKUP(H498,pais[#ALL],2,0))</f>
        <v/>
      </c>
    </row>
    <row r="499">
      <c r="A499" s="21"/>
      <c r="B499" s="21"/>
      <c r="C499" s="21"/>
      <c r="D499" s="21"/>
      <c r="E499" s="21"/>
      <c r="F499" s="21"/>
      <c r="G499" s="21"/>
      <c r="H499" s="21"/>
      <c r="I499" s="21" t="str">
        <f>IF(E499="","",VLOOKUP(E499,tipo_organizacion[#ALL],2,0))</f>
        <v/>
      </c>
      <c r="J499" s="21" t="str">
        <f>IF(F499="","",VLOOKUP(F499,razon_social[#ALL],2,0))</f>
        <v/>
      </c>
      <c r="K499" s="21" t="str">
        <f>IF(G499="","",VLOOKUP(G499,tipo_contribuyente[#ALL],2,0))</f>
        <v/>
      </c>
      <c r="L499" s="21" t="str">
        <f>IF(H499="","",VLOOKUP(H499,pais[#ALL],2,0))</f>
        <v/>
      </c>
    </row>
    <row r="500">
      <c r="A500" s="21"/>
      <c r="B500" s="21"/>
      <c r="C500" s="21"/>
      <c r="D500" s="21"/>
      <c r="E500" s="21"/>
      <c r="F500" s="21"/>
      <c r="G500" s="21"/>
      <c r="H500" s="21"/>
      <c r="I500" s="21" t="str">
        <f>IF(E500="","",VLOOKUP(E500,tipo_organizacion[#ALL],2,0))</f>
        <v/>
      </c>
      <c r="J500" s="21" t="str">
        <f>IF(F500="","",VLOOKUP(F500,razon_social[#ALL],2,0))</f>
        <v/>
      </c>
      <c r="K500" s="21" t="str">
        <f>IF(G500="","",VLOOKUP(G500,tipo_contribuyente[#ALL],2,0))</f>
        <v/>
      </c>
      <c r="L500" s="21" t="str">
        <f>IF(H500="","",VLOOKUP(H500,pais[#ALL],2,0))</f>
        <v/>
      </c>
    </row>
    <row r="501">
      <c r="A501" s="21"/>
      <c r="B501" s="21"/>
      <c r="C501" s="21"/>
      <c r="D501" s="21"/>
      <c r="E501" s="21"/>
      <c r="F501" s="21"/>
      <c r="G501" s="21"/>
      <c r="H501" s="21"/>
      <c r="I501" s="21" t="str">
        <f>IF(E501="","",VLOOKUP(E501,tipo_organizacion[#ALL],2,0))</f>
        <v/>
      </c>
      <c r="J501" s="21" t="str">
        <f>IF(F501="","",VLOOKUP(F501,razon_social[#ALL],2,0))</f>
        <v/>
      </c>
      <c r="K501" s="21" t="str">
        <f>IF(G501="","",VLOOKUP(G501,tipo_contribuyente[#ALL],2,0))</f>
        <v/>
      </c>
      <c r="L501" s="21" t="str">
        <f>IF(H501="","",VLOOKUP(H501,pais[#ALL],2,0))</f>
        <v/>
      </c>
    </row>
    <row r="502">
      <c r="A502" s="21"/>
      <c r="B502" s="21"/>
      <c r="C502" s="21"/>
      <c r="D502" s="21"/>
      <c r="E502" s="21"/>
      <c r="F502" s="21"/>
      <c r="G502" s="21"/>
      <c r="H502" s="21"/>
      <c r="I502" s="21" t="str">
        <f>IF(E502="","",VLOOKUP(E502,tipo_organizacion[#ALL],2,0))</f>
        <v/>
      </c>
      <c r="J502" s="21" t="str">
        <f>IF(F502="","",VLOOKUP(F502,razon_social[#ALL],2,0))</f>
        <v/>
      </c>
      <c r="K502" s="21" t="str">
        <f>IF(G502="","",VLOOKUP(G502,tipo_contribuyente[#ALL],2,0))</f>
        <v/>
      </c>
      <c r="L502" s="21" t="str">
        <f>IF(H502="","",VLOOKUP(H502,pais[#ALL],2,0))</f>
        <v/>
      </c>
    </row>
    <row r="503">
      <c r="A503" s="21"/>
      <c r="B503" s="21"/>
      <c r="C503" s="21"/>
      <c r="D503" s="21"/>
      <c r="E503" s="21"/>
      <c r="F503" s="21"/>
      <c r="G503" s="21"/>
      <c r="H503" s="21"/>
      <c r="I503" s="21" t="str">
        <f>IF(E503="","",VLOOKUP(E503,tipo_organizacion[#ALL],2,0))</f>
        <v/>
      </c>
      <c r="J503" s="21" t="str">
        <f>IF(F503="","",VLOOKUP(F503,razon_social[#ALL],2,0))</f>
        <v/>
      </c>
      <c r="K503" s="21" t="str">
        <f>IF(G503="","",VLOOKUP(G503,tipo_contribuyente[#ALL],2,0))</f>
        <v/>
      </c>
      <c r="L503" s="21" t="str">
        <f>IF(H503="","",VLOOKUP(H503,pais[#ALL],2,0))</f>
        <v/>
      </c>
    </row>
    <row r="504">
      <c r="A504" s="21"/>
      <c r="B504" s="21"/>
      <c r="C504" s="21"/>
      <c r="D504" s="21"/>
      <c r="E504" s="21"/>
      <c r="F504" s="21"/>
      <c r="G504" s="21"/>
      <c r="H504" s="21"/>
      <c r="I504" s="21" t="str">
        <f>IF(E504="","",VLOOKUP(E504,tipo_organizacion[#ALL],2,0))</f>
        <v/>
      </c>
      <c r="J504" s="21" t="str">
        <f>IF(F504="","",VLOOKUP(F504,razon_social[#ALL],2,0))</f>
        <v/>
      </c>
      <c r="K504" s="21" t="str">
        <f>IF(G504="","",VLOOKUP(G504,tipo_contribuyente[#ALL],2,0))</f>
        <v/>
      </c>
      <c r="L504" s="21" t="str">
        <f>IF(H504="","",VLOOKUP(H504,pais[#ALL],2,0))</f>
        <v/>
      </c>
    </row>
    <row r="505">
      <c r="A505" s="21"/>
      <c r="B505" s="21"/>
      <c r="C505" s="21"/>
      <c r="D505" s="21"/>
      <c r="E505" s="21"/>
      <c r="F505" s="21"/>
      <c r="G505" s="21"/>
      <c r="H505" s="21"/>
      <c r="I505" s="21" t="str">
        <f>IF(E505="","",VLOOKUP(E505,tipo_organizacion[#ALL],2,0))</f>
        <v/>
      </c>
      <c r="J505" s="21" t="str">
        <f>IF(F505="","",VLOOKUP(F505,razon_social[#ALL],2,0))</f>
        <v/>
      </c>
      <c r="K505" s="21" t="str">
        <f>IF(G505="","",VLOOKUP(G505,tipo_contribuyente[#ALL],2,0))</f>
        <v/>
      </c>
      <c r="L505" s="21" t="str">
        <f>IF(H505="","",VLOOKUP(H505,pais[#ALL],2,0))</f>
        <v/>
      </c>
    </row>
    <row r="506">
      <c r="A506" s="21"/>
      <c r="B506" s="21"/>
      <c r="C506" s="21"/>
      <c r="D506" s="21"/>
      <c r="E506" s="21"/>
      <c r="F506" s="21"/>
      <c r="G506" s="21"/>
      <c r="H506" s="21"/>
      <c r="I506" s="21" t="str">
        <f>IF(E506="","",VLOOKUP(E506,tipo_organizacion[#ALL],2,0))</f>
        <v/>
      </c>
      <c r="J506" s="21" t="str">
        <f>IF(F506="","",VLOOKUP(F506,razon_social[#ALL],2,0))</f>
        <v/>
      </c>
      <c r="K506" s="21" t="str">
        <f>IF(G506="","",VLOOKUP(G506,tipo_contribuyente[#ALL],2,0))</f>
        <v/>
      </c>
      <c r="L506" s="21" t="str">
        <f>IF(H506="","",VLOOKUP(H506,pais[#ALL],2,0))</f>
        <v/>
      </c>
    </row>
    <row r="507">
      <c r="A507" s="21"/>
      <c r="B507" s="21"/>
      <c r="C507" s="21"/>
      <c r="D507" s="21"/>
      <c r="E507" s="21"/>
      <c r="F507" s="21"/>
      <c r="G507" s="21"/>
      <c r="H507" s="21"/>
      <c r="I507" s="21" t="str">
        <f>IF(E507="","",VLOOKUP(E507,tipo_organizacion[#ALL],2,0))</f>
        <v/>
      </c>
      <c r="J507" s="21" t="str">
        <f>IF(F507="","",VLOOKUP(F507,razon_social[#ALL],2,0))</f>
        <v/>
      </c>
      <c r="K507" s="21" t="str">
        <f>IF(G507="","",VLOOKUP(G507,tipo_contribuyente[#ALL],2,0))</f>
        <v/>
      </c>
      <c r="L507" s="21" t="str">
        <f>IF(H507="","",VLOOKUP(H507,pais[#ALL],2,0))</f>
        <v/>
      </c>
    </row>
    <row r="508">
      <c r="A508" s="21"/>
      <c r="B508" s="21"/>
      <c r="C508" s="21"/>
      <c r="D508" s="21"/>
      <c r="E508" s="21"/>
      <c r="F508" s="21"/>
      <c r="G508" s="21"/>
      <c r="H508" s="21"/>
      <c r="I508" s="21" t="str">
        <f>IF(E508="","",VLOOKUP(E508,tipo_organizacion[#ALL],2,0))</f>
        <v/>
      </c>
      <c r="J508" s="21" t="str">
        <f>IF(F508="","",VLOOKUP(F508,razon_social[#ALL],2,0))</f>
        <v/>
      </c>
      <c r="K508" s="21" t="str">
        <f>IF(G508="","",VLOOKUP(G508,tipo_contribuyente[#ALL],2,0))</f>
        <v/>
      </c>
      <c r="L508" s="21" t="str">
        <f>IF(H508="","",VLOOKUP(H508,pais[#ALL],2,0))</f>
        <v/>
      </c>
    </row>
    <row r="509">
      <c r="A509" s="21"/>
      <c r="B509" s="21"/>
      <c r="C509" s="21"/>
      <c r="D509" s="21"/>
      <c r="E509" s="21"/>
      <c r="F509" s="21"/>
      <c r="G509" s="21"/>
      <c r="H509" s="21"/>
      <c r="I509" s="21" t="str">
        <f>IF(E509="","",VLOOKUP(E509,tipo_organizacion[#ALL],2,0))</f>
        <v/>
      </c>
      <c r="J509" s="21" t="str">
        <f>IF(F509="","",VLOOKUP(F509,razon_social[#ALL],2,0))</f>
        <v/>
      </c>
      <c r="K509" s="21" t="str">
        <f>IF(G509="","",VLOOKUP(G509,tipo_contribuyente[#ALL],2,0))</f>
        <v/>
      </c>
      <c r="L509" s="21" t="str">
        <f>IF(H509="","",VLOOKUP(H509,pais[#ALL],2,0))</f>
        <v/>
      </c>
    </row>
    <row r="510">
      <c r="A510" s="21"/>
      <c r="B510" s="21"/>
      <c r="C510" s="21"/>
      <c r="D510" s="21"/>
      <c r="E510" s="21"/>
      <c r="F510" s="21"/>
      <c r="G510" s="21"/>
      <c r="H510" s="21"/>
      <c r="I510" s="21" t="str">
        <f>IF(E510="","",VLOOKUP(E510,tipo_organizacion[#ALL],2,0))</f>
        <v/>
      </c>
      <c r="J510" s="21" t="str">
        <f>IF(F510="","",VLOOKUP(F510,razon_social[#ALL],2,0))</f>
        <v/>
      </c>
      <c r="K510" s="21" t="str">
        <f>IF(G510="","",VLOOKUP(G510,tipo_contribuyente[#ALL],2,0))</f>
        <v/>
      </c>
      <c r="L510" s="21" t="str">
        <f>IF(H510="","",VLOOKUP(H510,pais[#ALL],2,0))</f>
        <v/>
      </c>
    </row>
    <row r="511">
      <c r="A511" s="21"/>
      <c r="B511" s="21"/>
      <c r="C511" s="21"/>
      <c r="D511" s="21"/>
      <c r="E511" s="21"/>
      <c r="F511" s="21"/>
      <c r="G511" s="21"/>
      <c r="H511" s="21"/>
      <c r="I511" s="21" t="str">
        <f>IF(E511="","",VLOOKUP(E511,tipo_organizacion[#ALL],2,0))</f>
        <v/>
      </c>
      <c r="J511" s="21" t="str">
        <f>IF(F511="","",VLOOKUP(F511,razon_social[#ALL],2,0))</f>
        <v/>
      </c>
      <c r="K511" s="21" t="str">
        <f>IF(G511="","",VLOOKUP(G511,tipo_contribuyente[#ALL],2,0))</f>
        <v/>
      </c>
      <c r="L511" s="21" t="str">
        <f>IF(H511="","",VLOOKUP(H511,pais[#ALL],2,0))</f>
        <v/>
      </c>
    </row>
    <row r="512">
      <c r="A512" s="21"/>
      <c r="B512" s="21"/>
      <c r="C512" s="21"/>
      <c r="D512" s="21"/>
      <c r="E512" s="21"/>
      <c r="F512" s="21"/>
      <c r="G512" s="21"/>
      <c r="H512" s="21"/>
      <c r="I512" s="21" t="str">
        <f>IF(E512="","",VLOOKUP(E512,tipo_organizacion[#ALL],2,0))</f>
        <v/>
      </c>
      <c r="J512" s="21" t="str">
        <f>IF(F512="","",VLOOKUP(F512,razon_social[#ALL],2,0))</f>
        <v/>
      </c>
      <c r="K512" s="21" t="str">
        <f>IF(G512="","",VLOOKUP(G512,tipo_contribuyente[#ALL],2,0))</f>
        <v/>
      </c>
      <c r="L512" s="21" t="str">
        <f>IF(H512="","",VLOOKUP(H512,pais[#ALL],2,0))</f>
        <v/>
      </c>
    </row>
    <row r="513">
      <c r="A513" s="21"/>
      <c r="B513" s="21"/>
      <c r="C513" s="21"/>
      <c r="D513" s="21"/>
      <c r="E513" s="21"/>
      <c r="F513" s="21"/>
      <c r="G513" s="21"/>
      <c r="H513" s="21"/>
      <c r="I513" s="21" t="str">
        <f>IF(E513="","",VLOOKUP(E513,tipo_organizacion[#ALL],2,0))</f>
        <v/>
      </c>
      <c r="J513" s="21" t="str">
        <f>IF(F513="","",VLOOKUP(F513,razon_social[#ALL],2,0))</f>
        <v/>
      </c>
      <c r="K513" s="21" t="str">
        <f>IF(G513="","",VLOOKUP(G513,tipo_contribuyente[#ALL],2,0))</f>
        <v/>
      </c>
      <c r="L513" s="21" t="str">
        <f>IF(H513="","",VLOOKUP(H513,pais[#ALL],2,0))</f>
        <v/>
      </c>
    </row>
    <row r="514">
      <c r="A514" s="21"/>
      <c r="B514" s="21"/>
      <c r="C514" s="21"/>
      <c r="D514" s="21"/>
      <c r="E514" s="21"/>
      <c r="F514" s="21"/>
      <c r="G514" s="21"/>
      <c r="H514" s="21"/>
      <c r="I514" s="21" t="str">
        <f>IF(E514="","",VLOOKUP(E514,tipo_organizacion[#ALL],2,0))</f>
        <v/>
      </c>
      <c r="J514" s="21" t="str">
        <f>IF(F514="","",VLOOKUP(F514,razon_social[#ALL],2,0))</f>
        <v/>
      </c>
      <c r="K514" s="21" t="str">
        <f>IF(G514="","",VLOOKUP(G514,tipo_contribuyente[#ALL],2,0))</f>
        <v/>
      </c>
      <c r="L514" s="21" t="str">
        <f>IF(H514="","",VLOOKUP(H514,pais[#ALL],2,0))</f>
        <v/>
      </c>
    </row>
    <row r="515">
      <c r="A515" s="21"/>
      <c r="B515" s="21"/>
      <c r="C515" s="21"/>
      <c r="D515" s="21"/>
      <c r="E515" s="21"/>
      <c r="F515" s="21"/>
      <c r="G515" s="21"/>
      <c r="H515" s="21"/>
      <c r="I515" s="21" t="str">
        <f>IF(E515="","",VLOOKUP(E515,tipo_organizacion[#ALL],2,0))</f>
        <v/>
      </c>
      <c r="J515" s="21" t="str">
        <f>IF(F515="","",VLOOKUP(F515,razon_social[#ALL],2,0))</f>
        <v/>
      </c>
      <c r="K515" s="21" t="str">
        <f>IF(G515="","",VLOOKUP(G515,tipo_contribuyente[#ALL],2,0))</f>
        <v/>
      </c>
      <c r="L515" s="21" t="str">
        <f>IF(H515="","",VLOOKUP(H515,pais[#ALL],2,0))</f>
        <v/>
      </c>
    </row>
    <row r="516">
      <c r="A516" s="21"/>
      <c r="B516" s="21"/>
      <c r="C516" s="21"/>
      <c r="D516" s="21"/>
      <c r="E516" s="21"/>
      <c r="F516" s="21"/>
      <c r="G516" s="21"/>
      <c r="H516" s="21"/>
      <c r="I516" s="21" t="str">
        <f>IF(E516="","",VLOOKUP(E516,tipo_organizacion[#ALL],2,0))</f>
        <v/>
      </c>
      <c r="J516" s="21" t="str">
        <f>IF(F516="","",VLOOKUP(F516,razon_social[#ALL],2,0))</f>
        <v/>
      </c>
      <c r="K516" s="21" t="str">
        <f>IF(G516="","",VLOOKUP(G516,tipo_contribuyente[#ALL],2,0))</f>
        <v/>
      </c>
      <c r="L516" s="21" t="str">
        <f>IF(H516="","",VLOOKUP(H516,pais[#ALL],2,0))</f>
        <v/>
      </c>
    </row>
    <row r="517">
      <c r="A517" s="21"/>
      <c r="B517" s="21"/>
      <c r="C517" s="21"/>
      <c r="D517" s="21"/>
      <c r="E517" s="21"/>
      <c r="F517" s="21"/>
      <c r="G517" s="21"/>
      <c r="H517" s="21"/>
      <c r="I517" s="21" t="str">
        <f>IF(E517="","",VLOOKUP(E517,tipo_organizacion[#ALL],2,0))</f>
        <v/>
      </c>
      <c r="J517" s="21" t="str">
        <f>IF(F517="","",VLOOKUP(F517,razon_social[#ALL],2,0))</f>
        <v/>
      </c>
      <c r="K517" s="21" t="str">
        <f>IF(G517="","",VLOOKUP(G517,tipo_contribuyente[#ALL],2,0))</f>
        <v/>
      </c>
      <c r="L517" s="21" t="str">
        <f>IF(H517="","",VLOOKUP(H517,pais[#ALL],2,0))</f>
        <v/>
      </c>
    </row>
    <row r="518">
      <c r="A518" s="21"/>
      <c r="B518" s="21"/>
      <c r="C518" s="21"/>
      <c r="D518" s="21"/>
      <c r="E518" s="21"/>
      <c r="F518" s="21"/>
      <c r="G518" s="21"/>
      <c r="H518" s="21"/>
      <c r="I518" s="21" t="str">
        <f>IF(E518="","",VLOOKUP(E518,tipo_organizacion[#ALL],2,0))</f>
        <v/>
      </c>
      <c r="J518" s="21" t="str">
        <f>IF(F518="","",VLOOKUP(F518,razon_social[#ALL],2,0))</f>
        <v/>
      </c>
      <c r="K518" s="21" t="str">
        <f>IF(G518="","",VLOOKUP(G518,tipo_contribuyente[#ALL],2,0))</f>
        <v/>
      </c>
      <c r="L518" s="21" t="str">
        <f>IF(H518="","",VLOOKUP(H518,pais[#ALL],2,0))</f>
        <v/>
      </c>
    </row>
    <row r="519">
      <c r="A519" s="21"/>
      <c r="B519" s="21"/>
      <c r="C519" s="21"/>
      <c r="D519" s="21"/>
      <c r="E519" s="21"/>
      <c r="F519" s="21"/>
      <c r="G519" s="21"/>
      <c r="H519" s="21"/>
      <c r="I519" s="21" t="str">
        <f>IF(E519="","",VLOOKUP(E519,tipo_organizacion[#ALL],2,0))</f>
        <v/>
      </c>
      <c r="J519" s="21" t="str">
        <f>IF(F519="","",VLOOKUP(F519,razon_social[#ALL],2,0))</f>
        <v/>
      </c>
      <c r="K519" s="21" t="str">
        <f>IF(G519="","",VLOOKUP(G519,tipo_contribuyente[#ALL],2,0))</f>
        <v/>
      </c>
      <c r="L519" s="21" t="str">
        <f>IF(H519="","",VLOOKUP(H519,pais[#ALL],2,0))</f>
        <v/>
      </c>
    </row>
    <row r="520">
      <c r="A520" s="21"/>
      <c r="B520" s="21"/>
      <c r="C520" s="21"/>
      <c r="D520" s="21"/>
      <c r="E520" s="21"/>
      <c r="F520" s="21"/>
      <c r="G520" s="21"/>
      <c r="H520" s="21"/>
      <c r="I520" s="21" t="str">
        <f>IF(E520="","",VLOOKUP(E520,tipo_organizacion[#ALL],2,0))</f>
        <v/>
      </c>
      <c r="J520" s="21" t="str">
        <f>IF(F520="","",VLOOKUP(F520,razon_social[#ALL],2,0))</f>
        <v/>
      </c>
      <c r="K520" s="21" t="str">
        <f>IF(G520="","",VLOOKUP(G520,tipo_contribuyente[#ALL],2,0))</f>
        <v/>
      </c>
      <c r="L520" s="21" t="str">
        <f>IF(H520="","",VLOOKUP(H520,pais[#ALL],2,0))</f>
        <v/>
      </c>
    </row>
    <row r="521">
      <c r="A521" s="21"/>
      <c r="B521" s="21"/>
      <c r="C521" s="21"/>
      <c r="D521" s="21"/>
      <c r="E521" s="21"/>
      <c r="F521" s="21"/>
      <c r="G521" s="21"/>
      <c r="H521" s="21"/>
      <c r="I521" s="21" t="str">
        <f>IF(E521="","",VLOOKUP(E521,tipo_organizacion[#ALL],2,0))</f>
        <v/>
      </c>
      <c r="J521" s="21" t="str">
        <f>IF(F521="","",VLOOKUP(F521,razon_social[#ALL],2,0))</f>
        <v/>
      </c>
      <c r="K521" s="21" t="str">
        <f>IF(G521="","",VLOOKUP(G521,tipo_contribuyente[#ALL],2,0))</f>
        <v/>
      </c>
      <c r="L521" s="21" t="str">
        <f>IF(H521="","",VLOOKUP(H521,pais[#ALL],2,0))</f>
        <v/>
      </c>
    </row>
    <row r="522">
      <c r="A522" s="21"/>
      <c r="B522" s="21"/>
      <c r="C522" s="21"/>
      <c r="D522" s="21"/>
      <c r="E522" s="21"/>
      <c r="F522" s="21"/>
      <c r="G522" s="21"/>
      <c r="H522" s="21"/>
      <c r="I522" s="21" t="str">
        <f>IF(E522="","",VLOOKUP(E522,tipo_organizacion[#ALL],2,0))</f>
        <v/>
      </c>
      <c r="J522" s="21" t="str">
        <f>IF(F522="","",VLOOKUP(F522,razon_social[#ALL],2,0))</f>
        <v/>
      </c>
      <c r="K522" s="21" t="str">
        <f>IF(G522="","",VLOOKUP(G522,tipo_contribuyente[#ALL],2,0))</f>
        <v/>
      </c>
      <c r="L522" s="21" t="str">
        <f>IF(H522="","",VLOOKUP(H522,pais[#ALL],2,0))</f>
        <v/>
      </c>
    </row>
    <row r="523">
      <c r="A523" s="21"/>
      <c r="B523" s="21"/>
      <c r="C523" s="21"/>
      <c r="D523" s="21"/>
      <c r="E523" s="21"/>
      <c r="F523" s="21"/>
      <c r="G523" s="21"/>
      <c r="H523" s="21"/>
      <c r="I523" s="21" t="str">
        <f>IF(E523="","",VLOOKUP(E523,tipo_organizacion[#ALL],2,0))</f>
        <v/>
      </c>
      <c r="J523" s="21" t="str">
        <f>IF(F523="","",VLOOKUP(F523,razon_social[#ALL],2,0))</f>
        <v/>
      </c>
      <c r="K523" s="21" t="str">
        <f>IF(G523="","",VLOOKUP(G523,tipo_contribuyente[#ALL],2,0))</f>
        <v/>
      </c>
      <c r="L523" s="21" t="str">
        <f>IF(H523="","",VLOOKUP(H523,pais[#ALL],2,0))</f>
        <v/>
      </c>
    </row>
    <row r="524">
      <c r="A524" s="21"/>
      <c r="B524" s="21"/>
      <c r="C524" s="21"/>
      <c r="D524" s="21"/>
      <c r="E524" s="21"/>
      <c r="F524" s="21"/>
      <c r="G524" s="21"/>
      <c r="H524" s="21"/>
      <c r="I524" s="21" t="str">
        <f>IF(E524="","",VLOOKUP(E524,tipo_organizacion[#ALL],2,0))</f>
        <v/>
      </c>
      <c r="J524" s="21" t="str">
        <f>IF(F524="","",VLOOKUP(F524,razon_social[#ALL],2,0))</f>
        <v/>
      </c>
      <c r="K524" s="21" t="str">
        <f>IF(G524="","",VLOOKUP(G524,tipo_contribuyente[#ALL],2,0))</f>
        <v/>
      </c>
      <c r="L524" s="21" t="str">
        <f>IF(H524="","",VLOOKUP(H524,pais[#ALL],2,0))</f>
        <v/>
      </c>
    </row>
    <row r="525">
      <c r="A525" s="21"/>
      <c r="B525" s="21"/>
      <c r="C525" s="21"/>
      <c r="D525" s="21"/>
      <c r="E525" s="21"/>
      <c r="F525" s="21"/>
      <c r="G525" s="21"/>
      <c r="H525" s="21"/>
      <c r="I525" s="21" t="str">
        <f>IF(E525="","",VLOOKUP(E525,tipo_organizacion[#ALL],2,0))</f>
        <v/>
      </c>
      <c r="J525" s="21" t="str">
        <f>IF(F525="","",VLOOKUP(F525,razon_social[#ALL],2,0))</f>
        <v/>
      </c>
      <c r="K525" s="21" t="str">
        <f>IF(G525="","",VLOOKUP(G525,tipo_contribuyente[#ALL],2,0))</f>
        <v/>
      </c>
      <c r="L525" s="21" t="str">
        <f>IF(H525="","",VLOOKUP(H525,pais[#ALL],2,0))</f>
        <v/>
      </c>
    </row>
    <row r="526">
      <c r="A526" s="21"/>
      <c r="B526" s="21"/>
      <c r="C526" s="21"/>
      <c r="D526" s="21"/>
      <c r="E526" s="21"/>
      <c r="F526" s="21"/>
      <c r="G526" s="21"/>
      <c r="H526" s="21"/>
      <c r="I526" s="21" t="str">
        <f>IF(E526="","",VLOOKUP(E526,tipo_organizacion[#ALL],2,0))</f>
        <v/>
      </c>
      <c r="J526" s="21" t="str">
        <f>IF(F526="","",VLOOKUP(F526,razon_social[#ALL],2,0))</f>
        <v/>
      </c>
      <c r="K526" s="21" t="str">
        <f>IF(G526="","",VLOOKUP(G526,tipo_contribuyente[#ALL],2,0))</f>
        <v/>
      </c>
      <c r="L526" s="21" t="str">
        <f>IF(H526="","",VLOOKUP(H526,pais[#ALL],2,0))</f>
        <v/>
      </c>
    </row>
    <row r="527">
      <c r="A527" s="21"/>
      <c r="B527" s="21"/>
      <c r="C527" s="21"/>
      <c r="D527" s="21"/>
      <c r="E527" s="21"/>
      <c r="F527" s="21"/>
      <c r="G527" s="21"/>
      <c r="H527" s="21"/>
      <c r="I527" s="21" t="str">
        <f>IF(E527="","",VLOOKUP(E527,tipo_organizacion[#ALL],2,0))</f>
        <v/>
      </c>
      <c r="J527" s="21" t="str">
        <f>IF(F527="","",VLOOKUP(F527,razon_social[#ALL],2,0))</f>
        <v/>
      </c>
      <c r="K527" s="21" t="str">
        <f>IF(G527="","",VLOOKUP(G527,tipo_contribuyente[#ALL],2,0))</f>
        <v/>
      </c>
      <c r="L527" s="21" t="str">
        <f>IF(H527="","",VLOOKUP(H527,pais[#ALL],2,0))</f>
        <v/>
      </c>
    </row>
    <row r="528">
      <c r="A528" s="21"/>
      <c r="B528" s="21"/>
      <c r="C528" s="21"/>
      <c r="D528" s="21"/>
      <c r="E528" s="21"/>
      <c r="F528" s="21"/>
      <c r="G528" s="21"/>
      <c r="H528" s="21"/>
      <c r="I528" s="21" t="str">
        <f>IF(E528="","",VLOOKUP(E528,tipo_organizacion[#ALL],2,0))</f>
        <v/>
      </c>
      <c r="J528" s="21" t="str">
        <f>IF(F528="","",VLOOKUP(F528,razon_social[#ALL],2,0))</f>
        <v/>
      </c>
      <c r="K528" s="21" t="str">
        <f>IF(G528="","",VLOOKUP(G528,tipo_contribuyente[#ALL],2,0))</f>
        <v/>
      </c>
      <c r="L528" s="21" t="str">
        <f>IF(H528="","",VLOOKUP(H528,pais[#ALL],2,0))</f>
        <v/>
      </c>
    </row>
    <row r="529">
      <c r="A529" s="21"/>
      <c r="B529" s="21"/>
      <c r="C529" s="21"/>
      <c r="D529" s="21"/>
      <c r="E529" s="21"/>
      <c r="F529" s="21"/>
      <c r="G529" s="21"/>
      <c r="H529" s="21"/>
      <c r="I529" s="21" t="str">
        <f>IF(E529="","",VLOOKUP(E529,tipo_organizacion[#ALL],2,0))</f>
        <v/>
      </c>
      <c r="J529" s="21" t="str">
        <f>IF(F529="","",VLOOKUP(F529,razon_social[#ALL],2,0))</f>
        <v/>
      </c>
      <c r="K529" s="21" t="str">
        <f>IF(G529="","",VLOOKUP(G529,tipo_contribuyente[#ALL],2,0))</f>
        <v/>
      </c>
      <c r="L529" s="21" t="str">
        <f>IF(H529="","",VLOOKUP(H529,pais[#ALL],2,0))</f>
        <v/>
      </c>
    </row>
    <row r="530">
      <c r="A530" s="21"/>
      <c r="B530" s="21"/>
      <c r="C530" s="21"/>
      <c r="D530" s="21"/>
      <c r="E530" s="21"/>
      <c r="F530" s="21"/>
      <c r="G530" s="21"/>
      <c r="H530" s="21"/>
      <c r="I530" s="21" t="str">
        <f>IF(E530="","",VLOOKUP(E530,tipo_organizacion[#ALL],2,0))</f>
        <v/>
      </c>
      <c r="J530" s="21" t="str">
        <f>IF(F530="","",VLOOKUP(F530,razon_social[#ALL],2,0))</f>
        <v/>
      </c>
      <c r="K530" s="21" t="str">
        <f>IF(G530="","",VLOOKUP(G530,tipo_contribuyente[#ALL],2,0))</f>
        <v/>
      </c>
      <c r="L530" s="21" t="str">
        <f>IF(H530="","",VLOOKUP(H530,pais[#ALL],2,0))</f>
        <v/>
      </c>
    </row>
    <row r="531">
      <c r="A531" s="21"/>
      <c r="B531" s="21"/>
      <c r="C531" s="21"/>
      <c r="D531" s="21"/>
      <c r="E531" s="21"/>
      <c r="F531" s="21"/>
      <c r="G531" s="21"/>
      <c r="H531" s="21"/>
      <c r="I531" s="21" t="str">
        <f>IF(E531="","",VLOOKUP(E531,tipo_organizacion[#ALL],2,0))</f>
        <v/>
      </c>
      <c r="J531" s="21" t="str">
        <f>IF(F531="","",VLOOKUP(F531,razon_social[#ALL],2,0))</f>
        <v/>
      </c>
      <c r="K531" s="21" t="str">
        <f>IF(G531="","",VLOOKUP(G531,tipo_contribuyente[#ALL],2,0))</f>
        <v/>
      </c>
      <c r="L531" s="21" t="str">
        <f>IF(H531="","",VLOOKUP(H531,pais[#ALL],2,0))</f>
        <v/>
      </c>
    </row>
    <row r="532">
      <c r="A532" s="21"/>
      <c r="B532" s="21"/>
      <c r="C532" s="21"/>
      <c r="D532" s="21"/>
      <c r="E532" s="21"/>
      <c r="F532" s="21"/>
      <c r="G532" s="21"/>
      <c r="H532" s="21"/>
      <c r="I532" s="21" t="str">
        <f>IF(E532="","",VLOOKUP(E532,tipo_organizacion[#ALL],2,0))</f>
        <v/>
      </c>
      <c r="J532" s="21" t="str">
        <f>IF(F532="","",VLOOKUP(F532,razon_social[#ALL],2,0))</f>
        <v/>
      </c>
      <c r="K532" s="21" t="str">
        <f>IF(G532="","",VLOOKUP(G532,tipo_contribuyente[#ALL],2,0))</f>
        <v/>
      </c>
      <c r="L532" s="21" t="str">
        <f>IF(H532="","",VLOOKUP(H532,pais[#ALL],2,0))</f>
        <v/>
      </c>
    </row>
    <row r="533">
      <c r="A533" s="21"/>
      <c r="B533" s="21"/>
      <c r="C533" s="21"/>
      <c r="D533" s="21"/>
      <c r="E533" s="21"/>
      <c r="F533" s="21"/>
      <c r="G533" s="21"/>
      <c r="H533" s="21"/>
      <c r="I533" s="21" t="str">
        <f>IF(E533="","",VLOOKUP(E533,tipo_organizacion[#ALL],2,0))</f>
        <v/>
      </c>
      <c r="J533" s="21" t="str">
        <f>IF(F533="","",VLOOKUP(F533,razon_social[#ALL],2,0))</f>
        <v/>
      </c>
      <c r="K533" s="21" t="str">
        <f>IF(G533="","",VLOOKUP(G533,tipo_contribuyente[#ALL],2,0))</f>
        <v/>
      </c>
      <c r="L533" s="21" t="str">
        <f>IF(H533="","",VLOOKUP(H533,pais[#ALL],2,0))</f>
        <v/>
      </c>
    </row>
    <row r="534">
      <c r="A534" s="21"/>
      <c r="B534" s="21"/>
      <c r="C534" s="21"/>
      <c r="D534" s="21"/>
      <c r="E534" s="21"/>
      <c r="F534" s="21"/>
      <c r="G534" s="21"/>
      <c r="H534" s="21"/>
      <c r="I534" s="21" t="str">
        <f>IF(E534="","",VLOOKUP(E534,tipo_organizacion[#ALL],2,0))</f>
        <v/>
      </c>
      <c r="J534" s="21" t="str">
        <f>IF(F534="","",VLOOKUP(F534,razon_social[#ALL],2,0))</f>
        <v/>
      </c>
      <c r="K534" s="21" t="str">
        <f>IF(G534="","",VLOOKUP(G534,tipo_contribuyente[#ALL],2,0))</f>
        <v/>
      </c>
      <c r="L534" s="21" t="str">
        <f>IF(H534="","",VLOOKUP(H534,pais[#ALL],2,0))</f>
        <v/>
      </c>
    </row>
    <row r="535">
      <c r="A535" s="21"/>
      <c r="B535" s="21"/>
      <c r="C535" s="21"/>
      <c r="D535" s="21"/>
      <c r="E535" s="21"/>
      <c r="F535" s="21"/>
      <c r="G535" s="21"/>
      <c r="H535" s="21"/>
      <c r="I535" s="21" t="str">
        <f>IF(E535="","",VLOOKUP(E535,tipo_organizacion[#ALL],2,0))</f>
        <v/>
      </c>
      <c r="J535" s="21" t="str">
        <f>IF(F535="","",VLOOKUP(F535,razon_social[#ALL],2,0))</f>
        <v/>
      </c>
      <c r="K535" s="21" t="str">
        <f>IF(G535="","",VLOOKUP(G535,tipo_contribuyente[#ALL],2,0))</f>
        <v/>
      </c>
      <c r="L535" s="21" t="str">
        <f>IF(H535="","",VLOOKUP(H535,pais[#ALL],2,0))</f>
        <v/>
      </c>
    </row>
    <row r="536">
      <c r="A536" s="21"/>
      <c r="B536" s="21"/>
      <c r="C536" s="21"/>
      <c r="D536" s="21"/>
      <c r="E536" s="21"/>
      <c r="F536" s="21"/>
      <c r="G536" s="21"/>
      <c r="H536" s="21"/>
      <c r="I536" s="21" t="str">
        <f>IF(E536="","",VLOOKUP(E536,tipo_organizacion[#ALL],2,0))</f>
        <v/>
      </c>
      <c r="J536" s="21" t="str">
        <f>IF(F536="","",VLOOKUP(F536,razon_social[#ALL],2,0))</f>
        <v/>
      </c>
      <c r="K536" s="21" t="str">
        <f>IF(G536="","",VLOOKUP(G536,tipo_contribuyente[#ALL],2,0))</f>
        <v/>
      </c>
      <c r="L536" s="21" t="str">
        <f>IF(H536="","",VLOOKUP(H536,pais[#ALL],2,0))</f>
        <v/>
      </c>
    </row>
    <row r="537">
      <c r="A537" s="21"/>
      <c r="B537" s="21"/>
      <c r="C537" s="21"/>
      <c r="D537" s="21"/>
      <c r="E537" s="21"/>
      <c r="F537" s="21"/>
      <c r="G537" s="21"/>
      <c r="H537" s="21"/>
      <c r="I537" s="21" t="str">
        <f>IF(E537="","",VLOOKUP(E537,tipo_organizacion[#ALL],2,0))</f>
        <v/>
      </c>
      <c r="J537" s="21" t="str">
        <f>IF(F537="","",VLOOKUP(F537,razon_social[#ALL],2,0))</f>
        <v/>
      </c>
      <c r="K537" s="21" t="str">
        <f>IF(G537="","",VLOOKUP(G537,tipo_contribuyente[#ALL],2,0))</f>
        <v/>
      </c>
      <c r="L537" s="21" t="str">
        <f>IF(H537="","",VLOOKUP(H537,pais[#ALL],2,0))</f>
        <v/>
      </c>
    </row>
    <row r="538">
      <c r="A538" s="21"/>
      <c r="B538" s="21"/>
      <c r="C538" s="21"/>
      <c r="D538" s="21"/>
      <c r="E538" s="21"/>
      <c r="F538" s="21"/>
      <c r="G538" s="21"/>
      <c r="H538" s="21"/>
      <c r="I538" s="21" t="str">
        <f>IF(E538="","",VLOOKUP(E538,tipo_organizacion[#ALL],2,0))</f>
        <v/>
      </c>
      <c r="J538" s="21" t="str">
        <f>IF(F538="","",VLOOKUP(F538,razon_social[#ALL],2,0))</f>
        <v/>
      </c>
      <c r="K538" s="21" t="str">
        <f>IF(G538="","",VLOOKUP(G538,tipo_contribuyente[#ALL],2,0))</f>
        <v/>
      </c>
      <c r="L538" s="21" t="str">
        <f>IF(H538="","",VLOOKUP(H538,pais[#ALL],2,0))</f>
        <v/>
      </c>
    </row>
    <row r="539">
      <c r="A539" s="21"/>
      <c r="B539" s="21"/>
      <c r="C539" s="21"/>
      <c r="D539" s="21"/>
      <c r="E539" s="21"/>
      <c r="F539" s="21"/>
      <c r="G539" s="21"/>
      <c r="H539" s="21"/>
      <c r="I539" s="21" t="str">
        <f>IF(E539="","",VLOOKUP(E539,tipo_organizacion[#ALL],2,0))</f>
        <v/>
      </c>
      <c r="J539" s="21" t="str">
        <f>IF(F539="","",VLOOKUP(F539,razon_social[#ALL],2,0))</f>
        <v/>
      </c>
      <c r="K539" s="21" t="str">
        <f>IF(G539="","",VLOOKUP(G539,tipo_contribuyente[#ALL],2,0))</f>
        <v/>
      </c>
      <c r="L539" s="21" t="str">
        <f>IF(H539="","",VLOOKUP(H539,pais[#ALL],2,0))</f>
        <v/>
      </c>
    </row>
    <row r="540">
      <c r="A540" s="21"/>
      <c r="B540" s="21"/>
      <c r="C540" s="21"/>
      <c r="D540" s="21"/>
      <c r="E540" s="21"/>
      <c r="F540" s="21"/>
      <c r="G540" s="21"/>
      <c r="H540" s="21"/>
      <c r="I540" s="21" t="str">
        <f>IF(E540="","",VLOOKUP(E540,tipo_organizacion[#ALL],2,0))</f>
        <v/>
      </c>
      <c r="J540" s="21" t="str">
        <f>IF(F540="","",VLOOKUP(F540,razon_social[#ALL],2,0))</f>
        <v/>
      </c>
      <c r="K540" s="21" t="str">
        <f>IF(G540="","",VLOOKUP(G540,tipo_contribuyente[#ALL],2,0))</f>
        <v/>
      </c>
      <c r="L540" s="21" t="str">
        <f>IF(H540="","",VLOOKUP(H540,pais[#ALL],2,0))</f>
        <v/>
      </c>
    </row>
    <row r="541">
      <c r="A541" s="21"/>
      <c r="B541" s="21"/>
      <c r="C541" s="21"/>
      <c r="D541" s="21"/>
      <c r="E541" s="21"/>
      <c r="F541" s="21"/>
      <c r="G541" s="21"/>
      <c r="H541" s="21"/>
      <c r="I541" s="21" t="str">
        <f>IF(E541="","",VLOOKUP(E541,tipo_organizacion[#ALL],2,0))</f>
        <v/>
      </c>
      <c r="J541" s="21" t="str">
        <f>IF(F541="","",VLOOKUP(F541,razon_social[#ALL],2,0))</f>
        <v/>
      </c>
      <c r="K541" s="21" t="str">
        <f>IF(G541="","",VLOOKUP(G541,tipo_contribuyente[#ALL],2,0))</f>
        <v/>
      </c>
      <c r="L541" s="21" t="str">
        <f>IF(H541="","",VLOOKUP(H541,pais[#ALL],2,0))</f>
        <v/>
      </c>
    </row>
    <row r="542">
      <c r="A542" s="21"/>
      <c r="B542" s="21"/>
      <c r="C542" s="21"/>
      <c r="D542" s="21"/>
      <c r="E542" s="21"/>
      <c r="F542" s="21"/>
      <c r="G542" s="21"/>
      <c r="H542" s="21"/>
      <c r="I542" s="21" t="str">
        <f>IF(E542="","",VLOOKUP(E542,tipo_organizacion[#ALL],2,0))</f>
        <v/>
      </c>
      <c r="J542" s="21" t="str">
        <f>IF(F542="","",VLOOKUP(F542,razon_social[#ALL],2,0))</f>
        <v/>
      </c>
      <c r="K542" s="21" t="str">
        <f>IF(G542="","",VLOOKUP(G542,tipo_contribuyente[#ALL],2,0))</f>
        <v/>
      </c>
      <c r="L542" s="21" t="str">
        <f>IF(H542="","",VLOOKUP(H542,pais[#ALL],2,0))</f>
        <v/>
      </c>
    </row>
    <row r="543">
      <c r="A543" s="21"/>
      <c r="B543" s="21"/>
      <c r="C543" s="21"/>
      <c r="D543" s="21"/>
      <c r="E543" s="21"/>
      <c r="F543" s="21"/>
      <c r="G543" s="21"/>
      <c r="H543" s="21"/>
      <c r="I543" s="21" t="str">
        <f>IF(E543="","",VLOOKUP(E543,tipo_organizacion[#ALL],2,0))</f>
        <v/>
      </c>
      <c r="J543" s="21" t="str">
        <f>IF(F543="","",VLOOKUP(F543,razon_social[#ALL],2,0))</f>
        <v/>
      </c>
      <c r="K543" s="21" t="str">
        <f>IF(G543="","",VLOOKUP(G543,tipo_contribuyente[#ALL],2,0))</f>
        <v/>
      </c>
      <c r="L543" s="21" t="str">
        <f>IF(H543="","",VLOOKUP(H543,pais[#ALL],2,0))</f>
        <v/>
      </c>
    </row>
    <row r="544">
      <c r="A544" s="21"/>
      <c r="B544" s="21"/>
      <c r="C544" s="21"/>
      <c r="D544" s="21"/>
      <c r="E544" s="21"/>
      <c r="F544" s="21"/>
      <c r="G544" s="21"/>
      <c r="H544" s="21"/>
      <c r="I544" s="21" t="str">
        <f>IF(E544="","",VLOOKUP(E544,tipo_organizacion[#ALL],2,0))</f>
        <v/>
      </c>
      <c r="J544" s="21" t="str">
        <f>IF(F544="","",VLOOKUP(F544,razon_social[#ALL],2,0))</f>
        <v/>
      </c>
      <c r="K544" s="21" t="str">
        <f>IF(G544="","",VLOOKUP(G544,tipo_contribuyente[#ALL],2,0))</f>
        <v/>
      </c>
      <c r="L544" s="21" t="str">
        <f>IF(H544="","",VLOOKUP(H544,pais[#ALL],2,0))</f>
        <v/>
      </c>
    </row>
    <row r="545">
      <c r="A545" s="21"/>
      <c r="B545" s="21"/>
      <c r="C545" s="21"/>
      <c r="D545" s="21"/>
      <c r="E545" s="21"/>
      <c r="F545" s="21"/>
      <c r="G545" s="21"/>
      <c r="H545" s="21"/>
      <c r="I545" s="21" t="str">
        <f>IF(E545="","",VLOOKUP(E545,tipo_organizacion[#ALL],2,0))</f>
        <v/>
      </c>
      <c r="J545" s="21" t="str">
        <f>IF(F545="","",VLOOKUP(F545,razon_social[#ALL],2,0))</f>
        <v/>
      </c>
      <c r="K545" s="21" t="str">
        <f>IF(G545="","",VLOOKUP(G545,tipo_contribuyente[#ALL],2,0))</f>
        <v/>
      </c>
      <c r="L545" s="21" t="str">
        <f>IF(H545="","",VLOOKUP(H545,pais[#ALL],2,0))</f>
        <v/>
      </c>
    </row>
    <row r="546">
      <c r="A546" s="21"/>
      <c r="B546" s="21"/>
      <c r="C546" s="21"/>
      <c r="D546" s="21"/>
      <c r="E546" s="21"/>
      <c r="F546" s="21"/>
      <c r="G546" s="21"/>
      <c r="H546" s="21"/>
      <c r="I546" s="21" t="str">
        <f>IF(E546="","",VLOOKUP(E546,tipo_organizacion[#ALL],2,0))</f>
        <v/>
      </c>
      <c r="J546" s="21" t="str">
        <f>IF(F546="","",VLOOKUP(F546,razon_social[#ALL],2,0))</f>
        <v/>
      </c>
      <c r="K546" s="21" t="str">
        <f>IF(G546="","",VLOOKUP(G546,tipo_contribuyente[#ALL],2,0))</f>
        <v/>
      </c>
      <c r="L546" s="21" t="str">
        <f>IF(H546="","",VLOOKUP(H546,pais[#ALL],2,0))</f>
        <v/>
      </c>
    </row>
    <row r="547">
      <c r="A547" s="21"/>
      <c r="B547" s="21"/>
      <c r="C547" s="21"/>
      <c r="D547" s="21"/>
      <c r="E547" s="21"/>
      <c r="F547" s="21"/>
      <c r="G547" s="21"/>
      <c r="H547" s="21"/>
      <c r="I547" s="21" t="str">
        <f>IF(E547="","",VLOOKUP(E547,tipo_organizacion[#ALL],2,0))</f>
        <v/>
      </c>
      <c r="J547" s="21" t="str">
        <f>IF(F547="","",VLOOKUP(F547,razon_social[#ALL],2,0))</f>
        <v/>
      </c>
      <c r="K547" s="21" t="str">
        <f>IF(G547="","",VLOOKUP(G547,tipo_contribuyente[#ALL],2,0))</f>
        <v/>
      </c>
      <c r="L547" s="21" t="str">
        <f>IF(H547="","",VLOOKUP(H547,pais[#ALL],2,0))</f>
        <v/>
      </c>
    </row>
    <row r="548">
      <c r="A548" s="21"/>
      <c r="B548" s="21"/>
      <c r="C548" s="21"/>
      <c r="D548" s="21"/>
      <c r="E548" s="21"/>
      <c r="F548" s="21"/>
      <c r="G548" s="21"/>
      <c r="H548" s="21"/>
      <c r="I548" s="21" t="str">
        <f>IF(E548="","",VLOOKUP(E548,tipo_organizacion[#ALL],2,0))</f>
        <v/>
      </c>
      <c r="J548" s="21" t="str">
        <f>IF(F548="","",VLOOKUP(F548,razon_social[#ALL],2,0))</f>
        <v/>
      </c>
      <c r="K548" s="21" t="str">
        <f>IF(G548="","",VLOOKUP(G548,tipo_contribuyente[#ALL],2,0))</f>
        <v/>
      </c>
      <c r="L548" s="21" t="str">
        <f>IF(H548="","",VLOOKUP(H548,pais[#ALL],2,0))</f>
        <v/>
      </c>
    </row>
    <row r="549">
      <c r="A549" s="21"/>
      <c r="B549" s="21"/>
      <c r="C549" s="21"/>
      <c r="D549" s="21"/>
      <c r="E549" s="21"/>
      <c r="F549" s="21"/>
      <c r="G549" s="21"/>
      <c r="H549" s="21"/>
      <c r="I549" s="21" t="str">
        <f>IF(E549="","",VLOOKUP(E549,tipo_organizacion[#ALL],2,0))</f>
        <v/>
      </c>
      <c r="J549" s="21" t="str">
        <f>IF(F549="","",VLOOKUP(F549,razon_social[#ALL],2,0))</f>
        <v/>
      </c>
      <c r="K549" s="21" t="str">
        <f>IF(G549="","",VLOOKUP(G549,tipo_contribuyente[#ALL],2,0))</f>
        <v/>
      </c>
      <c r="L549" s="21" t="str">
        <f>IF(H549="","",VLOOKUP(H549,pais[#ALL],2,0))</f>
        <v/>
      </c>
    </row>
    <row r="550">
      <c r="A550" s="21"/>
      <c r="B550" s="21"/>
      <c r="C550" s="21"/>
      <c r="D550" s="21"/>
      <c r="E550" s="21"/>
      <c r="F550" s="21"/>
      <c r="G550" s="21"/>
      <c r="H550" s="21"/>
      <c r="I550" s="21" t="str">
        <f>IF(E550="","",VLOOKUP(E550,tipo_organizacion[#ALL],2,0))</f>
        <v/>
      </c>
      <c r="J550" s="21" t="str">
        <f>IF(F550="","",VLOOKUP(F550,razon_social[#ALL],2,0))</f>
        <v/>
      </c>
      <c r="K550" s="21" t="str">
        <f>IF(G550="","",VLOOKUP(G550,tipo_contribuyente[#ALL],2,0))</f>
        <v/>
      </c>
      <c r="L550" s="21" t="str">
        <f>IF(H550="","",VLOOKUP(H550,pais[#ALL],2,0))</f>
        <v/>
      </c>
    </row>
    <row r="551">
      <c r="A551" s="21"/>
      <c r="B551" s="21"/>
      <c r="C551" s="21"/>
      <c r="D551" s="21"/>
      <c r="E551" s="21"/>
      <c r="F551" s="21"/>
      <c r="G551" s="21"/>
      <c r="H551" s="21"/>
      <c r="I551" s="21" t="str">
        <f>IF(E551="","",VLOOKUP(E551,tipo_organizacion[#ALL],2,0))</f>
        <v/>
      </c>
      <c r="J551" s="21" t="str">
        <f>IF(F551="","",VLOOKUP(F551,razon_social[#ALL],2,0))</f>
        <v/>
      </c>
      <c r="K551" s="21" t="str">
        <f>IF(G551="","",VLOOKUP(G551,tipo_contribuyente[#ALL],2,0))</f>
        <v/>
      </c>
      <c r="L551" s="21" t="str">
        <f>IF(H551="","",VLOOKUP(H551,pais[#ALL],2,0))</f>
        <v/>
      </c>
    </row>
    <row r="552">
      <c r="A552" s="21"/>
      <c r="B552" s="21"/>
      <c r="C552" s="21"/>
      <c r="D552" s="21"/>
      <c r="E552" s="21"/>
      <c r="F552" s="21"/>
      <c r="G552" s="21"/>
      <c r="H552" s="21"/>
      <c r="I552" s="21" t="str">
        <f>IF(E552="","",VLOOKUP(E552,tipo_organizacion[#ALL],2,0))</f>
        <v/>
      </c>
      <c r="J552" s="21" t="str">
        <f>IF(F552="","",VLOOKUP(F552,razon_social[#ALL],2,0))</f>
        <v/>
      </c>
      <c r="K552" s="21" t="str">
        <f>IF(G552="","",VLOOKUP(G552,tipo_contribuyente[#ALL],2,0))</f>
        <v/>
      </c>
      <c r="L552" s="21" t="str">
        <f>IF(H552="","",VLOOKUP(H552,pais[#ALL],2,0))</f>
        <v/>
      </c>
    </row>
    <row r="553">
      <c r="A553" s="21"/>
      <c r="B553" s="21"/>
      <c r="C553" s="21"/>
      <c r="D553" s="21"/>
      <c r="E553" s="21"/>
      <c r="F553" s="21"/>
      <c r="G553" s="21"/>
      <c r="H553" s="21"/>
      <c r="I553" s="21" t="str">
        <f>IF(E553="","",VLOOKUP(E553,tipo_organizacion[#ALL],2,0))</f>
        <v/>
      </c>
      <c r="J553" s="21" t="str">
        <f>IF(F553="","",VLOOKUP(F553,razon_social[#ALL],2,0))</f>
        <v/>
      </c>
      <c r="K553" s="21" t="str">
        <f>IF(G553="","",VLOOKUP(G553,tipo_contribuyente[#ALL],2,0))</f>
        <v/>
      </c>
      <c r="L553" s="21" t="str">
        <f>IF(H553="","",VLOOKUP(H553,pais[#ALL],2,0))</f>
        <v/>
      </c>
    </row>
    <row r="554">
      <c r="A554" s="21"/>
      <c r="B554" s="21"/>
      <c r="C554" s="21"/>
      <c r="D554" s="21"/>
      <c r="E554" s="21"/>
      <c r="F554" s="21"/>
      <c r="G554" s="21"/>
      <c r="H554" s="21"/>
      <c r="I554" s="21" t="str">
        <f>IF(E554="","",VLOOKUP(E554,tipo_organizacion[#ALL],2,0))</f>
        <v/>
      </c>
      <c r="J554" s="21" t="str">
        <f>IF(F554="","",VLOOKUP(F554,razon_social[#ALL],2,0))</f>
        <v/>
      </c>
      <c r="K554" s="21" t="str">
        <f>IF(G554="","",VLOOKUP(G554,tipo_contribuyente[#ALL],2,0))</f>
        <v/>
      </c>
      <c r="L554" s="21" t="str">
        <f>IF(H554="","",VLOOKUP(H554,pais[#ALL],2,0))</f>
        <v/>
      </c>
    </row>
    <row r="555">
      <c r="A555" s="21"/>
      <c r="B555" s="21"/>
      <c r="C555" s="21"/>
      <c r="D555" s="21"/>
      <c r="E555" s="21"/>
      <c r="F555" s="21"/>
      <c r="G555" s="21"/>
      <c r="H555" s="21"/>
      <c r="I555" s="21" t="str">
        <f>IF(E555="","",VLOOKUP(E555,tipo_organizacion[#ALL],2,0))</f>
        <v/>
      </c>
      <c r="J555" s="21" t="str">
        <f>IF(F555="","",VLOOKUP(F555,razon_social[#ALL],2,0))</f>
        <v/>
      </c>
      <c r="K555" s="21" t="str">
        <f>IF(G555="","",VLOOKUP(G555,tipo_contribuyente[#ALL],2,0))</f>
        <v/>
      </c>
      <c r="L555" s="21" t="str">
        <f>IF(H555="","",VLOOKUP(H555,pais[#ALL],2,0))</f>
        <v/>
      </c>
    </row>
    <row r="556">
      <c r="A556" s="21"/>
      <c r="B556" s="21"/>
      <c r="C556" s="21"/>
      <c r="D556" s="21"/>
      <c r="E556" s="21"/>
      <c r="F556" s="21"/>
      <c r="G556" s="21"/>
      <c r="H556" s="21"/>
      <c r="I556" s="21" t="str">
        <f>IF(E556="","",VLOOKUP(E556,tipo_organizacion[#ALL],2,0))</f>
        <v/>
      </c>
      <c r="J556" s="21" t="str">
        <f>IF(F556="","",VLOOKUP(F556,razon_social[#ALL],2,0))</f>
        <v/>
      </c>
      <c r="K556" s="21" t="str">
        <f>IF(G556="","",VLOOKUP(G556,tipo_contribuyente[#ALL],2,0))</f>
        <v/>
      </c>
      <c r="L556" s="21" t="str">
        <f>IF(H556="","",VLOOKUP(H556,pais[#ALL],2,0))</f>
        <v/>
      </c>
    </row>
    <row r="557">
      <c r="A557" s="21"/>
      <c r="B557" s="21"/>
      <c r="C557" s="21"/>
      <c r="D557" s="21"/>
      <c r="E557" s="21"/>
      <c r="F557" s="21"/>
      <c r="G557" s="21"/>
      <c r="H557" s="21"/>
      <c r="I557" s="21" t="str">
        <f>IF(E557="","",VLOOKUP(E557,tipo_organizacion[#ALL],2,0))</f>
        <v/>
      </c>
      <c r="J557" s="21" t="str">
        <f>IF(F557="","",VLOOKUP(F557,razon_social[#ALL],2,0))</f>
        <v/>
      </c>
      <c r="K557" s="21" t="str">
        <f>IF(G557="","",VLOOKUP(G557,tipo_contribuyente[#ALL],2,0))</f>
        <v/>
      </c>
      <c r="L557" s="21" t="str">
        <f>IF(H557="","",VLOOKUP(H557,pais[#ALL],2,0))</f>
        <v/>
      </c>
    </row>
    <row r="558">
      <c r="A558" s="21"/>
      <c r="B558" s="21"/>
      <c r="C558" s="21"/>
      <c r="D558" s="21"/>
      <c r="E558" s="21"/>
      <c r="F558" s="21"/>
      <c r="G558" s="21"/>
      <c r="H558" s="21"/>
      <c r="I558" s="21" t="str">
        <f>IF(E558="","",VLOOKUP(E558,tipo_organizacion[#ALL],2,0))</f>
        <v/>
      </c>
      <c r="J558" s="21" t="str">
        <f>IF(F558="","",VLOOKUP(F558,razon_social[#ALL],2,0))</f>
        <v/>
      </c>
      <c r="K558" s="21" t="str">
        <f>IF(G558="","",VLOOKUP(G558,tipo_contribuyente[#ALL],2,0))</f>
        <v/>
      </c>
      <c r="L558" s="21" t="str">
        <f>IF(H558="","",VLOOKUP(H558,pais[#ALL],2,0))</f>
        <v/>
      </c>
    </row>
    <row r="559">
      <c r="A559" s="21"/>
      <c r="B559" s="21"/>
      <c r="C559" s="21"/>
      <c r="D559" s="21"/>
      <c r="E559" s="21"/>
      <c r="F559" s="21"/>
      <c r="G559" s="21"/>
      <c r="H559" s="21"/>
      <c r="I559" s="21" t="str">
        <f>IF(E559="","",VLOOKUP(E559,tipo_organizacion[#ALL],2,0))</f>
        <v/>
      </c>
      <c r="J559" s="21" t="str">
        <f>IF(F559="","",VLOOKUP(F559,razon_social[#ALL],2,0))</f>
        <v/>
      </c>
      <c r="K559" s="21" t="str">
        <f>IF(G559="","",VLOOKUP(G559,tipo_contribuyente[#ALL],2,0))</f>
        <v/>
      </c>
      <c r="L559" s="21" t="str">
        <f>IF(H559="","",VLOOKUP(H559,pais[#ALL],2,0))</f>
        <v/>
      </c>
    </row>
    <row r="560">
      <c r="A560" s="21"/>
      <c r="B560" s="21"/>
      <c r="C560" s="21"/>
      <c r="D560" s="21"/>
      <c r="E560" s="21"/>
      <c r="F560" s="21"/>
      <c r="G560" s="21"/>
      <c r="H560" s="21"/>
      <c r="I560" s="21" t="str">
        <f>IF(E560="","",VLOOKUP(E560,tipo_organizacion[#ALL],2,0))</f>
        <v/>
      </c>
      <c r="J560" s="21" t="str">
        <f>IF(F560="","",VLOOKUP(F560,razon_social[#ALL],2,0))</f>
        <v/>
      </c>
      <c r="K560" s="21" t="str">
        <f>IF(G560="","",VLOOKUP(G560,tipo_contribuyente[#ALL],2,0))</f>
        <v/>
      </c>
      <c r="L560" s="21" t="str">
        <f>IF(H560="","",VLOOKUP(H560,pais[#ALL],2,0))</f>
        <v/>
      </c>
    </row>
    <row r="561">
      <c r="A561" s="21"/>
      <c r="B561" s="21"/>
      <c r="C561" s="21"/>
      <c r="D561" s="21"/>
      <c r="E561" s="21"/>
      <c r="F561" s="21"/>
      <c r="G561" s="21"/>
      <c r="H561" s="21"/>
      <c r="I561" s="21" t="str">
        <f>IF(E561="","",VLOOKUP(E561,tipo_organizacion[#ALL],2,0))</f>
        <v/>
      </c>
      <c r="J561" s="21" t="str">
        <f>IF(F561="","",VLOOKUP(F561,razon_social[#ALL],2,0))</f>
        <v/>
      </c>
      <c r="K561" s="21" t="str">
        <f>IF(G561="","",VLOOKUP(G561,tipo_contribuyente[#ALL],2,0))</f>
        <v/>
      </c>
      <c r="L561" s="21" t="str">
        <f>IF(H561="","",VLOOKUP(H561,pais[#ALL],2,0))</f>
        <v/>
      </c>
    </row>
    <row r="562">
      <c r="A562" s="21"/>
      <c r="B562" s="21"/>
      <c r="C562" s="21"/>
      <c r="D562" s="21"/>
      <c r="E562" s="21"/>
      <c r="F562" s="21"/>
      <c r="G562" s="21"/>
      <c r="H562" s="21"/>
      <c r="I562" s="21" t="str">
        <f>IF(E562="","",VLOOKUP(E562,tipo_organizacion[#ALL],2,0))</f>
        <v/>
      </c>
      <c r="J562" s="21" t="str">
        <f>IF(F562="","",VLOOKUP(F562,razon_social[#ALL],2,0))</f>
        <v/>
      </c>
      <c r="K562" s="21" t="str">
        <f>IF(G562="","",VLOOKUP(G562,tipo_contribuyente[#ALL],2,0))</f>
        <v/>
      </c>
      <c r="L562" s="21" t="str">
        <f>IF(H562="","",VLOOKUP(H562,pais[#ALL],2,0))</f>
        <v/>
      </c>
    </row>
    <row r="563">
      <c r="A563" s="21"/>
      <c r="B563" s="21"/>
      <c r="C563" s="21"/>
      <c r="D563" s="21"/>
      <c r="E563" s="21"/>
      <c r="F563" s="21"/>
      <c r="G563" s="21"/>
      <c r="H563" s="21"/>
      <c r="I563" s="21" t="str">
        <f>IF(E563="","",VLOOKUP(E563,tipo_organizacion[#ALL],2,0))</f>
        <v/>
      </c>
      <c r="J563" s="21" t="str">
        <f>IF(F563="","",VLOOKUP(F563,razon_social[#ALL],2,0))</f>
        <v/>
      </c>
      <c r="K563" s="21" t="str">
        <f>IF(G563="","",VLOOKUP(G563,tipo_contribuyente[#ALL],2,0))</f>
        <v/>
      </c>
      <c r="L563" s="21" t="str">
        <f>IF(H563="","",VLOOKUP(H563,pais[#ALL],2,0))</f>
        <v/>
      </c>
    </row>
    <row r="564">
      <c r="A564" s="21"/>
      <c r="B564" s="21"/>
      <c r="C564" s="21"/>
      <c r="D564" s="21"/>
      <c r="E564" s="21"/>
      <c r="F564" s="21"/>
      <c r="G564" s="21"/>
      <c r="H564" s="21"/>
      <c r="I564" s="21" t="str">
        <f>IF(E564="","",VLOOKUP(E564,tipo_organizacion[#ALL],2,0))</f>
        <v/>
      </c>
      <c r="J564" s="21" t="str">
        <f>IF(F564="","",VLOOKUP(F564,razon_social[#ALL],2,0))</f>
        <v/>
      </c>
      <c r="K564" s="21" t="str">
        <f>IF(G564="","",VLOOKUP(G564,tipo_contribuyente[#ALL],2,0))</f>
        <v/>
      </c>
      <c r="L564" s="21" t="str">
        <f>IF(H564="","",VLOOKUP(H564,pais[#ALL],2,0))</f>
        <v/>
      </c>
    </row>
    <row r="565">
      <c r="A565" s="21"/>
      <c r="B565" s="21"/>
      <c r="C565" s="21"/>
      <c r="D565" s="21"/>
      <c r="E565" s="21"/>
      <c r="F565" s="21"/>
      <c r="G565" s="21"/>
      <c r="H565" s="21"/>
      <c r="I565" s="21" t="str">
        <f>IF(E565="","",VLOOKUP(E565,tipo_organizacion[#ALL],2,0))</f>
        <v/>
      </c>
      <c r="J565" s="21" t="str">
        <f>IF(F565="","",VLOOKUP(F565,razon_social[#ALL],2,0))</f>
        <v/>
      </c>
      <c r="K565" s="21" t="str">
        <f>IF(G565="","",VLOOKUP(G565,tipo_contribuyente[#ALL],2,0))</f>
        <v/>
      </c>
      <c r="L565" s="21" t="str">
        <f>IF(H565="","",VLOOKUP(H565,pais[#ALL],2,0))</f>
        <v/>
      </c>
    </row>
    <row r="566">
      <c r="A566" s="21"/>
      <c r="B566" s="21"/>
      <c r="C566" s="21"/>
      <c r="D566" s="21"/>
      <c r="E566" s="21"/>
      <c r="F566" s="21"/>
      <c r="G566" s="21"/>
      <c r="H566" s="21"/>
      <c r="I566" s="21" t="str">
        <f>IF(E566="","",VLOOKUP(E566,tipo_organizacion[#ALL],2,0))</f>
        <v/>
      </c>
      <c r="J566" s="21" t="str">
        <f>IF(F566="","",VLOOKUP(F566,razon_social[#ALL],2,0))</f>
        <v/>
      </c>
      <c r="K566" s="21" t="str">
        <f>IF(G566="","",VLOOKUP(G566,tipo_contribuyente[#ALL],2,0))</f>
        <v/>
      </c>
      <c r="L566" s="21" t="str">
        <f>IF(H566="","",VLOOKUP(H566,pais[#ALL],2,0))</f>
        <v/>
      </c>
    </row>
    <row r="567">
      <c r="A567" s="21"/>
      <c r="B567" s="21"/>
      <c r="C567" s="21"/>
      <c r="D567" s="21"/>
      <c r="E567" s="21"/>
      <c r="F567" s="21"/>
      <c r="G567" s="21"/>
      <c r="H567" s="21"/>
      <c r="I567" s="21" t="str">
        <f>IF(E567="","",VLOOKUP(E567,tipo_organizacion[#ALL],2,0))</f>
        <v/>
      </c>
      <c r="J567" s="21" t="str">
        <f>IF(F567="","",VLOOKUP(F567,razon_social[#ALL],2,0))</f>
        <v/>
      </c>
      <c r="K567" s="21" t="str">
        <f>IF(G567="","",VLOOKUP(G567,tipo_contribuyente[#ALL],2,0))</f>
        <v/>
      </c>
      <c r="L567" s="21" t="str">
        <f>IF(H567="","",VLOOKUP(H567,pais[#ALL],2,0))</f>
        <v/>
      </c>
    </row>
    <row r="568">
      <c r="A568" s="21"/>
      <c r="B568" s="21"/>
      <c r="C568" s="21"/>
      <c r="D568" s="21"/>
      <c r="E568" s="21"/>
      <c r="F568" s="21"/>
      <c r="G568" s="21"/>
      <c r="H568" s="21"/>
      <c r="I568" s="21" t="str">
        <f>IF(E568="","",VLOOKUP(E568,tipo_organizacion[#ALL],2,0))</f>
        <v/>
      </c>
      <c r="J568" s="21" t="str">
        <f>IF(F568="","",VLOOKUP(F568,razon_social[#ALL],2,0))</f>
        <v/>
      </c>
      <c r="K568" s="21" t="str">
        <f>IF(G568="","",VLOOKUP(G568,tipo_contribuyente[#ALL],2,0))</f>
        <v/>
      </c>
      <c r="L568" s="21" t="str">
        <f>IF(H568="","",VLOOKUP(H568,pais[#ALL],2,0))</f>
        <v/>
      </c>
    </row>
    <row r="569">
      <c r="A569" s="21"/>
      <c r="B569" s="21"/>
      <c r="C569" s="21"/>
      <c r="D569" s="21"/>
      <c r="E569" s="21"/>
      <c r="F569" s="21"/>
      <c r="G569" s="21"/>
      <c r="H569" s="21"/>
      <c r="I569" s="21" t="str">
        <f>IF(E569="","",VLOOKUP(E569,tipo_organizacion[#ALL],2,0))</f>
        <v/>
      </c>
      <c r="J569" s="21" t="str">
        <f>IF(F569="","",VLOOKUP(F569,razon_social[#ALL],2,0))</f>
        <v/>
      </c>
      <c r="K569" s="21" t="str">
        <f>IF(G569="","",VLOOKUP(G569,tipo_contribuyente[#ALL],2,0))</f>
        <v/>
      </c>
      <c r="L569" s="21" t="str">
        <f>IF(H569="","",VLOOKUP(H569,pais[#ALL],2,0))</f>
        <v/>
      </c>
    </row>
    <row r="570">
      <c r="A570" s="21"/>
      <c r="B570" s="21"/>
      <c r="C570" s="21"/>
      <c r="D570" s="21"/>
      <c r="E570" s="21"/>
      <c r="F570" s="21"/>
      <c r="G570" s="21"/>
      <c r="H570" s="21"/>
      <c r="I570" s="21" t="str">
        <f>IF(E570="","",VLOOKUP(E570,tipo_organizacion[#ALL],2,0))</f>
        <v/>
      </c>
      <c r="J570" s="21" t="str">
        <f>IF(F570="","",VLOOKUP(F570,razon_social[#ALL],2,0))</f>
        <v/>
      </c>
      <c r="K570" s="21" t="str">
        <f>IF(G570="","",VLOOKUP(G570,tipo_contribuyente[#ALL],2,0))</f>
        <v/>
      </c>
      <c r="L570" s="21" t="str">
        <f>IF(H570="","",VLOOKUP(H570,pais[#ALL],2,0))</f>
        <v/>
      </c>
    </row>
    <row r="571">
      <c r="A571" s="21"/>
      <c r="B571" s="21"/>
      <c r="C571" s="21"/>
      <c r="D571" s="21"/>
      <c r="E571" s="21"/>
      <c r="F571" s="21"/>
      <c r="G571" s="21"/>
      <c r="H571" s="21"/>
      <c r="I571" s="21" t="str">
        <f>IF(E571="","",VLOOKUP(E571,tipo_organizacion[#ALL],2,0))</f>
        <v/>
      </c>
      <c r="J571" s="21" t="str">
        <f>IF(F571="","",VLOOKUP(F571,razon_social[#ALL],2,0))</f>
        <v/>
      </c>
      <c r="K571" s="21" t="str">
        <f>IF(G571="","",VLOOKUP(G571,tipo_contribuyente[#ALL],2,0))</f>
        <v/>
      </c>
      <c r="L571" s="21" t="str">
        <f>IF(H571="","",VLOOKUP(H571,pais[#ALL],2,0))</f>
        <v/>
      </c>
    </row>
    <row r="572">
      <c r="A572" s="21"/>
      <c r="B572" s="21"/>
      <c r="C572" s="21"/>
      <c r="D572" s="21"/>
      <c r="E572" s="21"/>
      <c r="F572" s="21"/>
      <c r="G572" s="21"/>
      <c r="H572" s="21"/>
      <c r="I572" s="21" t="str">
        <f>IF(E572="","",VLOOKUP(E572,tipo_organizacion[#ALL],2,0))</f>
        <v/>
      </c>
      <c r="J572" s="21" t="str">
        <f>IF(F572="","",VLOOKUP(F572,razon_social[#ALL],2,0))</f>
        <v/>
      </c>
      <c r="K572" s="21" t="str">
        <f>IF(G572="","",VLOOKUP(G572,tipo_contribuyente[#ALL],2,0))</f>
        <v/>
      </c>
      <c r="L572" s="21" t="str">
        <f>IF(H572="","",VLOOKUP(H572,pais[#ALL],2,0))</f>
        <v/>
      </c>
    </row>
    <row r="573">
      <c r="A573" s="21"/>
      <c r="B573" s="21"/>
      <c r="C573" s="21"/>
      <c r="D573" s="21"/>
      <c r="E573" s="21"/>
      <c r="F573" s="21"/>
      <c r="G573" s="21"/>
      <c r="H573" s="21"/>
      <c r="I573" s="21" t="str">
        <f>IF(E573="","",VLOOKUP(E573,tipo_organizacion[#ALL],2,0))</f>
        <v/>
      </c>
      <c r="J573" s="21" t="str">
        <f>IF(F573="","",VLOOKUP(F573,razon_social[#ALL],2,0))</f>
        <v/>
      </c>
      <c r="K573" s="21" t="str">
        <f>IF(G573="","",VLOOKUP(G573,tipo_contribuyente[#ALL],2,0))</f>
        <v/>
      </c>
      <c r="L573" s="21" t="str">
        <f>IF(H573="","",VLOOKUP(H573,pais[#ALL],2,0))</f>
        <v/>
      </c>
    </row>
    <row r="574">
      <c r="A574" s="21"/>
      <c r="B574" s="21"/>
      <c r="C574" s="21"/>
      <c r="D574" s="21"/>
      <c r="E574" s="21"/>
      <c r="F574" s="21"/>
      <c r="G574" s="21"/>
      <c r="H574" s="21"/>
      <c r="I574" s="21" t="str">
        <f>IF(E574="","",VLOOKUP(E574,tipo_organizacion[#ALL],2,0))</f>
        <v/>
      </c>
      <c r="J574" s="21" t="str">
        <f>IF(F574="","",VLOOKUP(F574,razon_social[#ALL],2,0))</f>
        <v/>
      </c>
      <c r="K574" s="21" t="str">
        <f>IF(G574="","",VLOOKUP(G574,tipo_contribuyente[#ALL],2,0))</f>
        <v/>
      </c>
      <c r="L574" s="21" t="str">
        <f>IF(H574="","",VLOOKUP(H574,pais[#ALL],2,0))</f>
        <v/>
      </c>
    </row>
    <row r="575">
      <c r="A575" s="21"/>
      <c r="B575" s="21"/>
      <c r="C575" s="21"/>
      <c r="D575" s="21"/>
      <c r="E575" s="21"/>
      <c r="F575" s="21"/>
      <c r="G575" s="21"/>
      <c r="H575" s="21"/>
      <c r="I575" s="21" t="str">
        <f>IF(E575="","",VLOOKUP(E575,tipo_organizacion[#ALL],2,0))</f>
        <v/>
      </c>
      <c r="J575" s="21" t="str">
        <f>IF(F575="","",VLOOKUP(F575,razon_social[#ALL],2,0))</f>
        <v/>
      </c>
      <c r="K575" s="21" t="str">
        <f>IF(G575="","",VLOOKUP(G575,tipo_contribuyente[#ALL],2,0))</f>
        <v/>
      </c>
      <c r="L575" s="21" t="str">
        <f>IF(H575="","",VLOOKUP(H575,pais[#ALL],2,0))</f>
        <v/>
      </c>
    </row>
    <row r="576">
      <c r="A576" s="21"/>
      <c r="B576" s="21"/>
      <c r="C576" s="21"/>
      <c r="D576" s="21"/>
      <c r="E576" s="21"/>
      <c r="F576" s="21"/>
      <c r="G576" s="21"/>
      <c r="H576" s="21"/>
      <c r="I576" s="21" t="str">
        <f>IF(E576="","",VLOOKUP(E576,tipo_organizacion[#ALL],2,0))</f>
        <v/>
      </c>
      <c r="J576" s="21" t="str">
        <f>IF(F576="","",VLOOKUP(F576,razon_social[#ALL],2,0))</f>
        <v/>
      </c>
      <c r="K576" s="21" t="str">
        <f>IF(G576="","",VLOOKUP(G576,tipo_contribuyente[#ALL],2,0))</f>
        <v/>
      </c>
      <c r="L576" s="21" t="str">
        <f>IF(H576="","",VLOOKUP(H576,pais[#ALL],2,0))</f>
        <v/>
      </c>
    </row>
    <row r="577">
      <c r="A577" s="21"/>
      <c r="B577" s="21"/>
      <c r="C577" s="21"/>
      <c r="D577" s="21"/>
      <c r="E577" s="21"/>
      <c r="F577" s="21"/>
      <c r="G577" s="21"/>
      <c r="H577" s="21"/>
      <c r="I577" s="21" t="str">
        <f>IF(E577="","",VLOOKUP(E577,tipo_organizacion[#ALL],2,0))</f>
        <v/>
      </c>
      <c r="J577" s="21" t="str">
        <f>IF(F577="","",VLOOKUP(F577,razon_social[#ALL],2,0))</f>
        <v/>
      </c>
      <c r="K577" s="21" t="str">
        <f>IF(G577="","",VLOOKUP(G577,tipo_contribuyente[#ALL],2,0))</f>
        <v/>
      </c>
      <c r="L577" s="21" t="str">
        <f>IF(H577="","",VLOOKUP(H577,pais[#ALL],2,0))</f>
        <v/>
      </c>
    </row>
    <row r="578">
      <c r="A578" s="21"/>
      <c r="B578" s="21"/>
      <c r="C578" s="21"/>
      <c r="D578" s="21"/>
      <c r="E578" s="21"/>
      <c r="F578" s="21"/>
      <c r="G578" s="21"/>
      <c r="H578" s="21"/>
      <c r="I578" s="21" t="str">
        <f>IF(E578="","",VLOOKUP(E578,tipo_organizacion[#ALL],2,0))</f>
        <v/>
      </c>
      <c r="J578" s="21" t="str">
        <f>IF(F578="","",VLOOKUP(F578,razon_social[#ALL],2,0))</f>
        <v/>
      </c>
      <c r="K578" s="21" t="str">
        <f>IF(G578="","",VLOOKUP(G578,tipo_contribuyente[#ALL],2,0))</f>
        <v/>
      </c>
      <c r="L578" s="21" t="str">
        <f>IF(H578="","",VLOOKUP(H578,pais[#ALL],2,0))</f>
        <v/>
      </c>
    </row>
    <row r="579">
      <c r="A579" s="21"/>
      <c r="B579" s="21"/>
      <c r="C579" s="21"/>
      <c r="D579" s="21"/>
      <c r="E579" s="21"/>
      <c r="F579" s="21"/>
      <c r="G579" s="21"/>
      <c r="H579" s="21"/>
      <c r="I579" s="21" t="str">
        <f>IF(E579="","",VLOOKUP(E579,tipo_organizacion[#ALL],2,0))</f>
        <v/>
      </c>
      <c r="J579" s="21" t="str">
        <f>IF(F579="","",VLOOKUP(F579,razon_social[#ALL],2,0))</f>
        <v/>
      </c>
      <c r="K579" s="21" t="str">
        <f>IF(G579="","",VLOOKUP(G579,tipo_contribuyente[#ALL],2,0))</f>
        <v/>
      </c>
      <c r="L579" s="21" t="str">
        <f>IF(H579="","",VLOOKUP(H579,pais[#ALL],2,0))</f>
        <v/>
      </c>
    </row>
    <row r="580">
      <c r="A580" s="21"/>
      <c r="B580" s="21"/>
      <c r="C580" s="21"/>
      <c r="D580" s="21"/>
      <c r="E580" s="21"/>
      <c r="F580" s="21"/>
      <c r="G580" s="21"/>
      <c r="H580" s="21"/>
      <c r="I580" s="21" t="str">
        <f>IF(E580="","",VLOOKUP(E580,tipo_organizacion[#ALL],2,0))</f>
        <v/>
      </c>
      <c r="J580" s="21" t="str">
        <f>IF(F580="","",VLOOKUP(F580,razon_social[#ALL],2,0))</f>
        <v/>
      </c>
      <c r="K580" s="21" t="str">
        <f>IF(G580="","",VLOOKUP(G580,tipo_contribuyente[#ALL],2,0))</f>
        <v/>
      </c>
      <c r="L580" s="21" t="str">
        <f>IF(H580="","",VLOOKUP(H580,pais[#ALL],2,0))</f>
        <v/>
      </c>
    </row>
    <row r="581">
      <c r="A581" s="21"/>
      <c r="B581" s="21"/>
      <c r="C581" s="21"/>
      <c r="D581" s="21"/>
      <c r="E581" s="21"/>
      <c r="F581" s="21"/>
      <c r="G581" s="21"/>
      <c r="H581" s="21"/>
      <c r="I581" s="21" t="str">
        <f>IF(E581="","",VLOOKUP(E581,tipo_organizacion[#ALL],2,0))</f>
        <v/>
      </c>
      <c r="J581" s="21" t="str">
        <f>IF(F581="","",VLOOKUP(F581,razon_social[#ALL],2,0))</f>
        <v/>
      </c>
      <c r="K581" s="21" t="str">
        <f>IF(G581="","",VLOOKUP(G581,tipo_contribuyente[#ALL],2,0))</f>
        <v/>
      </c>
      <c r="L581" s="21" t="str">
        <f>IF(H581="","",VLOOKUP(H581,pais[#ALL],2,0))</f>
        <v/>
      </c>
    </row>
    <row r="582">
      <c r="A582" s="21"/>
      <c r="B582" s="21"/>
      <c r="C582" s="21"/>
      <c r="D582" s="21"/>
      <c r="E582" s="21"/>
      <c r="F582" s="21"/>
      <c r="G582" s="21"/>
      <c r="H582" s="21"/>
      <c r="I582" s="21" t="str">
        <f>IF(E582="","",VLOOKUP(E582,tipo_organizacion[#ALL],2,0))</f>
        <v/>
      </c>
      <c r="J582" s="21" t="str">
        <f>IF(F582="","",VLOOKUP(F582,razon_social[#ALL],2,0))</f>
        <v/>
      </c>
      <c r="K582" s="21" t="str">
        <f>IF(G582="","",VLOOKUP(G582,tipo_contribuyente[#ALL],2,0))</f>
        <v/>
      </c>
      <c r="L582" s="21" t="str">
        <f>IF(H582="","",VLOOKUP(H582,pais[#ALL],2,0))</f>
        <v/>
      </c>
    </row>
    <row r="583">
      <c r="A583" s="21"/>
      <c r="B583" s="21"/>
      <c r="C583" s="21"/>
      <c r="D583" s="21"/>
      <c r="E583" s="21"/>
      <c r="F583" s="21"/>
      <c r="G583" s="21"/>
      <c r="H583" s="21"/>
      <c r="I583" s="21" t="str">
        <f>IF(E583="","",VLOOKUP(E583,tipo_organizacion[#ALL],2,0))</f>
        <v/>
      </c>
      <c r="J583" s="21" t="str">
        <f>IF(F583="","",VLOOKUP(F583,razon_social[#ALL],2,0))</f>
        <v/>
      </c>
      <c r="K583" s="21" t="str">
        <f>IF(G583="","",VLOOKUP(G583,tipo_contribuyente[#ALL],2,0))</f>
        <v/>
      </c>
      <c r="L583" s="21" t="str">
        <f>IF(H583="","",VLOOKUP(H583,pais[#ALL],2,0))</f>
        <v/>
      </c>
    </row>
    <row r="584">
      <c r="A584" s="21"/>
      <c r="B584" s="21"/>
      <c r="C584" s="21"/>
      <c r="D584" s="21"/>
      <c r="E584" s="21"/>
      <c r="F584" s="21"/>
      <c r="G584" s="21"/>
      <c r="H584" s="21"/>
      <c r="I584" s="21" t="str">
        <f>IF(E584="","",VLOOKUP(E584,tipo_organizacion[#ALL],2,0))</f>
        <v/>
      </c>
      <c r="J584" s="21" t="str">
        <f>IF(F584="","",VLOOKUP(F584,razon_social[#ALL],2,0))</f>
        <v/>
      </c>
      <c r="K584" s="21" t="str">
        <f>IF(G584="","",VLOOKUP(G584,tipo_contribuyente[#ALL],2,0))</f>
        <v/>
      </c>
      <c r="L584" s="21" t="str">
        <f>IF(H584="","",VLOOKUP(H584,pais[#ALL],2,0))</f>
        <v/>
      </c>
    </row>
    <row r="585">
      <c r="A585" s="21"/>
      <c r="B585" s="21"/>
      <c r="C585" s="21"/>
      <c r="D585" s="21"/>
      <c r="E585" s="21"/>
      <c r="F585" s="21"/>
      <c r="G585" s="21"/>
      <c r="H585" s="21"/>
      <c r="I585" s="21" t="str">
        <f>IF(E585="","",VLOOKUP(E585,tipo_organizacion[#ALL],2,0))</f>
        <v/>
      </c>
      <c r="J585" s="21" t="str">
        <f>IF(F585="","",VLOOKUP(F585,razon_social[#ALL],2,0))</f>
        <v/>
      </c>
      <c r="K585" s="21" t="str">
        <f>IF(G585="","",VLOOKUP(G585,tipo_contribuyente[#ALL],2,0))</f>
        <v/>
      </c>
      <c r="L585" s="21" t="str">
        <f>IF(H585="","",VLOOKUP(H585,pais[#ALL],2,0))</f>
        <v/>
      </c>
    </row>
    <row r="586">
      <c r="A586" s="21"/>
      <c r="B586" s="21"/>
      <c r="C586" s="21"/>
      <c r="D586" s="21"/>
      <c r="E586" s="21"/>
      <c r="F586" s="21"/>
      <c r="G586" s="21"/>
      <c r="H586" s="21"/>
      <c r="I586" s="21" t="str">
        <f>IF(E586="","",VLOOKUP(E586,tipo_organizacion[#ALL],2,0))</f>
        <v/>
      </c>
      <c r="J586" s="21" t="str">
        <f>IF(F586="","",VLOOKUP(F586,razon_social[#ALL],2,0))</f>
        <v/>
      </c>
      <c r="K586" s="21" t="str">
        <f>IF(G586="","",VLOOKUP(G586,tipo_contribuyente[#ALL],2,0))</f>
        <v/>
      </c>
      <c r="L586" s="21" t="str">
        <f>IF(H586="","",VLOOKUP(H586,pais[#ALL],2,0))</f>
        <v/>
      </c>
    </row>
    <row r="587">
      <c r="A587" s="21"/>
      <c r="B587" s="21"/>
      <c r="C587" s="21"/>
      <c r="D587" s="21"/>
      <c r="E587" s="21"/>
      <c r="F587" s="21"/>
      <c r="G587" s="21"/>
      <c r="H587" s="21"/>
      <c r="I587" s="21" t="str">
        <f>IF(E587="","",VLOOKUP(E587,tipo_organizacion[#ALL],2,0))</f>
        <v/>
      </c>
      <c r="J587" s="21" t="str">
        <f>IF(F587="","",VLOOKUP(F587,razon_social[#ALL],2,0))</f>
        <v/>
      </c>
      <c r="K587" s="21" t="str">
        <f>IF(G587="","",VLOOKUP(G587,tipo_contribuyente[#ALL],2,0))</f>
        <v/>
      </c>
      <c r="L587" s="21" t="str">
        <f>IF(H587="","",VLOOKUP(H587,pais[#ALL],2,0))</f>
        <v/>
      </c>
    </row>
    <row r="588">
      <c r="A588" s="21"/>
      <c r="B588" s="21"/>
      <c r="C588" s="21"/>
      <c r="D588" s="21"/>
      <c r="E588" s="21"/>
      <c r="F588" s="21"/>
      <c r="G588" s="21"/>
      <c r="H588" s="21"/>
      <c r="I588" s="21" t="str">
        <f>IF(E588="","",VLOOKUP(E588,tipo_organizacion[#ALL],2,0))</f>
        <v/>
      </c>
      <c r="J588" s="21" t="str">
        <f>IF(F588="","",VLOOKUP(F588,razon_social[#ALL],2,0))</f>
        <v/>
      </c>
      <c r="K588" s="21" t="str">
        <f>IF(G588="","",VLOOKUP(G588,tipo_contribuyente[#ALL],2,0))</f>
        <v/>
      </c>
      <c r="L588" s="21" t="str">
        <f>IF(H588="","",VLOOKUP(H588,pais[#ALL],2,0))</f>
        <v/>
      </c>
    </row>
    <row r="589">
      <c r="A589" s="21"/>
      <c r="B589" s="21"/>
      <c r="C589" s="21"/>
      <c r="D589" s="21"/>
      <c r="E589" s="21"/>
      <c r="F589" s="21"/>
      <c r="G589" s="21"/>
      <c r="H589" s="21"/>
      <c r="I589" s="21" t="str">
        <f>IF(E589="","",VLOOKUP(E589,tipo_organizacion[#ALL],2,0))</f>
        <v/>
      </c>
      <c r="J589" s="21" t="str">
        <f>IF(F589="","",VLOOKUP(F589,razon_social[#ALL],2,0))</f>
        <v/>
      </c>
      <c r="K589" s="21" t="str">
        <f>IF(G589="","",VLOOKUP(G589,tipo_contribuyente[#ALL],2,0))</f>
        <v/>
      </c>
      <c r="L589" s="21" t="str">
        <f>IF(H589="","",VLOOKUP(H589,pais[#ALL],2,0))</f>
        <v/>
      </c>
    </row>
    <row r="590">
      <c r="A590" s="21"/>
      <c r="B590" s="21"/>
      <c r="C590" s="21"/>
      <c r="D590" s="21"/>
      <c r="E590" s="21"/>
      <c r="F590" s="21"/>
      <c r="G590" s="21"/>
      <c r="H590" s="21"/>
      <c r="I590" s="21" t="str">
        <f>IF(E590="","",VLOOKUP(E590,tipo_organizacion[#ALL],2,0))</f>
        <v/>
      </c>
      <c r="J590" s="21" t="str">
        <f>IF(F590="","",VLOOKUP(F590,razon_social[#ALL],2,0))</f>
        <v/>
      </c>
      <c r="K590" s="21" t="str">
        <f>IF(G590="","",VLOOKUP(G590,tipo_contribuyente[#ALL],2,0))</f>
        <v/>
      </c>
      <c r="L590" s="21" t="str">
        <f>IF(H590="","",VLOOKUP(H590,pais[#ALL],2,0))</f>
        <v/>
      </c>
    </row>
    <row r="591">
      <c r="A591" s="21"/>
      <c r="B591" s="21"/>
      <c r="C591" s="21"/>
      <c r="D591" s="21"/>
      <c r="E591" s="21"/>
      <c r="F591" s="21"/>
      <c r="G591" s="21"/>
      <c r="H591" s="21"/>
      <c r="I591" s="21" t="str">
        <f>IF(E591="","",VLOOKUP(E591,tipo_organizacion[#ALL],2,0))</f>
        <v/>
      </c>
      <c r="J591" s="21" t="str">
        <f>IF(F591="","",VLOOKUP(F591,razon_social[#ALL],2,0))</f>
        <v/>
      </c>
      <c r="K591" s="21" t="str">
        <f>IF(G591="","",VLOOKUP(G591,tipo_contribuyente[#ALL],2,0))</f>
        <v/>
      </c>
      <c r="L591" s="21" t="str">
        <f>IF(H591="","",VLOOKUP(H591,pais[#ALL],2,0))</f>
        <v/>
      </c>
    </row>
    <row r="592">
      <c r="A592" s="21"/>
      <c r="B592" s="21"/>
      <c r="C592" s="21"/>
      <c r="D592" s="21"/>
      <c r="E592" s="21"/>
      <c r="F592" s="21"/>
      <c r="G592" s="21"/>
      <c r="H592" s="21"/>
      <c r="I592" s="21" t="str">
        <f>IF(E592="","",VLOOKUP(E592,tipo_organizacion[#ALL],2,0))</f>
        <v/>
      </c>
      <c r="J592" s="21" t="str">
        <f>IF(F592="","",VLOOKUP(F592,razon_social[#ALL],2,0))</f>
        <v/>
      </c>
      <c r="K592" s="21" t="str">
        <f>IF(G592="","",VLOOKUP(G592,tipo_contribuyente[#ALL],2,0))</f>
        <v/>
      </c>
      <c r="L592" s="21" t="str">
        <f>IF(H592="","",VLOOKUP(H592,pais[#ALL],2,0))</f>
        <v/>
      </c>
    </row>
    <row r="593">
      <c r="A593" s="21"/>
      <c r="B593" s="21"/>
      <c r="C593" s="21"/>
      <c r="D593" s="21"/>
      <c r="E593" s="21"/>
      <c r="F593" s="21"/>
      <c r="G593" s="21"/>
      <c r="H593" s="21"/>
      <c r="I593" s="21" t="str">
        <f>IF(E593="","",VLOOKUP(E593,tipo_organizacion[#ALL],2,0))</f>
        <v/>
      </c>
      <c r="J593" s="21" t="str">
        <f>IF(F593="","",VLOOKUP(F593,razon_social[#ALL],2,0))</f>
        <v/>
      </c>
      <c r="K593" s="21" t="str">
        <f>IF(G593="","",VLOOKUP(G593,tipo_contribuyente[#ALL],2,0))</f>
        <v/>
      </c>
      <c r="L593" s="21" t="str">
        <f>IF(H593="","",VLOOKUP(H593,pais[#ALL],2,0))</f>
        <v/>
      </c>
    </row>
    <row r="594">
      <c r="A594" s="21"/>
      <c r="B594" s="21"/>
      <c r="C594" s="21"/>
      <c r="D594" s="21"/>
      <c r="E594" s="21"/>
      <c r="F594" s="21"/>
      <c r="G594" s="21"/>
      <c r="H594" s="21"/>
      <c r="I594" s="21" t="str">
        <f>IF(E594="","",VLOOKUP(E594,tipo_organizacion[#ALL],2,0))</f>
        <v/>
      </c>
      <c r="J594" s="21" t="str">
        <f>IF(F594="","",VLOOKUP(F594,razon_social[#ALL],2,0))</f>
        <v/>
      </c>
      <c r="K594" s="21" t="str">
        <f>IF(G594="","",VLOOKUP(G594,tipo_contribuyente[#ALL],2,0))</f>
        <v/>
      </c>
      <c r="L594" s="21" t="str">
        <f>IF(H594="","",VLOOKUP(H594,pais[#ALL],2,0))</f>
        <v/>
      </c>
    </row>
    <row r="595">
      <c r="A595" s="21"/>
      <c r="B595" s="21"/>
      <c r="C595" s="21"/>
      <c r="D595" s="21"/>
      <c r="E595" s="21"/>
      <c r="F595" s="21"/>
      <c r="G595" s="21"/>
      <c r="H595" s="21"/>
      <c r="I595" s="21" t="str">
        <f>IF(E595="","",VLOOKUP(E595,tipo_organizacion[#ALL],2,0))</f>
        <v/>
      </c>
      <c r="J595" s="21" t="str">
        <f>IF(F595="","",VLOOKUP(F595,razon_social[#ALL],2,0))</f>
        <v/>
      </c>
      <c r="K595" s="21" t="str">
        <f>IF(G595="","",VLOOKUP(G595,tipo_contribuyente[#ALL],2,0))</f>
        <v/>
      </c>
      <c r="L595" s="21" t="str">
        <f>IF(H595="","",VLOOKUP(H595,pais[#ALL],2,0))</f>
        <v/>
      </c>
    </row>
    <row r="596">
      <c r="A596" s="21"/>
      <c r="B596" s="21"/>
      <c r="C596" s="21"/>
      <c r="D596" s="21"/>
      <c r="E596" s="21"/>
      <c r="F596" s="21"/>
      <c r="G596" s="21"/>
      <c r="H596" s="21"/>
      <c r="I596" s="21" t="str">
        <f>IF(E596="","",VLOOKUP(E596,tipo_organizacion[#ALL],2,0))</f>
        <v/>
      </c>
      <c r="J596" s="21" t="str">
        <f>IF(F596="","",VLOOKUP(F596,razon_social[#ALL],2,0))</f>
        <v/>
      </c>
      <c r="K596" s="21" t="str">
        <f>IF(G596="","",VLOOKUP(G596,tipo_contribuyente[#ALL],2,0))</f>
        <v/>
      </c>
      <c r="L596" s="21" t="str">
        <f>IF(H596="","",VLOOKUP(H596,pais[#ALL],2,0))</f>
        <v/>
      </c>
    </row>
    <row r="597">
      <c r="A597" s="21"/>
      <c r="B597" s="21"/>
      <c r="C597" s="21"/>
      <c r="D597" s="21"/>
      <c r="E597" s="21"/>
      <c r="F597" s="21"/>
      <c r="G597" s="21"/>
      <c r="H597" s="21"/>
      <c r="I597" s="21" t="str">
        <f>IF(E597="","",VLOOKUP(E597,tipo_organizacion[#ALL],2,0))</f>
        <v/>
      </c>
      <c r="J597" s="21" t="str">
        <f>IF(F597="","",VLOOKUP(F597,razon_social[#ALL],2,0))</f>
        <v/>
      </c>
      <c r="K597" s="21" t="str">
        <f>IF(G597="","",VLOOKUP(G597,tipo_contribuyente[#ALL],2,0))</f>
        <v/>
      </c>
      <c r="L597" s="21" t="str">
        <f>IF(H597="","",VLOOKUP(H597,pais[#ALL],2,0))</f>
        <v/>
      </c>
    </row>
    <row r="598">
      <c r="A598" s="21"/>
      <c r="B598" s="21"/>
      <c r="C598" s="21"/>
      <c r="D598" s="21"/>
      <c r="E598" s="21"/>
      <c r="F598" s="21"/>
      <c r="G598" s="21"/>
      <c r="H598" s="21"/>
      <c r="I598" s="21" t="str">
        <f>IF(E598="","",VLOOKUP(E598,tipo_organizacion[#ALL],2,0))</f>
        <v/>
      </c>
      <c r="J598" s="21" t="str">
        <f>IF(F598="","",VLOOKUP(F598,razon_social[#ALL],2,0))</f>
        <v/>
      </c>
      <c r="K598" s="21" t="str">
        <f>IF(G598="","",VLOOKUP(G598,tipo_contribuyente[#ALL],2,0))</f>
        <v/>
      </c>
      <c r="L598" s="21" t="str">
        <f>IF(H598="","",VLOOKUP(H598,pais[#ALL],2,0))</f>
        <v/>
      </c>
    </row>
    <row r="599">
      <c r="A599" s="21"/>
      <c r="B599" s="21"/>
      <c r="C599" s="21"/>
      <c r="D599" s="21"/>
      <c r="E599" s="21"/>
      <c r="F599" s="21"/>
      <c r="G599" s="21"/>
      <c r="H599" s="21"/>
      <c r="I599" s="21" t="str">
        <f>IF(E599="","",VLOOKUP(E599,tipo_organizacion[#ALL],2,0))</f>
        <v/>
      </c>
      <c r="J599" s="21" t="str">
        <f>IF(F599="","",VLOOKUP(F599,razon_social[#ALL],2,0))</f>
        <v/>
      </c>
      <c r="K599" s="21" t="str">
        <f>IF(G599="","",VLOOKUP(G599,tipo_contribuyente[#ALL],2,0))</f>
        <v/>
      </c>
      <c r="L599" s="21" t="str">
        <f>IF(H599="","",VLOOKUP(H599,pais[#ALL],2,0))</f>
        <v/>
      </c>
    </row>
    <row r="600">
      <c r="A600" s="21"/>
      <c r="B600" s="21"/>
      <c r="C600" s="21"/>
      <c r="D600" s="21"/>
      <c r="E600" s="21"/>
      <c r="F600" s="21"/>
      <c r="G600" s="21"/>
      <c r="H600" s="21"/>
      <c r="I600" s="21" t="str">
        <f>IF(E600="","",VLOOKUP(E600,tipo_organizacion[#ALL],2,0))</f>
        <v/>
      </c>
      <c r="J600" s="21" t="str">
        <f>IF(F600="","",VLOOKUP(F600,razon_social[#ALL],2,0))</f>
        <v/>
      </c>
      <c r="K600" s="21" t="str">
        <f>IF(G600="","",VLOOKUP(G600,tipo_contribuyente[#ALL],2,0))</f>
        <v/>
      </c>
      <c r="L600" s="21" t="str">
        <f>IF(H600="","",VLOOKUP(H600,pais[#ALL],2,0))</f>
        <v/>
      </c>
    </row>
    <row r="601">
      <c r="A601" s="21"/>
      <c r="B601" s="21"/>
      <c r="C601" s="21"/>
      <c r="D601" s="21"/>
      <c r="E601" s="21"/>
      <c r="F601" s="21"/>
      <c r="G601" s="21"/>
      <c r="H601" s="21"/>
      <c r="I601" s="21" t="str">
        <f>IF(E601="","",VLOOKUP(E601,tipo_organizacion[#ALL],2,0))</f>
        <v/>
      </c>
      <c r="J601" s="21" t="str">
        <f>IF(F601="","",VLOOKUP(F601,razon_social[#ALL],2,0))</f>
        <v/>
      </c>
      <c r="K601" s="21" t="str">
        <f>IF(G601="","",VLOOKUP(G601,tipo_contribuyente[#ALL],2,0))</f>
        <v/>
      </c>
      <c r="L601" s="21" t="str">
        <f>IF(H601="","",VLOOKUP(H601,pais[#ALL],2,0))</f>
        <v/>
      </c>
    </row>
    <row r="602">
      <c r="A602" s="21"/>
      <c r="B602" s="21"/>
      <c r="C602" s="21"/>
      <c r="D602" s="21"/>
      <c r="E602" s="21"/>
      <c r="F602" s="21"/>
      <c r="G602" s="21"/>
      <c r="H602" s="21"/>
      <c r="I602" s="21" t="str">
        <f>IF(E602="","",VLOOKUP(E602,tipo_organizacion[#ALL],2,0))</f>
        <v/>
      </c>
      <c r="J602" s="21" t="str">
        <f>IF(F602="","",VLOOKUP(F602,razon_social[#ALL],2,0))</f>
        <v/>
      </c>
      <c r="K602" s="21" t="str">
        <f>IF(G602="","",VLOOKUP(G602,tipo_contribuyente[#ALL],2,0))</f>
        <v/>
      </c>
      <c r="L602" s="21" t="str">
        <f>IF(H602="","",VLOOKUP(H602,pais[#ALL],2,0))</f>
        <v/>
      </c>
    </row>
    <row r="603">
      <c r="A603" s="21"/>
      <c r="B603" s="21"/>
      <c r="C603" s="21"/>
      <c r="D603" s="21"/>
      <c r="E603" s="21"/>
      <c r="F603" s="21"/>
      <c r="G603" s="21"/>
      <c r="H603" s="21"/>
      <c r="I603" s="21" t="str">
        <f>IF(E603="","",VLOOKUP(E603,tipo_organizacion[#ALL],2,0))</f>
        <v/>
      </c>
      <c r="J603" s="21" t="str">
        <f>IF(F603="","",VLOOKUP(F603,razon_social[#ALL],2,0))</f>
        <v/>
      </c>
      <c r="K603" s="21" t="str">
        <f>IF(G603="","",VLOOKUP(G603,tipo_contribuyente[#ALL],2,0))</f>
        <v/>
      </c>
      <c r="L603" s="21" t="str">
        <f>IF(H603="","",VLOOKUP(H603,pais[#ALL],2,0))</f>
        <v/>
      </c>
    </row>
    <row r="604">
      <c r="A604" s="21"/>
      <c r="B604" s="21"/>
      <c r="C604" s="21"/>
      <c r="D604" s="21"/>
      <c r="E604" s="21"/>
      <c r="F604" s="21"/>
      <c r="G604" s="21"/>
      <c r="H604" s="21"/>
      <c r="I604" s="21" t="str">
        <f>IF(E604="","",VLOOKUP(E604,tipo_organizacion[#ALL],2,0))</f>
        <v/>
      </c>
      <c r="J604" s="21" t="str">
        <f>IF(F604="","",VLOOKUP(F604,razon_social[#ALL],2,0))</f>
        <v/>
      </c>
      <c r="K604" s="21" t="str">
        <f>IF(G604="","",VLOOKUP(G604,tipo_contribuyente[#ALL],2,0))</f>
        <v/>
      </c>
      <c r="L604" s="21" t="str">
        <f>IF(H604="","",VLOOKUP(H604,pais[#ALL],2,0))</f>
        <v/>
      </c>
    </row>
    <row r="605">
      <c r="A605" s="21"/>
      <c r="B605" s="21"/>
      <c r="C605" s="21"/>
      <c r="D605" s="21"/>
      <c r="E605" s="21"/>
      <c r="F605" s="21"/>
      <c r="G605" s="21"/>
      <c r="H605" s="21"/>
      <c r="I605" s="21" t="str">
        <f>IF(E605="","",VLOOKUP(E605,tipo_organizacion[#ALL],2,0))</f>
        <v/>
      </c>
      <c r="J605" s="21" t="str">
        <f>IF(F605="","",VLOOKUP(F605,razon_social[#ALL],2,0))</f>
        <v/>
      </c>
      <c r="K605" s="21" t="str">
        <f>IF(G605="","",VLOOKUP(G605,tipo_contribuyente[#ALL],2,0))</f>
        <v/>
      </c>
      <c r="L605" s="21" t="str">
        <f>IF(H605="","",VLOOKUP(H605,pais[#ALL],2,0))</f>
        <v/>
      </c>
    </row>
    <row r="606">
      <c r="A606" s="21"/>
      <c r="B606" s="21"/>
      <c r="C606" s="21"/>
      <c r="D606" s="21"/>
      <c r="E606" s="21"/>
      <c r="F606" s="21"/>
      <c r="G606" s="21"/>
      <c r="H606" s="21"/>
      <c r="I606" s="21" t="str">
        <f>IF(E606="","",VLOOKUP(E606,tipo_organizacion[#ALL],2,0))</f>
        <v/>
      </c>
      <c r="J606" s="21" t="str">
        <f>IF(F606="","",VLOOKUP(F606,razon_social[#ALL],2,0))</f>
        <v/>
      </c>
      <c r="K606" s="21" t="str">
        <f>IF(G606="","",VLOOKUP(G606,tipo_contribuyente[#ALL],2,0))</f>
        <v/>
      </c>
      <c r="L606" s="21" t="str">
        <f>IF(H606="","",VLOOKUP(H606,pais[#ALL],2,0))</f>
        <v/>
      </c>
    </row>
    <row r="607">
      <c r="A607" s="21"/>
      <c r="B607" s="21"/>
      <c r="C607" s="21"/>
      <c r="D607" s="21"/>
      <c r="E607" s="21"/>
      <c r="F607" s="21"/>
      <c r="G607" s="21"/>
      <c r="H607" s="21"/>
      <c r="I607" s="21" t="str">
        <f>IF(E607="","",VLOOKUP(E607,tipo_organizacion[#ALL],2,0))</f>
        <v/>
      </c>
      <c r="J607" s="21" t="str">
        <f>IF(F607="","",VLOOKUP(F607,razon_social[#ALL],2,0))</f>
        <v/>
      </c>
      <c r="K607" s="21" t="str">
        <f>IF(G607="","",VLOOKUP(G607,tipo_contribuyente[#ALL],2,0))</f>
        <v/>
      </c>
      <c r="L607" s="21" t="str">
        <f>IF(H607="","",VLOOKUP(H607,pais[#ALL],2,0))</f>
        <v/>
      </c>
    </row>
    <row r="608">
      <c r="A608" s="21"/>
      <c r="B608" s="21"/>
      <c r="C608" s="21"/>
      <c r="D608" s="21"/>
      <c r="E608" s="21"/>
      <c r="F608" s="21"/>
      <c r="G608" s="21"/>
      <c r="H608" s="21"/>
      <c r="I608" s="21" t="str">
        <f>IF(E608="","",VLOOKUP(E608,tipo_organizacion[#ALL],2,0))</f>
        <v/>
      </c>
      <c r="J608" s="21" t="str">
        <f>IF(F608="","",VLOOKUP(F608,razon_social[#ALL],2,0))</f>
        <v/>
      </c>
      <c r="K608" s="21" t="str">
        <f>IF(G608="","",VLOOKUP(G608,tipo_contribuyente[#ALL],2,0))</f>
        <v/>
      </c>
      <c r="L608" s="21" t="str">
        <f>IF(H608="","",VLOOKUP(H608,pais[#ALL],2,0))</f>
        <v/>
      </c>
    </row>
    <row r="609">
      <c r="A609" s="21"/>
      <c r="B609" s="21"/>
      <c r="C609" s="21"/>
      <c r="D609" s="21"/>
      <c r="E609" s="21"/>
      <c r="F609" s="21"/>
      <c r="G609" s="21"/>
      <c r="H609" s="21"/>
      <c r="I609" s="21" t="str">
        <f>IF(E609="","",VLOOKUP(E609,tipo_organizacion[#ALL],2,0))</f>
        <v/>
      </c>
      <c r="J609" s="21" t="str">
        <f>IF(F609="","",VLOOKUP(F609,razon_social[#ALL],2,0))</f>
        <v/>
      </c>
      <c r="K609" s="21" t="str">
        <f>IF(G609="","",VLOOKUP(G609,tipo_contribuyente[#ALL],2,0))</f>
        <v/>
      </c>
      <c r="L609" s="21" t="str">
        <f>IF(H609="","",VLOOKUP(H609,pais[#ALL],2,0))</f>
        <v/>
      </c>
    </row>
    <row r="610">
      <c r="A610" s="21"/>
      <c r="B610" s="21"/>
      <c r="C610" s="21"/>
      <c r="D610" s="21"/>
      <c r="E610" s="21"/>
      <c r="F610" s="21"/>
      <c r="G610" s="21"/>
      <c r="H610" s="21"/>
      <c r="I610" s="21" t="str">
        <f>IF(E610="","",VLOOKUP(E610,tipo_organizacion[#ALL],2,0))</f>
        <v/>
      </c>
      <c r="J610" s="21" t="str">
        <f>IF(F610="","",VLOOKUP(F610,razon_social[#ALL],2,0))</f>
        <v/>
      </c>
      <c r="K610" s="21" t="str">
        <f>IF(G610="","",VLOOKUP(G610,tipo_contribuyente[#ALL],2,0))</f>
        <v/>
      </c>
      <c r="L610" s="21" t="str">
        <f>IF(H610="","",VLOOKUP(H610,pais[#ALL],2,0))</f>
        <v/>
      </c>
    </row>
    <row r="611">
      <c r="A611" s="21"/>
      <c r="B611" s="21"/>
      <c r="C611" s="21"/>
      <c r="D611" s="21"/>
      <c r="E611" s="21"/>
      <c r="F611" s="21"/>
      <c r="G611" s="21"/>
      <c r="H611" s="21"/>
      <c r="I611" s="21" t="str">
        <f>IF(E611="","",VLOOKUP(E611,tipo_organizacion[#ALL],2,0))</f>
        <v/>
      </c>
      <c r="J611" s="21" t="str">
        <f>IF(F611="","",VLOOKUP(F611,razon_social[#ALL],2,0))</f>
        <v/>
      </c>
      <c r="K611" s="21" t="str">
        <f>IF(G611="","",VLOOKUP(G611,tipo_contribuyente[#ALL],2,0))</f>
        <v/>
      </c>
      <c r="L611" s="21" t="str">
        <f>IF(H611="","",VLOOKUP(H611,pais[#ALL],2,0))</f>
        <v/>
      </c>
    </row>
    <row r="612">
      <c r="A612" s="21"/>
      <c r="B612" s="21"/>
      <c r="C612" s="21"/>
      <c r="D612" s="21"/>
      <c r="E612" s="21"/>
      <c r="F612" s="21"/>
      <c r="G612" s="21"/>
      <c r="H612" s="21"/>
      <c r="I612" s="21" t="str">
        <f>IF(E612="","",VLOOKUP(E612,tipo_organizacion[#ALL],2,0))</f>
        <v/>
      </c>
      <c r="J612" s="21" t="str">
        <f>IF(F612="","",VLOOKUP(F612,razon_social[#ALL],2,0))</f>
        <v/>
      </c>
      <c r="K612" s="21" t="str">
        <f>IF(G612="","",VLOOKUP(G612,tipo_contribuyente[#ALL],2,0))</f>
        <v/>
      </c>
      <c r="L612" s="21" t="str">
        <f>IF(H612="","",VLOOKUP(H612,pais[#ALL],2,0))</f>
        <v/>
      </c>
    </row>
    <row r="613">
      <c r="A613" s="21"/>
      <c r="B613" s="21"/>
      <c r="C613" s="21"/>
      <c r="D613" s="21"/>
      <c r="E613" s="21"/>
      <c r="F613" s="21"/>
      <c r="G613" s="21"/>
      <c r="H613" s="21"/>
      <c r="I613" s="21" t="str">
        <f>IF(E613="","",VLOOKUP(E613,tipo_organizacion[#ALL],2,0))</f>
        <v/>
      </c>
      <c r="J613" s="21" t="str">
        <f>IF(F613="","",VLOOKUP(F613,razon_social[#ALL],2,0))</f>
        <v/>
      </c>
      <c r="K613" s="21" t="str">
        <f>IF(G613="","",VLOOKUP(G613,tipo_contribuyente[#ALL],2,0))</f>
        <v/>
      </c>
      <c r="L613" s="21" t="str">
        <f>IF(H613="","",VLOOKUP(H613,pais[#ALL],2,0))</f>
        <v/>
      </c>
    </row>
    <row r="614">
      <c r="A614" s="21"/>
      <c r="B614" s="21"/>
      <c r="C614" s="21"/>
      <c r="D614" s="21"/>
      <c r="E614" s="21"/>
      <c r="F614" s="21"/>
      <c r="G614" s="21"/>
      <c r="H614" s="21"/>
      <c r="I614" s="21" t="str">
        <f>IF(E614="","",VLOOKUP(E614,tipo_organizacion[#ALL],2,0))</f>
        <v/>
      </c>
      <c r="J614" s="21" t="str">
        <f>IF(F614="","",VLOOKUP(F614,razon_social[#ALL],2,0))</f>
        <v/>
      </c>
      <c r="K614" s="21" t="str">
        <f>IF(G614="","",VLOOKUP(G614,tipo_contribuyente[#ALL],2,0))</f>
        <v/>
      </c>
      <c r="L614" s="21" t="str">
        <f>IF(H614="","",VLOOKUP(H614,pais[#ALL],2,0))</f>
        <v/>
      </c>
    </row>
    <row r="615">
      <c r="A615" s="21"/>
      <c r="B615" s="21"/>
      <c r="C615" s="21"/>
      <c r="D615" s="21"/>
      <c r="E615" s="21"/>
      <c r="F615" s="21"/>
      <c r="G615" s="21"/>
      <c r="H615" s="21"/>
      <c r="I615" s="21" t="str">
        <f>IF(E615="","",VLOOKUP(E615,tipo_organizacion[#ALL],2,0))</f>
        <v/>
      </c>
      <c r="J615" s="21" t="str">
        <f>IF(F615="","",VLOOKUP(F615,razon_social[#ALL],2,0))</f>
        <v/>
      </c>
      <c r="K615" s="21" t="str">
        <f>IF(G615="","",VLOOKUP(G615,tipo_contribuyente[#ALL],2,0))</f>
        <v/>
      </c>
      <c r="L615" s="21" t="str">
        <f>IF(H615="","",VLOOKUP(H615,pais[#ALL],2,0))</f>
        <v/>
      </c>
    </row>
    <row r="616">
      <c r="A616" s="21"/>
      <c r="B616" s="21"/>
      <c r="C616" s="21"/>
      <c r="D616" s="21"/>
      <c r="E616" s="21"/>
      <c r="F616" s="21"/>
      <c r="G616" s="21"/>
      <c r="H616" s="21"/>
      <c r="I616" s="21" t="str">
        <f>IF(E616="","",VLOOKUP(E616,tipo_organizacion[#ALL],2,0))</f>
        <v/>
      </c>
      <c r="J616" s="21" t="str">
        <f>IF(F616="","",VLOOKUP(F616,razon_social[#ALL],2,0))</f>
        <v/>
      </c>
      <c r="K616" s="21" t="str">
        <f>IF(G616="","",VLOOKUP(G616,tipo_contribuyente[#ALL],2,0))</f>
        <v/>
      </c>
      <c r="L616" s="21" t="str">
        <f>IF(H616="","",VLOOKUP(H616,pais[#ALL],2,0))</f>
        <v/>
      </c>
    </row>
    <row r="617">
      <c r="A617" s="21"/>
      <c r="B617" s="21"/>
      <c r="C617" s="21"/>
      <c r="D617" s="21"/>
      <c r="E617" s="21"/>
      <c r="F617" s="21"/>
      <c r="G617" s="21"/>
      <c r="H617" s="21"/>
      <c r="I617" s="21" t="str">
        <f>IF(E617="","",VLOOKUP(E617,tipo_organizacion[#ALL],2,0))</f>
        <v/>
      </c>
      <c r="J617" s="21" t="str">
        <f>IF(F617="","",VLOOKUP(F617,razon_social[#ALL],2,0))</f>
        <v/>
      </c>
      <c r="K617" s="21" t="str">
        <f>IF(G617="","",VLOOKUP(G617,tipo_contribuyente[#ALL],2,0))</f>
        <v/>
      </c>
      <c r="L617" s="21" t="str">
        <f>IF(H617="","",VLOOKUP(H617,pais[#ALL],2,0))</f>
        <v/>
      </c>
    </row>
    <row r="618">
      <c r="A618" s="21"/>
      <c r="B618" s="21"/>
      <c r="C618" s="21"/>
      <c r="D618" s="21"/>
      <c r="E618" s="21"/>
      <c r="F618" s="21"/>
      <c r="G618" s="21"/>
      <c r="H618" s="21"/>
      <c r="I618" s="21" t="str">
        <f>IF(E618="","",VLOOKUP(E618,tipo_organizacion[#ALL],2,0))</f>
        <v/>
      </c>
      <c r="J618" s="21" t="str">
        <f>IF(F618="","",VLOOKUP(F618,razon_social[#ALL],2,0))</f>
        <v/>
      </c>
      <c r="K618" s="21" t="str">
        <f>IF(G618="","",VLOOKUP(G618,tipo_contribuyente[#ALL],2,0))</f>
        <v/>
      </c>
      <c r="L618" s="21" t="str">
        <f>IF(H618="","",VLOOKUP(H618,pais[#ALL],2,0))</f>
        <v/>
      </c>
    </row>
    <row r="619">
      <c r="A619" s="21"/>
      <c r="B619" s="21"/>
      <c r="C619" s="21"/>
      <c r="D619" s="21"/>
      <c r="E619" s="21"/>
      <c r="F619" s="21"/>
      <c r="G619" s="21"/>
      <c r="H619" s="21"/>
      <c r="I619" s="21" t="str">
        <f>IF(E619="","",VLOOKUP(E619,tipo_organizacion[#ALL],2,0))</f>
        <v/>
      </c>
      <c r="J619" s="21" t="str">
        <f>IF(F619="","",VLOOKUP(F619,razon_social[#ALL],2,0))</f>
        <v/>
      </c>
      <c r="K619" s="21" t="str">
        <f>IF(G619="","",VLOOKUP(G619,tipo_contribuyente[#ALL],2,0))</f>
        <v/>
      </c>
      <c r="L619" s="21" t="str">
        <f>IF(H619="","",VLOOKUP(H619,pais[#ALL],2,0))</f>
        <v/>
      </c>
    </row>
    <row r="620">
      <c r="A620" s="21"/>
      <c r="B620" s="21"/>
      <c r="C620" s="21"/>
      <c r="D620" s="21"/>
      <c r="E620" s="21"/>
      <c r="F620" s="21"/>
      <c r="G620" s="21"/>
      <c r="H620" s="21"/>
      <c r="I620" s="21" t="str">
        <f>IF(E620="","",VLOOKUP(E620,tipo_organizacion[#ALL],2,0))</f>
        <v/>
      </c>
      <c r="J620" s="21" t="str">
        <f>IF(F620="","",VLOOKUP(F620,razon_social[#ALL],2,0))</f>
        <v/>
      </c>
      <c r="K620" s="21" t="str">
        <f>IF(G620="","",VLOOKUP(G620,tipo_contribuyente[#ALL],2,0))</f>
        <v/>
      </c>
      <c r="L620" s="21" t="str">
        <f>IF(H620="","",VLOOKUP(H620,pais[#ALL],2,0))</f>
        <v/>
      </c>
    </row>
    <row r="621">
      <c r="A621" s="21"/>
      <c r="B621" s="21"/>
      <c r="C621" s="21"/>
      <c r="D621" s="21"/>
      <c r="E621" s="21"/>
      <c r="F621" s="21"/>
      <c r="G621" s="21"/>
      <c r="H621" s="21"/>
      <c r="I621" s="21" t="str">
        <f>IF(E621="","",VLOOKUP(E621,tipo_organizacion[#ALL],2,0))</f>
        <v/>
      </c>
      <c r="J621" s="21" t="str">
        <f>IF(F621="","",VLOOKUP(F621,razon_social[#ALL],2,0))</f>
        <v/>
      </c>
      <c r="K621" s="21" t="str">
        <f>IF(G621="","",VLOOKUP(G621,tipo_contribuyente[#ALL],2,0))</f>
        <v/>
      </c>
      <c r="L621" s="21" t="str">
        <f>IF(H621="","",VLOOKUP(H621,pais[#ALL],2,0))</f>
        <v/>
      </c>
    </row>
    <row r="622">
      <c r="A622" s="21"/>
      <c r="B622" s="21"/>
      <c r="C622" s="21"/>
      <c r="D622" s="21"/>
      <c r="E622" s="21"/>
      <c r="F622" s="21"/>
      <c r="G622" s="21"/>
      <c r="H622" s="21"/>
      <c r="I622" s="21" t="str">
        <f>IF(E622="","",VLOOKUP(E622,tipo_organizacion[#ALL],2,0))</f>
        <v/>
      </c>
      <c r="J622" s="21" t="str">
        <f>IF(F622="","",VLOOKUP(F622,razon_social[#ALL],2,0))</f>
        <v/>
      </c>
      <c r="K622" s="21" t="str">
        <f>IF(G622="","",VLOOKUP(G622,tipo_contribuyente[#ALL],2,0))</f>
        <v/>
      </c>
      <c r="L622" s="21" t="str">
        <f>IF(H622="","",VLOOKUP(H622,pais[#ALL],2,0))</f>
        <v/>
      </c>
    </row>
    <row r="623">
      <c r="A623" s="21"/>
      <c r="B623" s="21"/>
      <c r="C623" s="21"/>
      <c r="D623" s="21"/>
      <c r="E623" s="21"/>
      <c r="F623" s="21"/>
      <c r="G623" s="21"/>
      <c r="H623" s="21"/>
      <c r="I623" s="21" t="str">
        <f>IF(E623="","",VLOOKUP(E623,tipo_organizacion[#ALL],2,0))</f>
        <v/>
      </c>
      <c r="J623" s="21" t="str">
        <f>IF(F623="","",VLOOKUP(F623,razon_social[#ALL],2,0))</f>
        <v/>
      </c>
      <c r="K623" s="21" t="str">
        <f>IF(G623="","",VLOOKUP(G623,tipo_contribuyente[#ALL],2,0))</f>
        <v/>
      </c>
      <c r="L623" s="21" t="str">
        <f>IF(H623="","",VLOOKUP(H623,pais[#ALL],2,0))</f>
        <v/>
      </c>
    </row>
    <row r="624">
      <c r="A624" s="21"/>
      <c r="B624" s="21"/>
      <c r="C624" s="21"/>
      <c r="D624" s="21"/>
      <c r="E624" s="21"/>
      <c r="F624" s="21"/>
      <c r="G624" s="21"/>
      <c r="H624" s="21"/>
      <c r="I624" s="21" t="str">
        <f>IF(E624="","",VLOOKUP(E624,tipo_organizacion[#ALL],2,0))</f>
        <v/>
      </c>
      <c r="J624" s="21" t="str">
        <f>IF(F624="","",VLOOKUP(F624,razon_social[#ALL],2,0))</f>
        <v/>
      </c>
      <c r="K624" s="21" t="str">
        <f>IF(G624="","",VLOOKUP(G624,tipo_contribuyente[#ALL],2,0))</f>
        <v/>
      </c>
      <c r="L624" s="21" t="str">
        <f>IF(H624="","",VLOOKUP(H624,pais[#ALL],2,0))</f>
        <v/>
      </c>
    </row>
    <row r="625">
      <c r="A625" s="21"/>
      <c r="B625" s="21"/>
      <c r="C625" s="21"/>
      <c r="D625" s="21"/>
      <c r="E625" s="21"/>
      <c r="F625" s="21"/>
      <c r="G625" s="21"/>
      <c r="H625" s="21"/>
      <c r="I625" s="21" t="str">
        <f>IF(E625="","",VLOOKUP(E625,tipo_organizacion[#ALL],2,0))</f>
        <v/>
      </c>
      <c r="J625" s="21" t="str">
        <f>IF(F625="","",VLOOKUP(F625,razon_social[#ALL],2,0))</f>
        <v/>
      </c>
      <c r="K625" s="21" t="str">
        <f>IF(G625="","",VLOOKUP(G625,tipo_contribuyente[#ALL],2,0))</f>
        <v/>
      </c>
      <c r="L625" s="21" t="str">
        <f>IF(H625="","",VLOOKUP(H625,pais[#ALL],2,0))</f>
        <v/>
      </c>
    </row>
    <row r="626">
      <c r="A626" s="21"/>
      <c r="B626" s="21"/>
      <c r="C626" s="21"/>
      <c r="D626" s="21"/>
      <c r="E626" s="21"/>
      <c r="F626" s="21"/>
      <c r="G626" s="21"/>
      <c r="H626" s="21"/>
      <c r="I626" s="21" t="str">
        <f>IF(E626="","",VLOOKUP(E626,tipo_organizacion[#ALL],2,0))</f>
        <v/>
      </c>
      <c r="J626" s="21" t="str">
        <f>IF(F626="","",VLOOKUP(F626,razon_social[#ALL],2,0))</f>
        <v/>
      </c>
      <c r="K626" s="21" t="str">
        <f>IF(G626="","",VLOOKUP(G626,tipo_contribuyente[#ALL],2,0))</f>
        <v/>
      </c>
      <c r="L626" s="21" t="str">
        <f>IF(H626="","",VLOOKUP(H626,pais[#ALL],2,0))</f>
        <v/>
      </c>
    </row>
    <row r="627">
      <c r="A627" s="21"/>
      <c r="B627" s="21"/>
      <c r="C627" s="21"/>
      <c r="D627" s="21"/>
      <c r="E627" s="21"/>
      <c r="F627" s="21"/>
      <c r="G627" s="21"/>
      <c r="H627" s="21"/>
      <c r="I627" s="21" t="str">
        <f>IF(E627="","",VLOOKUP(E627,tipo_organizacion[#ALL],2,0))</f>
        <v/>
      </c>
      <c r="J627" s="21" t="str">
        <f>IF(F627="","",VLOOKUP(F627,razon_social[#ALL],2,0))</f>
        <v/>
      </c>
      <c r="K627" s="21" t="str">
        <f>IF(G627="","",VLOOKUP(G627,tipo_contribuyente[#ALL],2,0))</f>
        <v/>
      </c>
      <c r="L627" s="21" t="str">
        <f>IF(H627="","",VLOOKUP(H627,pais[#ALL],2,0))</f>
        <v/>
      </c>
    </row>
    <row r="628">
      <c r="A628" s="21"/>
      <c r="B628" s="21"/>
      <c r="C628" s="21"/>
      <c r="D628" s="21"/>
      <c r="E628" s="21"/>
      <c r="F628" s="21"/>
      <c r="G628" s="21"/>
      <c r="H628" s="21"/>
      <c r="I628" s="21" t="str">
        <f>IF(E628="","",VLOOKUP(E628,tipo_organizacion[#ALL],2,0))</f>
        <v/>
      </c>
      <c r="J628" s="21" t="str">
        <f>IF(F628="","",VLOOKUP(F628,razon_social[#ALL],2,0))</f>
        <v/>
      </c>
      <c r="K628" s="21" t="str">
        <f>IF(G628="","",VLOOKUP(G628,tipo_contribuyente[#ALL],2,0))</f>
        <v/>
      </c>
      <c r="L628" s="21" t="str">
        <f>IF(H628="","",VLOOKUP(H628,pais[#ALL],2,0))</f>
        <v/>
      </c>
    </row>
    <row r="629">
      <c r="A629" s="21"/>
      <c r="B629" s="21"/>
      <c r="C629" s="21"/>
      <c r="D629" s="21"/>
      <c r="E629" s="21"/>
      <c r="F629" s="21"/>
      <c r="G629" s="21"/>
      <c r="H629" s="21"/>
      <c r="I629" s="21" t="str">
        <f>IF(E629="","",VLOOKUP(E629,tipo_organizacion[#ALL],2,0))</f>
        <v/>
      </c>
      <c r="J629" s="21" t="str">
        <f>IF(F629="","",VLOOKUP(F629,razon_social[#ALL],2,0))</f>
        <v/>
      </c>
      <c r="K629" s="21" t="str">
        <f>IF(G629="","",VLOOKUP(G629,tipo_contribuyente[#ALL],2,0))</f>
        <v/>
      </c>
      <c r="L629" s="21" t="str">
        <f>IF(H629="","",VLOOKUP(H629,pais[#ALL],2,0))</f>
        <v/>
      </c>
    </row>
    <row r="630">
      <c r="A630" s="21"/>
      <c r="B630" s="21"/>
      <c r="C630" s="21"/>
      <c r="D630" s="21"/>
      <c r="E630" s="21"/>
      <c r="F630" s="21"/>
      <c r="G630" s="21"/>
      <c r="H630" s="21"/>
      <c r="I630" s="21" t="str">
        <f>IF(E630="","",VLOOKUP(E630,tipo_organizacion[#ALL],2,0))</f>
        <v/>
      </c>
      <c r="J630" s="21" t="str">
        <f>IF(F630="","",VLOOKUP(F630,razon_social[#ALL],2,0))</f>
        <v/>
      </c>
      <c r="K630" s="21" t="str">
        <f>IF(G630="","",VLOOKUP(G630,tipo_contribuyente[#ALL],2,0))</f>
        <v/>
      </c>
      <c r="L630" s="21" t="str">
        <f>IF(H630="","",VLOOKUP(H630,pais[#ALL],2,0))</f>
        <v/>
      </c>
    </row>
    <row r="631">
      <c r="A631" s="21"/>
      <c r="B631" s="21"/>
      <c r="C631" s="21"/>
      <c r="D631" s="21"/>
      <c r="E631" s="21"/>
      <c r="F631" s="21"/>
      <c r="G631" s="21"/>
      <c r="H631" s="21"/>
      <c r="I631" s="21" t="str">
        <f>IF(E631="","",VLOOKUP(E631,tipo_organizacion[#ALL],2,0))</f>
        <v/>
      </c>
      <c r="J631" s="21" t="str">
        <f>IF(F631="","",VLOOKUP(F631,razon_social[#ALL],2,0))</f>
        <v/>
      </c>
      <c r="K631" s="21" t="str">
        <f>IF(G631="","",VLOOKUP(G631,tipo_contribuyente[#ALL],2,0))</f>
        <v/>
      </c>
      <c r="L631" s="21" t="str">
        <f>IF(H631="","",VLOOKUP(H631,pais[#ALL],2,0))</f>
        <v/>
      </c>
    </row>
    <row r="632">
      <c r="A632" s="21"/>
      <c r="B632" s="21"/>
      <c r="C632" s="21"/>
      <c r="D632" s="21"/>
      <c r="E632" s="21"/>
      <c r="F632" s="21"/>
      <c r="G632" s="21"/>
      <c r="H632" s="21"/>
      <c r="I632" s="21" t="str">
        <f>IF(E632="","",VLOOKUP(E632,tipo_organizacion[#ALL],2,0))</f>
        <v/>
      </c>
      <c r="J632" s="21" t="str">
        <f>IF(F632="","",VLOOKUP(F632,razon_social[#ALL],2,0))</f>
        <v/>
      </c>
      <c r="K632" s="21" t="str">
        <f>IF(G632="","",VLOOKUP(G632,tipo_contribuyente[#ALL],2,0))</f>
        <v/>
      </c>
      <c r="L632" s="21" t="str">
        <f>IF(H632="","",VLOOKUP(H632,pais[#ALL],2,0))</f>
        <v/>
      </c>
    </row>
    <row r="633">
      <c r="A633" s="21"/>
      <c r="B633" s="21"/>
      <c r="C633" s="21"/>
      <c r="D633" s="21"/>
      <c r="E633" s="21"/>
      <c r="F633" s="21"/>
      <c r="G633" s="21"/>
      <c r="H633" s="21"/>
      <c r="I633" s="21" t="str">
        <f>IF(E633="","",VLOOKUP(E633,tipo_organizacion[#ALL],2,0))</f>
        <v/>
      </c>
      <c r="J633" s="21" t="str">
        <f>IF(F633="","",VLOOKUP(F633,razon_social[#ALL],2,0))</f>
        <v/>
      </c>
      <c r="K633" s="21" t="str">
        <f>IF(G633="","",VLOOKUP(G633,tipo_contribuyente[#ALL],2,0))</f>
        <v/>
      </c>
      <c r="L633" s="21" t="str">
        <f>IF(H633="","",VLOOKUP(H633,pais[#ALL],2,0))</f>
        <v/>
      </c>
    </row>
    <row r="634">
      <c r="A634" s="21"/>
      <c r="B634" s="21"/>
      <c r="C634" s="21"/>
      <c r="D634" s="21"/>
      <c r="E634" s="21"/>
      <c r="F634" s="21"/>
      <c r="G634" s="21"/>
      <c r="H634" s="21"/>
      <c r="I634" s="21" t="str">
        <f>IF(E634="","",VLOOKUP(E634,tipo_organizacion[#ALL],2,0))</f>
        <v/>
      </c>
      <c r="J634" s="21" t="str">
        <f>IF(F634="","",VLOOKUP(F634,razon_social[#ALL],2,0))</f>
        <v/>
      </c>
      <c r="K634" s="21" t="str">
        <f>IF(G634="","",VLOOKUP(G634,tipo_contribuyente[#ALL],2,0))</f>
        <v/>
      </c>
      <c r="L634" s="21" t="str">
        <f>IF(H634="","",VLOOKUP(H634,pais[#ALL],2,0))</f>
        <v/>
      </c>
    </row>
    <row r="635">
      <c r="A635" s="21"/>
      <c r="B635" s="21"/>
      <c r="C635" s="21"/>
      <c r="D635" s="21"/>
      <c r="E635" s="21"/>
      <c r="F635" s="21"/>
      <c r="G635" s="21"/>
      <c r="H635" s="21"/>
      <c r="I635" s="21" t="str">
        <f>IF(E635="","",VLOOKUP(E635,tipo_organizacion[#ALL],2,0))</f>
        <v/>
      </c>
      <c r="J635" s="21" t="str">
        <f>IF(F635="","",VLOOKUP(F635,razon_social[#ALL],2,0))</f>
        <v/>
      </c>
      <c r="K635" s="21" t="str">
        <f>IF(G635="","",VLOOKUP(G635,tipo_contribuyente[#ALL],2,0))</f>
        <v/>
      </c>
      <c r="L635" s="21" t="str">
        <f>IF(H635="","",VLOOKUP(H635,pais[#ALL],2,0))</f>
        <v/>
      </c>
    </row>
    <row r="636">
      <c r="A636" s="21"/>
      <c r="B636" s="21"/>
      <c r="C636" s="21"/>
      <c r="D636" s="21"/>
      <c r="E636" s="21"/>
      <c r="F636" s="21"/>
      <c r="G636" s="21"/>
      <c r="H636" s="21"/>
      <c r="I636" s="21" t="str">
        <f>IF(E636="","",VLOOKUP(E636,tipo_organizacion[#ALL],2,0))</f>
        <v/>
      </c>
      <c r="J636" s="21" t="str">
        <f>IF(F636="","",VLOOKUP(F636,razon_social[#ALL],2,0))</f>
        <v/>
      </c>
      <c r="K636" s="21" t="str">
        <f>IF(G636="","",VLOOKUP(G636,tipo_contribuyente[#ALL],2,0))</f>
        <v/>
      </c>
      <c r="L636" s="21" t="str">
        <f>IF(H636="","",VLOOKUP(H636,pais[#ALL],2,0))</f>
        <v/>
      </c>
    </row>
    <row r="637">
      <c r="A637" s="21"/>
      <c r="B637" s="21"/>
      <c r="C637" s="21"/>
      <c r="D637" s="21"/>
      <c r="E637" s="21"/>
      <c r="F637" s="21"/>
      <c r="G637" s="21"/>
      <c r="H637" s="21"/>
      <c r="I637" s="21" t="str">
        <f>IF(E637="","",VLOOKUP(E637,tipo_organizacion[#ALL],2,0))</f>
        <v/>
      </c>
      <c r="J637" s="21" t="str">
        <f>IF(F637="","",VLOOKUP(F637,razon_social[#ALL],2,0))</f>
        <v/>
      </c>
      <c r="K637" s="21" t="str">
        <f>IF(G637="","",VLOOKUP(G637,tipo_contribuyente[#ALL],2,0))</f>
        <v/>
      </c>
      <c r="L637" s="21" t="str">
        <f>IF(H637="","",VLOOKUP(H637,pais[#ALL],2,0))</f>
        <v/>
      </c>
    </row>
    <row r="638">
      <c r="A638" s="21"/>
      <c r="B638" s="21"/>
      <c r="C638" s="21"/>
      <c r="D638" s="21"/>
      <c r="E638" s="21"/>
      <c r="F638" s="21"/>
      <c r="G638" s="21"/>
      <c r="H638" s="21"/>
      <c r="I638" s="21" t="str">
        <f>IF(E638="","",VLOOKUP(E638,tipo_organizacion[#ALL],2,0))</f>
        <v/>
      </c>
      <c r="J638" s="21" t="str">
        <f>IF(F638="","",VLOOKUP(F638,razon_social[#ALL],2,0))</f>
        <v/>
      </c>
      <c r="K638" s="21" t="str">
        <f>IF(G638="","",VLOOKUP(G638,tipo_contribuyente[#ALL],2,0))</f>
        <v/>
      </c>
      <c r="L638" s="21" t="str">
        <f>IF(H638="","",VLOOKUP(H638,pais[#ALL],2,0))</f>
        <v/>
      </c>
    </row>
    <row r="639">
      <c r="A639" s="21"/>
      <c r="B639" s="21"/>
      <c r="C639" s="21"/>
      <c r="D639" s="21"/>
      <c r="E639" s="21"/>
      <c r="F639" s="21"/>
      <c r="G639" s="21"/>
      <c r="H639" s="21"/>
      <c r="I639" s="21" t="str">
        <f>IF(E639="","",VLOOKUP(E639,tipo_organizacion[#ALL],2,0))</f>
        <v/>
      </c>
      <c r="J639" s="21" t="str">
        <f>IF(F639="","",VLOOKUP(F639,razon_social[#ALL],2,0))</f>
        <v/>
      </c>
      <c r="K639" s="21" t="str">
        <f>IF(G639="","",VLOOKUP(G639,tipo_contribuyente[#ALL],2,0))</f>
        <v/>
      </c>
      <c r="L639" s="21" t="str">
        <f>IF(H639="","",VLOOKUP(H639,pais[#ALL],2,0))</f>
        <v/>
      </c>
    </row>
    <row r="640">
      <c r="A640" s="21"/>
      <c r="B640" s="21"/>
      <c r="C640" s="21"/>
      <c r="D640" s="21"/>
      <c r="E640" s="21"/>
      <c r="F640" s="21"/>
      <c r="G640" s="21"/>
      <c r="H640" s="21"/>
      <c r="I640" s="21" t="str">
        <f>IF(E640="","",VLOOKUP(E640,tipo_organizacion[#ALL],2,0))</f>
        <v/>
      </c>
      <c r="J640" s="21" t="str">
        <f>IF(F640="","",VLOOKUP(F640,razon_social[#ALL],2,0))</f>
        <v/>
      </c>
      <c r="K640" s="21" t="str">
        <f>IF(G640="","",VLOOKUP(G640,tipo_contribuyente[#ALL],2,0))</f>
        <v/>
      </c>
      <c r="L640" s="21" t="str">
        <f>IF(H640="","",VLOOKUP(H640,pais[#ALL],2,0))</f>
        <v/>
      </c>
    </row>
    <row r="641">
      <c r="A641" s="21"/>
      <c r="B641" s="21"/>
      <c r="C641" s="21"/>
      <c r="D641" s="21"/>
      <c r="E641" s="21"/>
      <c r="F641" s="21"/>
      <c r="G641" s="21"/>
      <c r="H641" s="21"/>
      <c r="I641" s="21" t="str">
        <f>IF(E641="","",VLOOKUP(E641,tipo_organizacion[#ALL],2,0))</f>
        <v/>
      </c>
      <c r="J641" s="21" t="str">
        <f>IF(F641="","",VLOOKUP(F641,razon_social[#ALL],2,0))</f>
        <v/>
      </c>
      <c r="K641" s="21" t="str">
        <f>IF(G641="","",VLOOKUP(G641,tipo_contribuyente[#ALL],2,0))</f>
        <v/>
      </c>
      <c r="L641" s="21" t="str">
        <f>IF(H641="","",VLOOKUP(H641,pais[#ALL],2,0))</f>
        <v/>
      </c>
    </row>
    <row r="642">
      <c r="A642" s="21"/>
      <c r="B642" s="21"/>
      <c r="C642" s="21"/>
      <c r="D642" s="21"/>
      <c r="E642" s="21"/>
      <c r="F642" s="21"/>
      <c r="G642" s="21"/>
      <c r="H642" s="21"/>
      <c r="I642" s="21" t="str">
        <f>IF(E642="","",VLOOKUP(E642,tipo_organizacion[#ALL],2,0))</f>
        <v/>
      </c>
      <c r="J642" s="21" t="str">
        <f>IF(F642="","",VLOOKUP(F642,razon_social[#ALL],2,0))</f>
        <v/>
      </c>
      <c r="K642" s="21" t="str">
        <f>IF(G642="","",VLOOKUP(G642,tipo_contribuyente[#ALL],2,0))</f>
        <v/>
      </c>
      <c r="L642" s="21" t="str">
        <f>IF(H642="","",VLOOKUP(H642,pais[#ALL],2,0))</f>
        <v/>
      </c>
    </row>
    <row r="643">
      <c r="A643" s="21"/>
      <c r="B643" s="21"/>
      <c r="C643" s="21"/>
      <c r="D643" s="21"/>
      <c r="E643" s="21"/>
      <c r="F643" s="21"/>
      <c r="G643" s="21"/>
      <c r="H643" s="21"/>
      <c r="I643" s="21" t="str">
        <f>IF(E643="","",VLOOKUP(E643,tipo_organizacion[#ALL],2,0))</f>
        <v/>
      </c>
      <c r="J643" s="21" t="str">
        <f>IF(F643="","",VLOOKUP(F643,razon_social[#ALL],2,0))</f>
        <v/>
      </c>
      <c r="K643" s="21" t="str">
        <f>IF(G643="","",VLOOKUP(G643,tipo_contribuyente[#ALL],2,0))</f>
        <v/>
      </c>
      <c r="L643" s="21" t="str">
        <f>IF(H643="","",VLOOKUP(H643,pais[#ALL],2,0))</f>
        <v/>
      </c>
    </row>
    <row r="644">
      <c r="A644" s="21"/>
      <c r="B644" s="21"/>
      <c r="C644" s="21"/>
      <c r="D644" s="21"/>
      <c r="E644" s="21"/>
      <c r="F644" s="21"/>
      <c r="G644" s="21"/>
      <c r="H644" s="21"/>
      <c r="I644" s="21" t="str">
        <f>IF(E644="","",VLOOKUP(E644,tipo_organizacion[#ALL],2,0))</f>
        <v/>
      </c>
      <c r="J644" s="21" t="str">
        <f>IF(F644="","",VLOOKUP(F644,razon_social[#ALL],2,0))</f>
        <v/>
      </c>
      <c r="K644" s="21" t="str">
        <f>IF(G644="","",VLOOKUP(G644,tipo_contribuyente[#ALL],2,0))</f>
        <v/>
      </c>
      <c r="L644" s="21" t="str">
        <f>IF(H644="","",VLOOKUP(H644,pais[#ALL],2,0))</f>
        <v/>
      </c>
    </row>
    <row r="645">
      <c r="A645" s="21"/>
      <c r="B645" s="21"/>
      <c r="C645" s="21"/>
      <c r="D645" s="21"/>
      <c r="E645" s="21"/>
      <c r="F645" s="21"/>
      <c r="G645" s="21"/>
      <c r="H645" s="21"/>
      <c r="I645" s="21" t="str">
        <f>IF(E645="","",VLOOKUP(E645,tipo_organizacion[#ALL],2,0))</f>
        <v/>
      </c>
      <c r="J645" s="21" t="str">
        <f>IF(F645="","",VLOOKUP(F645,razon_social[#ALL],2,0))</f>
        <v/>
      </c>
      <c r="K645" s="21" t="str">
        <f>IF(G645="","",VLOOKUP(G645,tipo_contribuyente[#ALL],2,0))</f>
        <v/>
      </c>
      <c r="L645" s="21" t="str">
        <f>IF(H645="","",VLOOKUP(H645,pais[#ALL],2,0))</f>
        <v/>
      </c>
    </row>
    <row r="646">
      <c r="A646" s="21"/>
      <c r="B646" s="21"/>
      <c r="C646" s="21"/>
      <c r="D646" s="21"/>
      <c r="E646" s="21"/>
      <c r="F646" s="21"/>
      <c r="G646" s="21"/>
      <c r="H646" s="21"/>
      <c r="I646" s="21" t="str">
        <f>IF(E646="","",VLOOKUP(E646,tipo_organizacion[#ALL],2,0))</f>
        <v/>
      </c>
      <c r="J646" s="21" t="str">
        <f>IF(F646="","",VLOOKUP(F646,razon_social[#ALL],2,0))</f>
        <v/>
      </c>
      <c r="K646" s="21" t="str">
        <f>IF(G646="","",VLOOKUP(G646,tipo_contribuyente[#ALL],2,0))</f>
        <v/>
      </c>
      <c r="L646" s="21" t="str">
        <f>IF(H646="","",VLOOKUP(H646,pais[#ALL],2,0))</f>
        <v/>
      </c>
    </row>
    <row r="647">
      <c r="A647" s="21"/>
      <c r="B647" s="21"/>
      <c r="C647" s="21"/>
      <c r="D647" s="21"/>
      <c r="E647" s="21"/>
      <c r="F647" s="21"/>
      <c r="G647" s="21"/>
      <c r="H647" s="21"/>
      <c r="I647" s="21" t="str">
        <f>IF(E647="","",VLOOKUP(E647,tipo_organizacion[#ALL],2,0))</f>
        <v/>
      </c>
      <c r="J647" s="21" t="str">
        <f>IF(F647="","",VLOOKUP(F647,razon_social[#ALL],2,0))</f>
        <v/>
      </c>
      <c r="K647" s="21" t="str">
        <f>IF(G647="","",VLOOKUP(G647,tipo_contribuyente[#ALL],2,0))</f>
        <v/>
      </c>
      <c r="L647" s="21" t="str">
        <f>IF(H647="","",VLOOKUP(H647,pais[#ALL],2,0))</f>
        <v/>
      </c>
    </row>
    <row r="648">
      <c r="A648" s="21"/>
      <c r="B648" s="21"/>
      <c r="C648" s="21"/>
      <c r="D648" s="21"/>
      <c r="E648" s="21"/>
      <c r="F648" s="21"/>
      <c r="G648" s="21"/>
      <c r="H648" s="21"/>
      <c r="I648" s="21" t="str">
        <f>IF(E648="","",VLOOKUP(E648,tipo_organizacion[#ALL],2,0))</f>
        <v/>
      </c>
      <c r="J648" s="21" t="str">
        <f>IF(F648="","",VLOOKUP(F648,razon_social[#ALL],2,0))</f>
        <v/>
      </c>
      <c r="K648" s="21" t="str">
        <f>IF(G648="","",VLOOKUP(G648,tipo_contribuyente[#ALL],2,0))</f>
        <v/>
      </c>
      <c r="L648" s="21" t="str">
        <f>IF(H648="","",VLOOKUP(H648,pais[#ALL],2,0))</f>
        <v/>
      </c>
    </row>
    <row r="649">
      <c r="A649" s="21"/>
      <c r="B649" s="21"/>
      <c r="C649" s="21"/>
      <c r="D649" s="21"/>
      <c r="E649" s="21"/>
      <c r="F649" s="21"/>
      <c r="G649" s="21"/>
      <c r="H649" s="21"/>
      <c r="I649" s="21" t="str">
        <f>IF(E649="","",VLOOKUP(E649,tipo_organizacion[#ALL],2,0))</f>
        <v/>
      </c>
      <c r="J649" s="21" t="str">
        <f>IF(F649="","",VLOOKUP(F649,razon_social[#ALL],2,0))</f>
        <v/>
      </c>
      <c r="K649" s="21" t="str">
        <f>IF(G649="","",VLOOKUP(G649,tipo_contribuyente[#ALL],2,0))</f>
        <v/>
      </c>
      <c r="L649" s="21" t="str">
        <f>IF(H649="","",VLOOKUP(H649,pais[#ALL],2,0))</f>
        <v/>
      </c>
    </row>
    <row r="650">
      <c r="A650" s="21"/>
      <c r="B650" s="21"/>
      <c r="C650" s="21"/>
      <c r="D650" s="21"/>
      <c r="E650" s="21"/>
      <c r="F650" s="21"/>
      <c r="G650" s="21"/>
      <c r="H650" s="21"/>
      <c r="I650" s="21" t="str">
        <f>IF(E650="","",VLOOKUP(E650,tipo_organizacion[#ALL],2,0))</f>
        <v/>
      </c>
      <c r="J650" s="21" t="str">
        <f>IF(F650="","",VLOOKUP(F650,razon_social[#ALL],2,0))</f>
        <v/>
      </c>
      <c r="K650" s="21" t="str">
        <f>IF(G650="","",VLOOKUP(G650,tipo_contribuyente[#ALL],2,0))</f>
        <v/>
      </c>
      <c r="L650" s="21" t="str">
        <f>IF(H650="","",VLOOKUP(H650,pais[#ALL],2,0))</f>
        <v/>
      </c>
    </row>
    <row r="651">
      <c r="A651" s="21"/>
      <c r="B651" s="21"/>
      <c r="C651" s="21"/>
      <c r="D651" s="21"/>
      <c r="E651" s="21"/>
      <c r="F651" s="21"/>
      <c r="G651" s="21"/>
      <c r="H651" s="21"/>
      <c r="I651" s="21" t="str">
        <f>IF(E651="","",VLOOKUP(E651,tipo_organizacion[#ALL],2,0))</f>
        <v/>
      </c>
      <c r="J651" s="21" t="str">
        <f>IF(F651="","",VLOOKUP(F651,razon_social[#ALL],2,0))</f>
        <v/>
      </c>
      <c r="K651" s="21" t="str">
        <f>IF(G651="","",VLOOKUP(G651,tipo_contribuyente[#ALL],2,0))</f>
        <v/>
      </c>
      <c r="L651" s="21" t="str">
        <f>IF(H651="","",VLOOKUP(H651,pais[#ALL],2,0))</f>
        <v/>
      </c>
    </row>
    <row r="652">
      <c r="A652" s="21"/>
      <c r="B652" s="21"/>
      <c r="C652" s="21"/>
      <c r="D652" s="21"/>
      <c r="E652" s="21"/>
      <c r="F652" s="21"/>
      <c r="G652" s="21"/>
      <c r="H652" s="21"/>
      <c r="I652" s="21" t="str">
        <f>IF(E652="","",VLOOKUP(E652,tipo_organizacion[#ALL],2,0))</f>
        <v/>
      </c>
      <c r="J652" s="21" t="str">
        <f>IF(F652="","",VLOOKUP(F652,razon_social[#ALL],2,0))</f>
        <v/>
      </c>
      <c r="K652" s="21" t="str">
        <f>IF(G652="","",VLOOKUP(G652,tipo_contribuyente[#ALL],2,0))</f>
        <v/>
      </c>
      <c r="L652" s="21" t="str">
        <f>IF(H652="","",VLOOKUP(H652,pais[#ALL],2,0))</f>
        <v/>
      </c>
    </row>
    <row r="653">
      <c r="A653" s="21"/>
      <c r="B653" s="21"/>
      <c r="C653" s="21"/>
      <c r="D653" s="21"/>
      <c r="E653" s="21"/>
      <c r="F653" s="21"/>
      <c r="G653" s="21"/>
      <c r="H653" s="21"/>
      <c r="I653" s="21" t="str">
        <f>IF(E653="","",VLOOKUP(E653,tipo_organizacion[#ALL],2,0))</f>
        <v/>
      </c>
      <c r="J653" s="21" t="str">
        <f>IF(F653="","",VLOOKUP(F653,razon_social[#ALL],2,0))</f>
        <v/>
      </c>
      <c r="K653" s="21" t="str">
        <f>IF(G653="","",VLOOKUP(G653,tipo_contribuyente[#ALL],2,0))</f>
        <v/>
      </c>
      <c r="L653" s="21" t="str">
        <f>IF(H653="","",VLOOKUP(H653,pais[#ALL],2,0))</f>
        <v/>
      </c>
    </row>
    <row r="654">
      <c r="A654" s="21"/>
      <c r="B654" s="21"/>
      <c r="C654" s="21"/>
      <c r="D654" s="21"/>
      <c r="E654" s="21"/>
      <c r="F654" s="21"/>
      <c r="G654" s="21"/>
      <c r="H654" s="21"/>
      <c r="I654" s="21" t="str">
        <f>IF(E654="","",VLOOKUP(E654,tipo_organizacion[#ALL],2,0))</f>
        <v/>
      </c>
      <c r="J654" s="21" t="str">
        <f>IF(F654="","",VLOOKUP(F654,razon_social[#ALL],2,0))</f>
        <v/>
      </c>
      <c r="K654" s="21" t="str">
        <f>IF(G654="","",VLOOKUP(G654,tipo_contribuyente[#ALL],2,0))</f>
        <v/>
      </c>
      <c r="L654" s="21" t="str">
        <f>IF(H654="","",VLOOKUP(H654,pais[#ALL],2,0))</f>
        <v/>
      </c>
    </row>
    <row r="655">
      <c r="A655" s="21"/>
      <c r="B655" s="21"/>
      <c r="C655" s="21"/>
      <c r="D655" s="21"/>
      <c r="E655" s="21"/>
      <c r="F655" s="21"/>
      <c r="G655" s="21"/>
      <c r="H655" s="21"/>
      <c r="I655" s="21" t="str">
        <f>IF(E655="","",VLOOKUP(E655,tipo_organizacion[#ALL],2,0))</f>
        <v/>
      </c>
      <c r="J655" s="21" t="str">
        <f>IF(F655="","",VLOOKUP(F655,razon_social[#ALL],2,0))</f>
        <v/>
      </c>
      <c r="K655" s="21" t="str">
        <f>IF(G655="","",VLOOKUP(G655,tipo_contribuyente[#ALL],2,0))</f>
        <v/>
      </c>
      <c r="L655" s="21" t="str">
        <f>IF(H655="","",VLOOKUP(H655,pais[#ALL],2,0))</f>
        <v/>
      </c>
    </row>
    <row r="656">
      <c r="A656" s="21"/>
      <c r="B656" s="21"/>
      <c r="C656" s="21"/>
      <c r="D656" s="21"/>
      <c r="E656" s="21"/>
      <c r="F656" s="21"/>
      <c r="G656" s="21"/>
      <c r="H656" s="21"/>
      <c r="I656" s="21" t="str">
        <f>IF(E656="","",VLOOKUP(E656,tipo_organizacion[#ALL],2,0))</f>
        <v/>
      </c>
      <c r="J656" s="21" t="str">
        <f>IF(F656="","",VLOOKUP(F656,razon_social[#ALL],2,0))</f>
        <v/>
      </c>
      <c r="K656" s="21" t="str">
        <f>IF(G656="","",VLOOKUP(G656,tipo_contribuyente[#ALL],2,0))</f>
        <v/>
      </c>
      <c r="L656" s="21" t="str">
        <f>IF(H656="","",VLOOKUP(H656,pais[#ALL],2,0))</f>
        <v/>
      </c>
    </row>
    <row r="657">
      <c r="A657" s="21"/>
      <c r="B657" s="21"/>
      <c r="C657" s="21"/>
      <c r="D657" s="21"/>
      <c r="E657" s="21"/>
      <c r="F657" s="21"/>
      <c r="G657" s="21"/>
      <c r="H657" s="21"/>
      <c r="I657" s="21" t="str">
        <f>IF(E657="","",VLOOKUP(E657,tipo_organizacion[#ALL],2,0))</f>
        <v/>
      </c>
      <c r="J657" s="21" t="str">
        <f>IF(F657="","",VLOOKUP(F657,razon_social[#ALL],2,0))</f>
        <v/>
      </c>
      <c r="K657" s="21" t="str">
        <f>IF(G657="","",VLOOKUP(G657,tipo_contribuyente[#ALL],2,0))</f>
        <v/>
      </c>
      <c r="L657" s="21" t="str">
        <f>IF(H657="","",VLOOKUP(H657,pais[#ALL],2,0))</f>
        <v/>
      </c>
    </row>
    <row r="658">
      <c r="A658" s="21"/>
      <c r="B658" s="21"/>
      <c r="C658" s="21"/>
      <c r="D658" s="21"/>
      <c r="E658" s="21"/>
      <c r="F658" s="21"/>
      <c r="G658" s="21"/>
      <c r="H658" s="21"/>
      <c r="I658" s="21" t="str">
        <f>IF(E658="","",VLOOKUP(E658,tipo_organizacion[#ALL],2,0))</f>
        <v/>
      </c>
      <c r="J658" s="21" t="str">
        <f>IF(F658="","",VLOOKUP(F658,razon_social[#ALL],2,0))</f>
        <v/>
      </c>
      <c r="K658" s="21" t="str">
        <f>IF(G658="","",VLOOKUP(G658,tipo_contribuyente[#ALL],2,0))</f>
        <v/>
      </c>
      <c r="L658" s="21" t="str">
        <f>IF(H658="","",VLOOKUP(H658,pais[#ALL],2,0))</f>
        <v/>
      </c>
    </row>
    <row r="659">
      <c r="A659" s="21"/>
      <c r="B659" s="21"/>
      <c r="C659" s="21"/>
      <c r="D659" s="21"/>
      <c r="E659" s="21"/>
      <c r="F659" s="21"/>
      <c r="G659" s="21"/>
      <c r="H659" s="21"/>
      <c r="I659" s="21" t="str">
        <f>IF(E659="","",VLOOKUP(E659,tipo_organizacion[#ALL],2,0))</f>
        <v/>
      </c>
      <c r="J659" s="21" t="str">
        <f>IF(F659="","",VLOOKUP(F659,razon_social[#ALL],2,0))</f>
        <v/>
      </c>
      <c r="K659" s="21" t="str">
        <f>IF(G659="","",VLOOKUP(G659,tipo_contribuyente[#ALL],2,0))</f>
        <v/>
      </c>
      <c r="L659" s="21" t="str">
        <f>IF(H659="","",VLOOKUP(H659,pais[#ALL],2,0))</f>
        <v/>
      </c>
    </row>
    <row r="660">
      <c r="A660" s="21"/>
      <c r="B660" s="21"/>
      <c r="C660" s="21"/>
      <c r="D660" s="21"/>
      <c r="E660" s="21"/>
      <c r="F660" s="21"/>
      <c r="G660" s="21"/>
      <c r="H660" s="21"/>
      <c r="I660" s="21" t="str">
        <f>IF(E660="","",VLOOKUP(E660,tipo_organizacion[#ALL],2,0))</f>
        <v/>
      </c>
      <c r="J660" s="21" t="str">
        <f>IF(F660="","",VLOOKUP(F660,razon_social[#ALL],2,0))</f>
        <v/>
      </c>
      <c r="K660" s="21" t="str">
        <f>IF(G660="","",VLOOKUP(G660,tipo_contribuyente[#ALL],2,0))</f>
        <v/>
      </c>
      <c r="L660" s="21" t="str">
        <f>IF(H660="","",VLOOKUP(H660,pais[#ALL],2,0))</f>
        <v/>
      </c>
    </row>
    <row r="661">
      <c r="A661" s="21"/>
      <c r="B661" s="21"/>
      <c r="C661" s="21"/>
      <c r="D661" s="21"/>
      <c r="E661" s="21"/>
      <c r="F661" s="21"/>
      <c r="G661" s="21"/>
      <c r="H661" s="21"/>
      <c r="I661" s="21" t="str">
        <f>IF(E661="","",VLOOKUP(E661,tipo_organizacion[#ALL],2,0))</f>
        <v/>
      </c>
      <c r="J661" s="21" t="str">
        <f>IF(F661="","",VLOOKUP(F661,razon_social[#ALL],2,0))</f>
        <v/>
      </c>
      <c r="K661" s="21" t="str">
        <f>IF(G661="","",VLOOKUP(G661,tipo_contribuyente[#ALL],2,0))</f>
        <v/>
      </c>
      <c r="L661" s="21" t="str">
        <f>IF(H661="","",VLOOKUP(H661,pais[#ALL],2,0))</f>
        <v/>
      </c>
    </row>
    <row r="662">
      <c r="A662" s="21"/>
      <c r="B662" s="21"/>
      <c r="C662" s="21"/>
      <c r="D662" s="21"/>
      <c r="E662" s="21"/>
      <c r="F662" s="21"/>
      <c r="G662" s="21"/>
      <c r="H662" s="21"/>
      <c r="I662" s="21" t="str">
        <f>IF(E662="","",VLOOKUP(E662,tipo_organizacion[#ALL],2,0))</f>
        <v/>
      </c>
      <c r="J662" s="21" t="str">
        <f>IF(F662="","",VLOOKUP(F662,razon_social[#ALL],2,0))</f>
        <v/>
      </c>
      <c r="K662" s="21" t="str">
        <f>IF(G662="","",VLOOKUP(G662,tipo_contribuyente[#ALL],2,0))</f>
        <v/>
      </c>
      <c r="L662" s="21" t="str">
        <f>IF(H662="","",VLOOKUP(H662,pais[#ALL],2,0))</f>
        <v/>
      </c>
    </row>
    <row r="663">
      <c r="A663" s="21"/>
      <c r="B663" s="21"/>
      <c r="C663" s="21"/>
      <c r="D663" s="21"/>
      <c r="E663" s="21"/>
      <c r="F663" s="21"/>
      <c r="G663" s="21"/>
      <c r="H663" s="21"/>
      <c r="I663" s="21" t="str">
        <f>IF(E663="","",VLOOKUP(E663,tipo_organizacion[#ALL],2,0))</f>
        <v/>
      </c>
      <c r="J663" s="21" t="str">
        <f>IF(F663="","",VLOOKUP(F663,razon_social[#ALL],2,0))</f>
        <v/>
      </c>
      <c r="K663" s="21" t="str">
        <f>IF(G663="","",VLOOKUP(G663,tipo_contribuyente[#ALL],2,0))</f>
        <v/>
      </c>
      <c r="L663" s="21" t="str">
        <f>IF(H663="","",VLOOKUP(H663,pais[#ALL],2,0))</f>
        <v/>
      </c>
    </row>
    <row r="664">
      <c r="A664" s="21"/>
      <c r="B664" s="21"/>
      <c r="C664" s="21"/>
      <c r="D664" s="21"/>
      <c r="E664" s="21"/>
      <c r="F664" s="21"/>
      <c r="G664" s="21"/>
      <c r="H664" s="21"/>
      <c r="I664" s="21" t="str">
        <f>IF(E664="","",VLOOKUP(E664,tipo_organizacion[#ALL],2,0))</f>
        <v/>
      </c>
      <c r="J664" s="21" t="str">
        <f>IF(F664="","",VLOOKUP(F664,razon_social[#ALL],2,0))</f>
        <v/>
      </c>
      <c r="K664" s="21" t="str">
        <f>IF(G664="","",VLOOKUP(G664,tipo_contribuyente[#ALL],2,0))</f>
        <v/>
      </c>
      <c r="L664" s="21" t="str">
        <f>IF(H664="","",VLOOKUP(H664,pais[#ALL],2,0))</f>
        <v/>
      </c>
    </row>
    <row r="665">
      <c r="A665" s="21"/>
      <c r="B665" s="21"/>
      <c r="C665" s="21"/>
      <c r="D665" s="21"/>
      <c r="E665" s="21"/>
      <c r="F665" s="21"/>
      <c r="G665" s="21"/>
      <c r="H665" s="21"/>
      <c r="I665" s="21" t="str">
        <f>IF(E665="","",VLOOKUP(E665,tipo_organizacion[#ALL],2,0))</f>
        <v/>
      </c>
      <c r="J665" s="21" t="str">
        <f>IF(F665="","",VLOOKUP(F665,razon_social[#ALL],2,0))</f>
        <v/>
      </c>
      <c r="K665" s="21" t="str">
        <f>IF(G665="","",VLOOKUP(G665,tipo_contribuyente[#ALL],2,0))</f>
        <v/>
      </c>
      <c r="L665" s="21" t="str">
        <f>IF(H665="","",VLOOKUP(H665,pais[#ALL],2,0))</f>
        <v/>
      </c>
    </row>
    <row r="666">
      <c r="A666" s="21"/>
      <c r="B666" s="21"/>
      <c r="C666" s="21"/>
      <c r="D666" s="21"/>
      <c r="E666" s="21"/>
      <c r="F666" s="21"/>
      <c r="G666" s="21"/>
      <c r="H666" s="21"/>
      <c r="I666" s="21" t="str">
        <f>IF(E666="","",VLOOKUP(E666,tipo_organizacion[#ALL],2,0))</f>
        <v/>
      </c>
      <c r="J666" s="21" t="str">
        <f>IF(F666="","",VLOOKUP(F666,razon_social[#ALL],2,0))</f>
        <v/>
      </c>
      <c r="K666" s="21" t="str">
        <f>IF(G666="","",VLOOKUP(G666,tipo_contribuyente[#ALL],2,0))</f>
        <v/>
      </c>
      <c r="L666" s="21" t="str">
        <f>IF(H666="","",VLOOKUP(H666,pais[#ALL],2,0))</f>
        <v/>
      </c>
    </row>
    <row r="667">
      <c r="A667" s="21"/>
      <c r="B667" s="21"/>
      <c r="C667" s="21"/>
      <c r="D667" s="21"/>
      <c r="E667" s="21"/>
      <c r="F667" s="21"/>
      <c r="G667" s="21"/>
      <c r="H667" s="21"/>
      <c r="I667" s="21" t="str">
        <f>IF(E667="","",VLOOKUP(E667,tipo_organizacion[#ALL],2,0))</f>
        <v/>
      </c>
      <c r="J667" s="21" t="str">
        <f>IF(F667="","",VLOOKUP(F667,razon_social[#ALL],2,0))</f>
        <v/>
      </c>
      <c r="K667" s="21" t="str">
        <f>IF(G667="","",VLOOKUP(G667,tipo_contribuyente[#ALL],2,0))</f>
        <v/>
      </c>
      <c r="L667" s="21" t="str">
        <f>IF(H667="","",VLOOKUP(H667,pais[#ALL],2,0))</f>
        <v/>
      </c>
    </row>
    <row r="668">
      <c r="A668" s="21"/>
      <c r="B668" s="21"/>
      <c r="C668" s="21"/>
      <c r="D668" s="21"/>
      <c r="E668" s="21"/>
      <c r="F668" s="21"/>
      <c r="G668" s="21"/>
      <c r="H668" s="21"/>
      <c r="I668" s="21" t="str">
        <f>IF(E668="","",VLOOKUP(E668,tipo_organizacion[#ALL],2,0))</f>
        <v/>
      </c>
      <c r="J668" s="21" t="str">
        <f>IF(F668="","",VLOOKUP(F668,razon_social[#ALL],2,0))</f>
        <v/>
      </c>
      <c r="K668" s="21" t="str">
        <f>IF(G668="","",VLOOKUP(G668,tipo_contribuyente[#ALL],2,0))</f>
        <v/>
      </c>
      <c r="L668" s="21" t="str">
        <f>IF(H668="","",VLOOKUP(H668,pais[#ALL],2,0))</f>
        <v/>
      </c>
    </row>
    <row r="669">
      <c r="A669" s="21"/>
      <c r="B669" s="21"/>
      <c r="C669" s="21"/>
      <c r="D669" s="21"/>
      <c r="E669" s="21"/>
      <c r="F669" s="21"/>
      <c r="G669" s="21"/>
      <c r="H669" s="21"/>
      <c r="I669" s="21" t="str">
        <f>IF(E669="","",VLOOKUP(E669,tipo_organizacion[#ALL],2,0))</f>
        <v/>
      </c>
      <c r="J669" s="21" t="str">
        <f>IF(F669="","",VLOOKUP(F669,razon_social[#ALL],2,0))</f>
        <v/>
      </c>
      <c r="K669" s="21" t="str">
        <f>IF(G669="","",VLOOKUP(G669,tipo_contribuyente[#ALL],2,0))</f>
        <v/>
      </c>
      <c r="L669" s="21" t="str">
        <f>IF(H669="","",VLOOKUP(H669,pais[#ALL],2,0))</f>
        <v/>
      </c>
    </row>
    <row r="670">
      <c r="A670" s="21"/>
      <c r="B670" s="21"/>
      <c r="C670" s="21"/>
      <c r="D670" s="21"/>
      <c r="E670" s="21"/>
      <c r="F670" s="21"/>
      <c r="G670" s="21"/>
      <c r="H670" s="21"/>
      <c r="I670" s="21" t="str">
        <f>IF(E670="","",VLOOKUP(E670,tipo_organizacion[#ALL],2,0))</f>
        <v/>
      </c>
      <c r="J670" s="21" t="str">
        <f>IF(F670="","",VLOOKUP(F670,razon_social[#ALL],2,0))</f>
        <v/>
      </c>
      <c r="K670" s="21" t="str">
        <f>IF(G670="","",VLOOKUP(G670,tipo_contribuyente[#ALL],2,0))</f>
        <v/>
      </c>
      <c r="L670" s="21" t="str">
        <f>IF(H670="","",VLOOKUP(H670,pais[#ALL],2,0))</f>
        <v/>
      </c>
    </row>
    <row r="671">
      <c r="A671" s="21"/>
      <c r="B671" s="21"/>
      <c r="C671" s="21"/>
      <c r="D671" s="21"/>
      <c r="E671" s="21"/>
      <c r="F671" s="21"/>
      <c r="G671" s="21"/>
      <c r="H671" s="21"/>
      <c r="I671" s="21" t="str">
        <f>IF(E671="","",VLOOKUP(E671,tipo_organizacion[#ALL],2,0))</f>
        <v/>
      </c>
      <c r="J671" s="21" t="str">
        <f>IF(F671="","",VLOOKUP(F671,razon_social[#ALL],2,0))</f>
        <v/>
      </c>
      <c r="K671" s="21" t="str">
        <f>IF(G671="","",VLOOKUP(G671,tipo_contribuyente[#ALL],2,0))</f>
        <v/>
      </c>
      <c r="L671" s="21" t="str">
        <f>IF(H671="","",VLOOKUP(H671,pais[#ALL],2,0))</f>
        <v/>
      </c>
    </row>
    <row r="672">
      <c r="A672" s="21"/>
      <c r="B672" s="21"/>
      <c r="C672" s="21"/>
      <c r="D672" s="21"/>
      <c r="E672" s="21"/>
      <c r="F672" s="21"/>
      <c r="G672" s="21"/>
      <c r="H672" s="21"/>
      <c r="I672" s="21" t="str">
        <f>IF(E672="","",VLOOKUP(E672,tipo_organizacion[#ALL],2,0))</f>
        <v/>
      </c>
      <c r="J672" s="21" t="str">
        <f>IF(F672="","",VLOOKUP(F672,razon_social[#ALL],2,0))</f>
        <v/>
      </c>
      <c r="K672" s="21" t="str">
        <f>IF(G672="","",VLOOKUP(G672,tipo_contribuyente[#ALL],2,0))</f>
        <v/>
      </c>
      <c r="L672" s="21" t="str">
        <f>IF(H672="","",VLOOKUP(H672,pais[#ALL],2,0))</f>
        <v/>
      </c>
    </row>
    <row r="673">
      <c r="A673" s="21"/>
      <c r="B673" s="21"/>
      <c r="C673" s="21"/>
      <c r="D673" s="21"/>
      <c r="E673" s="21"/>
      <c r="F673" s="21"/>
      <c r="G673" s="21"/>
      <c r="H673" s="21"/>
      <c r="I673" s="21" t="str">
        <f>IF(E673="","",VLOOKUP(E673,tipo_organizacion[#ALL],2,0))</f>
        <v/>
      </c>
      <c r="J673" s="21" t="str">
        <f>IF(F673="","",VLOOKUP(F673,razon_social[#ALL],2,0))</f>
        <v/>
      </c>
      <c r="K673" s="21" t="str">
        <f>IF(G673="","",VLOOKUP(G673,tipo_contribuyente[#ALL],2,0))</f>
        <v/>
      </c>
      <c r="L673" s="21" t="str">
        <f>IF(H673="","",VLOOKUP(H673,pais[#ALL],2,0))</f>
        <v/>
      </c>
    </row>
    <row r="674">
      <c r="A674" s="21"/>
      <c r="B674" s="21"/>
      <c r="C674" s="21"/>
      <c r="D674" s="21"/>
      <c r="E674" s="21"/>
      <c r="F674" s="21"/>
      <c r="G674" s="21"/>
      <c r="H674" s="21"/>
      <c r="I674" s="21" t="str">
        <f>IF(E674="","",VLOOKUP(E674,tipo_organizacion[#ALL],2,0))</f>
        <v/>
      </c>
      <c r="J674" s="21" t="str">
        <f>IF(F674="","",VLOOKUP(F674,razon_social[#ALL],2,0))</f>
        <v/>
      </c>
      <c r="K674" s="21" t="str">
        <f>IF(G674="","",VLOOKUP(G674,tipo_contribuyente[#ALL],2,0))</f>
        <v/>
      </c>
      <c r="L674" s="21" t="str">
        <f>IF(H674="","",VLOOKUP(H674,pais[#ALL],2,0))</f>
        <v/>
      </c>
    </row>
    <row r="675">
      <c r="A675" s="21"/>
      <c r="B675" s="21"/>
      <c r="C675" s="21"/>
      <c r="D675" s="21"/>
      <c r="E675" s="21"/>
      <c r="F675" s="21"/>
      <c r="G675" s="21"/>
      <c r="H675" s="21"/>
      <c r="I675" s="21" t="str">
        <f>IF(E675="","",VLOOKUP(E675,tipo_organizacion[#ALL],2,0))</f>
        <v/>
      </c>
      <c r="J675" s="21" t="str">
        <f>IF(F675="","",VLOOKUP(F675,razon_social[#ALL],2,0))</f>
        <v/>
      </c>
      <c r="K675" s="21" t="str">
        <f>IF(G675="","",VLOOKUP(G675,tipo_contribuyente[#ALL],2,0))</f>
        <v/>
      </c>
      <c r="L675" s="21" t="str">
        <f>IF(H675="","",VLOOKUP(H675,pais[#ALL],2,0))</f>
        <v/>
      </c>
    </row>
    <row r="676">
      <c r="A676" s="21"/>
      <c r="B676" s="21"/>
      <c r="C676" s="21"/>
      <c r="D676" s="21"/>
      <c r="E676" s="21"/>
      <c r="F676" s="21"/>
      <c r="G676" s="21"/>
      <c r="H676" s="21"/>
      <c r="I676" s="21" t="str">
        <f>IF(E676="","",VLOOKUP(E676,tipo_organizacion[#ALL],2,0))</f>
        <v/>
      </c>
      <c r="J676" s="21" t="str">
        <f>IF(F676="","",VLOOKUP(F676,razon_social[#ALL],2,0))</f>
        <v/>
      </c>
      <c r="K676" s="21" t="str">
        <f>IF(G676="","",VLOOKUP(G676,tipo_contribuyente[#ALL],2,0))</f>
        <v/>
      </c>
      <c r="L676" s="21" t="str">
        <f>IF(H676="","",VLOOKUP(H676,pais[#ALL],2,0))</f>
        <v/>
      </c>
    </row>
    <row r="677">
      <c r="A677" s="21"/>
      <c r="B677" s="21"/>
      <c r="C677" s="21"/>
      <c r="D677" s="21"/>
      <c r="E677" s="21"/>
      <c r="F677" s="21"/>
      <c r="G677" s="21"/>
      <c r="H677" s="21"/>
      <c r="I677" s="21" t="str">
        <f>IF(E677="","",VLOOKUP(E677,tipo_organizacion[#ALL],2,0))</f>
        <v/>
      </c>
      <c r="J677" s="21" t="str">
        <f>IF(F677="","",VLOOKUP(F677,razon_social[#ALL],2,0))</f>
        <v/>
      </c>
      <c r="K677" s="21" t="str">
        <f>IF(G677="","",VLOOKUP(G677,tipo_contribuyente[#ALL],2,0))</f>
        <v/>
      </c>
      <c r="L677" s="21" t="str">
        <f>IF(H677="","",VLOOKUP(H677,pais[#ALL],2,0))</f>
        <v/>
      </c>
    </row>
    <row r="678">
      <c r="A678" s="21"/>
      <c r="B678" s="21"/>
      <c r="C678" s="21"/>
      <c r="D678" s="21"/>
      <c r="E678" s="21"/>
      <c r="F678" s="21"/>
      <c r="G678" s="21"/>
      <c r="H678" s="21"/>
      <c r="I678" s="21" t="str">
        <f>IF(E678="","",VLOOKUP(E678,tipo_organizacion[#ALL],2,0))</f>
        <v/>
      </c>
      <c r="J678" s="21" t="str">
        <f>IF(F678="","",VLOOKUP(F678,razon_social[#ALL],2,0))</f>
        <v/>
      </c>
      <c r="K678" s="21" t="str">
        <f>IF(G678="","",VLOOKUP(G678,tipo_contribuyente[#ALL],2,0))</f>
        <v/>
      </c>
      <c r="L678" s="21" t="str">
        <f>IF(H678="","",VLOOKUP(H678,pais[#ALL],2,0))</f>
        <v/>
      </c>
    </row>
    <row r="679">
      <c r="A679" s="21"/>
      <c r="B679" s="21"/>
      <c r="C679" s="21"/>
      <c r="D679" s="21"/>
      <c r="E679" s="21"/>
      <c r="F679" s="21"/>
      <c r="G679" s="21"/>
      <c r="H679" s="21"/>
      <c r="I679" s="21" t="str">
        <f>IF(E679="","",VLOOKUP(E679,tipo_organizacion[#ALL],2,0))</f>
        <v/>
      </c>
      <c r="J679" s="21" t="str">
        <f>IF(F679="","",VLOOKUP(F679,razon_social[#ALL],2,0))</f>
        <v/>
      </c>
      <c r="K679" s="21" t="str">
        <f>IF(G679="","",VLOOKUP(G679,tipo_contribuyente[#ALL],2,0))</f>
        <v/>
      </c>
      <c r="L679" s="21" t="str">
        <f>IF(H679="","",VLOOKUP(H679,pais[#ALL],2,0))</f>
        <v/>
      </c>
    </row>
    <row r="680">
      <c r="A680" s="21"/>
      <c r="B680" s="21"/>
      <c r="C680" s="21"/>
      <c r="D680" s="21"/>
      <c r="E680" s="21"/>
      <c r="F680" s="21"/>
      <c r="G680" s="21"/>
      <c r="H680" s="21"/>
      <c r="I680" s="21" t="str">
        <f>IF(E680="","",VLOOKUP(E680,tipo_organizacion[#ALL],2,0))</f>
        <v/>
      </c>
      <c r="J680" s="21" t="str">
        <f>IF(F680="","",VLOOKUP(F680,razon_social[#ALL],2,0))</f>
        <v/>
      </c>
      <c r="K680" s="21" t="str">
        <f>IF(G680="","",VLOOKUP(G680,tipo_contribuyente[#ALL],2,0))</f>
        <v/>
      </c>
      <c r="L680" s="21" t="str">
        <f>IF(H680="","",VLOOKUP(H680,pais[#ALL],2,0))</f>
        <v/>
      </c>
    </row>
    <row r="681">
      <c r="A681" s="21"/>
      <c r="B681" s="21"/>
      <c r="C681" s="21"/>
      <c r="D681" s="21"/>
      <c r="E681" s="21"/>
      <c r="F681" s="21"/>
      <c r="G681" s="21"/>
      <c r="H681" s="21"/>
      <c r="I681" s="21" t="str">
        <f>IF(E681="","",VLOOKUP(E681,tipo_organizacion[#ALL],2,0))</f>
        <v/>
      </c>
      <c r="J681" s="21" t="str">
        <f>IF(F681="","",VLOOKUP(F681,razon_social[#ALL],2,0))</f>
        <v/>
      </c>
      <c r="K681" s="21" t="str">
        <f>IF(G681="","",VLOOKUP(G681,tipo_contribuyente[#ALL],2,0))</f>
        <v/>
      </c>
      <c r="L681" s="21" t="str">
        <f>IF(H681="","",VLOOKUP(H681,pais[#ALL],2,0))</f>
        <v/>
      </c>
    </row>
    <row r="682">
      <c r="A682" s="21"/>
      <c r="B682" s="21"/>
      <c r="C682" s="21"/>
      <c r="D682" s="21"/>
      <c r="E682" s="21"/>
      <c r="F682" s="21"/>
      <c r="G682" s="21"/>
      <c r="H682" s="21"/>
      <c r="I682" s="21" t="str">
        <f>IF(E682="","",VLOOKUP(E682,tipo_organizacion[#ALL],2,0))</f>
        <v/>
      </c>
      <c r="J682" s="21" t="str">
        <f>IF(F682="","",VLOOKUP(F682,razon_social[#ALL],2,0))</f>
        <v/>
      </c>
      <c r="K682" s="21" t="str">
        <f>IF(G682="","",VLOOKUP(G682,tipo_contribuyente[#ALL],2,0))</f>
        <v/>
      </c>
      <c r="L682" s="21" t="str">
        <f>IF(H682="","",VLOOKUP(H682,pais[#ALL],2,0))</f>
        <v/>
      </c>
    </row>
    <row r="683">
      <c r="A683" s="21"/>
      <c r="B683" s="21"/>
      <c r="C683" s="21"/>
      <c r="D683" s="21"/>
      <c r="E683" s="21"/>
      <c r="F683" s="21"/>
      <c r="G683" s="21"/>
      <c r="H683" s="21"/>
      <c r="I683" s="21" t="str">
        <f>IF(E683="","",VLOOKUP(E683,tipo_organizacion[#ALL],2,0))</f>
        <v/>
      </c>
      <c r="J683" s="21" t="str">
        <f>IF(F683="","",VLOOKUP(F683,razon_social[#ALL],2,0))</f>
        <v/>
      </c>
      <c r="K683" s="21" t="str">
        <f>IF(G683="","",VLOOKUP(G683,tipo_contribuyente[#ALL],2,0))</f>
        <v/>
      </c>
      <c r="L683" s="21" t="str">
        <f>IF(H683="","",VLOOKUP(H683,pais[#ALL],2,0))</f>
        <v/>
      </c>
    </row>
    <row r="684">
      <c r="A684" s="21"/>
      <c r="B684" s="21"/>
      <c r="C684" s="21"/>
      <c r="D684" s="21"/>
      <c r="E684" s="21"/>
      <c r="F684" s="21"/>
      <c r="G684" s="21"/>
      <c r="H684" s="21"/>
      <c r="I684" s="21" t="str">
        <f>IF(E684="","",VLOOKUP(E684,tipo_organizacion[#ALL],2,0))</f>
        <v/>
      </c>
      <c r="J684" s="21" t="str">
        <f>IF(F684="","",VLOOKUP(F684,razon_social[#ALL],2,0))</f>
        <v/>
      </c>
      <c r="K684" s="21" t="str">
        <f>IF(G684="","",VLOOKUP(G684,tipo_contribuyente[#ALL],2,0))</f>
        <v/>
      </c>
      <c r="L684" s="21" t="str">
        <f>IF(H684="","",VLOOKUP(H684,pais[#ALL],2,0))</f>
        <v/>
      </c>
    </row>
    <row r="685">
      <c r="A685" s="21"/>
      <c r="B685" s="21"/>
      <c r="C685" s="21"/>
      <c r="D685" s="21"/>
      <c r="E685" s="21"/>
      <c r="F685" s="21"/>
      <c r="G685" s="21"/>
      <c r="H685" s="21"/>
      <c r="I685" s="21" t="str">
        <f>IF(E685="","",VLOOKUP(E685,tipo_organizacion[#ALL],2,0))</f>
        <v/>
      </c>
      <c r="J685" s="21" t="str">
        <f>IF(F685="","",VLOOKUP(F685,razon_social[#ALL],2,0))</f>
        <v/>
      </c>
      <c r="K685" s="21" t="str">
        <f>IF(G685="","",VLOOKUP(G685,tipo_contribuyente[#ALL],2,0))</f>
        <v/>
      </c>
      <c r="L685" s="21" t="str">
        <f>IF(H685="","",VLOOKUP(H685,pais[#ALL],2,0))</f>
        <v/>
      </c>
    </row>
    <row r="686">
      <c r="A686" s="21"/>
      <c r="B686" s="21"/>
      <c r="C686" s="21"/>
      <c r="D686" s="21"/>
      <c r="E686" s="21"/>
      <c r="F686" s="21"/>
      <c r="G686" s="21"/>
      <c r="H686" s="21"/>
      <c r="I686" s="21" t="str">
        <f>IF(E686="","",VLOOKUP(E686,tipo_organizacion[#ALL],2,0))</f>
        <v/>
      </c>
      <c r="J686" s="21" t="str">
        <f>IF(F686="","",VLOOKUP(F686,razon_social[#ALL],2,0))</f>
        <v/>
      </c>
      <c r="K686" s="21" t="str">
        <f>IF(G686="","",VLOOKUP(G686,tipo_contribuyente[#ALL],2,0))</f>
        <v/>
      </c>
      <c r="L686" s="21" t="str">
        <f>IF(H686="","",VLOOKUP(H686,pais[#ALL],2,0))</f>
        <v/>
      </c>
    </row>
    <row r="687">
      <c r="A687" s="21"/>
      <c r="B687" s="21"/>
      <c r="C687" s="21"/>
      <c r="D687" s="21"/>
      <c r="E687" s="21"/>
      <c r="F687" s="21"/>
      <c r="G687" s="21"/>
      <c r="H687" s="21"/>
      <c r="I687" s="21" t="str">
        <f>IF(E687="","",VLOOKUP(E687,tipo_organizacion[#ALL],2,0))</f>
        <v/>
      </c>
      <c r="J687" s="21" t="str">
        <f>IF(F687="","",VLOOKUP(F687,razon_social[#ALL],2,0))</f>
        <v/>
      </c>
      <c r="K687" s="21" t="str">
        <f>IF(G687="","",VLOOKUP(G687,tipo_contribuyente[#ALL],2,0))</f>
        <v/>
      </c>
      <c r="L687" s="21" t="str">
        <f>IF(H687="","",VLOOKUP(H687,pais[#ALL],2,0))</f>
        <v/>
      </c>
    </row>
    <row r="688">
      <c r="A688" s="21"/>
      <c r="B688" s="21"/>
      <c r="C688" s="21"/>
      <c r="D688" s="21"/>
      <c r="E688" s="21"/>
      <c r="F688" s="21"/>
      <c r="G688" s="21"/>
      <c r="H688" s="21"/>
      <c r="I688" s="21" t="str">
        <f>IF(E688="","",VLOOKUP(E688,tipo_organizacion[#ALL],2,0))</f>
        <v/>
      </c>
      <c r="J688" s="21" t="str">
        <f>IF(F688="","",VLOOKUP(F688,razon_social[#ALL],2,0))</f>
        <v/>
      </c>
      <c r="K688" s="21" t="str">
        <f>IF(G688="","",VLOOKUP(G688,tipo_contribuyente[#ALL],2,0))</f>
        <v/>
      </c>
      <c r="L688" s="21" t="str">
        <f>IF(H688="","",VLOOKUP(H688,pais[#ALL],2,0))</f>
        <v/>
      </c>
    </row>
    <row r="689">
      <c r="A689" s="21"/>
      <c r="B689" s="21"/>
      <c r="C689" s="21"/>
      <c r="D689" s="21"/>
      <c r="E689" s="21"/>
      <c r="F689" s="21"/>
      <c r="G689" s="21"/>
      <c r="H689" s="21"/>
      <c r="I689" s="21" t="str">
        <f>IF(E689="","",VLOOKUP(E689,tipo_organizacion[#ALL],2,0))</f>
        <v/>
      </c>
      <c r="J689" s="21" t="str">
        <f>IF(F689="","",VLOOKUP(F689,razon_social[#ALL],2,0))</f>
        <v/>
      </c>
      <c r="K689" s="21" t="str">
        <f>IF(G689="","",VLOOKUP(G689,tipo_contribuyente[#ALL],2,0))</f>
        <v/>
      </c>
      <c r="L689" s="21" t="str">
        <f>IF(H689="","",VLOOKUP(H689,pais[#ALL],2,0))</f>
        <v/>
      </c>
    </row>
    <row r="690">
      <c r="A690" s="21"/>
      <c r="B690" s="21"/>
      <c r="C690" s="21"/>
      <c r="D690" s="21"/>
      <c r="E690" s="21"/>
      <c r="F690" s="21"/>
      <c r="G690" s="21"/>
      <c r="H690" s="21"/>
      <c r="I690" s="21" t="str">
        <f>IF(E690="","",VLOOKUP(E690,tipo_organizacion[#ALL],2,0))</f>
        <v/>
      </c>
      <c r="J690" s="21" t="str">
        <f>IF(F690="","",VLOOKUP(F690,razon_social[#ALL],2,0))</f>
        <v/>
      </c>
      <c r="K690" s="21" t="str">
        <f>IF(G690="","",VLOOKUP(G690,tipo_contribuyente[#ALL],2,0))</f>
        <v/>
      </c>
      <c r="L690" s="21" t="str">
        <f>IF(H690="","",VLOOKUP(H690,pais[#ALL],2,0))</f>
        <v/>
      </c>
    </row>
    <row r="691">
      <c r="A691" s="21"/>
      <c r="B691" s="21"/>
      <c r="C691" s="21"/>
      <c r="D691" s="21"/>
      <c r="E691" s="21"/>
      <c r="F691" s="21"/>
      <c r="G691" s="21"/>
      <c r="H691" s="21"/>
      <c r="I691" s="21" t="str">
        <f>IF(E691="","",VLOOKUP(E691,tipo_organizacion[#ALL],2,0))</f>
        <v/>
      </c>
      <c r="J691" s="21" t="str">
        <f>IF(F691="","",VLOOKUP(F691,razon_social[#ALL],2,0))</f>
        <v/>
      </c>
      <c r="K691" s="21" t="str">
        <f>IF(G691="","",VLOOKUP(G691,tipo_contribuyente[#ALL],2,0))</f>
        <v/>
      </c>
      <c r="L691" s="21" t="str">
        <f>IF(H691="","",VLOOKUP(H691,pais[#ALL],2,0))</f>
        <v/>
      </c>
    </row>
    <row r="692">
      <c r="A692" s="21"/>
      <c r="B692" s="21"/>
      <c r="C692" s="21"/>
      <c r="D692" s="21"/>
      <c r="E692" s="21"/>
      <c r="F692" s="21"/>
      <c r="G692" s="21"/>
      <c r="H692" s="21"/>
      <c r="I692" s="21" t="str">
        <f>IF(E692="","",VLOOKUP(E692,tipo_organizacion[#ALL],2,0))</f>
        <v/>
      </c>
      <c r="J692" s="21" t="str">
        <f>IF(F692="","",VLOOKUP(F692,razon_social[#ALL],2,0))</f>
        <v/>
      </c>
      <c r="K692" s="21" t="str">
        <f>IF(G692="","",VLOOKUP(G692,tipo_contribuyente[#ALL],2,0))</f>
        <v/>
      </c>
      <c r="L692" s="21" t="str">
        <f>IF(H692="","",VLOOKUP(H692,pais[#ALL],2,0))</f>
        <v/>
      </c>
    </row>
    <row r="693">
      <c r="A693" s="21"/>
      <c r="B693" s="21"/>
      <c r="C693" s="21"/>
      <c r="D693" s="21"/>
      <c r="E693" s="21"/>
      <c r="F693" s="21"/>
      <c r="G693" s="21"/>
      <c r="H693" s="21"/>
      <c r="I693" s="21" t="str">
        <f>IF(E693="","",VLOOKUP(E693,tipo_organizacion[#ALL],2,0))</f>
        <v/>
      </c>
      <c r="J693" s="21" t="str">
        <f>IF(F693="","",VLOOKUP(F693,razon_social[#ALL],2,0))</f>
        <v/>
      </c>
      <c r="K693" s="21" t="str">
        <f>IF(G693="","",VLOOKUP(G693,tipo_contribuyente[#ALL],2,0))</f>
        <v/>
      </c>
      <c r="L693" s="21" t="str">
        <f>IF(H693="","",VLOOKUP(H693,pais[#ALL],2,0))</f>
        <v/>
      </c>
    </row>
    <row r="694">
      <c r="A694" s="21"/>
      <c r="B694" s="21"/>
      <c r="C694" s="21"/>
      <c r="D694" s="21"/>
      <c r="E694" s="21"/>
      <c r="F694" s="21"/>
      <c r="G694" s="21"/>
      <c r="H694" s="21"/>
      <c r="I694" s="21" t="str">
        <f>IF(E694="","",VLOOKUP(E694,tipo_organizacion[#ALL],2,0))</f>
        <v/>
      </c>
      <c r="J694" s="21" t="str">
        <f>IF(F694="","",VLOOKUP(F694,razon_social[#ALL],2,0))</f>
        <v/>
      </c>
      <c r="K694" s="21" t="str">
        <f>IF(G694="","",VLOOKUP(G694,tipo_contribuyente[#ALL],2,0))</f>
        <v/>
      </c>
      <c r="L694" s="21" t="str">
        <f>IF(H694="","",VLOOKUP(H694,pais[#ALL],2,0))</f>
        <v/>
      </c>
    </row>
    <row r="695">
      <c r="A695" s="21"/>
      <c r="B695" s="21"/>
      <c r="C695" s="21"/>
      <c r="D695" s="21"/>
      <c r="E695" s="21"/>
      <c r="F695" s="21"/>
      <c r="G695" s="21"/>
      <c r="H695" s="21"/>
      <c r="I695" s="21" t="str">
        <f>IF(E695="","",VLOOKUP(E695,tipo_organizacion[#ALL],2,0))</f>
        <v/>
      </c>
      <c r="J695" s="21" t="str">
        <f>IF(F695="","",VLOOKUP(F695,razon_social[#ALL],2,0))</f>
        <v/>
      </c>
      <c r="K695" s="21" t="str">
        <f>IF(G695="","",VLOOKUP(G695,tipo_contribuyente[#ALL],2,0))</f>
        <v/>
      </c>
      <c r="L695" s="21" t="str">
        <f>IF(H695="","",VLOOKUP(H695,pais[#ALL],2,0))</f>
        <v/>
      </c>
    </row>
    <row r="696">
      <c r="A696" s="21"/>
      <c r="B696" s="21"/>
      <c r="C696" s="21"/>
      <c r="D696" s="21"/>
      <c r="E696" s="21"/>
      <c r="F696" s="21"/>
      <c r="G696" s="21"/>
      <c r="H696" s="21"/>
      <c r="I696" s="21" t="str">
        <f>IF(E696="","",VLOOKUP(E696,tipo_organizacion[#ALL],2,0))</f>
        <v/>
      </c>
      <c r="J696" s="21" t="str">
        <f>IF(F696="","",VLOOKUP(F696,razon_social[#ALL],2,0))</f>
        <v/>
      </c>
      <c r="K696" s="21" t="str">
        <f>IF(G696="","",VLOOKUP(G696,tipo_contribuyente[#ALL],2,0))</f>
        <v/>
      </c>
      <c r="L696" s="21" t="str">
        <f>IF(H696="","",VLOOKUP(H696,pais[#ALL],2,0))</f>
        <v/>
      </c>
    </row>
    <row r="697">
      <c r="A697" s="21"/>
      <c r="B697" s="21"/>
      <c r="C697" s="21"/>
      <c r="D697" s="21"/>
      <c r="E697" s="21"/>
      <c r="F697" s="21"/>
      <c r="G697" s="21"/>
      <c r="H697" s="21"/>
      <c r="I697" s="21" t="str">
        <f>IF(E697="","",VLOOKUP(E697,tipo_organizacion[#ALL],2,0))</f>
        <v/>
      </c>
      <c r="J697" s="21" t="str">
        <f>IF(F697="","",VLOOKUP(F697,razon_social[#ALL],2,0))</f>
        <v/>
      </c>
      <c r="K697" s="21" t="str">
        <f>IF(G697="","",VLOOKUP(G697,tipo_contribuyente[#ALL],2,0))</f>
        <v/>
      </c>
      <c r="L697" s="21" t="str">
        <f>IF(H697="","",VLOOKUP(H697,pais[#ALL],2,0))</f>
        <v/>
      </c>
    </row>
    <row r="698">
      <c r="A698" s="21"/>
      <c r="B698" s="21"/>
      <c r="C698" s="21"/>
      <c r="D698" s="21"/>
      <c r="E698" s="21"/>
      <c r="F698" s="21"/>
      <c r="G698" s="21"/>
      <c r="H698" s="21"/>
      <c r="I698" s="21" t="str">
        <f>IF(E698="","",VLOOKUP(E698,tipo_organizacion[#ALL],2,0))</f>
        <v/>
      </c>
      <c r="J698" s="21" t="str">
        <f>IF(F698="","",VLOOKUP(F698,razon_social[#ALL],2,0))</f>
        <v/>
      </c>
      <c r="K698" s="21" t="str">
        <f>IF(G698="","",VLOOKUP(G698,tipo_contribuyente[#ALL],2,0))</f>
        <v/>
      </c>
      <c r="L698" s="21" t="str">
        <f>IF(H698="","",VLOOKUP(H698,pais[#ALL],2,0))</f>
        <v/>
      </c>
    </row>
    <row r="699">
      <c r="A699" s="21"/>
      <c r="B699" s="21"/>
      <c r="C699" s="21"/>
      <c r="D699" s="21"/>
      <c r="E699" s="21"/>
      <c r="F699" s="21"/>
      <c r="G699" s="21"/>
      <c r="H699" s="21"/>
      <c r="I699" s="21" t="str">
        <f>IF(E699="","",VLOOKUP(E699,tipo_organizacion[#ALL],2,0))</f>
        <v/>
      </c>
      <c r="J699" s="21" t="str">
        <f>IF(F699="","",VLOOKUP(F699,razon_social[#ALL],2,0))</f>
        <v/>
      </c>
      <c r="K699" s="21" t="str">
        <f>IF(G699="","",VLOOKUP(G699,tipo_contribuyente[#ALL],2,0))</f>
        <v/>
      </c>
      <c r="L699" s="21" t="str">
        <f>IF(H699="","",VLOOKUP(H699,pais[#ALL],2,0))</f>
        <v/>
      </c>
    </row>
    <row r="700">
      <c r="A700" s="21"/>
      <c r="B700" s="21"/>
      <c r="C700" s="21"/>
      <c r="D700" s="21"/>
      <c r="E700" s="21"/>
      <c r="F700" s="21"/>
      <c r="G700" s="21"/>
      <c r="H700" s="21"/>
      <c r="I700" s="21" t="str">
        <f>IF(E700="","",VLOOKUP(E700,tipo_organizacion[#ALL],2,0))</f>
        <v/>
      </c>
      <c r="J700" s="21" t="str">
        <f>IF(F700="","",VLOOKUP(F700,razon_social[#ALL],2,0))</f>
        <v/>
      </c>
      <c r="K700" s="21" t="str">
        <f>IF(G700="","",VLOOKUP(G700,tipo_contribuyente[#ALL],2,0))</f>
        <v/>
      </c>
      <c r="L700" s="21" t="str">
        <f>IF(H700="","",VLOOKUP(H700,pais[#ALL],2,0))</f>
        <v/>
      </c>
    </row>
    <row r="701">
      <c r="A701" s="21"/>
      <c r="B701" s="21"/>
      <c r="C701" s="21"/>
      <c r="D701" s="21"/>
      <c r="E701" s="21"/>
      <c r="F701" s="21"/>
      <c r="G701" s="21"/>
      <c r="H701" s="21"/>
      <c r="I701" s="21" t="str">
        <f>IF(E701="","",VLOOKUP(E701,tipo_organizacion[#ALL],2,0))</f>
        <v/>
      </c>
      <c r="J701" s="21" t="str">
        <f>IF(F701="","",VLOOKUP(F701,razon_social[#ALL],2,0))</f>
        <v/>
      </c>
      <c r="K701" s="21" t="str">
        <f>IF(G701="","",VLOOKUP(G701,tipo_contribuyente[#ALL],2,0))</f>
        <v/>
      </c>
      <c r="L701" s="21" t="str">
        <f>IF(H701="","",VLOOKUP(H701,pais[#ALL],2,0))</f>
        <v/>
      </c>
    </row>
    <row r="702">
      <c r="A702" s="21"/>
      <c r="B702" s="21"/>
      <c r="C702" s="21"/>
      <c r="D702" s="21"/>
      <c r="E702" s="21"/>
      <c r="F702" s="21"/>
      <c r="G702" s="21"/>
      <c r="H702" s="21"/>
      <c r="I702" s="21" t="str">
        <f>IF(E702="","",VLOOKUP(E702,tipo_organizacion[#ALL],2,0))</f>
        <v/>
      </c>
      <c r="J702" s="21" t="str">
        <f>IF(F702="","",VLOOKUP(F702,razon_social[#ALL],2,0))</f>
        <v/>
      </c>
      <c r="K702" s="21" t="str">
        <f>IF(G702="","",VLOOKUP(G702,tipo_contribuyente[#ALL],2,0))</f>
        <v/>
      </c>
      <c r="L702" s="21" t="str">
        <f>IF(H702="","",VLOOKUP(H702,pais[#ALL],2,0))</f>
        <v/>
      </c>
    </row>
    <row r="703">
      <c r="A703" s="21"/>
      <c r="B703" s="21"/>
      <c r="C703" s="21"/>
      <c r="D703" s="21"/>
      <c r="E703" s="21"/>
      <c r="F703" s="21"/>
      <c r="G703" s="21"/>
      <c r="H703" s="21"/>
      <c r="I703" s="21" t="str">
        <f>IF(E703="","",VLOOKUP(E703,tipo_organizacion[#ALL],2,0))</f>
        <v/>
      </c>
      <c r="J703" s="21" t="str">
        <f>IF(F703="","",VLOOKUP(F703,razon_social[#ALL],2,0))</f>
        <v/>
      </c>
      <c r="K703" s="21" t="str">
        <f>IF(G703="","",VLOOKUP(G703,tipo_contribuyente[#ALL],2,0))</f>
        <v/>
      </c>
      <c r="L703" s="21" t="str">
        <f>IF(H703="","",VLOOKUP(H703,pais[#ALL],2,0))</f>
        <v/>
      </c>
    </row>
    <row r="704">
      <c r="A704" s="21"/>
      <c r="B704" s="21"/>
      <c r="C704" s="21"/>
      <c r="D704" s="21"/>
      <c r="E704" s="21"/>
      <c r="F704" s="21"/>
      <c r="G704" s="21"/>
      <c r="H704" s="21"/>
      <c r="I704" s="21" t="str">
        <f>IF(E704="","",VLOOKUP(E704,tipo_organizacion[#ALL],2,0))</f>
        <v/>
      </c>
      <c r="J704" s="21" t="str">
        <f>IF(F704="","",VLOOKUP(F704,razon_social[#ALL],2,0))</f>
        <v/>
      </c>
      <c r="K704" s="21" t="str">
        <f>IF(G704="","",VLOOKUP(G704,tipo_contribuyente[#ALL],2,0))</f>
        <v/>
      </c>
      <c r="L704" s="21" t="str">
        <f>IF(H704="","",VLOOKUP(H704,pais[#ALL],2,0))</f>
        <v/>
      </c>
    </row>
    <row r="705">
      <c r="A705" s="21"/>
      <c r="B705" s="21"/>
      <c r="C705" s="21"/>
      <c r="D705" s="21"/>
      <c r="E705" s="21"/>
      <c r="F705" s="21"/>
      <c r="G705" s="21"/>
      <c r="H705" s="21"/>
      <c r="I705" s="21" t="str">
        <f>IF(E705="","",VLOOKUP(E705,tipo_organizacion[#ALL],2,0))</f>
        <v/>
      </c>
      <c r="J705" s="21" t="str">
        <f>IF(F705="","",VLOOKUP(F705,razon_social[#ALL],2,0))</f>
        <v/>
      </c>
      <c r="K705" s="21" t="str">
        <f>IF(G705="","",VLOOKUP(G705,tipo_contribuyente[#ALL],2,0))</f>
        <v/>
      </c>
      <c r="L705" s="21" t="str">
        <f>IF(H705="","",VLOOKUP(H705,pais[#ALL],2,0))</f>
        <v/>
      </c>
    </row>
    <row r="706">
      <c r="A706" s="21"/>
      <c r="B706" s="21"/>
      <c r="C706" s="21"/>
      <c r="D706" s="21"/>
      <c r="E706" s="21"/>
      <c r="F706" s="21"/>
      <c r="G706" s="21"/>
      <c r="H706" s="21"/>
      <c r="I706" s="21" t="str">
        <f>IF(E706="","",VLOOKUP(E706,tipo_organizacion[#ALL],2,0))</f>
        <v/>
      </c>
      <c r="J706" s="21" t="str">
        <f>IF(F706="","",VLOOKUP(F706,razon_social[#ALL],2,0))</f>
        <v/>
      </c>
      <c r="K706" s="21" t="str">
        <f>IF(G706="","",VLOOKUP(G706,tipo_contribuyente[#ALL],2,0))</f>
        <v/>
      </c>
      <c r="L706" s="21" t="str">
        <f>IF(H706="","",VLOOKUP(H706,pais[#ALL],2,0))</f>
        <v/>
      </c>
    </row>
    <row r="707">
      <c r="A707" s="21"/>
      <c r="B707" s="21"/>
      <c r="C707" s="21"/>
      <c r="D707" s="21"/>
      <c r="E707" s="21"/>
      <c r="F707" s="21"/>
      <c r="G707" s="21"/>
      <c r="H707" s="21"/>
      <c r="I707" s="21" t="str">
        <f>IF(E707="","",VLOOKUP(E707,tipo_organizacion[#ALL],2,0))</f>
        <v/>
      </c>
      <c r="J707" s="21" t="str">
        <f>IF(F707="","",VLOOKUP(F707,razon_social[#ALL],2,0))</f>
        <v/>
      </c>
      <c r="K707" s="21" t="str">
        <f>IF(G707="","",VLOOKUP(G707,tipo_contribuyente[#ALL],2,0))</f>
        <v/>
      </c>
      <c r="L707" s="21" t="str">
        <f>IF(H707="","",VLOOKUP(H707,pais[#ALL],2,0))</f>
        <v/>
      </c>
    </row>
    <row r="708">
      <c r="A708" s="21"/>
      <c r="B708" s="21"/>
      <c r="C708" s="21"/>
      <c r="D708" s="21"/>
      <c r="E708" s="21"/>
      <c r="F708" s="21"/>
      <c r="G708" s="21"/>
      <c r="H708" s="21"/>
      <c r="I708" s="21" t="str">
        <f>IF(E708="","",VLOOKUP(E708,tipo_organizacion[#ALL],2,0))</f>
        <v/>
      </c>
      <c r="J708" s="21" t="str">
        <f>IF(F708="","",VLOOKUP(F708,razon_social[#ALL],2,0))</f>
        <v/>
      </c>
      <c r="K708" s="21" t="str">
        <f>IF(G708="","",VLOOKUP(G708,tipo_contribuyente[#ALL],2,0))</f>
        <v/>
      </c>
      <c r="L708" s="21" t="str">
        <f>IF(H708="","",VLOOKUP(H708,pais[#ALL],2,0))</f>
        <v/>
      </c>
    </row>
    <row r="709">
      <c r="A709" s="21"/>
      <c r="B709" s="21"/>
      <c r="C709" s="21"/>
      <c r="D709" s="21"/>
      <c r="E709" s="21"/>
      <c r="F709" s="21"/>
      <c r="G709" s="21"/>
      <c r="H709" s="21"/>
      <c r="I709" s="21" t="str">
        <f>IF(E709="","",VLOOKUP(E709,tipo_organizacion[#ALL],2,0))</f>
        <v/>
      </c>
      <c r="J709" s="21" t="str">
        <f>IF(F709="","",VLOOKUP(F709,razon_social[#ALL],2,0))</f>
        <v/>
      </c>
      <c r="K709" s="21" t="str">
        <f>IF(G709="","",VLOOKUP(G709,tipo_contribuyente[#ALL],2,0))</f>
        <v/>
      </c>
      <c r="L709" s="21" t="str">
        <f>IF(H709="","",VLOOKUP(H709,pais[#ALL],2,0))</f>
        <v/>
      </c>
    </row>
    <row r="710">
      <c r="A710" s="21"/>
      <c r="B710" s="21"/>
      <c r="C710" s="21"/>
      <c r="D710" s="21"/>
      <c r="E710" s="21"/>
      <c r="F710" s="21"/>
      <c r="G710" s="21"/>
      <c r="H710" s="21"/>
      <c r="I710" s="21" t="str">
        <f>IF(E710="","",VLOOKUP(E710,tipo_organizacion[#ALL],2,0))</f>
        <v/>
      </c>
      <c r="J710" s="21" t="str">
        <f>IF(F710="","",VLOOKUP(F710,razon_social[#ALL],2,0))</f>
        <v/>
      </c>
      <c r="K710" s="21" t="str">
        <f>IF(G710="","",VLOOKUP(G710,tipo_contribuyente[#ALL],2,0))</f>
        <v/>
      </c>
      <c r="L710" s="21" t="str">
        <f>IF(H710="","",VLOOKUP(H710,pais[#ALL],2,0))</f>
        <v/>
      </c>
    </row>
    <row r="711">
      <c r="A711" s="21"/>
      <c r="B711" s="21"/>
      <c r="C711" s="21"/>
      <c r="D711" s="21"/>
      <c r="E711" s="21"/>
      <c r="F711" s="21"/>
      <c r="G711" s="21"/>
      <c r="H711" s="21"/>
      <c r="I711" s="21" t="str">
        <f>IF(E711="","",VLOOKUP(E711,tipo_organizacion[#ALL],2,0))</f>
        <v/>
      </c>
      <c r="J711" s="21" t="str">
        <f>IF(F711="","",VLOOKUP(F711,razon_social[#ALL],2,0))</f>
        <v/>
      </c>
      <c r="K711" s="21" t="str">
        <f>IF(G711="","",VLOOKUP(G711,tipo_contribuyente[#ALL],2,0))</f>
        <v/>
      </c>
      <c r="L711" s="21" t="str">
        <f>IF(H711="","",VLOOKUP(H711,pais[#ALL],2,0))</f>
        <v/>
      </c>
    </row>
    <row r="712">
      <c r="A712" s="21"/>
      <c r="B712" s="21"/>
      <c r="C712" s="21"/>
      <c r="D712" s="21"/>
      <c r="E712" s="21"/>
      <c r="F712" s="21"/>
      <c r="G712" s="21"/>
      <c r="H712" s="21"/>
      <c r="I712" s="21" t="str">
        <f>IF(E712="","",VLOOKUP(E712,tipo_organizacion[#ALL],2,0))</f>
        <v/>
      </c>
      <c r="J712" s="21" t="str">
        <f>IF(F712="","",VLOOKUP(F712,razon_social[#ALL],2,0))</f>
        <v/>
      </c>
      <c r="K712" s="21" t="str">
        <f>IF(G712="","",VLOOKUP(G712,tipo_contribuyente[#ALL],2,0))</f>
        <v/>
      </c>
      <c r="L712" s="21" t="str">
        <f>IF(H712="","",VLOOKUP(H712,pais[#ALL],2,0))</f>
        <v/>
      </c>
    </row>
    <row r="713">
      <c r="A713" s="21"/>
      <c r="B713" s="21"/>
      <c r="C713" s="21"/>
      <c r="D713" s="21"/>
      <c r="E713" s="21"/>
      <c r="F713" s="21"/>
      <c r="G713" s="21"/>
      <c r="H713" s="21"/>
      <c r="I713" s="21" t="str">
        <f>IF(E713="","",VLOOKUP(E713,tipo_organizacion[#ALL],2,0))</f>
        <v/>
      </c>
      <c r="J713" s="21" t="str">
        <f>IF(F713="","",VLOOKUP(F713,razon_social[#ALL],2,0))</f>
        <v/>
      </c>
      <c r="K713" s="21" t="str">
        <f>IF(G713="","",VLOOKUP(G713,tipo_contribuyente[#ALL],2,0))</f>
        <v/>
      </c>
      <c r="L713" s="21" t="str">
        <f>IF(H713="","",VLOOKUP(H713,pais[#ALL],2,0))</f>
        <v/>
      </c>
    </row>
    <row r="714">
      <c r="A714" s="21"/>
      <c r="B714" s="21"/>
      <c r="C714" s="21"/>
      <c r="D714" s="21"/>
      <c r="E714" s="21"/>
      <c r="F714" s="21"/>
      <c r="G714" s="21"/>
      <c r="H714" s="21"/>
      <c r="I714" s="21" t="str">
        <f>IF(E714="","",VLOOKUP(E714,tipo_organizacion[#ALL],2,0))</f>
        <v/>
      </c>
      <c r="J714" s="21" t="str">
        <f>IF(F714="","",VLOOKUP(F714,razon_social[#ALL],2,0))</f>
        <v/>
      </c>
      <c r="K714" s="21" t="str">
        <f>IF(G714="","",VLOOKUP(G714,tipo_contribuyente[#ALL],2,0))</f>
        <v/>
      </c>
      <c r="L714" s="21" t="str">
        <f>IF(H714="","",VLOOKUP(H714,pais[#ALL],2,0))</f>
        <v/>
      </c>
    </row>
    <row r="715">
      <c r="A715" s="21"/>
      <c r="B715" s="21"/>
      <c r="C715" s="21"/>
      <c r="D715" s="21"/>
      <c r="E715" s="21"/>
      <c r="F715" s="21"/>
      <c r="G715" s="21"/>
      <c r="H715" s="21"/>
      <c r="I715" s="21" t="str">
        <f>IF(E715="","",VLOOKUP(E715,tipo_organizacion[#ALL],2,0))</f>
        <v/>
      </c>
      <c r="J715" s="21" t="str">
        <f>IF(F715="","",VLOOKUP(F715,razon_social[#ALL],2,0))</f>
        <v/>
      </c>
      <c r="K715" s="21" t="str">
        <f>IF(G715="","",VLOOKUP(G715,tipo_contribuyente[#ALL],2,0))</f>
        <v/>
      </c>
      <c r="L715" s="21" t="str">
        <f>IF(H715="","",VLOOKUP(H715,pais[#ALL],2,0))</f>
        <v/>
      </c>
    </row>
    <row r="716">
      <c r="A716" s="21"/>
      <c r="B716" s="21"/>
      <c r="C716" s="21"/>
      <c r="D716" s="21"/>
      <c r="E716" s="21"/>
      <c r="F716" s="21"/>
      <c r="G716" s="21"/>
      <c r="H716" s="21"/>
      <c r="I716" s="21" t="str">
        <f>IF(E716="","",VLOOKUP(E716,tipo_organizacion[#ALL],2,0))</f>
        <v/>
      </c>
      <c r="J716" s="21" t="str">
        <f>IF(F716="","",VLOOKUP(F716,razon_social[#ALL],2,0))</f>
        <v/>
      </c>
      <c r="K716" s="21" t="str">
        <f>IF(G716="","",VLOOKUP(G716,tipo_contribuyente[#ALL],2,0))</f>
        <v/>
      </c>
      <c r="L716" s="21" t="str">
        <f>IF(H716="","",VLOOKUP(H716,pais[#ALL],2,0))</f>
        <v/>
      </c>
    </row>
    <row r="717">
      <c r="A717" s="21"/>
      <c r="B717" s="21"/>
      <c r="C717" s="21"/>
      <c r="D717" s="21"/>
      <c r="E717" s="21"/>
      <c r="F717" s="21"/>
      <c r="G717" s="21"/>
      <c r="H717" s="21"/>
      <c r="I717" s="21" t="str">
        <f>IF(E717="","",VLOOKUP(E717,tipo_organizacion[#ALL],2,0))</f>
        <v/>
      </c>
      <c r="J717" s="21" t="str">
        <f>IF(F717="","",VLOOKUP(F717,razon_social[#ALL],2,0))</f>
        <v/>
      </c>
      <c r="K717" s="21" t="str">
        <f>IF(G717="","",VLOOKUP(G717,tipo_contribuyente[#ALL],2,0))</f>
        <v/>
      </c>
      <c r="L717" s="21" t="str">
        <f>IF(H717="","",VLOOKUP(H717,pais[#ALL],2,0))</f>
        <v/>
      </c>
    </row>
    <row r="718">
      <c r="A718" s="21"/>
      <c r="B718" s="21"/>
      <c r="C718" s="21"/>
      <c r="D718" s="21"/>
      <c r="E718" s="21"/>
      <c r="F718" s="21"/>
      <c r="G718" s="21"/>
      <c r="H718" s="21"/>
      <c r="I718" s="21" t="str">
        <f>IF(E718="","",VLOOKUP(E718,tipo_organizacion[#ALL],2,0))</f>
        <v/>
      </c>
      <c r="J718" s="21" t="str">
        <f>IF(F718="","",VLOOKUP(F718,razon_social[#ALL],2,0))</f>
        <v/>
      </c>
      <c r="K718" s="21" t="str">
        <f>IF(G718="","",VLOOKUP(G718,tipo_contribuyente[#ALL],2,0))</f>
        <v/>
      </c>
      <c r="L718" s="21" t="str">
        <f>IF(H718="","",VLOOKUP(H718,pais[#ALL],2,0))</f>
        <v/>
      </c>
    </row>
    <row r="719">
      <c r="A719" s="21"/>
      <c r="B719" s="21"/>
      <c r="C719" s="21"/>
      <c r="D719" s="21"/>
      <c r="E719" s="21"/>
      <c r="F719" s="21"/>
      <c r="G719" s="21"/>
      <c r="H719" s="21"/>
      <c r="I719" s="21" t="str">
        <f>IF(E719="","",VLOOKUP(E719,tipo_organizacion[#ALL],2,0))</f>
        <v/>
      </c>
      <c r="J719" s="21" t="str">
        <f>IF(F719="","",VLOOKUP(F719,razon_social[#ALL],2,0))</f>
        <v/>
      </c>
      <c r="K719" s="21" t="str">
        <f>IF(G719="","",VLOOKUP(G719,tipo_contribuyente[#ALL],2,0))</f>
        <v/>
      </c>
      <c r="L719" s="21" t="str">
        <f>IF(H719="","",VLOOKUP(H719,pais[#ALL],2,0))</f>
        <v/>
      </c>
    </row>
    <row r="720">
      <c r="A720" s="21"/>
      <c r="B720" s="21"/>
      <c r="C720" s="21"/>
      <c r="D720" s="21"/>
      <c r="E720" s="21"/>
      <c r="F720" s="21"/>
      <c r="G720" s="21"/>
      <c r="H720" s="21"/>
      <c r="I720" s="21" t="str">
        <f>IF(E720="","",VLOOKUP(E720,tipo_organizacion[#ALL],2,0))</f>
        <v/>
      </c>
      <c r="J720" s="21" t="str">
        <f>IF(F720="","",VLOOKUP(F720,razon_social[#ALL],2,0))</f>
        <v/>
      </c>
      <c r="K720" s="21" t="str">
        <f>IF(G720="","",VLOOKUP(G720,tipo_contribuyente[#ALL],2,0))</f>
        <v/>
      </c>
      <c r="L720" s="21" t="str">
        <f>IF(H720="","",VLOOKUP(H720,pais[#ALL],2,0))</f>
        <v/>
      </c>
    </row>
    <row r="721">
      <c r="A721" s="21"/>
      <c r="B721" s="21"/>
      <c r="C721" s="21"/>
      <c r="D721" s="21"/>
      <c r="E721" s="21"/>
      <c r="F721" s="21"/>
      <c r="G721" s="21"/>
      <c r="H721" s="21"/>
      <c r="I721" s="21" t="str">
        <f>IF(E721="","",VLOOKUP(E721,tipo_organizacion[#ALL],2,0))</f>
        <v/>
      </c>
      <c r="J721" s="21" t="str">
        <f>IF(F721="","",VLOOKUP(F721,razon_social[#ALL],2,0))</f>
        <v/>
      </c>
      <c r="K721" s="21" t="str">
        <f>IF(G721="","",VLOOKUP(G721,tipo_contribuyente[#ALL],2,0))</f>
        <v/>
      </c>
      <c r="L721" s="21" t="str">
        <f>IF(H721="","",VLOOKUP(H721,pais[#ALL],2,0))</f>
        <v/>
      </c>
    </row>
    <row r="722">
      <c r="A722" s="21"/>
      <c r="B722" s="21"/>
      <c r="C722" s="21"/>
      <c r="D722" s="21"/>
      <c r="E722" s="21"/>
      <c r="F722" s="21"/>
      <c r="G722" s="21"/>
      <c r="H722" s="21"/>
      <c r="I722" s="21" t="str">
        <f>IF(E722="","",VLOOKUP(E722,tipo_organizacion[#ALL],2,0))</f>
        <v/>
      </c>
      <c r="J722" s="21" t="str">
        <f>IF(F722="","",VLOOKUP(F722,razon_social[#ALL],2,0))</f>
        <v/>
      </c>
      <c r="K722" s="21" t="str">
        <f>IF(G722="","",VLOOKUP(G722,tipo_contribuyente[#ALL],2,0))</f>
        <v/>
      </c>
      <c r="L722" s="21" t="str">
        <f>IF(H722="","",VLOOKUP(H722,pais[#ALL],2,0))</f>
        <v/>
      </c>
    </row>
    <row r="723">
      <c r="A723" s="21"/>
      <c r="B723" s="21"/>
      <c r="C723" s="21"/>
      <c r="D723" s="21"/>
      <c r="E723" s="21"/>
      <c r="F723" s="21"/>
      <c r="G723" s="21"/>
      <c r="H723" s="21"/>
      <c r="I723" s="21" t="str">
        <f>IF(E723="","",VLOOKUP(E723,tipo_organizacion[#ALL],2,0))</f>
        <v/>
      </c>
      <c r="J723" s="21" t="str">
        <f>IF(F723="","",VLOOKUP(F723,razon_social[#ALL],2,0))</f>
        <v/>
      </c>
      <c r="K723" s="21" t="str">
        <f>IF(G723="","",VLOOKUP(G723,tipo_contribuyente[#ALL],2,0))</f>
        <v/>
      </c>
      <c r="L723" s="21" t="str">
        <f>IF(H723="","",VLOOKUP(H723,pais[#ALL],2,0))</f>
        <v/>
      </c>
    </row>
    <row r="724">
      <c r="A724" s="21"/>
      <c r="B724" s="21"/>
      <c r="C724" s="21"/>
      <c r="D724" s="21"/>
      <c r="E724" s="21"/>
      <c r="F724" s="21"/>
      <c r="G724" s="21"/>
      <c r="H724" s="21"/>
      <c r="I724" s="21" t="str">
        <f>IF(E724="","",VLOOKUP(E724,tipo_organizacion[#ALL],2,0))</f>
        <v/>
      </c>
      <c r="J724" s="21" t="str">
        <f>IF(F724="","",VLOOKUP(F724,razon_social[#ALL],2,0))</f>
        <v/>
      </c>
      <c r="K724" s="21" t="str">
        <f>IF(G724="","",VLOOKUP(G724,tipo_contribuyente[#ALL],2,0))</f>
        <v/>
      </c>
      <c r="L724" s="21" t="str">
        <f>IF(H724="","",VLOOKUP(H724,pais[#ALL],2,0))</f>
        <v/>
      </c>
    </row>
    <row r="725">
      <c r="A725" s="21"/>
      <c r="B725" s="21"/>
      <c r="C725" s="21"/>
      <c r="D725" s="21"/>
      <c r="E725" s="21"/>
      <c r="F725" s="21"/>
      <c r="G725" s="21"/>
      <c r="H725" s="21"/>
      <c r="I725" s="21" t="str">
        <f>IF(E725="","",VLOOKUP(E725,tipo_organizacion[#ALL],2,0))</f>
        <v/>
      </c>
      <c r="J725" s="21" t="str">
        <f>IF(F725="","",VLOOKUP(F725,razon_social[#ALL],2,0))</f>
        <v/>
      </c>
      <c r="K725" s="21" t="str">
        <f>IF(G725="","",VLOOKUP(G725,tipo_contribuyente[#ALL],2,0))</f>
        <v/>
      </c>
      <c r="L725" s="21" t="str">
        <f>IF(H725="","",VLOOKUP(H725,pais[#ALL],2,0))</f>
        <v/>
      </c>
    </row>
    <row r="726">
      <c r="A726" s="21"/>
      <c r="B726" s="21"/>
      <c r="C726" s="21"/>
      <c r="D726" s="21"/>
      <c r="E726" s="21"/>
      <c r="F726" s="21"/>
      <c r="G726" s="21"/>
      <c r="H726" s="21"/>
      <c r="I726" s="21" t="str">
        <f>IF(E726="","",VLOOKUP(E726,tipo_organizacion[#ALL],2,0))</f>
        <v/>
      </c>
      <c r="J726" s="21" t="str">
        <f>IF(F726="","",VLOOKUP(F726,razon_social[#ALL],2,0))</f>
        <v/>
      </c>
      <c r="K726" s="21" t="str">
        <f>IF(G726="","",VLOOKUP(G726,tipo_contribuyente[#ALL],2,0))</f>
        <v/>
      </c>
      <c r="L726" s="21" t="str">
        <f>IF(H726="","",VLOOKUP(H726,pais[#ALL],2,0))</f>
        <v/>
      </c>
    </row>
    <row r="727">
      <c r="A727" s="21"/>
      <c r="B727" s="21"/>
      <c r="C727" s="21"/>
      <c r="D727" s="21"/>
      <c r="E727" s="21"/>
      <c r="F727" s="21"/>
      <c r="G727" s="21"/>
      <c r="H727" s="21"/>
      <c r="I727" s="21" t="str">
        <f>IF(E727="","",VLOOKUP(E727,tipo_organizacion[#ALL],2,0))</f>
        <v/>
      </c>
      <c r="J727" s="21" t="str">
        <f>IF(F727="","",VLOOKUP(F727,razon_social[#ALL],2,0))</f>
        <v/>
      </c>
      <c r="K727" s="21" t="str">
        <f>IF(G727="","",VLOOKUP(G727,tipo_contribuyente[#ALL],2,0))</f>
        <v/>
      </c>
      <c r="L727" s="21" t="str">
        <f>IF(H727="","",VLOOKUP(H727,pais[#ALL],2,0))</f>
        <v/>
      </c>
    </row>
    <row r="728">
      <c r="A728" s="21"/>
      <c r="B728" s="21"/>
      <c r="C728" s="21"/>
      <c r="D728" s="21"/>
      <c r="E728" s="21"/>
      <c r="F728" s="21"/>
      <c r="G728" s="21"/>
      <c r="H728" s="21"/>
      <c r="I728" s="21" t="str">
        <f>IF(E728="","",VLOOKUP(E728,tipo_organizacion[#ALL],2,0))</f>
        <v/>
      </c>
      <c r="J728" s="21" t="str">
        <f>IF(F728="","",VLOOKUP(F728,razon_social[#ALL],2,0))</f>
        <v/>
      </c>
      <c r="K728" s="21" t="str">
        <f>IF(G728="","",VLOOKUP(G728,tipo_contribuyente[#ALL],2,0))</f>
        <v/>
      </c>
      <c r="L728" s="21" t="str">
        <f>IF(H728="","",VLOOKUP(H728,pais[#ALL],2,0))</f>
        <v/>
      </c>
    </row>
    <row r="729">
      <c r="A729" s="21"/>
      <c r="B729" s="21"/>
      <c r="C729" s="21"/>
      <c r="D729" s="21"/>
      <c r="E729" s="21"/>
      <c r="F729" s="21"/>
      <c r="G729" s="21"/>
      <c r="H729" s="21"/>
      <c r="I729" s="21" t="str">
        <f>IF(E729="","",VLOOKUP(E729,tipo_organizacion[#ALL],2,0))</f>
        <v/>
      </c>
      <c r="J729" s="21" t="str">
        <f>IF(F729="","",VLOOKUP(F729,razon_social[#ALL],2,0))</f>
        <v/>
      </c>
      <c r="K729" s="21" t="str">
        <f>IF(G729="","",VLOOKUP(G729,tipo_contribuyente[#ALL],2,0))</f>
        <v/>
      </c>
      <c r="L729" s="21" t="str">
        <f>IF(H729="","",VLOOKUP(H729,pais[#ALL],2,0))</f>
        <v/>
      </c>
    </row>
    <row r="730">
      <c r="A730" s="21"/>
      <c r="B730" s="21"/>
      <c r="C730" s="21"/>
      <c r="D730" s="21"/>
      <c r="E730" s="21"/>
      <c r="F730" s="21"/>
      <c r="G730" s="21"/>
      <c r="H730" s="21"/>
      <c r="I730" s="21" t="str">
        <f>IF(E730="","",VLOOKUP(E730,tipo_organizacion[#ALL],2,0))</f>
        <v/>
      </c>
      <c r="J730" s="21" t="str">
        <f>IF(F730="","",VLOOKUP(F730,razon_social[#ALL],2,0))</f>
        <v/>
      </c>
      <c r="K730" s="21" t="str">
        <f>IF(G730="","",VLOOKUP(G730,tipo_contribuyente[#ALL],2,0))</f>
        <v/>
      </c>
      <c r="L730" s="21" t="str">
        <f>IF(H730="","",VLOOKUP(H730,pais[#ALL],2,0))</f>
        <v/>
      </c>
    </row>
    <row r="731">
      <c r="A731" s="21"/>
      <c r="B731" s="21"/>
      <c r="C731" s="21"/>
      <c r="D731" s="21"/>
      <c r="E731" s="21"/>
      <c r="F731" s="21"/>
      <c r="G731" s="21"/>
      <c r="H731" s="21"/>
      <c r="I731" s="21" t="str">
        <f>IF(E731="","",VLOOKUP(E731,tipo_organizacion[#ALL],2,0))</f>
        <v/>
      </c>
      <c r="J731" s="21" t="str">
        <f>IF(F731="","",VLOOKUP(F731,razon_social[#ALL],2,0))</f>
        <v/>
      </c>
      <c r="K731" s="21" t="str">
        <f>IF(G731="","",VLOOKUP(G731,tipo_contribuyente[#ALL],2,0))</f>
        <v/>
      </c>
      <c r="L731" s="21" t="str">
        <f>IF(H731="","",VLOOKUP(H731,pais[#ALL],2,0))</f>
        <v/>
      </c>
    </row>
    <row r="732">
      <c r="A732" s="21"/>
      <c r="B732" s="21"/>
      <c r="C732" s="21"/>
      <c r="D732" s="21"/>
      <c r="E732" s="21"/>
      <c r="F732" s="21"/>
      <c r="G732" s="21"/>
      <c r="H732" s="21"/>
      <c r="I732" s="21" t="str">
        <f>IF(E732="","",VLOOKUP(E732,tipo_organizacion[#ALL],2,0))</f>
        <v/>
      </c>
      <c r="J732" s="21" t="str">
        <f>IF(F732="","",VLOOKUP(F732,razon_social[#ALL],2,0))</f>
        <v/>
      </c>
      <c r="K732" s="21" t="str">
        <f>IF(G732="","",VLOOKUP(G732,tipo_contribuyente[#ALL],2,0))</f>
        <v/>
      </c>
      <c r="L732" s="21" t="str">
        <f>IF(H732="","",VLOOKUP(H732,pais[#ALL],2,0))</f>
        <v/>
      </c>
    </row>
    <row r="733">
      <c r="A733" s="21"/>
      <c r="B733" s="21"/>
      <c r="C733" s="21"/>
      <c r="D733" s="21"/>
      <c r="E733" s="21"/>
      <c r="F733" s="21"/>
      <c r="G733" s="21"/>
      <c r="H733" s="21"/>
      <c r="I733" s="21" t="str">
        <f>IF(E733="","",VLOOKUP(E733,tipo_organizacion[#ALL],2,0))</f>
        <v/>
      </c>
      <c r="J733" s="21" t="str">
        <f>IF(F733="","",VLOOKUP(F733,razon_social[#ALL],2,0))</f>
        <v/>
      </c>
      <c r="K733" s="21" t="str">
        <f>IF(G733="","",VLOOKUP(G733,tipo_contribuyente[#ALL],2,0))</f>
        <v/>
      </c>
      <c r="L733" s="21" t="str">
        <f>IF(H733="","",VLOOKUP(H733,pais[#ALL],2,0))</f>
        <v/>
      </c>
    </row>
    <row r="734">
      <c r="A734" s="21"/>
      <c r="B734" s="21"/>
      <c r="C734" s="21"/>
      <c r="D734" s="21"/>
      <c r="E734" s="21"/>
      <c r="F734" s="21"/>
      <c r="G734" s="21"/>
      <c r="H734" s="21"/>
      <c r="I734" s="21" t="str">
        <f>IF(E734="","",VLOOKUP(E734,tipo_organizacion[#ALL],2,0))</f>
        <v/>
      </c>
      <c r="J734" s="21" t="str">
        <f>IF(F734="","",VLOOKUP(F734,razon_social[#ALL],2,0))</f>
        <v/>
      </c>
      <c r="K734" s="21" t="str">
        <f>IF(G734="","",VLOOKUP(G734,tipo_contribuyente[#ALL],2,0))</f>
        <v/>
      </c>
      <c r="L734" s="21" t="str">
        <f>IF(H734="","",VLOOKUP(H734,pais[#ALL],2,0))</f>
        <v/>
      </c>
    </row>
    <row r="735">
      <c r="A735" s="21"/>
      <c r="B735" s="21"/>
      <c r="C735" s="21"/>
      <c r="D735" s="21"/>
      <c r="E735" s="21"/>
      <c r="F735" s="21"/>
      <c r="G735" s="21"/>
      <c r="H735" s="21"/>
      <c r="I735" s="21" t="str">
        <f>IF(E735="","",VLOOKUP(E735,tipo_organizacion[#ALL],2,0))</f>
        <v/>
      </c>
      <c r="J735" s="21" t="str">
        <f>IF(F735="","",VLOOKUP(F735,razon_social[#ALL],2,0))</f>
        <v/>
      </c>
      <c r="K735" s="21" t="str">
        <f>IF(G735="","",VLOOKUP(G735,tipo_contribuyente[#ALL],2,0))</f>
        <v/>
      </c>
      <c r="L735" s="21" t="str">
        <f>IF(H735="","",VLOOKUP(H735,pais[#ALL],2,0))</f>
        <v/>
      </c>
    </row>
    <row r="736">
      <c r="A736" s="21"/>
      <c r="B736" s="21"/>
      <c r="C736" s="21"/>
      <c r="D736" s="21"/>
      <c r="E736" s="21"/>
      <c r="F736" s="21"/>
      <c r="G736" s="21"/>
      <c r="H736" s="21"/>
      <c r="I736" s="21" t="str">
        <f>IF(E736="","",VLOOKUP(E736,tipo_organizacion[#ALL],2,0))</f>
        <v/>
      </c>
      <c r="J736" s="21" t="str">
        <f>IF(F736="","",VLOOKUP(F736,razon_social[#ALL],2,0))</f>
        <v/>
      </c>
      <c r="K736" s="21" t="str">
        <f>IF(G736="","",VLOOKUP(G736,tipo_contribuyente[#ALL],2,0))</f>
        <v/>
      </c>
      <c r="L736" s="21" t="str">
        <f>IF(H736="","",VLOOKUP(H736,pais[#ALL],2,0))</f>
        <v/>
      </c>
    </row>
    <row r="737">
      <c r="A737" s="21"/>
      <c r="B737" s="21"/>
      <c r="C737" s="21"/>
      <c r="D737" s="21"/>
      <c r="E737" s="21"/>
      <c r="F737" s="21"/>
      <c r="G737" s="21"/>
      <c r="H737" s="21"/>
      <c r="I737" s="21" t="str">
        <f>IF(E737="","",VLOOKUP(E737,tipo_organizacion[#ALL],2,0))</f>
        <v/>
      </c>
      <c r="J737" s="21" t="str">
        <f>IF(F737="","",VLOOKUP(F737,razon_social[#ALL],2,0))</f>
        <v/>
      </c>
      <c r="K737" s="21" t="str">
        <f>IF(G737="","",VLOOKUP(G737,tipo_contribuyente[#ALL],2,0))</f>
        <v/>
      </c>
      <c r="L737" s="21" t="str">
        <f>IF(H737="","",VLOOKUP(H737,pais[#ALL],2,0))</f>
        <v/>
      </c>
    </row>
    <row r="738">
      <c r="A738" s="21"/>
      <c r="B738" s="21"/>
      <c r="C738" s="21"/>
      <c r="D738" s="21"/>
      <c r="E738" s="21"/>
      <c r="F738" s="21"/>
      <c r="G738" s="21"/>
      <c r="H738" s="21"/>
      <c r="I738" s="21" t="str">
        <f>IF(E738="","",VLOOKUP(E738,tipo_organizacion[#ALL],2,0))</f>
        <v/>
      </c>
      <c r="J738" s="21" t="str">
        <f>IF(F738="","",VLOOKUP(F738,razon_social[#ALL],2,0))</f>
        <v/>
      </c>
      <c r="K738" s="21" t="str">
        <f>IF(G738="","",VLOOKUP(G738,tipo_contribuyente[#ALL],2,0))</f>
        <v/>
      </c>
      <c r="L738" s="21" t="str">
        <f>IF(H738="","",VLOOKUP(H738,pais[#ALL],2,0))</f>
        <v/>
      </c>
    </row>
    <row r="739">
      <c r="A739" s="21"/>
      <c r="B739" s="21"/>
      <c r="C739" s="21"/>
      <c r="D739" s="21"/>
      <c r="E739" s="21"/>
      <c r="F739" s="21"/>
      <c r="G739" s="21"/>
      <c r="H739" s="21"/>
      <c r="I739" s="21" t="str">
        <f>IF(E739="","",VLOOKUP(E739,tipo_organizacion[#ALL],2,0))</f>
        <v/>
      </c>
      <c r="J739" s="21" t="str">
        <f>IF(F739="","",VLOOKUP(F739,razon_social[#ALL],2,0))</f>
        <v/>
      </c>
      <c r="K739" s="21" t="str">
        <f>IF(G739="","",VLOOKUP(G739,tipo_contribuyente[#ALL],2,0))</f>
        <v/>
      </c>
      <c r="L739" s="21" t="str">
        <f>IF(H739="","",VLOOKUP(H739,pais[#ALL],2,0))</f>
        <v/>
      </c>
    </row>
    <row r="740">
      <c r="A740" s="21"/>
      <c r="B740" s="21"/>
      <c r="C740" s="21"/>
      <c r="D740" s="21"/>
      <c r="E740" s="21"/>
      <c r="F740" s="21"/>
      <c r="G740" s="21"/>
      <c r="H740" s="21"/>
      <c r="I740" s="21" t="str">
        <f>IF(E740="","",VLOOKUP(E740,tipo_organizacion[#ALL],2,0))</f>
        <v/>
      </c>
      <c r="J740" s="21" t="str">
        <f>IF(F740="","",VLOOKUP(F740,razon_social[#ALL],2,0))</f>
        <v/>
      </c>
      <c r="K740" s="21" t="str">
        <f>IF(G740="","",VLOOKUP(G740,tipo_contribuyente[#ALL],2,0))</f>
        <v/>
      </c>
      <c r="L740" s="21" t="str">
        <f>IF(H740="","",VLOOKUP(H740,pais[#ALL],2,0))</f>
        <v/>
      </c>
    </row>
    <row r="741">
      <c r="A741" s="21"/>
      <c r="B741" s="21"/>
      <c r="C741" s="21"/>
      <c r="D741" s="21"/>
      <c r="E741" s="21"/>
      <c r="F741" s="21"/>
      <c r="G741" s="21"/>
      <c r="H741" s="21"/>
      <c r="I741" s="21" t="str">
        <f>IF(E741="","",VLOOKUP(E741,tipo_organizacion[#ALL],2,0))</f>
        <v/>
      </c>
      <c r="J741" s="21" t="str">
        <f>IF(F741="","",VLOOKUP(F741,razon_social[#ALL],2,0))</f>
        <v/>
      </c>
      <c r="K741" s="21" t="str">
        <f>IF(G741="","",VLOOKUP(G741,tipo_contribuyente[#ALL],2,0))</f>
        <v/>
      </c>
      <c r="L741" s="21" t="str">
        <f>IF(H741="","",VLOOKUP(H741,pais[#ALL],2,0))</f>
        <v/>
      </c>
    </row>
    <row r="742">
      <c r="A742" s="21"/>
      <c r="B742" s="21"/>
      <c r="C742" s="21"/>
      <c r="D742" s="21"/>
      <c r="E742" s="21"/>
      <c r="F742" s="21"/>
      <c r="G742" s="21"/>
      <c r="H742" s="21"/>
      <c r="I742" s="21" t="str">
        <f>IF(E742="","",VLOOKUP(E742,tipo_organizacion[#ALL],2,0))</f>
        <v/>
      </c>
      <c r="J742" s="21" t="str">
        <f>IF(F742="","",VLOOKUP(F742,razon_social[#ALL],2,0))</f>
        <v/>
      </c>
      <c r="K742" s="21" t="str">
        <f>IF(G742="","",VLOOKUP(G742,tipo_contribuyente[#ALL],2,0))</f>
        <v/>
      </c>
      <c r="L742" s="21" t="str">
        <f>IF(H742="","",VLOOKUP(H742,pais[#ALL],2,0))</f>
        <v/>
      </c>
    </row>
    <row r="743">
      <c r="A743" s="21"/>
      <c r="B743" s="21"/>
      <c r="C743" s="21"/>
      <c r="D743" s="21"/>
      <c r="E743" s="21"/>
      <c r="F743" s="21"/>
      <c r="G743" s="21"/>
      <c r="H743" s="21"/>
      <c r="I743" s="21" t="str">
        <f>IF(E743="","",VLOOKUP(E743,tipo_organizacion[#ALL],2,0))</f>
        <v/>
      </c>
      <c r="J743" s="21" t="str">
        <f>IF(F743="","",VLOOKUP(F743,razon_social[#ALL],2,0))</f>
        <v/>
      </c>
      <c r="K743" s="21" t="str">
        <f>IF(G743="","",VLOOKUP(G743,tipo_contribuyente[#ALL],2,0))</f>
        <v/>
      </c>
      <c r="L743" s="21" t="str">
        <f>IF(H743="","",VLOOKUP(H743,pais[#ALL],2,0))</f>
        <v/>
      </c>
    </row>
    <row r="744">
      <c r="A744" s="21"/>
      <c r="B744" s="21"/>
      <c r="C744" s="21"/>
      <c r="D744" s="21"/>
      <c r="E744" s="21"/>
      <c r="F744" s="21"/>
      <c r="G744" s="21"/>
      <c r="H744" s="21"/>
      <c r="I744" s="21" t="str">
        <f>IF(E744="","",VLOOKUP(E744,tipo_organizacion[#ALL],2,0))</f>
        <v/>
      </c>
      <c r="J744" s="21" t="str">
        <f>IF(F744="","",VLOOKUP(F744,razon_social[#ALL],2,0))</f>
        <v/>
      </c>
      <c r="K744" s="21" t="str">
        <f>IF(G744="","",VLOOKUP(G744,tipo_contribuyente[#ALL],2,0))</f>
        <v/>
      </c>
      <c r="L744" s="21" t="str">
        <f>IF(H744="","",VLOOKUP(H744,pais[#ALL],2,0))</f>
        <v/>
      </c>
    </row>
    <row r="745">
      <c r="A745" s="21"/>
      <c r="B745" s="21"/>
      <c r="C745" s="21"/>
      <c r="D745" s="21"/>
      <c r="E745" s="21"/>
      <c r="F745" s="21"/>
      <c r="G745" s="21"/>
      <c r="H745" s="21"/>
      <c r="I745" s="21" t="str">
        <f>IF(E745="","",VLOOKUP(E745,tipo_organizacion[#ALL],2,0))</f>
        <v/>
      </c>
      <c r="J745" s="21" t="str">
        <f>IF(F745="","",VLOOKUP(F745,razon_social[#ALL],2,0))</f>
        <v/>
      </c>
      <c r="K745" s="21" t="str">
        <f>IF(G745="","",VLOOKUP(G745,tipo_contribuyente[#ALL],2,0))</f>
        <v/>
      </c>
      <c r="L745" s="21" t="str">
        <f>IF(H745="","",VLOOKUP(H745,pais[#ALL],2,0))</f>
        <v/>
      </c>
    </row>
    <row r="746">
      <c r="A746" s="21"/>
      <c r="B746" s="21"/>
      <c r="C746" s="21"/>
      <c r="D746" s="21"/>
      <c r="E746" s="21"/>
      <c r="F746" s="21"/>
      <c r="G746" s="21"/>
      <c r="H746" s="21"/>
      <c r="I746" s="21" t="str">
        <f>IF(E746="","",VLOOKUP(E746,tipo_organizacion[#ALL],2,0))</f>
        <v/>
      </c>
      <c r="J746" s="21" t="str">
        <f>IF(F746="","",VLOOKUP(F746,razon_social[#ALL],2,0))</f>
        <v/>
      </c>
      <c r="K746" s="21" t="str">
        <f>IF(G746="","",VLOOKUP(G746,tipo_contribuyente[#ALL],2,0))</f>
        <v/>
      </c>
      <c r="L746" s="21" t="str">
        <f>IF(H746="","",VLOOKUP(H746,pais[#ALL],2,0))</f>
        <v/>
      </c>
    </row>
    <row r="747">
      <c r="A747" s="21"/>
      <c r="B747" s="21"/>
      <c r="C747" s="21"/>
      <c r="D747" s="21"/>
      <c r="E747" s="21"/>
      <c r="F747" s="21"/>
      <c r="G747" s="21"/>
      <c r="H747" s="21"/>
      <c r="I747" s="21" t="str">
        <f>IF(E747="","",VLOOKUP(E747,tipo_organizacion[#ALL],2,0))</f>
        <v/>
      </c>
      <c r="J747" s="21" t="str">
        <f>IF(F747="","",VLOOKUP(F747,razon_social[#ALL],2,0))</f>
        <v/>
      </c>
      <c r="K747" s="21" t="str">
        <f>IF(G747="","",VLOOKUP(G747,tipo_contribuyente[#ALL],2,0))</f>
        <v/>
      </c>
      <c r="L747" s="21" t="str">
        <f>IF(H747="","",VLOOKUP(H747,pais[#ALL],2,0))</f>
        <v/>
      </c>
    </row>
    <row r="748">
      <c r="A748" s="21"/>
      <c r="B748" s="21"/>
      <c r="C748" s="21"/>
      <c r="D748" s="21"/>
      <c r="E748" s="21"/>
      <c r="F748" s="21"/>
      <c r="G748" s="21"/>
      <c r="H748" s="21"/>
      <c r="I748" s="21" t="str">
        <f>IF(E748="","",VLOOKUP(E748,tipo_organizacion[#ALL],2,0))</f>
        <v/>
      </c>
      <c r="J748" s="21" t="str">
        <f>IF(F748="","",VLOOKUP(F748,razon_social[#ALL],2,0))</f>
        <v/>
      </c>
      <c r="K748" s="21" t="str">
        <f>IF(G748="","",VLOOKUP(G748,tipo_contribuyente[#ALL],2,0))</f>
        <v/>
      </c>
      <c r="L748" s="21" t="str">
        <f>IF(H748="","",VLOOKUP(H748,pais[#ALL],2,0))</f>
        <v/>
      </c>
    </row>
    <row r="749">
      <c r="A749" s="21"/>
      <c r="B749" s="21"/>
      <c r="C749" s="21"/>
      <c r="D749" s="21"/>
      <c r="E749" s="21"/>
      <c r="F749" s="21"/>
      <c r="G749" s="21"/>
      <c r="H749" s="21"/>
      <c r="I749" s="21" t="str">
        <f>IF(E749="","",VLOOKUP(E749,tipo_organizacion[#ALL],2,0))</f>
        <v/>
      </c>
      <c r="J749" s="21" t="str">
        <f>IF(F749="","",VLOOKUP(F749,razon_social[#ALL],2,0))</f>
        <v/>
      </c>
      <c r="K749" s="21" t="str">
        <f>IF(G749="","",VLOOKUP(G749,tipo_contribuyente[#ALL],2,0))</f>
        <v/>
      </c>
      <c r="L749" s="21" t="str">
        <f>IF(H749="","",VLOOKUP(H749,pais[#ALL],2,0))</f>
        <v/>
      </c>
    </row>
    <row r="750">
      <c r="A750" s="21"/>
      <c r="B750" s="21"/>
      <c r="C750" s="21"/>
      <c r="D750" s="21"/>
      <c r="E750" s="21"/>
      <c r="F750" s="21"/>
      <c r="G750" s="21"/>
      <c r="H750" s="21"/>
      <c r="I750" s="21" t="str">
        <f>IF(E750="","",VLOOKUP(E750,tipo_organizacion[#ALL],2,0))</f>
        <v/>
      </c>
      <c r="J750" s="21" t="str">
        <f>IF(F750="","",VLOOKUP(F750,razon_social[#ALL],2,0))</f>
        <v/>
      </c>
      <c r="K750" s="21" t="str">
        <f>IF(G750="","",VLOOKUP(G750,tipo_contribuyente[#ALL],2,0))</f>
        <v/>
      </c>
      <c r="L750" s="21" t="str">
        <f>IF(H750="","",VLOOKUP(H750,pais[#ALL],2,0))</f>
        <v/>
      </c>
    </row>
    <row r="751">
      <c r="A751" s="21"/>
      <c r="B751" s="21"/>
      <c r="C751" s="21"/>
      <c r="D751" s="21"/>
      <c r="E751" s="21"/>
      <c r="F751" s="21"/>
      <c r="G751" s="21"/>
      <c r="H751" s="21"/>
      <c r="I751" s="21" t="str">
        <f>IF(E751="","",VLOOKUP(E751,tipo_organizacion[#ALL],2,0))</f>
        <v/>
      </c>
      <c r="J751" s="21" t="str">
        <f>IF(F751="","",VLOOKUP(F751,razon_social[#ALL],2,0))</f>
        <v/>
      </c>
      <c r="K751" s="21" t="str">
        <f>IF(G751="","",VLOOKUP(G751,tipo_contribuyente[#ALL],2,0))</f>
        <v/>
      </c>
      <c r="L751" s="21" t="str">
        <f>IF(H751="","",VLOOKUP(H751,pais[#ALL],2,0))</f>
        <v/>
      </c>
    </row>
    <row r="752">
      <c r="A752" s="21"/>
      <c r="B752" s="21"/>
      <c r="C752" s="21"/>
      <c r="D752" s="21"/>
      <c r="E752" s="21"/>
      <c r="F752" s="21"/>
      <c r="G752" s="21"/>
      <c r="H752" s="21"/>
      <c r="I752" s="21" t="str">
        <f>IF(E752="","",VLOOKUP(E752,tipo_organizacion[#ALL],2,0))</f>
        <v/>
      </c>
      <c r="J752" s="21" t="str">
        <f>IF(F752="","",VLOOKUP(F752,razon_social[#ALL],2,0))</f>
        <v/>
      </c>
      <c r="K752" s="21" t="str">
        <f>IF(G752="","",VLOOKUP(G752,tipo_contribuyente[#ALL],2,0))</f>
        <v/>
      </c>
      <c r="L752" s="21" t="str">
        <f>IF(H752="","",VLOOKUP(H752,pais[#ALL],2,0))</f>
        <v/>
      </c>
    </row>
    <row r="753">
      <c r="A753" s="21"/>
      <c r="B753" s="21"/>
      <c r="C753" s="21"/>
      <c r="D753" s="21"/>
      <c r="E753" s="21"/>
      <c r="F753" s="21"/>
      <c r="G753" s="21"/>
      <c r="H753" s="21"/>
      <c r="I753" s="21" t="str">
        <f>IF(E753="","",VLOOKUP(E753,tipo_organizacion[#ALL],2,0))</f>
        <v/>
      </c>
      <c r="J753" s="21" t="str">
        <f>IF(F753="","",VLOOKUP(F753,razon_social[#ALL],2,0))</f>
        <v/>
      </c>
      <c r="K753" s="21" t="str">
        <f>IF(G753="","",VLOOKUP(G753,tipo_contribuyente[#ALL],2,0))</f>
        <v/>
      </c>
      <c r="L753" s="21" t="str">
        <f>IF(H753="","",VLOOKUP(H753,pais[#ALL],2,0))</f>
        <v/>
      </c>
    </row>
    <row r="754">
      <c r="A754" s="21"/>
      <c r="B754" s="21"/>
      <c r="C754" s="21"/>
      <c r="D754" s="21"/>
      <c r="E754" s="21"/>
      <c r="F754" s="21"/>
      <c r="G754" s="21"/>
      <c r="H754" s="21"/>
      <c r="I754" s="21" t="str">
        <f>IF(E754="","",VLOOKUP(E754,tipo_organizacion[#ALL],2,0))</f>
        <v/>
      </c>
      <c r="J754" s="21" t="str">
        <f>IF(F754="","",VLOOKUP(F754,razon_social[#ALL],2,0))</f>
        <v/>
      </c>
      <c r="K754" s="21" t="str">
        <f>IF(G754="","",VLOOKUP(G754,tipo_contribuyente[#ALL],2,0))</f>
        <v/>
      </c>
      <c r="L754" s="21" t="str">
        <f>IF(H754="","",VLOOKUP(H754,pais[#ALL],2,0))</f>
        <v/>
      </c>
    </row>
    <row r="755">
      <c r="A755" s="21"/>
      <c r="B755" s="21"/>
      <c r="C755" s="21"/>
      <c r="D755" s="21"/>
      <c r="E755" s="21"/>
      <c r="F755" s="21"/>
      <c r="G755" s="21"/>
      <c r="H755" s="21"/>
      <c r="I755" s="21" t="str">
        <f>IF(E755="","",VLOOKUP(E755,tipo_organizacion[#ALL],2,0))</f>
        <v/>
      </c>
      <c r="J755" s="21" t="str">
        <f>IF(F755="","",VLOOKUP(F755,razon_social[#ALL],2,0))</f>
        <v/>
      </c>
      <c r="K755" s="21" t="str">
        <f>IF(G755="","",VLOOKUP(G755,tipo_contribuyente[#ALL],2,0))</f>
        <v/>
      </c>
      <c r="L755" s="21" t="str">
        <f>IF(H755="","",VLOOKUP(H755,pais[#ALL],2,0))</f>
        <v/>
      </c>
    </row>
    <row r="756">
      <c r="A756" s="21"/>
      <c r="B756" s="21"/>
      <c r="C756" s="21"/>
      <c r="D756" s="21"/>
      <c r="E756" s="21"/>
      <c r="F756" s="21"/>
      <c r="G756" s="21"/>
      <c r="H756" s="21"/>
      <c r="I756" s="21" t="str">
        <f>IF(E756="","",VLOOKUP(E756,tipo_organizacion[#ALL],2,0))</f>
        <v/>
      </c>
      <c r="J756" s="21" t="str">
        <f>IF(F756="","",VLOOKUP(F756,razon_social[#ALL],2,0))</f>
        <v/>
      </c>
      <c r="K756" s="21" t="str">
        <f>IF(G756="","",VLOOKUP(G756,tipo_contribuyente[#ALL],2,0))</f>
        <v/>
      </c>
      <c r="L756" s="21" t="str">
        <f>IF(H756="","",VLOOKUP(H756,pais[#ALL],2,0))</f>
        <v/>
      </c>
    </row>
    <row r="757">
      <c r="A757" s="21"/>
      <c r="B757" s="21"/>
      <c r="C757" s="21"/>
      <c r="D757" s="21"/>
      <c r="E757" s="21"/>
      <c r="F757" s="21"/>
      <c r="G757" s="21"/>
      <c r="H757" s="21"/>
      <c r="I757" s="21" t="str">
        <f>IF(E757="","",VLOOKUP(E757,tipo_organizacion[#ALL],2,0))</f>
        <v/>
      </c>
      <c r="J757" s="21" t="str">
        <f>IF(F757="","",VLOOKUP(F757,razon_social[#ALL],2,0))</f>
        <v/>
      </c>
      <c r="K757" s="21" t="str">
        <f>IF(G757="","",VLOOKUP(G757,tipo_contribuyente[#ALL],2,0))</f>
        <v/>
      </c>
      <c r="L757" s="21" t="str">
        <f>IF(H757="","",VLOOKUP(H757,pais[#ALL],2,0))</f>
        <v/>
      </c>
    </row>
    <row r="758">
      <c r="A758" s="21"/>
      <c r="B758" s="21"/>
      <c r="C758" s="21"/>
      <c r="D758" s="21"/>
      <c r="E758" s="21"/>
      <c r="F758" s="21"/>
      <c r="G758" s="21"/>
      <c r="H758" s="21"/>
      <c r="I758" s="21" t="str">
        <f>IF(E758="","",VLOOKUP(E758,tipo_organizacion[#ALL],2,0))</f>
        <v/>
      </c>
      <c r="J758" s="21" t="str">
        <f>IF(F758="","",VLOOKUP(F758,razon_social[#ALL],2,0))</f>
        <v/>
      </c>
      <c r="K758" s="21" t="str">
        <f>IF(G758="","",VLOOKUP(G758,tipo_contribuyente[#ALL],2,0))</f>
        <v/>
      </c>
      <c r="L758" s="21" t="str">
        <f>IF(H758="","",VLOOKUP(H758,pais[#ALL],2,0))</f>
        <v/>
      </c>
    </row>
    <row r="759">
      <c r="A759" s="21"/>
      <c r="B759" s="21"/>
      <c r="C759" s="21"/>
      <c r="D759" s="21"/>
      <c r="E759" s="21"/>
      <c r="F759" s="21"/>
      <c r="G759" s="21"/>
      <c r="H759" s="21"/>
      <c r="I759" s="21" t="str">
        <f>IF(E759="","",VLOOKUP(E759,tipo_organizacion[#ALL],2,0))</f>
        <v/>
      </c>
      <c r="J759" s="21" t="str">
        <f>IF(F759="","",VLOOKUP(F759,razon_social[#ALL],2,0))</f>
        <v/>
      </c>
      <c r="K759" s="21" t="str">
        <f>IF(G759="","",VLOOKUP(G759,tipo_contribuyente[#ALL],2,0))</f>
        <v/>
      </c>
      <c r="L759" s="21" t="str">
        <f>IF(H759="","",VLOOKUP(H759,pais[#ALL],2,0))</f>
        <v/>
      </c>
    </row>
    <row r="760">
      <c r="A760" s="21"/>
      <c r="B760" s="21"/>
      <c r="C760" s="21"/>
      <c r="D760" s="21"/>
      <c r="E760" s="21"/>
      <c r="F760" s="21"/>
      <c r="G760" s="21"/>
      <c r="H760" s="21"/>
      <c r="I760" s="21" t="str">
        <f>IF(E760="","",VLOOKUP(E760,tipo_organizacion[#ALL],2,0))</f>
        <v/>
      </c>
      <c r="J760" s="21" t="str">
        <f>IF(F760="","",VLOOKUP(F760,razon_social[#ALL],2,0))</f>
        <v/>
      </c>
      <c r="K760" s="21" t="str">
        <f>IF(G760="","",VLOOKUP(G760,tipo_contribuyente[#ALL],2,0))</f>
        <v/>
      </c>
      <c r="L760" s="21" t="str">
        <f>IF(H760="","",VLOOKUP(H760,pais[#ALL],2,0))</f>
        <v/>
      </c>
    </row>
    <row r="761">
      <c r="A761" s="21"/>
      <c r="B761" s="21"/>
      <c r="C761" s="21"/>
      <c r="D761" s="21"/>
      <c r="E761" s="21"/>
      <c r="F761" s="21"/>
      <c r="G761" s="21"/>
      <c r="H761" s="21"/>
      <c r="I761" s="21" t="str">
        <f>IF(E761="","",VLOOKUP(E761,tipo_organizacion[#ALL],2,0))</f>
        <v/>
      </c>
      <c r="J761" s="21" t="str">
        <f>IF(F761="","",VLOOKUP(F761,razon_social[#ALL],2,0))</f>
        <v/>
      </c>
      <c r="K761" s="21" t="str">
        <f>IF(G761="","",VLOOKUP(G761,tipo_contribuyente[#ALL],2,0))</f>
        <v/>
      </c>
      <c r="L761" s="21" t="str">
        <f>IF(H761="","",VLOOKUP(H761,pais[#ALL],2,0))</f>
        <v/>
      </c>
    </row>
    <row r="762">
      <c r="A762" s="21"/>
      <c r="B762" s="21"/>
      <c r="C762" s="21"/>
      <c r="D762" s="21"/>
      <c r="E762" s="21"/>
      <c r="F762" s="21"/>
      <c r="G762" s="21"/>
      <c r="H762" s="21"/>
      <c r="I762" s="21" t="str">
        <f>IF(E762="","",VLOOKUP(E762,tipo_organizacion[#ALL],2,0))</f>
        <v/>
      </c>
      <c r="J762" s="21" t="str">
        <f>IF(F762="","",VLOOKUP(F762,razon_social[#ALL],2,0))</f>
        <v/>
      </c>
      <c r="K762" s="21" t="str">
        <f>IF(G762="","",VLOOKUP(G762,tipo_contribuyente[#ALL],2,0))</f>
        <v/>
      </c>
      <c r="L762" s="21" t="str">
        <f>IF(H762="","",VLOOKUP(H762,pais[#ALL],2,0))</f>
        <v/>
      </c>
    </row>
    <row r="763">
      <c r="A763" s="21"/>
      <c r="B763" s="21"/>
      <c r="C763" s="21"/>
      <c r="D763" s="21"/>
      <c r="E763" s="21"/>
      <c r="F763" s="21"/>
      <c r="G763" s="21"/>
      <c r="H763" s="21"/>
      <c r="I763" s="21" t="str">
        <f>IF(E763="","",VLOOKUP(E763,tipo_organizacion[#ALL],2,0))</f>
        <v/>
      </c>
      <c r="J763" s="21" t="str">
        <f>IF(F763="","",VLOOKUP(F763,razon_social[#ALL],2,0))</f>
        <v/>
      </c>
      <c r="K763" s="21" t="str">
        <f>IF(G763="","",VLOOKUP(G763,tipo_contribuyente[#ALL],2,0))</f>
        <v/>
      </c>
      <c r="L763" s="21" t="str">
        <f>IF(H763="","",VLOOKUP(H763,pais[#ALL],2,0))</f>
        <v/>
      </c>
    </row>
    <row r="764">
      <c r="A764" s="21"/>
      <c r="B764" s="21"/>
      <c r="C764" s="21"/>
      <c r="D764" s="21"/>
      <c r="E764" s="21"/>
      <c r="F764" s="21"/>
      <c r="G764" s="21"/>
      <c r="H764" s="21"/>
      <c r="I764" s="21" t="str">
        <f>IF(E764="","",VLOOKUP(E764,tipo_organizacion[#ALL],2,0))</f>
        <v/>
      </c>
      <c r="J764" s="21" t="str">
        <f>IF(F764="","",VLOOKUP(F764,razon_social[#ALL],2,0))</f>
        <v/>
      </c>
      <c r="K764" s="21" t="str">
        <f>IF(G764="","",VLOOKUP(G764,tipo_contribuyente[#ALL],2,0))</f>
        <v/>
      </c>
      <c r="L764" s="21" t="str">
        <f>IF(H764="","",VLOOKUP(H764,pais[#ALL],2,0))</f>
        <v/>
      </c>
    </row>
    <row r="765">
      <c r="A765" s="21"/>
      <c r="B765" s="21"/>
      <c r="C765" s="21"/>
      <c r="D765" s="21"/>
      <c r="E765" s="21"/>
      <c r="F765" s="21"/>
      <c r="G765" s="21"/>
      <c r="H765" s="21"/>
      <c r="I765" s="21" t="str">
        <f>IF(E765="","",VLOOKUP(E765,tipo_organizacion[#ALL],2,0))</f>
        <v/>
      </c>
      <c r="J765" s="21" t="str">
        <f>IF(F765="","",VLOOKUP(F765,razon_social[#ALL],2,0))</f>
        <v/>
      </c>
      <c r="K765" s="21" t="str">
        <f>IF(G765="","",VLOOKUP(G765,tipo_contribuyente[#ALL],2,0))</f>
        <v/>
      </c>
      <c r="L765" s="21" t="str">
        <f>IF(H765="","",VLOOKUP(H765,pais[#ALL],2,0))</f>
        <v/>
      </c>
    </row>
    <row r="766">
      <c r="A766" s="21"/>
      <c r="B766" s="21"/>
      <c r="C766" s="21"/>
      <c r="D766" s="21"/>
      <c r="E766" s="21"/>
      <c r="F766" s="21"/>
      <c r="G766" s="21"/>
      <c r="H766" s="21"/>
      <c r="I766" s="21" t="str">
        <f>IF(E766="","",VLOOKUP(E766,tipo_organizacion[#ALL],2,0))</f>
        <v/>
      </c>
      <c r="J766" s="21" t="str">
        <f>IF(F766="","",VLOOKUP(F766,razon_social[#ALL],2,0))</f>
        <v/>
      </c>
      <c r="K766" s="21" t="str">
        <f>IF(G766="","",VLOOKUP(G766,tipo_contribuyente[#ALL],2,0))</f>
        <v/>
      </c>
      <c r="L766" s="21" t="str">
        <f>IF(H766="","",VLOOKUP(H766,pais[#ALL],2,0))</f>
        <v/>
      </c>
    </row>
    <row r="767">
      <c r="A767" s="21"/>
      <c r="B767" s="21"/>
      <c r="C767" s="21"/>
      <c r="D767" s="21"/>
      <c r="E767" s="21"/>
      <c r="F767" s="21"/>
      <c r="G767" s="21"/>
      <c r="H767" s="21"/>
      <c r="I767" s="21" t="str">
        <f>IF(E767="","",VLOOKUP(E767,tipo_organizacion[#ALL],2,0))</f>
        <v/>
      </c>
      <c r="J767" s="21" t="str">
        <f>IF(F767="","",VLOOKUP(F767,razon_social[#ALL],2,0))</f>
        <v/>
      </c>
      <c r="K767" s="21" t="str">
        <f>IF(G767="","",VLOOKUP(G767,tipo_contribuyente[#ALL],2,0))</f>
        <v/>
      </c>
      <c r="L767" s="21" t="str">
        <f>IF(H767="","",VLOOKUP(H767,pais[#ALL],2,0))</f>
        <v/>
      </c>
    </row>
    <row r="768">
      <c r="A768" s="21"/>
      <c r="B768" s="21"/>
      <c r="C768" s="21"/>
      <c r="D768" s="21"/>
      <c r="E768" s="21"/>
      <c r="F768" s="21"/>
      <c r="G768" s="21"/>
      <c r="H768" s="21"/>
      <c r="I768" s="21" t="str">
        <f>IF(E768="","",VLOOKUP(E768,tipo_organizacion[#ALL],2,0))</f>
        <v/>
      </c>
      <c r="J768" s="21" t="str">
        <f>IF(F768="","",VLOOKUP(F768,razon_social[#ALL],2,0))</f>
        <v/>
      </c>
      <c r="K768" s="21" t="str">
        <f>IF(G768="","",VLOOKUP(G768,tipo_contribuyente[#ALL],2,0))</f>
        <v/>
      </c>
      <c r="L768" s="21" t="str">
        <f>IF(H768="","",VLOOKUP(H768,pais[#ALL],2,0))</f>
        <v/>
      </c>
    </row>
    <row r="769">
      <c r="A769" s="21"/>
      <c r="B769" s="21"/>
      <c r="C769" s="21"/>
      <c r="D769" s="21"/>
      <c r="E769" s="21"/>
      <c r="F769" s="21"/>
      <c r="G769" s="21"/>
      <c r="H769" s="21"/>
      <c r="I769" s="21" t="str">
        <f>IF(E769="","",VLOOKUP(E769,tipo_organizacion[#ALL],2,0))</f>
        <v/>
      </c>
      <c r="J769" s="21" t="str">
        <f>IF(F769="","",VLOOKUP(F769,razon_social[#ALL],2,0))</f>
        <v/>
      </c>
      <c r="K769" s="21" t="str">
        <f>IF(G769="","",VLOOKUP(G769,tipo_contribuyente[#ALL],2,0))</f>
        <v/>
      </c>
      <c r="L769" s="21" t="str">
        <f>IF(H769="","",VLOOKUP(H769,pais[#ALL],2,0))</f>
        <v/>
      </c>
    </row>
    <row r="770">
      <c r="A770" s="21"/>
      <c r="B770" s="21"/>
      <c r="C770" s="21"/>
      <c r="D770" s="21"/>
      <c r="E770" s="21"/>
      <c r="F770" s="21"/>
      <c r="G770" s="21"/>
      <c r="H770" s="21"/>
      <c r="I770" s="21" t="str">
        <f>IF(E770="","",VLOOKUP(E770,tipo_organizacion[#ALL],2,0))</f>
        <v/>
      </c>
      <c r="J770" s="21" t="str">
        <f>IF(F770="","",VLOOKUP(F770,razon_social[#ALL],2,0))</f>
        <v/>
      </c>
      <c r="K770" s="21" t="str">
        <f>IF(G770="","",VLOOKUP(G770,tipo_contribuyente[#ALL],2,0))</f>
        <v/>
      </c>
      <c r="L770" s="21" t="str">
        <f>IF(H770="","",VLOOKUP(H770,pais[#ALL],2,0))</f>
        <v/>
      </c>
    </row>
    <row r="771">
      <c r="A771" s="21"/>
      <c r="B771" s="21"/>
      <c r="C771" s="21"/>
      <c r="D771" s="21"/>
      <c r="E771" s="21"/>
      <c r="F771" s="21"/>
      <c r="G771" s="21"/>
      <c r="H771" s="21"/>
      <c r="I771" s="21" t="str">
        <f>IF(E771="","",VLOOKUP(E771,tipo_organizacion[#ALL],2,0))</f>
        <v/>
      </c>
      <c r="J771" s="21" t="str">
        <f>IF(F771="","",VLOOKUP(F771,razon_social[#ALL],2,0))</f>
        <v/>
      </c>
      <c r="K771" s="21" t="str">
        <f>IF(G771="","",VLOOKUP(G771,tipo_contribuyente[#ALL],2,0))</f>
        <v/>
      </c>
      <c r="L771" s="21" t="str">
        <f>IF(H771="","",VLOOKUP(H771,pais[#ALL],2,0))</f>
        <v/>
      </c>
    </row>
    <row r="772">
      <c r="A772" s="21"/>
      <c r="B772" s="21"/>
      <c r="C772" s="21"/>
      <c r="D772" s="21"/>
      <c r="E772" s="21"/>
      <c r="F772" s="21"/>
      <c r="G772" s="21"/>
      <c r="H772" s="21"/>
      <c r="I772" s="21" t="str">
        <f>IF(E772="","",VLOOKUP(E772,tipo_organizacion[#ALL],2,0))</f>
        <v/>
      </c>
      <c r="J772" s="21" t="str">
        <f>IF(F772="","",VLOOKUP(F772,razon_social[#ALL],2,0))</f>
        <v/>
      </c>
      <c r="K772" s="21" t="str">
        <f>IF(G772="","",VLOOKUP(G772,tipo_contribuyente[#ALL],2,0))</f>
        <v/>
      </c>
      <c r="L772" s="21" t="str">
        <f>IF(H772="","",VLOOKUP(H772,pais[#ALL],2,0))</f>
        <v/>
      </c>
    </row>
    <row r="773">
      <c r="A773" s="21"/>
      <c r="B773" s="21"/>
      <c r="C773" s="21"/>
      <c r="D773" s="21"/>
      <c r="E773" s="21"/>
      <c r="F773" s="21"/>
      <c r="G773" s="21"/>
      <c r="H773" s="21"/>
      <c r="I773" s="21" t="str">
        <f>IF(E773="","",VLOOKUP(E773,tipo_organizacion[#ALL],2,0))</f>
        <v/>
      </c>
      <c r="J773" s="21" t="str">
        <f>IF(F773="","",VLOOKUP(F773,razon_social[#ALL],2,0))</f>
        <v/>
      </c>
      <c r="K773" s="21" t="str">
        <f>IF(G773="","",VLOOKUP(G773,tipo_contribuyente[#ALL],2,0))</f>
        <v/>
      </c>
      <c r="L773" s="21" t="str">
        <f>IF(H773="","",VLOOKUP(H773,pais[#ALL],2,0))</f>
        <v/>
      </c>
    </row>
    <row r="774">
      <c r="A774" s="21"/>
      <c r="B774" s="21"/>
      <c r="C774" s="21"/>
      <c r="D774" s="21"/>
      <c r="E774" s="21"/>
      <c r="F774" s="21"/>
      <c r="G774" s="21"/>
      <c r="H774" s="21"/>
      <c r="I774" s="21" t="str">
        <f>IF(E774="","",VLOOKUP(E774,tipo_organizacion[#ALL],2,0))</f>
        <v/>
      </c>
      <c r="J774" s="21" t="str">
        <f>IF(F774="","",VLOOKUP(F774,razon_social[#ALL],2,0))</f>
        <v/>
      </c>
      <c r="K774" s="21" t="str">
        <f>IF(G774="","",VLOOKUP(G774,tipo_contribuyente[#ALL],2,0))</f>
        <v/>
      </c>
      <c r="L774" s="21" t="str">
        <f>IF(H774="","",VLOOKUP(H774,pais[#ALL],2,0))</f>
        <v/>
      </c>
    </row>
    <row r="775">
      <c r="A775" s="21"/>
      <c r="B775" s="21"/>
      <c r="C775" s="21"/>
      <c r="D775" s="21"/>
      <c r="E775" s="21"/>
      <c r="F775" s="21"/>
      <c r="G775" s="21"/>
      <c r="H775" s="21"/>
      <c r="I775" s="21" t="str">
        <f>IF(E775="","",VLOOKUP(E775,tipo_organizacion[#ALL],2,0))</f>
        <v/>
      </c>
      <c r="J775" s="21" t="str">
        <f>IF(F775="","",VLOOKUP(F775,razon_social[#ALL],2,0))</f>
        <v/>
      </c>
      <c r="K775" s="21" t="str">
        <f>IF(G775="","",VLOOKUP(G775,tipo_contribuyente[#ALL],2,0))</f>
        <v/>
      </c>
      <c r="L775" s="21" t="str">
        <f>IF(H775="","",VLOOKUP(H775,pais[#ALL],2,0))</f>
        <v/>
      </c>
    </row>
    <row r="776">
      <c r="A776" s="21"/>
      <c r="B776" s="21"/>
      <c r="C776" s="21"/>
      <c r="D776" s="21"/>
      <c r="E776" s="21"/>
      <c r="F776" s="21"/>
      <c r="G776" s="21"/>
      <c r="H776" s="21"/>
      <c r="I776" s="21" t="str">
        <f>IF(E776="","",VLOOKUP(E776,tipo_organizacion[#ALL],2,0))</f>
        <v/>
      </c>
      <c r="J776" s="21" t="str">
        <f>IF(F776="","",VLOOKUP(F776,razon_social[#ALL],2,0))</f>
        <v/>
      </c>
      <c r="K776" s="21" t="str">
        <f>IF(G776="","",VLOOKUP(G776,tipo_contribuyente[#ALL],2,0))</f>
        <v/>
      </c>
      <c r="L776" s="21" t="str">
        <f>IF(H776="","",VLOOKUP(H776,pais[#ALL],2,0))</f>
        <v/>
      </c>
    </row>
    <row r="777">
      <c r="A777" s="21"/>
      <c r="B777" s="21"/>
      <c r="C777" s="21"/>
      <c r="D777" s="21"/>
      <c r="E777" s="21"/>
      <c r="F777" s="21"/>
      <c r="G777" s="21"/>
      <c r="H777" s="21"/>
      <c r="I777" s="21" t="str">
        <f>IF(E777="","",VLOOKUP(E777,tipo_organizacion[#ALL],2,0))</f>
        <v/>
      </c>
      <c r="J777" s="21" t="str">
        <f>IF(F777="","",VLOOKUP(F777,razon_social[#ALL],2,0))</f>
        <v/>
      </c>
      <c r="K777" s="21" t="str">
        <f>IF(G777="","",VLOOKUP(G777,tipo_contribuyente[#ALL],2,0))</f>
        <v/>
      </c>
      <c r="L777" s="21" t="str">
        <f>IF(H777="","",VLOOKUP(H777,pais[#ALL],2,0))</f>
        <v/>
      </c>
    </row>
    <row r="778">
      <c r="A778" s="21"/>
      <c r="B778" s="21"/>
      <c r="C778" s="21"/>
      <c r="D778" s="21"/>
      <c r="E778" s="21"/>
      <c r="F778" s="21"/>
      <c r="G778" s="21"/>
      <c r="H778" s="21"/>
      <c r="I778" s="21" t="str">
        <f>IF(E778="","",VLOOKUP(E778,tipo_organizacion[#ALL],2,0))</f>
        <v/>
      </c>
      <c r="J778" s="21" t="str">
        <f>IF(F778="","",VLOOKUP(F778,razon_social[#ALL],2,0))</f>
        <v/>
      </c>
      <c r="K778" s="21" t="str">
        <f>IF(G778="","",VLOOKUP(G778,tipo_contribuyente[#ALL],2,0))</f>
        <v/>
      </c>
      <c r="L778" s="21" t="str">
        <f>IF(H778="","",VLOOKUP(H778,pais[#ALL],2,0))</f>
        <v/>
      </c>
    </row>
    <row r="779">
      <c r="A779" s="21"/>
      <c r="B779" s="21"/>
      <c r="C779" s="21"/>
      <c r="D779" s="21"/>
      <c r="E779" s="21"/>
      <c r="F779" s="21"/>
      <c r="G779" s="21"/>
      <c r="H779" s="21"/>
      <c r="I779" s="21" t="str">
        <f>IF(E779="","",VLOOKUP(E779,tipo_organizacion[#ALL],2,0))</f>
        <v/>
      </c>
      <c r="J779" s="21" t="str">
        <f>IF(F779="","",VLOOKUP(F779,razon_social[#ALL],2,0))</f>
        <v/>
      </c>
      <c r="K779" s="21" t="str">
        <f>IF(G779="","",VLOOKUP(G779,tipo_contribuyente[#ALL],2,0))</f>
        <v/>
      </c>
      <c r="L779" s="21" t="str">
        <f>IF(H779="","",VLOOKUP(H779,pais[#ALL],2,0))</f>
        <v/>
      </c>
    </row>
    <row r="780">
      <c r="A780" s="21"/>
      <c r="B780" s="21"/>
      <c r="C780" s="21"/>
      <c r="D780" s="21"/>
      <c r="E780" s="21"/>
      <c r="F780" s="21"/>
      <c r="G780" s="21"/>
      <c r="H780" s="21"/>
      <c r="I780" s="21" t="str">
        <f>IF(E780="","",VLOOKUP(E780,tipo_organizacion[#ALL],2,0))</f>
        <v/>
      </c>
      <c r="J780" s="21" t="str">
        <f>IF(F780="","",VLOOKUP(F780,razon_social[#ALL],2,0))</f>
        <v/>
      </c>
      <c r="K780" s="21" t="str">
        <f>IF(G780="","",VLOOKUP(G780,tipo_contribuyente[#ALL],2,0))</f>
        <v/>
      </c>
      <c r="L780" s="21" t="str">
        <f>IF(H780="","",VLOOKUP(H780,pais[#ALL],2,0))</f>
        <v/>
      </c>
    </row>
    <row r="781">
      <c r="A781" s="21"/>
      <c r="B781" s="21"/>
      <c r="C781" s="21"/>
      <c r="D781" s="21"/>
      <c r="E781" s="21"/>
      <c r="F781" s="21"/>
      <c r="G781" s="21"/>
      <c r="H781" s="21"/>
      <c r="I781" s="21" t="str">
        <f>IF(E781="","",VLOOKUP(E781,tipo_organizacion[#ALL],2,0))</f>
        <v/>
      </c>
      <c r="J781" s="21" t="str">
        <f>IF(F781="","",VLOOKUP(F781,razon_social[#ALL],2,0))</f>
        <v/>
      </c>
      <c r="K781" s="21" t="str">
        <f>IF(G781="","",VLOOKUP(G781,tipo_contribuyente[#ALL],2,0))</f>
        <v/>
      </c>
      <c r="L781" s="21" t="str">
        <f>IF(H781="","",VLOOKUP(H781,pais[#ALL],2,0))</f>
        <v/>
      </c>
    </row>
    <row r="782">
      <c r="A782" s="21"/>
      <c r="B782" s="21"/>
      <c r="C782" s="21"/>
      <c r="D782" s="21"/>
      <c r="E782" s="21"/>
      <c r="F782" s="21"/>
      <c r="G782" s="21"/>
      <c r="H782" s="21"/>
      <c r="I782" s="21" t="str">
        <f>IF(E782="","",VLOOKUP(E782,tipo_organizacion[#ALL],2,0))</f>
        <v/>
      </c>
      <c r="J782" s="21" t="str">
        <f>IF(F782="","",VLOOKUP(F782,razon_social[#ALL],2,0))</f>
        <v/>
      </c>
      <c r="K782" s="21" t="str">
        <f>IF(G782="","",VLOOKUP(G782,tipo_contribuyente[#ALL],2,0))</f>
        <v/>
      </c>
      <c r="L782" s="21" t="str">
        <f>IF(H782="","",VLOOKUP(H782,pais[#ALL],2,0))</f>
        <v/>
      </c>
    </row>
    <row r="783">
      <c r="A783" s="21"/>
      <c r="B783" s="21"/>
      <c r="C783" s="21"/>
      <c r="D783" s="21"/>
      <c r="E783" s="21"/>
      <c r="F783" s="21"/>
      <c r="G783" s="21"/>
      <c r="H783" s="21"/>
      <c r="I783" s="21" t="str">
        <f>IF(E783="","",VLOOKUP(E783,tipo_organizacion[#ALL],2,0))</f>
        <v/>
      </c>
      <c r="J783" s="21" t="str">
        <f>IF(F783="","",VLOOKUP(F783,razon_social[#ALL],2,0))</f>
        <v/>
      </c>
      <c r="K783" s="21" t="str">
        <f>IF(G783="","",VLOOKUP(G783,tipo_contribuyente[#ALL],2,0))</f>
        <v/>
      </c>
      <c r="L783" s="21" t="str">
        <f>IF(H783="","",VLOOKUP(H783,pais[#ALL],2,0))</f>
        <v/>
      </c>
    </row>
    <row r="784">
      <c r="A784" s="21"/>
      <c r="B784" s="21"/>
      <c r="C784" s="21"/>
      <c r="D784" s="21"/>
      <c r="E784" s="21"/>
      <c r="F784" s="21"/>
      <c r="G784" s="21"/>
      <c r="H784" s="21"/>
      <c r="I784" s="21" t="str">
        <f>IF(E784="","",VLOOKUP(E784,tipo_organizacion[#ALL],2,0))</f>
        <v/>
      </c>
      <c r="J784" s="21" t="str">
        <f>IF(F784="","",VLOOKUP(F784,razon_social[#ALL],2,0))</f>
        <v/>
      </c>
      <c r="K784" s="21" t="str">
        <f>IF(G784="","",VLOOKUP(G784,tipo_contribuyente[#ALL],2,0))</f>
        <v/>
      </c>
      <c r="L784" s="21" t="str">
        <f>IF(H784="","",VLOOKUP(H784,pais[#ALL],2,0))</f>
        <v/>
      </c>
    </row>
    <row r="785">
      <c r="A785" s="21"/>
      <c r="B785" s="21"/>
      <c r="C785" s="21"/>
      <c r="D785" s="21"/>
      <c r="E785" s="21"/>
      <c r="F785" s="21"/>
      <c r="G785" s="21"/>
      <c r="H785" s="21"/>
      <c r="I785" s="21" t="str">
        <f>IF(E785="","",VLOOKUP(E785,tipo_organizacion[#ALL],2,0))</f>
        <v/>
      </c>
      <c r="J785" s="21" t="str">
        <f>IF(F785="","",VLOOKUP(F785,razon_social[#ALL],2,0))</f>
        <v/>
      </c>
      <c r="K785" s="21" t="str">
        <f>IF(G785="","",VLOOKUP(G785,tipo_contribuyente[#ALL],2,0))</f>
        <v/>
      </c>
      <c r="L785" s="21" t="str">
        <f>IF(H785="","",VLOOKUP(H785,pais[#ALL],2,0))</f>
        <v/>
      </c>
    </row>
    <row r="786">
      <c r="A786" s="21"/>
      <c r="B786" s="21"/>
      <c r="C786" s="21"/>
      <c r="D786" s="21"/>
      <c r="E786" s="21"/>
      <c r="F786" s="21"/>
      <c r="G786" s="21"/>
      <c r="H786" s="21"/>
      <c r="I786" s="21" t="str">
        <f>IF(E786="","",VLOOKUP(E786,tipo_organizacion[#ALL],2,0))</f>
        <v/>
      </c>
      <c r="J786" s="21" t="str">
        <f>IF(F786="","",VLOOKUP(F786,razon_social[#ALL],2,0))</f>
        <v/>
      </c>
      <c r="K786" s="21" t="str">
        <f>IF(G786="","",VLOOKUP(G786,tipo_contribuyente[#ALL],2,0))</f>
        <v/>
      </c>
      <c r="L786" s="21" t="str">
        <f>IF(H786="","",VLOOKUP(H786,pais[#ALL],2,0))</f>
        <v/>
      </c>
    </row>
    <row r="787">
      <c r="A787" s="21"/>
      <c r="B787" s="21"/>
      <c r="C787" s="21"/>
      <c r="D787" s="21"/>
      <c r="E787" s="21"/>
      <c r="F787" s="21"/>
      <c r="G787" s="21"/>
      <c r="H787" s="21"/>
      <c r="I787" s="21" t="str">
        <f>IF(E787="","",VLOOKUP(E787,tipo_organizacion[#ALL],2,0))</f>
        <v/>
      </c>
      <c r="J787" s="21" t="str">
        <f>IF(F787="","",VLOOKUP(F787,razon_social[#ALL],2,0))</f>
        <v/>
      </c>
      <c r="K787" s="21" t="str">
        <f>IF(G787="","",VLOOKUP(G787,tipo_contribuyente[#ALL],2,0))</f>
        <v/>
      </c>
      <c r="L787" s="21" t="str">
        <f>IF(H787="","",VLOOKUP(H787,pais[#ALL],2,0))</f>
        <v/>
      </c>
    </row>
    <row r="788">
      <c r="A788" s="21"/>
      <c r="B788" s="21"/>
      <c r="C788" s="21"/>
      <c r="D788" s="21"/>
      <c r="E788" s="21"/>
      <c r="F788" s="21"/>
      <c r="G788" s="21"/>
      <c r="H788" s="21"/>
      <c r="I788" s="21" t="str">
        <f>IF(E788="","",VLOOKUP(E788,tipo_organizacion[#ALL],2,0))</f>
        <v/>
      </c>
      <c r="J788" s="21" t="str">
        <f>IF(F788="","",VLOOKUP(F788,razon_social[#ALL],2,0))</f>
        <v/>
      </c>
      <c r="K788" s="21" t="str">
        <f>IF(G788="","",VLOOKUP(G788,tipo_contribuyente[#ALL],2,0))</f>
        <v/>
      </c>
      <c r="L788" s="21" t="str">
        <f>IF(H788="","",VLOOKUP(H788,pais[#ALL],2,0))</f>
        <v/>
      </c>
    </row>
    <row r="789">
      <c r="A789" s="21"/>
      <c r="B789" s="21"/>
      <c r="C789" s="21"/>
      <c r="D789" s="21"/>
      <c r="E789" s="21"/>
      <c r="F789" s="21"/>
      <c r="G789" s="21"/>
      <c r="H789" s="21"/>
      <c r="I789" s="21" t="str">
        <f>IF(E789="","",VLOOKUP(E789,tipo_organizacion[#ALL],2,0))</f>
        <v/>
      </c>
      <c r="J789" s="21" t="str">
        <f>IF(F789="","",VLOOKUP(F789,razon_social[#ALL],2,0))</f>
        <v/>
      </c>
      <c r="K789" s="21" t="str">
        <f>IF(G789="","",VLOOKUP(G789,tipo_contribuyente[#ALL],2,0))</f>
        <v/>
      </c>
      <c r="L789" s="21" t="str">
        <f>IF(H789="","",VLOOKUP(H789,pais[#ALL],2,0))</f>
        <v/>
      </c>
    </row>
    <row r="790">
      <c r="A790" s="21"/>
      <c r="B790" s="21"/>
      <c r="C790" s="21"/>
      <c r="D790" s="21"/>
      <c r="E790" s="21"/>
      <c r="F790" s="21"/>
      <c r="G790" s="21"/>
      <c r="H790" s="21"/>
      <c r="I790" s="21" t="str">
        <f>IF(E790="","",VLOOKUP(E790,tipo_organizacion[#ALL],2,0))</f>
        <v/>
      </c>
      <c r="J790" s="21" t="str">
        <f>IF(F790="","",VLOOKUP(F790,razon_social[#ALL],2,0))</f>
        <v/>
      </c>
      <c r="K790" s="21" t="str">
        <f>IF(G790="","",VLOOKUP(G790,tipo_contribuyente[#ALL],2,0))</f>
        <v/>
      </c>
      <c r="L790" s="21" t="str">
        <f>IF(H790="","",VLOOKUP(H790,pais[#ALL],2,0))</f>
        <v/>
      </c>
    </row>
    <row r="791">
      <c r="A791" s="21"/>
      <c r="B791" s="21"/>
      <c r="C791" s="21"/>
      <c r="D791" s="21"/>
      <c r="E791" s="21"/>
      <c r="F791" s="21"/>
      <c r="G791" s="21"/>
      <c r="H791" s="21"/>
      <c r="I791" s="21" t="str">
        <f>IF(E791="","",VLOOKUP(E791,tipo_organizacion[#ALL],2,0))</f>
        <v/>
      </c>
      <c r="J791" s="21" t="str">
        <f>IF(F791="","",VLOOKUP(F791,razon_social[#ALL],2,0))</f>
        <v/>
      </c>
      <c r="K791" s="21" t="str">
        <f>IF(G791="","",VLOOKUP(G791,tipo_contribuyente[#ALL],2,0))</f>
        <v/>
      </c>
      <c r="L791" s="21" t="str">
        <f>IF(H791="","",VLOOKUP(H791,pais[#ALL],2,0))</f>
        <v/>
      </c>
    </row>
    <row r="792">
      <c r="A792" s="21"/>
      <c r="B792" s="21"/>
      <c r="C792" s="21"/>
      <c r="D792" s="21"/>
      <c r="E792" s="21"/>
      <c r="F792" s="21"/>
      <c r="G792" s="21"/>
      <c r="H792" s="21"/>
      <c r="I792" s="21" t="str">
        <f>IF(E792="","",VLOOKUP(E792,tipo_organizacion[#ALL],2,0))</f>
        <v/>
      </c>
      <c r="J792" s="21" t="str">
        <f>IF(F792="","",VLOOKUP(F792,razon_social[#ALL],2,0))</f>
        <v/>
      </c>
      <c r="K792" s="21" t="str">
        <f>IF(G792="","",VLOOKUP(G792,tipo_contribuyente[#ALL],2,0))</f>
        <v/>
      </c>
      <c r="L792" s="21" t="str">
        <f>IF(H792="","",VLOOKUP(H792,pais[#ALL],2,0))</f>
        <v/>
      </c>
    </row>
    <row r="793">
      <c r="A793" s="21"/>
      <c r="B793" s="21"/>
      <c r="C793" s="21"/>
      <c r="D793" s="21"/>
      <c r="E793" s="21"/>
      <c r="F793" s="21"/>
      <c r="G793" s="21"/>
      <c r="H793" s="21"/>
      <c r="I793" s="21" t="str">
        <f>IF(E793="","",VLOOKUP(E793,tipo_organizacion[#ALL],2,0))</f>
        <v/>
      </c>
      <c r="J793" s="21" t="str">
        <f>IF(F793="","",VLOOKUP(F793,razon_social[#ALL],2,0))</f>
        <v/>
      </c>
      <c r="K793" s="21" t="str">
        <f>IF(G793="","",VLOOKUP(G793,tipo_contribuyente[#ALL],2,0))</f>
        <v/>
      </c>
      <c r="L793" s="21" t="str">
        <f>IF(H793="","",VLOOKUP(H793,pais[#ALL],2,0))</f>
        <v/>
      </c>
    </row>
    <row r="794">
      <c r="A794" s="21"/>
      <c r="B794" s="21"/>
      <c r="C794" s="21"/>
      <c r="D794" s="21"/>
      <c r="E794" s="21"/>
      <c r="F794" s="21"/>
      <c r="G794" s="21"/>
      <c r="H794" s="21"/>
      <c r="I794" s="21" t="str">
        <f>IF(E794="","",VLOOKUP(E794,tipo_organizacion[#ALL],2,0))</f>
        <v/>
      </c>
      <c r="J794" s="21" t="str">
        <f>IF(F794="","",VLOOKUP(F794,razon_social[#ALL],2,0))</f>
        <v/>
      </c>
      <c r="K794" s="21" t="str">
        <f>IF(G794="","",VLOOKUP(G794,tipo_contribuyente[#ALL],2,0))</f>
        <v/>
      </c>
      <c r="L794" s="21" t="str">
        <f>IF(H794="","",VLOOKUP(H794,pais[#ALL],2,0))</f>
        <v/>
      </c>
    </row>
    <row r="795">
      <c r="A795" s="21"/>
      <c r="B795" s="21"/>
      <c r="C795" s="21"/>
      <c r="D795" s="21"/>
      <c r="E795" s="21"/>
      <c r="F795" s="21"/>
      <c r="G795" s="21"/>
      <c r="H795" s="21"/>
      <c r="I795" s="21" t="str">
        <f>IF(E795="","",VLOOKUP(E795,tipo_organizacion[#ALL],2,0))</f>
        <v/>
      </c>
      <c r="J795" s="21" t="str">
        <f>IF(F795="","",VLOOKUP(F795,razon_social[#ALL],2,0))</f>
        <v/>
      </c>
      <c r="K795" s="21" t="str">
        <f>IF(G795="","",VLOOKUP(G795,tipo_contribuyente[#ALL],2,0))</f>
        <v/>
      </c>
      <c r="L795" s="21" t="str">
        <f>IF(H795="","",VLOOKUP(H795,pais[#ALL],2,0))</f>
        <v/>
      </c>
    </row>
    <row r="796">
      <c r="A796" s="21"/>
      <c r="B796" s="21"/>
      <c r="C796" s="21"/>
      <c r="D796" s="21"/>
      <c r="E796" s="21"/>
      <c r="F796" s="21"/>
      <c r="G796" s="21"/>
      <c r="H796" s="21"/>
      <c r="I796" s="21" t="str">
        <f>IF(E796="","",VLOOKUP(E796,tipo_organizacion[#ALL],2,0))</f>
        <v/>
      </c>
      <c r="J796" s="21" t="str">
        <f>IF(F796="","",VLOOKUP(F796,razon_social[#ALL],2,0))</f>
        <v/>
      </c>
      <c r="K796" s="21" t="str">
        <f>IF(G796="","",VLOOKUP(G796,tipo_contribuyente[#ALL],2,0))</f>
        <v/>
      </c>
      <c r="L796" s="21" t="str">
        <f>IF(H796="","",VLOOKUP(H796,pais[#ALL],2,0))</f>
        <v/>
      </c>
    </row>
    <row r="797">
      <c r="A797" s="21"/>
      <c r="B797" s="21"/>
      <c r="C797" s="21"/>
      <c r="D797" s="21"/>
      <c r="E797" s="21"/>
      <c r="F797" s="21"/>
      <c r="G797" s="21"/>
      <c r="H797" s="21"/>
      <c r="I797" s="21" t="str">
        <f>IF(E797="","",VLOOKUP(E797,tipo_organizacion[#ALL],2,0))</f>
        <v/>
      </c>
      <c r="J797" s="21" t="str">
        <f>IF(F797="","",VLOOKUP(F797,razon_social[#ALL],2,0))</f>
        <v/>
      </c>
      <c r="K797" s="21" t="str">
        <f>IF(G797="","",VLOOKUP(G797,tipo_contribuyente[#ALL],2,0))</f>
        <v/>
      </c>
      <c r="L797" s="21" t="str">
        <f>IF(H797="","",VLOOKUP(H797,pais[#ALL],2,0))</f>
        <v/>
      </c>
    </row>
    <row r="798">
      <c r="A798" s="21"/>
      <c r="B798" s="21"/>
      <c r="C798" s="21"/>
      <c r="D798" s="21"/>
      <c r="E798" s="21"/>
      <c r="F798" s="21"/>
      <c r="G798" s="21"/>
      <c r="H798" s="21"/>
      <c r="I798" s="21" t="str">
        <f>IF(E798="","",VLOOKUP(E798,tipo_organizacion[#ALL],2,0))</f>
        <v/>
      </c>
      <c r="J798" s="21" t="str">
        <f>IF(F798="","",VLOOKUP(F798,razon_social[#ALL],2,0))</f>
        <v/>
      </c>
      <c r="K798" s="21" t="str">
        <f>IF(G798="","",VLOOKUP(G798,tipo_contribuyente[#ALL],2,0))</f>
        <v/>
      </c>
      <c r="L798" s="21" t="str">
        <f>IF(H798="","",VLOOKUP(H798,pais[#ALL],2,0))</f>
        <v/>
      </c>
    </row>
    <row r="799">
      <c r="A799" s="21"/>
      <c r="B799" s="21"/>
      <c r="C799" s="21"/>
      <c r="D799" s="21"/>
      <c r="E799" s="21"/>
      <c r="F799" s="21"/>
      <c r="G799" s="21"/>
      <c r="H799" s="21"/>
      <c r="I799" s="21" t="str">
        <f>IF(E799="","",VLOOKUP(E799,tipo_organizacion[#ALL],2,0))</f>
        <v/>
      </c>
      <c r="J799" s="21" t="str">
        <f>IF(F799="","",VLOOKUP(F799,razon_social[#ALL],2,0))</f>
        <v/>
      </c>
      <c r="K799" s="21" t="str">
        <f>IF(G799="","",VLOOKUP(G799,tipo_contribuyente[#ALL],2,0))</f>
        <v/>
      </c>
      <c r="L799" s="21" t="str">
        <f>IF(H799="","",VLOOKUP(H799,pais[#ALL],2,0))</f>
        <v/>
      </c>
    </row>
    <row r="800">
      <c r="A800" s="21"/>
      <c r="B800" s="21"/>
      <c r="C800" s="21"/>
      <c r="D800" s="21"/>
      <c r="E800" s="21"/>
      <c r="F800" s="21"/>
      <c r="G800" s="21"/>
      <c r="H800" s="21"/>
      <c r="I800" s="21" t="str">
        <f>IF(E800="","",VLOOKUP(E800,tipo_organizacion[#ALL],2,0))</f>
        <v/>
      </c>
      <c r="J800" s="21" t="str">
        <f>IF(F800="","",VLOOKUP(F800,razon_social[#ALL],2,0))</f>
        <v/>
      </c>
      <c r="K800" s="21" t="str">
        <f>IF(G800="","",VLOOKUP(G800,tipo_contribuyente[#ALL],2,0))</f>
        <v/>
      </c>
      <c r="L800" s="21" t="str">
        <f>IF(H800="","",VLOOKUP(H800,pais[#ALL],2,0))</f>
        <v/>
      </c>
    </row>
    <row r="801">
      <c r="A801" s="21"/>
      <c r="B801" s="21"/>
      <c r="C801" s="21"/>
      <c r="D801" s="21"/>
      <c r="E801" s="21"/>
      <c r="F801" s="21"/>
      <c r="G801" s="21"/>
      <c r="H801" s="21"/>
      <c r="I801" s="21" t="str">
        <f>IF(E801="","",VLOOKUP(E801,tipo_organizacion[#ALL],2,0))</f>
        <v/>
      </c>
      <c r="J801" s="21" t="str">
        <f>IF(F801="","",VLOOKUP(F801,razon_social[#ALL],2,0))</f>
        <v/>
      </c>
      <c r="K801" s="21" t="str">
        <f>IF(G801="","",VLOOKUP(G801,tipo_contribuyente[#ALL],2,0))</f>
        <v/>
      </c>
      <c r="L801" s="21" t="str">
        <f>IF(H801="","",VLOOKUP(H801,pais[#ALL],2,0))</f>
        <v/>
      </c>
    </row>
    <row r="802">
      <c r="A802" s="21"/>
      <c r="B802" s="21"/>
      <c r="C802" s="21"/>
      <c r="D802" s="21"/>
      <c r="E802" s="21"/>
      <c r="F802" s="21"/>
      <c r="G802" s="21"/>
      <c r="H802" s="21"/>
      <c r="I802" s="21" t="str">
        <f>IF(E802="","",VLOOKUP(E802,tipo_organizacion[#ALL],2,0))</f>
        <v/>
      </c>
      <c r="J802" s="21" t="str">
        <f>IF(F802="","",VLOOKUP(F802,razon_social[#ALL],2,0))</f>
        <v/>
      </c>
      <c r="K802" s="21" t="str">
        <f>IF(G802="","",VLOOKUP(G802,tipo_contribuyente[#ALL],2,0))</f>
        <v/>
      </c>
      <c r="L802" s="21" t="str">
        <f>IF(H802="","",VLOOKUP(H802,pais[#ALL],2,0))</f>
        <v/>
      </c>
    </row>
    <row r="803">
      <c r="A803" s="21"/>
      <c r="B803" s="21"/>
      <c r="C803" s="21"/>
      <c r="D803" s="21"/>
      <c r="E803" s="21"/>
      <c r="F803" s="21"/>
      <c r="G803" s="21"/>
      <c r="H803" s="21"/>
      <c r="I803" s="21" t="str">
        <f>IF(E803="","",VLOOKUP(E803,tipo_organizacion[#ALL],2,0))</f>
        <v/>
      </c>
      <c r="J803" s="21" t="str">
        <f>IF(F803="","",VLOOKUP(F803,razon_social[#ALL],2,0))</f>
        <v/>
      </c>
      <c r="K803" s="21" t="str">
        <f>IF(G803="","",VLOOKUP(G803,tipo_contribuyente[#ALL],2,0))</f>
        <v/>
      </c>
      <c r="L803" s="21" t="str">
        <f>IF(H803="","",VLOOKUP(H803,pais[#ALL],2,0))</f>
        <v/>
      </c>
    </row>
    <row r="804">
      <c r="A804" s="21"/>
      <c r="B804" s="21"/>
      <c r="C804" s="21"/>
      <c r="D804" s="21"/>
      <c r="E804" s="21"/>
      <c r="F804" s="21"/>
      <c r="G804" s="21"/>
      <c r="H804" s="21"/>
      <c r="I804" s="21" t="str">
        <f>IF(E804="","",VLOOKUP(E804,tipo_organizacion[#ALL],2,0))</f>
        <v/>
      </c>
      <c r="J804" s="21" t="str">
        <f>IF(F804="","",VLOOKUP(F804,razon_social[#ALL],2,0))</f>
        <v/>
      </c>
      <c r="K804" s="21" t="str">
        <f>IF(G804="","",VLOOKUP(G804,tipo_contribuyente[#ALL],2,0))</f>
        <v/>
      </c>
      <c r="L804" s="21" t="str">
        <f>IF(H804="","",VLOOKUP(H804,pais[#ALL],2,0))</f>
        <v/>
      </c>
    </row>
    <row r="805">
      <c r="A805" s="21"/>
      <c r="B805" s="21"/>
      <c r="C805" s="21"/>
      <c r="D805" s="21"/>
      <c r="E805" s="21"/>
      <c r="F805" s="21"/>
      <c r="G805" s="21"/>
      <c r="H805" s="21"/>
      <c r="I805" s="21" t="str">
        <f>IF(E805="","",VLOOKUP(E805,tipo_organizacion[#ALL],2,0))</f>
        <v/>
      </c>
      <c r="J805" s="21" t="str">
        <f>IF(F805="","",VLOOKUP(F805,razon_social[#ALL],2,0))</f>
        <v/>
      </c>
      <c r="K805" s="21" t="str">
        <f>IF(G805="","",VLOOKUP(G805,tipo_contribuyente[#ALL],2,0))</f>
        <v/>
      </c>
      <c r="L805" s="21" t="str">
        <f>IF(H805="","",VLOOKUP(H805,pais[#ALL],2,0))</f>
        <v/>
      </c>
    </row>
    <row r="806">
      <c r="A806" s="21"/>
      <c r="B806" s="21"/>
      <c r="C806" s="21"/>
      <c r="D806" s="21"/>
      <c r="E806" s="21"/>
      <c r="F806" s="21"/>
      <c r="G806" s="21"/>
      <c r="H806" s="21"/>
      <c r="I806" s="21" t="str">
        <f>IF(E806="","",VLOOKUP(E806,tipo_organizacion[#ALL],2,0))</f>
        <v/>
      </c>
      <c r="J806" s="21" t="str">
        <f>IF(F806="","",VLOOKUP(F806,razon_social[#ALL],2,0))</f>
        <v/>
      </c>
      <c r="K806" s="21" t="str">
        <f>IF(G806="","",VLOOKUP(G806,tipo_contribuyente[#ALL],2,0))</f>
        <v/>
      </c>
      <c r="L806" s="21" t="str">
        <f>IF(H806="","",VLOOKUP(H806,pais[#ALL],2,0))</f>
        <v/>
      </c>
    </row>
    <row r="807">
      <c r="A807" s="21"/>
      <c r="B807" s="21"/>
      <c r="C807" s="21"/>
      <c r="D807" s="21"/>
      <c r="E807" s="21"/>
      <c r="F807" s="21"/>
      <c r="G807" s="21"/>
      <c r="H807" s="21"/>
      <c r="I807" s="21" t="str">
        <f>IF(E807="","",VLOOKUP(E807,tipo_organizacion[#ALL],2,0))</f>
        <v/>
      </c>
      <c r="J807" s="21" t="str">
        <f>IF(F807="","",VLOOKUP(F807,razon_social[#ALL],2,0))</f>
        <v/>
      </c>
      <c r="K807" s="21" t="str">
        <f>IF(G807="","",VLOOKUP(G807,tipo_contribuyente[#ALL],2,0))</f>
        <v/>
      </c>
      <c r="L807" s="21" t="str">
        <f>IF(H807="","",VLOOKUP(H807,pais[#ALL],2,0))</f>
        <v/>
      </c>
    </row>
    <row r="808">
      <c r="A808" s="21"/>
      <c r="B808" s="21"/>
      <c r="C808" s="21"/>
      <c r="D808" s="21"/>
      <c r="E808" s="21"/>
      <c r="F808" s="21"/>
      <c r="G808" s="21"/>
      <c r="H808" s="21"/>
      <c r="I808" s="21" t="str">
        <f>IF(E808="","",VLOOKUP(E808,tipo_organizacion[#ALL],2,0))</f>
        <v/>
      </c>
      <c r="J808" s="21" t="str">
        <f>IF(F808="","",VLOOKUP(F808,razon_social[#ALL],2,0))</f>
        <v/>
      </c>
      <c r="K808" s="21" t="str">
        <f>IF(G808="","",VLOOKUP(G808,tipo_contribuyente[#ALL],2,0))</f>
        <v/>
      </c>
      <c r="L808" s="21" t="str">
        <f>IF(H808="","",VLOOKUP(H808,pais[#ALL],2,0))</f>
        <v/>
      </c>
    </row>
    <row r="809">
      <c r="A809" s="21"/>
      <c r="B809" s="21"/>
      <c r="C809" s="21"/>
      <c r="D809" s="21"/>
      <c r="E809" s="21"/>
      <c r="F809" s="21"/>
      <c r="G809" s="21"/>
      <c r="H809" s="21"/>
      <c r="I809" s="21" t="str">
        <f>IF(E809="","",VLOOKUP(E809,tipo_organizacion[#ALL],2,0))</f>
        <v/>
      </c>
      <c r="J809" s="21" t="str">
        <f>IF(F809="","",VLOOKUP(F809,razon_social[#ALL],2,0))</f>
        <v/>
      </c>
      <c r="K809" s="21" t="str">
        <f>IF(G809="","",VLOOKUP(G809,tipo_contribuyente[#ALL],2,0))</f>
        <v/>
      </c>
      <c r="L809" s="21" t="str">
        <f>IF(H809="","",VLOOKUP(H809,pais[#ALL],2,0))</f>
        <v/>
      </c>
    </row>
    <row r="810">
      <c r="A810" s="21"/>
      <c r="B810" s="21"/>
      <c r="C810" s="21"/>
      <c r="D810" s="21"/>
      <c r="E810" s="21"/>
      <c r="F810" s="21"/>
      <c r="G810" s="21"/>
      <c r="H810" s="21"/>
      <c r="I810" s="21" t="str">
        <f>IF(E810="","",VLOOKUP(E810,tipo_organizacion[#ALL],2,0))</f>
        <v/>
      </c>
      <c r="J810" s="21" t="str">
        <f>IF(F810="","",VLOOKUP(F810,razon_social[#ALL],2,0))</f>
        <v/>
      </c>
      <c r="K810" s="21" t="str">
        <f>IF(G810="","",VLOOKUP(G810,tipo_contribuyente[#ALL],2,0))</f>
        <v/>
      </c>
      <c r="L810" s="21" t="str">
        <f>IF(H810="","",VLOOKUP(H810,pais[#ALL],2,0))</f>
        <v/>
      </c>
    </row>
    <row r="811">
      <c r="A811" s="21"/>
      <c r="B811" s="21"/>
      <c r="C811" s="21"/>
      <c r="D811" s="21"/>
      <c r="E811" s="21"/>
      <c r="F811" s="21"/>
      <c r="G811" s="21"/>
      <c r="H811" s="21"/>
      <c r="I811" s="21" t="str">
        <f>IF(E811="","",VLOOKUP(E811,tipo_organizacion[#ALL],2,0))</f>
        <v/>
      </c>
      <c r="J811" s="21" t="str">
        <f>IF(F811="","",VLOOKUP(F811,razon_social[#ALL],2,0))</f>
        <v/>
      </c>
      <c r="K811" s="21" t="str">
        <f>IF(G811="","",VLOOKUP(G811,tipo_contribuyente[#ALL],2,0))</f>
        <v/>
      </c>
      <c r="L811" s="21" t="str">
        <f>IF(H811="","",VLOOKUP(H811,pais[#ALL],2,0))</f>
        <v/>
      </c>
    </row>
    <row r="812">
      <c r="A812" s="21"/>
      <c r="B812" s="21"/>
      <c r="C812" s="21"/>
      <c r="D812" s="21"/>
      <c r="E812" s="21"/>
      <c r="F812" s="21"/>
      <c r="G812" s="21"/>
      <c r="H812" s="21"/>
      <c r="I812" s="21" t="str">
        <f>IF(E812="","",VLOOKUP(E812,tipo_organizacion[#ALL],2,0))</f>
        <v/>
      </c>
      <c r="J812" s="21" t="str">
        <f>IF(F812="","",VLOOKUP(F812,razon_social[#ALL],2,0))</f>
        <v/>
      </c>
      <c r="K812" s="21" t="str">
        <f>IF(G812="","",VLOOKUP(G812,tipo_contribuyente[#ALL],2,0))</f>
        <v/>
      </c>
      <c r="L812" s="21" t="str">
        <f>IF(H812="","",VLOOKUP(H812,pais[#ALL],2,0))</f>
        <v/>
      </c>
    </row>
    <row r="813">
      <c r="A813" s="21"/>
      <c r="B813" s="21"/>
      <c r="C813" s="21"/>
      <c r="D813" s="21"/>
      <c r="E813" s="21"/>
      <c r="F813" s="21"/>
      <c r="G813" s="21"/>
      <c r="H813" s="21"/>
      <c r="I813" s="21" t="str">
        <f>IF(E813="","",VLOOKUP(E813,tipo_organizacion[#ALL],2,0))</f>
        <v/>
      </c>
      <c r="J813" s="21" t="str">
        <f>IF(F813="","",VLOOKUP(F813,razon_social[#ALL],2,0))</f>
        <v/>
      </c>
      <c r="K813" s="21" t="str">
        <f>IF(G813="","",VLOOKUP(G813,tipo_contribuyente[#ALL],2,0))</f>
        <v/>
      </c>
      <c r="L813" s="21" t="str">
        <f>IF(H813="","",VLOOKUP(H813,pais[#ALL],2,0))</f>
        <v/>
      </c>
    </row>
    <row r="814">
      <c r="A814" s="21"/>
      <c r="B814" s="21"/>
      <c r="C814" s="21"/>
      <c r="D814" s="21"/>
      <c r="E814" s="21"/>
      <c r="F814" s="21"/>
      <c r="G814" s="21"/>
      <c r="H814" s="21"/>
      <c r="I814" s="21" t="str">
        <f>IF(E814="","",VLOOKUP(E814,tipo_organizacion[#ALL],2,0))</f>
        <v/>
      </c>
      <c r="J814" s="21" t="str">
        <f>IF(F814="","",VLOOKUP(F814,razon_social[#ALL],2,0))</f>
        <v/>
      </c>
      <c r="K814" s="21" t="str">
        <f>IF(G814="","",VLOOKUP(G814,tipo_contribuyente[#ALL],2,0))</f>
        <v/>
      </c>
      <c r="L814" s="21" t="str">
        <f>IF(H814="","",VLOOKUP(H814,pais[#ALL],2,0))</f>
        <v/>
      </c>
    </row>
    <row r="815">
      <c r="A815" s="21"/>
      <c r="B815" s="21"/>
      <c r="C815" s="21"/>
      <c r="D815" s="21"/>
      <c r="E815" s="21"/>
      <c r="F815" s="21"/>
      <c r="G815" s="21"/>
      <c r="H815" s="21"/>
      <c r="I815" s="21" t="str">
        <f>IF(E815="","",VLOOKUP(E815,tipo_organizacion[#ALL],2,0))</f>
        <v/>
      </c>
      <c r="J815" s="21" t="str">
        <f>IF(F815="","",VLOOKUP(F815,razon_social[#ALL],2,0))</f>
        <v/>
      </c>
      <c r="K815" s="21" t="str">
        <f>IF(G815="","",VLOOKUP(G815,tipo_contribuyente[#ALL],2,0))</f>
        <v/>
      </c>
      <c r="L815" s="21" t="str">
        <f>IF(H815="","",VLOOKUP(H815,pais[#ALL],2,0))</f>
        <v/>
      </c>
    </row>
    <row r="816">
      <c r="A816" s="21"/>
      <c r="B816" s="21"/>
      <c r="C816" s="21"/>
      <c r="D816" s="21"/>
      <c r="E816" s="21"/>
      <c r="F816" s="21"/>
      <c r="G816" s="21"/>
      <c r="H816" s="21"/>
      <c r="I816" s="21" t="str">
        <f>IF(E816="","",VLOOKUP(E816,tipo_organizacion[#ALL],2,0))</f>
        <v/>
      </c>
      <c r="J816" s="21" t="str">
        <f>IF(F816="","",VLOOKUP(F816,razon_social[#ALL],2,0))</f>
        <v/>
      </c>
      <c r="K816" s="21" t="str">
        <f>IF(G816="","",VLOOKUP(G816,tipo_contribuyente[#ALL],2,0))</f>
        <v/>
      </c>
      <c r="L816" s="21" t="str">
        <f>IF(H816="","",VLOOKUP(H816,pais[#ALL],2,0))</f>
        <v/>
      </c>
    </row>
    <row r="817">
      <c r="A817" s="21"/>
      <c r="B817" s="21"/>
      <c r="C817" s="21"/>
      <c r="D817" s="21"/>
      <c r="E817" s="21"/>
      <c r="F817" s="21"/>
      <c r="G817" s="21"/>
      <c r="H817" s="21"/>
      <c r="I817" s="21" t="str">
        <f>IF(E817="","",VLOOKUP(E817,tipo_organizacion[#ALL],2,0))</f>
        <v/>
      </c>
      <c r="J817" s="21" t="str">
        <f>IF(F817="","",VLOOKUP(F817,razon_social[#ALL],2,0))</f>
        <v/>
      </c>
      <c r="K817" s="21" t="str">
        <f>IF(G817="","",VLOOKUP(G817,tipo_contribuyente[#ALL],2,0))</f>
        <v/>
      </c>
      <c r="L817" s="21" t="str">
        <f>IF(H817="","",VLOOKUP(H817,pais[#ALL],2,0))</f>
        <v/>
      </c>
    </row>
    <row r="818">
      <c r="A818" s="21"/>
      <c r="B818" s="21"/>
      <c r="C818" s="21"/>
      <c r="D818" s="21"/>
      <c r="E818" s="21"/>
      <c r="F818" s="21"/>
      <c r="G818" s="21"/>
      <c r="H818" s="21"/>
      <c r="I818" s="21" t="str">
        <f>IF(E818="","",VLOOKUP(E818,tipo_organizacion[#ALL],2,0))</f>
        <v/>
      </c>
      <c r="J818" s="21" t="str">
        <f>IF(F818="","",VLOOKUP(F818,razon_social[#ALL],2,0))</f>
        <v/>
      </c>
      <c r="K818" s="21" t="str">
        <f>IF(G818="","",VLOOKUP(G818,tipo_contribuyente[#ALL],2,0))</f>
        <v/>
      </c>
      <c r="L818" s="21" t="str">
        <f>IF(H818="","",VLOOKUP(H818,pais[#ALL],2,0))</f>
        <v/>
      </c>
    </row>
    <row r="819">
      <c r="A819" s="21"/>
      <c r="B819" s="21"/>
      <c r="C819" s="21"/>
      <c r="D819" s="21"/>
      <c r="E819" s="21"/>
      <c r="F819" s="21"/>
      <c r="G819" s="21"/>
      <c r="H819" s="21"/>
      <c r="I819" s="21" t="str">
        <f>IF(E819="","",VLOOKUP(E819,tipo_organizacion[#ALL],2,0))</f>
        <v/>
      </c>
      <c r="J819" s="21" t="str">
        <f>IF(F819="","",VLOOKUP(F819,razon_social[#ALL],2,0))</f>
        <v/>
      </c>
      <c r="K819" s="21" t="str">
        <f>IF(G819="","",VLOOKUP(G819,tipo_contribuyente[#ALL],2,0))</f>
        <v/>
      </c>
      <c r="L819" s="21" t="str">
        <f>IF(H819="","",VLOOKUP(H819,pais[#ALL],2,0))</f>
        <v/>
      </c>
    </row>
    <row r="820">
      <c r="A820" s="21"/>
      <c r="B820" s="21"/>
      <c r="C820" s="21"/>
      <c r="D820" s="21"/>
      <c r="E820" s="21"/>
      <c r="F820" s="21"/>
      <c r="G820" s="21"/>
      <c r="H820" s="21"/>
      <c r="I820" s="21" t="str">
        <f>IF(E820="","",VLOOKUP(E820,tipo_organizacion[#ALL],2,0))</f>
        <v/>
      </c>
      <c r="J820" s="21" t="str">
        <f>IF(F820="","",VLOOKUP(F820,razon_social[#ALL],2,0))</f>
        <v/>
      </c>
      <c r="K820" s="21" t="str">
        <f>IF(G820="","",VLOOKUP(G820,tipo_contribuyente[#ALL],2,0))</f>
        <v/>
      </c>
      <c r="L820" s="21" t="str">
        <f>IF(H820="","",VLOOKUP(H820,pais[#ALL],2,0))</f>
        <v/>
      </c>
    </row>
    <row r="821">
      <c r="A821" s="21"/>
      <c r="B821" s="21"/>
      <c r="C821" s="21"/>
      <c r="D821" s="21"/>
      <c r="E821" s="21"/>
      <c r="F821" s="21"/>
      <c r="G821" s="21"/>
      <c r="H821" s="21"/>
      <c r="I821" s="21" t="str">
        <f>IF(E821="","",VLOOKUP(E821,tipo_organizacion[#ALL],2,0))</f>
        <v/>
      </c>
      <c r="J821" s="21" t="str">
        <f>IF(F821="","",VLOOKUP(F821,razon_social[#ALL],2,0))</f>
        <v/>
      </c>
      <c r="K821" s="21" t="str">
        <f>IF(G821="","",VLOOKUP(G821,tipo_contribuyente[#ALL],2,0))</f>
        <v/>
      </c>
      <c r="L821" s="21" t="str">
        <f>IF(H821="","",VLOOKUP(H821,pais[#ALL],2,0))</f>
        <v/>
      </c>
    </row>
    <row r="822">
      <c r="A822" s="21"/>
      <c r="B822" s="21"/>
      <c r="C822" s="21"/>
      <c r="D822" s="21"/>
      <c r="E822" s="21"/>
      <c r="F822" s="21"/>
      <c r="G822" s="21"/>
      <c r="H822" s="21"/>
      <c r="I822" s="21" t="str">
        <f>IF(E822="","",VLOOKUP(E822,tipo_organizacion[#ALL],2,0))</f>
        <v/>
      </c>
      <c r="J822" s="21" t="str">
        <f>IF(F822="","",VLOOKUP(F822,razon_social[#ALL],2,0))</f>
        <v/>
      </c>
      <c r="K822" s="21" t="str">
        <f>IF(G822="","",VLOOKUP(G822,tipo_contribuyente[#ALL],2,0))</f>
        <v/>
      </c>
      <c r="L822" s="21" t="str">
        <f>IF(H822="","",VLOOKUP(H822,pais[#ALL],2,0))</f>
        <v/>
      </c>
    </row>
    <row r="823">
      <c r="A823" s="21"/>
      <c r="B823" s="21"/>
      <c r="C823" s="21"/>
      <c r="D823" s="21"/>
      <c r="E823" s="21"/>
      <c r="F823" s="21"/>
      <c r="G823" s="21"/>
      <c r="H823" s="21"/>
      <c r="I823" s="21" t="str">
        <f>IF(E823="","",VLOOKUP(E823,tipo_organizacion[#ALL],2,0))</f>
        <v/>
      </c>
      <c r="J823" s="21" t="str">
        <f>IF(F823="","",VLOOKUP(F823,razon_social[#ALL],2,0))</f>
        <v/>
      </c>
      <c r="K823" s="21" t="str">
        <f>IF(G823="","",VLOOKUP(G823,tipo_contribuyente[#ALL],2,0))</f>
        <v/>
      </c>
      <c r="L823" s="21" t="str">
        <f>IF(H823="","",VLOOKUP(H823,pais[#ALL],2,0))</f>
        <v/>
      </c>
    </row>
    <row r="824">
      <c r="A824" s="21"/>
      <c r="B824" s="21"/>
      <c r="C824" s="21"/>
      <c r="D824" s="21"/>
      <c r="E824" s="21"/>
      <c r="F824" s="21"/>
      <c r="G824" s="21"/>
      <c r="H824" s="21"/>
      <c r="I824" s="21" t="str">
        <f>IF(E824="","",VLOOKUP(E824,tipo_organizacion[#ALL],2,0))</f>
        <v/>
      </c>
      <c r="J824" s="21" t="str">
        <f>IF(F824="","",VLOOKUP(F824,razon_social[#ALL],2,0))</f>
        <v/>
      </c>
      <c r="K824" s="21" t="str">
        <f>IF(G824="","",VLOOKUP(G824,tipo_contribuyente[#ALL],2,0))</f>
        <v/>
      </c>
      <c r="L824" s="21" t="str">
        <f>IF(H824="","",VLOOKUP(H824,pais[#ALL],2,0))</f>
        <v/>
      </c>
    </row>
    <row r="825">
      <c r="A825" s="21"/>
      <c r="B825" s="21"/>
      <c r="C825" s="21"/>
      <c r="D825" s="21"/>
      <c r="E825" s="21"/>
      <c r="F825" s="21"/>
      <c r="G825" s="21"/>
      <c r="H825" s="21"/>
      <c r="I825" s="21" t="str">
        <f>IF(E825="","",VLOOKUP(E825,tipo_organizacion[#ALL],2,0))</f>
        <v/>
      </c>
      <c r="J825" s="21" t="str">
        <f>IF(F825="","",VLOOKUP(F825,razon_social[#ALL],2,0))</f>
        <v/>
      </c>
      <c r="K825" s="21" t="str">
        <f>IF(G825="","",VLOOKUP(G825,tipo_contribuyente[#ALL],2,0))</f>
        <v/>
      </c>
      <c r="L825" s="21" t="str">
        <f>IF(H825="","",VLOOKUP(H825,pais[#ALL],2,0))</f>
        <v/>
      </c>
    </row>
    <row r="826">
      <c r="A826" s="21"/>
      <c r="B826" s="21"/>
      <c r="C826" s="21"/>
      <c r="D826" s="21"/>
      <c r="E826" s="21"/>
      <c r="F826" s="21"/>
      <c r="G826" s="21"/>
      <c r="H826" s="21"/>
      <c r="I826" s="21" t="str">
        <f>IF(E826="","",VLOOKUP(E826,tipo_organizacion[#ALL],2,0))</f>
        <v/>
      </c>
      <c r="J826" s="21" t="str">
        <f>IF(F826="","",VLOOKUP(F826,razon_social[#ALL],2,0))</f>
        <v/>
      </c>
      <c r="K826" s="21" t="str">
        <f>IF(G826="","",VLOOKUP(G826,tipo_contribuyente[#ALL],2,0))</f>
        <v/>
      </c>
      <c r="L826" s="21" t="str">
        <f>IF(H826="","",VLOOKUP(H826,pais[#ALL],2,0))</f>
        <v/>
      </c>
    </row>
    <row r="827">
      <c r="A827" s="21"/>
      <c r="B827" s="21"/>
      <c r="C827" s="21"/>
      <c r="D827" s="21"/>
      <c r="E827" s="21"/>
      <c r="F827" s="21"/>
      <c r="G827" s="21"/>
      <c r="H827" s="21"/>
      <c r="I827" s="21" t="str">
        <f>IF(E827="","",VLOOKUP(E827,tipo_organizacion[#ALL],2,0))</f>
        <v/>
      </c>
      <c r="J827" s="21" t="str">
        <f>IF(F827="","",VLOOKUP(F827,razon_social[#ALL],2,0))</f>
        <v/>
      </c>
      <c r="K827" s="21" t="str">
        <f>IF(G827="","",VLOOKUP(G827,tipo_contribuyente[#ALL],2,0))</f>
        <v/>
      </c>
      <c r="L827" s="21" t="str">
        <f>IF(H827="","",VLOOKUP(H827,pais[#ALL],2,0))</f>
        <v/>
      </c>
    </row>
    <row r="828">
      <c r="A828" s="21"/>
      <c r="B828" s="21"/>
      <c r="C828" s="21"/>
      <c r="D828" s="21"/>
      <c r="E828" s="21"/>
      <c r="F828" s="21"/>
      <c r="G828" s="21"/>
      <c r="H828" s="21"/>
      <c r="I828" s="21" t="str">
        <f>IF(E828="","",VLOOKUP(E828,tipo_organizacion[#ALL],2,0))</f>
        <v/>
      </c>
      <c r="J828" s="21" t="str">
        <f>IF(F828="","",VLOOKUP(F828,razon_social[#ALL],2,0))</f>
        <v/>
      </c>
      <c r="K828" s="21" t="str">
        <f>IF(G828="","",VLOOKUP(G828,tipo_contribuyente[#ALL],2,0))</f>
        <v/>
      </c>
      <c r="L828" s="21" t="str">
        <f>IF(H828="","",VLOOKUP(H828,pais[#ALL],2,0))</f>
        <v/>
      </c>
    </row>
    <row r="829">
      <c r="A829" s="21"/>
      <c r="B829" s="21"/>
      <c r="C829" s="21"/>
      <c r="D829" s="21"/>
      <c r="E829" s="21"/>
      <c r="F829" s="21"/>
      <c r="G829" s="21"/>
      <c r="H829" s="21"/>
      <c r="I829" s="21" t="str">
        <f>IF(E829="","",VLOOKUP(E829,tipo_organizacion[#ALL],2,0))</f>
        <v/>
      </c>
      <c r="J829" s="21" t="str">
        <f>IF(F829="","",VLOOKUP(F829,razon_social[#ALL],2,0))</f>
        <v/>
      </c>
      <c r="K829" s="21" t="str">
        <f>IF(G829="","",VLOOKUP(G829,tipo_contribuyente[#ALL],2,0))</f>
        <v/>
      </c>
      <c r="L829" s="21" t="str">
        <f>IF(H829="","",VLOOKUP(H829,pais[#ALL],2,0))</f>
        <v/>
      </c>
    </row>
    <row r="830">
      <c r="A830" s="21"/>
      <c r="B830" s="21"/>
      <c r="C830" s="21"/>
      <c r="D830" s="21"/>
      <c r="E830" s="21"/>
      <c r="F830" s="21"/>
      <c r="G830" s="21"/>
      <c r="H830" s="21"/>
      <c r="I830" s="21" t="str">
        <f>IF(E830="","",VLOOKUP(E830,tipo_organizacion[#ALL],2,0))</f>
        <v/>
      </c>
      <c r="J830" s="21" t="str">
        <f>IF(F830="","",VLOOKUP(F830,razon_social[#ALL],2,0))</f>
        <v/>
      </c>
      <c r="K830" s="21" t="str">
        <f>IF(G830="","",VLOOKUP(G830,tipo_contribuyente[#ALL],2,0))</f>
        <v/>
      </c>
      <c r="L830" s="21" t="str">
        <f>IF(H830="","",VLOOKUP(H830,pais[#ALL],2,0))</f>
        <v/>
      </c>
    </row>
    <row r="831">
      <c r="A831" s="21"/>
      <c r="B831" s="21"/>
      <c r="C831" s="21"/>
      <c r="D831" s="21"/>
      <c r="E831" s="21"/>
      <c r="F831" s="21"/>
      <c r="G831" s="21"/>
      <c r="H831" s="21"/>
      <c r="I831" s="21" t="str">
        <f>IF(E831="","",VLOOKUP(E831,tipo_organizacion[#ALL],2,0))</f>
        <v/>
      </c>
      <c r="J831" s="21" t="str">
        <f>IF(F831="","",VLOOKUP(F831,razon_social[#ALL],2,0))</f>
        <v/>
      </c>
      <c r="K831" s="21" t="str">
        <f>IF(G831="","",VLOOKUP(G831,tipo_contribuyente[#ALL],2,0))</f>
        <v/>
      </c>
      <c r="L831" s="21" t="str">
        <f>IF(H831="","",VLOOKUP(H831,pais[#ALL],2,0))</f>
        <v/>
      </c>
    </row>
    <row r="832">
      <c r="A832" s="21"/>
      <c r="B832" s="21"/>
      <c r="C832" s="21"/>
      <c r="D832" s="21"/>
      <c r="E832" s="21"/>
      <c r="F832" s="21"/>
      <c r="G832" s="21"/>
      <c r="H832" s="21"/>
      <c r="I832" s="21" t="str">
        <f>IF(E832="","",VLOOKUP(E832,tipo_organizacion[#ALL],2,0))</f>
        <v/>
      </c>
      <c r="J832" s="21" t="str">
        <f>IF(F832="","",VLOOKUP(F832,razon_social[#ALL],2,0))</f>
        <v/>
      </c>
      <c r="K832" s="21" t="str">
        <f>IF(G832="","",VLOOKUP(G832,tipo_contribuyente[#ALL],2,0))</f>
        <v/>
      </c>
      <c r="L832" s="21" t="str">
        <f>IF(H832="","",VLOOKUP(H832,pais[#ALL],2,0))</f>
        <v/>
      </c>
    </row>
    <row r="833">
      <c r="A833" s="21"/>
      <c r="B833" s="21"/>
      <c r="C833" s="21"/>
      <c r="D833" s="21"/>
      <c r="E833" s="21"/>
      <c r="F833" s="21"/>
      <c r="G833" s="21"/>
      <c r="H833" s="21"/>
      <c r="I833" s="21" t="str">
        <f>IF(E833="","",VLOOKUP(E833,tipo_organizacion[#ALL],2,0))</f>
        <v/>
      </c>
      <c r="J833" s="21" t="str">
        <f>IF(F833="","",VLOOKUP(F833,razon_social[#ALL],2,0))</f>
        <v/>
      </c>
      <c r="K833" s="21" t="str">
        <f>IF(G833="","",VLOOKUP(G833,tipo_contribuyente[#ALL],2,0))</f>
        <v/>
      </c>
      <c r="L833" s="21" t="str">
        <f>IF(H833="","",VLOOKUP(H833,pais[#ALL],2,0))</f>
        <v/>
      </c>
    </row>
    <row r="834">
      <c r="A834" s="21"/>
      <c r="B834" s="21"/>
      <c r="C834" s="21"/>
      <c r="D834" s="21"/>
      <c r="E834" s="21"/>
      <c r="F834" s="21"/>
      <c r="G834" s="21"/>
      <c r="H834" s="21"/>
      <c r="I834" s="21" t="str">
        <f>IF(E834="","",VLOOKUP(E834,tipo_organizacion[#ALL],2,0))</f>
        <v/>
      </c>
      <c r="J834" s="21" t="str">
        <f>IF(F834="","",VLOOKUP(F834,razon_social[#ALL],2,0))</f>
        <v/>
      </c>
      <c r="K834" s="21" t="str">
        <f>IF(G834="","",VLOOKUP(G834,tipo_contribuyente[#ALL],2,0))</f>
        <v/>
      </c>
      <c r="L834" s="21" t="str">
        <f>IF(H834="","",VLOOKUP(H834,pais[#ALL],2,0))</f>
        <v/>
      </c>
    </row>
    <row r="835">
      <c r="A835" s="21"/>
      <c r="B835" s="21"/>
      <c r="C835" s="21"/>
      <c r="D835" s="21"/>
      <c r="E835" s="21"/>
      <c r="F835" s="21"/>
      <c r="G835" s="21"/>
      <c r="H835" s="21"/>
      <c r="I835" s="21" t="str">
        <f>IF(E835="","",VLOOKUP(E835,tipo_organizacion[#ALL],2,0))</f>
        <v/>
      </c>
      <c r="J835" s="21" t="str">
        <f>IF(F835="","",VLOOKUP(F835,razon_social[#ALL],2,0))</f>
        <v/>
      </c>
      <c r="K835" s="21" t="str">
        <f>IF(G835="","",VLOOKUP(G835,tipo_contribuyente[#ALL],2,0))</f>
        <v/>
      </c>
      <c r="L835" s="21" t="str">
        <f>IF(H835="","",VLOOKUP(H835,pais[#ALL],2,0))</f>
        <v/>
      </c>
    </row>
    <row r="836">
      <c r="A836" s="21"/>
      <c r="B836" s="21"/>
      <c r="C836" s="21"/>
      <c r="D836" s="21"/>
      <c r="E836" s="21"/>
      <c r="F836" s="21"/>
      <c r="G836" s="21"/>
      <c r="H836" s="21"/>
      <c r="I836" s="21" t="str">
        <f>IF(E836="","",VLOOKUP(E836,tipo_organizacion[#ALL],2,0))</f>
        <v/>
      </c>
      <c r="J836" s="21" t="str">
        <f>IF(F836="","",VLOOKUP(F836,razon_social[#ALL],2,0))</f>
        <v/>
      </c>
      <c r="K836" s="21" t="str">
        <f>IF(G836="","",VLOOKUP(G836,tipo_contribuyente[#ALL],2,0))</f>
        <v/>
      </c>
      <c r="L836" s="21" t="str">
        <f>IF(H836="","",VLOOKUP(H836,pais[#ALL],2,0))</f>
        <v/>
      </c>
    </row>
    <row r="837">
      <c r="A837" s="21"/>
      <c r="B837" s="21"/>
      <c r="C837" s="21"/>
      <c r="D837" s="21"/>
      <c r="E837" s="21"/>
      <c r="F837" s="21"/>
      <c r="G837" s="21"/>
      <c r="H837" s="21"/>
      <c r="I837" s="21" t="str">
        <f>IF(E837="","",VLOOKUP(E837,tipo_organizacion[#ALL],2,0))</f>
        <v/>
      </c>
      <c r="J837" s="21" t="str">
        <f>IF(F837="","",VLOOKUP(F837,razon_social[#ALL],2,0))</f>
        <v/>
      </c>
      <c r="K837" s="21" t="str">
        <f>IF(G837="","",VLOOKUP(G837,tipo_contribuyente[#ALL],2,0))</f>
        <v/>
      </c>
      <c r="L837" s="21" t="str">
        <f>IF(H837="","",VLOOKUP(H837,pais[#ALL],2,0))</f>
        <v/>
      </c>
    </row>
    <row r="838">
      <c r="A838" s="21"/>
      <c r="B838" s="21"/>
      <c r="C838" s="21"/>
      <c r="D838" s="21"/>
      <c r="E838" s="21"/>
      <c r="F838" s="21"/>
      <c r="G838" s="21"/>
      <c r="H838" s="21"/>
      <c r="I838" s="21" t="str">
        <f>IF(E838="","",VLOOKUP(E838,tipo_organizacion[#ALL],2,0))</f>
        <v/>
      </c>
      <c r="J838" s="21" t="str">
        <f>IF(F838="","",VLOOKUP(F838,razon_social[#ALL],2,0))</f>
        <v/>
      </c>
      <c r="K838" s="21" t="str">
        <f>IF(G838="","",VLOOKUP(G838,tipo_contribuyente[#ALL],2,0))</f>
        <v/>
      </c>
      <c r="L838" s="21" t="str">
        <f>IF(H838="","",VLOOKUP(H838,pais[#ALL],2,0))</f>
        <v/>
      </c>
    </row>
    <row r="839">
      <c r="A839" s="21"/>
      <c r="B839" s="21"/>
      <c r="C839" s="21"/>
      <c r="D839" s="21"/>
      <c r="E839" s="21"/>
      <c r="F839" s="21"/>
      <c r="G839" s="21"/>
      <c r="H839" s="21"/>
      <c r="I839" s="21" t="str">
        <f>IF(E839="","",VLOOKUP(E839,tipo_organizacion[#ALL],2,0))</f>
        <v/>
      </c>
      <c r="J839" s="21" t="str">
        <f>IF(F839="","",VLOOKUP(F839,razon_social[#ALL],2,0))</f>
        <v/>
      </c>
      <c r="K839" s="21" t="str">
        <f>IF(G839="","",VLOOKUP(G839,tipo_contribuyente[#ALL],2,0))</f>
        <v/>
      </c>
      <c r="L839" s="21" t="str">
        <f>IF(H839="","",VLOOKUP(H839,pais[#ALL],2,0))</f>
        <v/>
      </c>
    </row>
    <row r="840">
      <c r="A840" s="21"/>
      <c r="B840" s="21"/>
      <c r="C840" s="21"/>
      <c r="D840" s="21"/>
      <c r="E840" s="21"/>
      <c r="F840" s="21"/>
      <c r="G840" s="21"/>
      <c r="H840" s="21"/>
      <c r="I840" s="21" t="str">
        <f>IF(E840="","",VLOOKUP(E840,tipo_organizacion[#ALL],2,0))</f>
        <v/>
      </c>
      <c r="J840" s="21" t="str">
        <f>IF(F840="","",VLOOKUP(F840,razon_social[#ALL],2,0))</f>
        <v/>
      </c>
      <c r="K840" s="21" t="str">
        <f>IF(G840="","",VLOOKUP(G840,tipo_contribuyente[#ALL],2,0))</f>
        <v/>
      </c>
      <c r="L840" s="21" t="str">
        <f>IF(H840="","",VLOOKUP(H840,pais[#ALL],2,0))</f>
        <v/>
      </c>
    </row>
    <row r="841">
      <c r="A841" s="21"/>
      <c r="B841" s="21"/>
      <c r="C841" s="21"/>
      <c r="D841" s="21"/>
      <c r="E841" s="21"/>
      <c r="F841" s="21"/>
      <c r="G841" s="21"/>
      <c r="H841" s="21"/>
      <c r="I841" s="21" t="str">
        <f>IF(E841="","",VLOOKUP(E841,tipo_organizacion[#ALL],2,0))</f>
        <v/>
      </c>
      <c r="J841" s="21" t="str">
        <f>IF(F841="","",VLOOKUP(F841,razon_social[#ALL],2,0))</f>
        <v/>
      </c>
      <c r="K841" s="21" t="str">
        <f>IF(G841="","",VLOOKUP(G841,tipo_contribuyente[#ALL],2,0))</f>
        <v/>
      </c>
      <c r="L841" s="21" t="str">
        <f>IF(H841="","",VLOOKUP(H841,pais[#ALL],2,0))</f>
        <v/>
      </c>
    </row>
    <row r="842">
      <c r="A842" s="21"/>
      <c r="B842" s="21"/>
      <c r="C842" s="21"/>
      <c r="D842" s="21"/>
      <c r="E842" s="21"/>
      <c r="F842" s="21"/>
      <c r="G842" s="21"/>
      <c r="H842" s="21"/>
      <c r="I842" s="21" t="str">
        <f>IF(E842="","",VLOOKUP(E842,tipo_organizacion[#ALL],2,0))</f>
        <v/>
      </c>
      <c r="J842" s="21" t="str">
        <f>IF(F842="","",VLOOKUP(F842,razon_social[#ALL],2,0))</f>
        <v/>
      </c>
      <c r="K842" s="21" t="str">
        <f>IF(G842="","",VLOOKUP(G842,tipo_contribuyente[#ALL],2,0))</f>
        <v/>
      </c>
      <c r="L842" s="21" t="str">
        <f>IF(H842="","",VLOOKUP(H842,pais[#ALL],2,0))</f>
        <v/>
      </c>
    </row>
    <row r="843">
      <c r="A843" s="21"/>
      <c r="B843" s="21"/>
      <c r="C843" s="21"/>
      <c r="D843" s="21"/>
      <c r="E843" s="21"/>
      <c r="F843" s="21"/>
      <c r="G843" s="21"/>
      <c r="H843" s="21"/>
      <c r="I843" s="21" t="str">
        <f>IF(E843="","",VLOOKUP(E843,tipo_organizacion[#ALL],2,0))</f>
        <v/>
      </c>
      <c r="J843" s="21" t="str">
        <f>IF(F843="","",VLOOKUP(F843,razon_social[#ALL],2,0))</f>
        <v/>
      </c>
      <c r="K843" s="21" t="str">
        <f>IF(G843="","",VLOOKUP(G843,tipo_contribuyente[#ALL],2,0))</f>
        <v/>
      </c>
      <c r="L843" s="21" t="str">
        <f>IF(H843="","",VLOOKUP(H843,pais[#ALL],2,0))</f>
        <v/>
      </c>
    </row>
    <row r="844">
      <c r="A844" s="21"/>
      <c r="B844" s="21"/>
      <c r="C844" s="21"/>
      <c r="D844" s="21"/>
      <c r="E844" s="21"/>
      <c r="F844" s="21"/>
      <c r="G844" s="21"/>
      <c r="H844" s="21"/>
      <c r="I844" s="21" t="str">
        <f>IF(E844="","",VLOOKUP(E844,tipo_organizacion[#ALL],2,0))</f>
        <v/>
      </c>
      <c r="J844" s="21" t="str">
        <f>IF(F844="","",VLOOKUP(F844,razon_social[#ALL],2,0))</f>
        <v/>
      </c>
      <c r="K844" s="21" t="str">
        <f>IF(G844="","",VLOOKUP(G844,tipo_contribuyente[#ALL],2,0))</f>
        <v/>
      </c>
      <c r="L844" s="21" t="str">
        <f>IF(H844="","",VLOOKUP(H844,pais[#ALL],2,0))</f>
        <v/>
      </c>
    </row>
    <row r="845">
      <c r="A845" s="21"/>
      <c r="B845" s="21"/>
      <c r="C845" s="21"/>
      <c r="D845" s="21"/>
      <c r="E845" s="21"/>
      <c r="F845" s="21"/>
      <c r="G845" s="21"/>
      <c r="H845" s="21"/>
      <c r="I845" s="21" t="str">
        <f>IF(E845="","",VLOOKUP(E845,tipo_organizacion[#ALL],2,0))</f>
        <v/>
      </c>
      <c r="J845" s="21" t="str">
        <f>IF(F845="","",VLOOKUP(F845,razon_social[#ALL],2,0))</f>
        <v/>
      </c>
      <c r="K845" s="21" t="str">
        <f>IF(G845="","",VLOOKUP(G845,tipo_contribuyente[#ALL],2,0))</f>
        <v/>
      </c>
      <c r="L845" s="21" t="str">
        <f>IF(H845="","",VLOOKUP(H845,pais[#ALL],2,0))</f>
        <v/>
      </c>
    </row>
    <row r="846">
      <c r="A846" s="21"/>
      <c r="B846" s="21"/>
      <c r="C846" s="21"/>
      <c r="D846" s="21"/>
      <c r="E846" s="21"/>
      <c r="F846" s="21"/>
      <c r="G846" s="21"/>
      <c r="H846" s="21"/>
      <c r="I846" s="21" t="str">
        <f>IF(E846="","",VLOOKUP(E846,tipo_organizacion[#ALL],2,0))</f>
        <v/>
      </c>
      <c r="J846" s="21" t="str">
        <f>IF(F846="","",VLOOKUP(F846,razon_social[#ALL],2,0))</f>
        <v/>
      </c>
      <c r="K846" s="21" t="str">
        <f>IF(G846="","",VLOOKUP(G846,tipo_contribuyente[#ALL],2,0))</f>
        <v/>
      </c>
      <c r="L846" s="21" t="str">
        <f>IF(H846="","",VLOOKUP(H846,pais[#ALL],2,0))</f>
        <v/>
      </c>
    </row>
    <row r="847">
      <c r="A847" s="21"/>
      <c r="B847" s="21"/>
      <c r="C847" s="21"/>
      <c r="D847" s="21"/>
      <c r="E847" s="21"/>
      <c r="F847" s="21"/>
      <c r="G847" s="21"/>
      <c r="H847" s="21"/>
      <c r="I847" s="21" t="str">
        <f>IF(E847="","",VLOOKUP(E847,tipo_organizacion[#ALL],2,0))</f>
        <v/>
      </c>
      <c r="J847" s="21" t="str">
        <f>IF(F847="","",VLOOKUP(F847,razon_social[#ALL],2,0))</f>
        <v/>
      </c>
      <c r="K847" s="21" t="str">
        <f>IF(G847="","",VLOOKUP(G847,tipo_contribuyente[#ALL],2,0))</f>
        <v/>
      </c>
      <c r="L847" s="21" t="str">
        <f>IF(H847="","",VLOOKUP(H847,pais[#ALL],2,0))</f>
        <v/>
      </c>
    </row>
    <row r="848">
      <c r="A848" s="21"/>
      <c r="B848" s="21"/>
      <c r="C848" s="21"/>
      <c r="D848" s="21"/>
      <c r="E848" s="21"/>
      <c r="F848" s="21"/>
      <c r="G848" s="21"/>
      <c r="H848" s="21"/>
      <c r="I848" s="21" t="str">
        <f>IF(E848="","",VLOOKUP(E848,tipo_organizacion[#ALL],2,0))</f>
        <v/>
      </c>
      <c r="J848" s="21" t="str">
        <f>IF(F848="","",VLOOKUP(F848,razon_social[#ALL],2,0))</f>
        <v/>
      </c>
      <c r="K848" s="21" t="str">
        <f>IF(G848="","",VLOOKUP(G848,tipo_contribuyente[#ALL],2,0))</f>
        <v/>
      </c>
      <c r="L848" s="21" t="str">
        <f>IF(H848="","",VLOOKUP(H848,pais[#ALL],2,0))</f>
        <v/>
      </c>
    </row>
    <row r="849">
      <c r="A849" s="21"/>
      <c r="B849" s="21"/>
      <c r="C849" s="21"/>
      <c r="D849" s="21"/>
      <c r="E849" s="21"/>
      <c r="F849" s="21"/>
      <c r="G849" s="21"/>
      <c r="H849" s="21"/>
      <c r="I849" s="21" t="str">
        <f>IF(E849="","",VLOOKUP(E849,tipo_organizacion[#ALL],2,0))</f>
        <v/>
      </c>
      <c r="J849" s="21" t="str">
        <f>IF(F849="","",VLOOKUP(F849,razon_social[#ALL],2,0))</f>
        <v/>
      </c>
      <c r="K849" s="21" t="str">
        <f>IF(G849="","",VLOOKUP(G849,tipo_contribuyente[#ALL],2,0))</f>
        <v/>
      </c>
      <c r="L849" s="21" t="str">
        <f>IF(H849="","",VLOOKUP(H849,pais[#ALL],2,0))</f>
        <v/>
      </c>
    </row>
    <row r="850">
      <c r="A850" s="21"/>
      <c r="B850" s="21"/>
      <c r="C850" s="21"/>
      <c r="D850" s="21"/>
      <c r="E850" s="21"/>
      <c r="F850" s="21"/>
      <c r="G850" s="21"/>
      <c r="H850" s="21"/>
      <c r="I850" s="21" t="str">
        <f>IF(E850="","",VLOOKUP(E850,tipo_organizacion[#ALL],2,0))</f>
        <v/>
      </c>
      <c r="J850" s="21" t="str">
        <f>IF(F850="","",VLOOKUP(F850,razon_social[#ALL],2,0))</f>
        <v/>
      </c>
      <c r="K850" s="21" t="str">
        <f>IF(G850="","",VLOOKUP(G850,tipo_contribuyente[#ALL],2,0))</f>
        <v/>
      </c>
      <c r="L850" s="21" t="str">
        <f>IF(H850="","",VLOOKUP(H850,pais[#ALL],2,0))</f>
        <v/>
      </c>
    </row>
    <row r="851">
      <c r="A851" s="21"/>
      <c r="B851" s="21"/>
      <c r="C851" s="21"/>
      <c r="D851" s="21"/>
      <c r="E851" s="21"/>
      <c r="F851" s="21"/>
      <c r="G851" s="21"/>
      <c r="H851" s="21"/>
      <c r="I851" s="21" t="str">
        <f>IF(E851="","",VLOOKUP(E851,tipo_organizacion[#ALL],2,0))</f>
        <v/>
      </c>
      <c r="J851" s="21" t="str">
        <f>IF(F851="","",VLOOKUP(F851,razon_social[#ALL],2,0))</f>
        <v/>
      </c>
      <c r="K851" s="21" t="str">
        <f>IF(G851="","",VLOOKUP(G851,tipo_contribuyente[#ALL],2,0))</f>
        <v/>
      </c>
      <c r="L851" s="21" t="str">
        <f>IF(H851="","",VLOOKUP(H851,pais[#ALL],2,0))</f>
        <v/>
      </c>
    </row>
    <row r="852">
      <c r="A852" s="21"/>
      <c r="B852" s="21"/>
      <c r="C852" s="21"/>
      <c r="D852" s="21"/>
      <c r="E852" s="21"/>
      <c r="F852" s="21"/>
      <c r="G852" s="21"/>
      <c r="H852" s="21"/>
      <c r="I852" s="21" t="str">
        <f>IF(E852="","",VLOOKUP(E852,tipo_organizacion[#ALL],2,0))</f>
        <v/>
      </c>
      <c r="J852" s="21" t="str">
        <f>IF(F852="","",VLOOKUP(F852,razon_social[#ALL],2,0))</f>
        <v/>
      </c>
      <c r="K852" s="21" t="str">
        <f>IF(G852="","",VLOOKUP(G852,tipo_contribuyente[#ALL],2,0))</f>
        <v/>
      </c>
      <c r="L852" s="21" t="str">
        <f>IF(H852="","",VLOOKUP(H852,pais[#ALL],2,0))</f>
        <v/>
      </c>
    </row>
    <row r="853">
      <c r="A853" s="21"/>
      <c r="B853" s="21"/>
      <c r="C853" s="21"/>
      <c r="D853" s="21"/>
      <c r="E853" s="21"/>
      <c r="F853" s="21"/>
      <c r="G853" s="21"/>
      <c r="H853" s="21"/>
      <c r="I853" s="21" t="str">
        <f>IF(E853="","",VLOOKUP(E853,tipo_organizacion[#ALL],2,0))</f>
        <v/>
      </c>
      <c r="J853" s="21" t="str">
        <f>IF(F853="","",VLOOKUP(F853,razon_social[#ALL],2,0))</f>
        <v/>
      </c>
      <c r="K853" s="21" t="str">
        <f>IF(G853="","",VLOOKUP(G853,tipo_contribuyente[#ALL],2,0))</f>
        <v/>
      </c>
      <c r="L853" s="21" t="str">
        <f>IF(H853="","",VLOOKUP(H853,pais[#ALL],2,0))</f>
        <v/>
      </c>
    </row>
    <row r="854">
      <c r="A854" s="21"/>
      <c r="B854" s="21"/>
      <c r="C854" s="21"/>
      <c r="D854" s="21"/>
      <c r="E854" s="21"/>
      <c r="F854" s="21"/>
      <c r="G854" s="21"/>
      <c r="H854" s="21"/>
      <c r="I854" s="21" t="str">
        <f>IF(E854="","",VLOOKUP(E854,tipo_organizacion[#ALL],2,0))</f>
        <v/>
      </c>
      <c r="J854" s="21" t="str">
        <f>IF(F854="","",VLOOKUP(F854,razon_social[#ALL],2,0))</f>
        <v/>
      </c>
      <c r="K854" s="21" t="str">
        <f>IF(G854="","",VLOOKUP(G854,tipo_contribuyente[#ALL],2,0))</f>
        <v/>
      </c>
      <c r="L854" s="21" t="str">
        <f>IF(H854="","",VLOOKUP(H854,pais[#ALL],2,0))</f>
        <v/>
      </c>
    </row>
    <row r="855">
      <c r="A855" s="21"/>
      <c r="B855" s="21"/>
      <c r="C855" s="21"/>
      <c r="D855" s="21"/>
      <c r="E855" s="21"/>
      <c r="F855" s="21"/>
      <c r="G855" s="21"/>
      <c r="H855" s="21"/>
      <c r="I855" s="21" t="str">
        <f>IF(E855="","",VLOOKUP(E855,tipo_organizacion[#ALL],2,0))</f>
        <v/>
      </c>
      <c r="J855" s="21" t="str">
        <f>IF(F855="","",VLOOKUP(F855,razon_social[#ALL],2,0))</f>
        <v/>
      </c>
      <c r="K855" s="21" t="str">
        <f>IF(G855="","",VLOOKUP(G855,tipo_contribuyente[#ALL],2,0))</f>
        <v/>
      </c>
      <c r="L855" s="21" t="str">
        <f>IF(H855="","",VLOOKUP(H855,pais[#ALL],2,0))</f>
        <v/>
      </c>
    </row>
    <row r="856">
      <c r="A856" s="21"/>
      <c r="B856" s="21"/>
      <c r="C856" s="21"/>
      <c r="D856" s="21"/>
      <c r="E856" s="21"/>
      <c r="F856" s="21"/>
      <c r="G856" s="21"/>
      <c r="H856" s="21"/>
      <c r="I856" s="21" t="str">
        <f>IF(E856="","",VLOOKUP(E856,tipo_organizacion[#ALL],2,0))</f>
        <v/>
      </c>
      <c r="J856" s="21" t="str">
        <f>IF(F856="","",VLOOKUP(F856,razon_social[#ALL],2,0))</f>
        <v/>
      </c>
      <c r="K856" s="21" t="str">
        <f>IF(G856="","",VLOOKUP(G856,tipo_contribuyente[#ALL],2,0))</f>
        <v/>
      </c>
      <c r="L856" s="21" t="str">
        <f>IF(H856="","",VLOOKUP(H856,pais[#ALL],2,0))</f>
        <v/>
      </c>
    </row>
    <row r="857">
      <c r="A857" s="21"/>
      <c r="B857" s="21"/>
      <c r="C857" s="21"/>
      <c r="D857" s="21"/>
      <c r="E857" s="21"/>
      <c r="F857" s="21"/>
      <c r="G857" s="21"/>
      <c r="H857" s="21"/>
      <c r="I857" s="21" t="str">
        <f>IF(E857="","",VLOOKUP(E857,tipo_organizacion[#ALL],2,0))</f>
        <v/>
      </c>
      <c r="J857" s="21" t="str">
        <f>IF(F857="","",VLOOKUP(F857,razon_social[#ALL],2,0))</f>
        <v/>
      </c>
      <c r="K857" s="21" t="str">
        <f>IF(G857="","",VLOOKUP(G857,tipo_contribuyente[#ALL],2,0))</f>
        <v/>
      </c>
      <c r="L857" s="21" t="str">
        <f>IF(H857="","",VLOOKUP(H857,pais[#ALL],2,0))</f>
        <v/>
      </c>
    </row>
    <row r="858">
      <c r="A858" s="21"/>
      <c r="B858" s="21"/>
      <c r="C858" s="21"/>
      <c r="D858" s="21"/>
      <c r="E858" s="21"/>
      <c r="F858" s="21"/>
      <c r="G858" s="21"/>
      <c r="H858" s="21"/>
      <c r="I858" s="21" t="str">
        <f>IF(E858="","",VLOOKUP(E858,tipo_organizacion[#ALL],2,0))</f>
        <v/>
      </c>
      <c r="J858" s="21" t="str">
        <f>IF(F858="","",VLOOKUP(F858,razon_social[#ALL],2,0))</f>
        <v/>
      </c>
      <c r="K858" s="21" t="str">
        <f>IF(G858="","",VLOOKUP(G858,tipo_contribuyente[#ALL],2,0))</f>
        <v/>
      </c>
      <c r="L858" s="21" t="str">
        <f>IF(H858="","",VLOOKUP(H858,pais[#ALL],2,0))</f>
        <v/>
      </c>
    </row>
    <row r="859">
      <c r="A859" s="21"/>
      <c r="B859" s="21"/>
      <c r="C859" s="21"/>
      <c r="D859" s="21"/>
      <c r="E859" s="21"/>
      <c r="F859" s="21"/>
      <c r="G859" s="21"/>
      <c r="H859" s="21"/>
      <c r="I859" s="21" t="str">
        <f>IF(E859="","",VLOOKUP(E859,tipo_organizacion[#ALL],2,0))</f>
        <v/>
      </c>
      <c r="J859" s="21" t="str">
        <f>IF(F859="","",VLOOKUP(F859,razon_social[#ALL],2,0))</f>
        <v/>
      </c>
      <c r="K859" s="21" t="str">
        <f>IF(G859="","",VLOOKUP(G859,tipo_contribuyente[#ALL],2,0))</f>
        <v/>
      </c>
      <c r="L859" s="21" t="str">
        <f>IF(H859="","",VLOOKUP(H859,pais[#ALL],2,0))</f>
        <v/>
      </c>
    </row>
    <row r="860">
      <c r="A860" s="21"/>
      <c r="B860" s="21"/>
      <c r="C860" s="21"/>
      <c r="D860" s="21"/>
      <c r="E860" s="21"/>
      <c r="F860" s="21"/>
      <c r="G860" s="21"/>
      <c r="H860" s="21"/>
      <c r="I860" s="21" t="str">
        <f>IF(E860="","",VLOOKUP(E860,tipo_organizacion[#ALL],2,0))</f>
        <v/>
      </c>
      <c r="J860" s="21" t="str">
        <f>IF(F860="","",VLOOKUP(F860,razon_social[#ALL],2,0))</f>
        <v/>
      </c>
      <c r="K860" s="21" t="str">
        <f>IF(G860="","",VLOOKUP(G860,tipo_contribuyente[#ALL],2,0))</f>
        <v/>
      </c>
      <c r="L860" s="21" t="str">
        <f>IF(H860="","",VLOOKUP(H860,pais[#ALL],2,0))</f>
        <v/>
      </c>
    </row>
    <row r="861">
      <c r="A861" s="21"/>
      <c r="B861" s="21"/>
      <c r="C861" s="21"/>
      <c r="D861" s="21"/>
      <c r="E861" s="21"/>
      <c r="F861" s="21"/>
      <c r="G861" s="21"/>
      <c r="H861" s="21"/>
      <c r="I861" s="21" t="str">
        <f>IF(E861="","",VLOOKUP(E861,tipo_organizacion[#ALL],2,0))</f>
        <v/>
      </c>
      <c r="J861" s="21" t="str">
        <f>IF(F861="","",VLOOKUP(F861,razon_social[#ALL],2,0))</f>
        <v/>
      </c>
      <c r="K861" s="21" t="str">
        <f>IF(G861="","",VLOOKUP(G861,tipo_contribuyente[#ALL],2,0))</f>
        <v/>
      </c>
      <c r="L861" s="21" t="str">
        <f>IF(H861="","",VLOOKUP(H861,pais[#ALL],2,0))</f>
        <v/>
      </c>
    </row>
    <row r="862">
      <c r="A862" s="21"/>
      <c r="B862" s="21"/>
      <c r="C862" s="21"/>
      <c r="D862" s="21"/>
      <c r="E862" s="21"/>
      <c r="F862" s="21"/>
      <c r="G862" s="21"/>
      <c r="H862" s="21"/>
      <c r="I862" s="21" t="str">
        <f>IF(E862="","",VLOOKUP(E862,tipo_organizacion[#ALL],2,0))</f>
        <v/>
      </c>
      <c r="J862" s="21" t="str">
        <f>IF(F862="","",VLOOKUP(F862,razon_social[#ALL],2,0))</f>
        <v/>
      </c>
      <c r="K862" s="21" t="str">
        <f>IF(G862="","",VLOOKUP(G862,tipo_contribuyente[#ALL],2,0))</f>
        <v/>
      </c>
      <c r="L862" s="21" t="str">
        <f>IF(H862="","",VLOOKUP(H862,pais[#ALL],2,0))</f>
        <v/>
      </c>
    </row>
    <row r="863">
      <c r="A863" s="21"/>
      <c r="B863" s="21"/>
      <c r="C863" s="21"/>
      <c r="D863" s="21"/>
      <c r="E863" s="21"/>
      <c r="F863" s="21"/>
      <c r="G863" s="21"/>
      <c r="H863" s="21"/>
      <c r="I863" s="21" t="str">
        <f>IF(E863="","",VLOOKUP(E863,tipo_organizacion[#ALL],2,0))</f>
        <v/>
      </c>
      <c r="J863" s="21" t="str">
        <f>IF(F863="","",VLOOKUP(F863,razon_social[#ALL],2,0))</f>
        <v/>
      </c>
      <c r="K863" s="21" t="str">
        <f>IF(G863="","",VLOOKUP(G863,tipo_contribuyente[#ALL],2,0))</f>
        <v/>
      </c>
      <c r="L863" s="21" t="str">
        <f>IF(H863="","",VLOOKUP(H863,pais[#ALL],2,0))</f>
        <v/>
      </c>
    </row>
    <row r="864">
      <c r="A864" s="21"/>
      <c r="B864" s="21"/>
      <c r="C864" s="21"/>
      <c r="D864" s="21"/>
      <c r="E864" s="21"/>
      <c r="F864" s="21"/>
      <c r="G864" s="21"/>
      <c r="H864" s="21"/>
      <c r="I864" s="21" t="str">
        <f>IF(E864="","",VLOOKUP(E864,tipo_organizacion[#ALL],2,0))</f>
        <v/>
      </c>
      <c r="J864" s="21" t="str">
        <f>IF(F864="","",VLOOKUP(F864,razon_social[#ALL],2,0))</f>
        <v/>
      </c>
      <c r="K864" s="21" t="str">
        <f>IF(G864="","",VLOOKUP(G864,tipo_contribuyente[#ALL],2,0))</f>
        <v/>
      </c>
      <c r="L864" s="21" t="str">
        <f>IF(H864="","",VLOOKUP(H864,pais[#ALL],2,0))</f>
        <v/>
      </c>
    </row>
    <row r="865">
      <c r="A865" s="21"/>
      <c r="B865" s="21"/>
      <c r="C865" s="21"/>
      <c r="D865" s="21"/>
      <c r="E865" s="21"/>
      <c r="F865" s="21"/>
      <c r="G865" s="21"/>
      <c r="H865" s="21"/>
      <c r="I865" s="21" t="str">
        <f>IF(E865="","",VLOOKUP(E865,tipo_organizacion[#ALL],2,0))</f>
        <v/>
      </c>
      <c r="J865" s="21" t="str">
        <f>IF(F865="","",VLOOKUP(F865,razon_social[#ALL],2,0))</f>
        <v/>
      </c>
      <c r="K865" s="21" t="str">
        <f>IF(G865="","",VLOOKUP(G865,tipo_contribuyente[#ALL],2,0))</f>
        <v/>
      </c>
      <c r="L865" s="21" t="str">
        <f>IF(H865="","",VLOOKUP(H865,pais[#ALL],2,0))</f>
        <v/>
      </c>
    </row>
    <row r="866">
      <c r="A866" s="21"/>
      <c r="B866" s="21"/>
      <c r="C866" s="21"/>
      <c r="D866" s="21"/>
      <c r="E866" s="21"/>
      <c r="F866" s="21"/>
      <c r="G866" s="21"/>
      <c r="H866" s="21"/>
      <c r="I866" s="21" t="str">
        <f>IF(E866="","",VLOOKUP(E866,tipo_organizacion[#ALL],2,0))</f>
        <v/>
      </c>
      <c r="J866" s="21" t="str">
        <f>IF(F866="","",VLOOKUP(F866,razon_social[#ALL],2,0))</f>
        <v/>
      </c>
      <c r="K866" s="21" t="str">
        <f>IF(G866="","",VLOOKUP(G866,tipo_contribuyente[#ALL],2,0))</f>
        <v/>
      </c>
      <c r="L866" s="21" t="str">
        <f>IF(H866="","",VLOOKUP(H866,pais[#ALL],2,0))</f>
        <v/>
      </c>
    </row>
    <row r="867">
      <c r="A867" s="21"/>
      <c r="B867" s="21"/>
      <c r="C867" s="21"/>
      <c r="D867" s="21"/>
      <c r="E867" s="21"/>
      <c r="F867" s="21"/>
      <c r="G867" s="21"/>
      <c r="H867" s="21"/>
      <c r="I867" s="21" t="str">
        <f>IF(E867="","",VLOOKUP(E867,tipo_organizacion[#ALL],2,0))</f>
        <v/>
      </c>
      <c r="J867" s="21" t="str">
        <f>IF(F867="","",VLOOKUP(F867,razon_social[#ALL],2,0))</f>
        <v/>
      </c>
      <c r="K867" s="21" t="str">
        <f>IF(G867="","",VLOOKUP(G867,tipo_contribuyente[#ALL],2,0))</f>
        <v/>
      </c>
      <c r="L867" s="21" t="str">
        <f>IF(H867="","",VLOOKUP(H867,pais[#ALL],2,0))</f>
        <v/>
      </c>
    </row>
    <row r="868">
      <c r="A868" s="21"/>
      <c r="B868" s="21"/>
      <c r="C868" s="21"/>
      <c r="D868" s="21"/>
      <c r="E868" s="21"/>
      <c r="F868" s="21"/>
      <c r="G868" s="21"/>
      <c r="H868" s="21"/>
      <c r="I868" s="21" t="str">
        <f>IF(E868="","",VLOOKUP(E868,tipo_organizacion[#ALL],2,0))</f>
        <v/>
      </c>
      <c r="J868" s="21" t="str">
        <f>IF(F868="","",VLOOKUP(F868,razon_social[#ALL],2,0))</f>
        <v/>
      </c>
      <c r="K868" s="21" t="str">
        <f>IF(G868="","",VLOOKUP(G868,tipo_contribuyente[#ALL],2,0))</f>
        <v/>
      </c>
      <c r="L868" s="21" t="str">
        <f>IF(H868="","",VLOOKUP(H868,pais[#ALL],2,0))</f>
        <v/>
      </c>
    </row>
    <row r="869">
      <c r="A869" s="21"/>
      <c r="B869" s="21"/>
      <c r="C869" s="21"/>
      <c r="D869" s="21"/>
      <c r="E869" s="21"/>
      <c r="F869" s="21"/>
      <c r="G869" s="21"/>
      <c r="H869" s="21"/>
      <c r="I869" s="21" t="str">
        <f>IF(E869="","",VLOOKUP(E869,tipo_organizacion[#ALL],2,0))</f>
        <v/>
      </c>
      <c r="J869" s="21" t="str">
        <f>IF(F869="","",VLOOKUP(F869,razon_social[#ALL],2,0))</f>
        <v/>
      </c>
      <c r="K869" s="21" t="str">
        <f>IF(G869="","",VLOOKUP(G869,tipo_contribuyente[#ALL],2,0))</f>
        <v/>
      </c>
      <c r="L869" s="21" t="str">
        <f>IF(H869="","",VLOOKUP(H869,pais[#ALL],2,0))</f>
        <v/>
      </c>
    </row>
    <row r="870">
      <c r="A870" s="21"/>
      <c r="B870" s="21"/>
      <c r="C870" s="21"/>
      <c r="D870" s="21"/>
      <c r="E870" s="21"/>
      <c r="F870" s="21"/>
      <c r="G870" s="21"/>
      <c r="H870" s="21"/>
      <c r="I870" s="21" t="str">
        <f>IF(E870="","",VLOOKUP(E870,tipo_organizacion[#ALL],2,0))</f>
        <v/>
      </c>
      <c r="J870" s="21" t="str">
        <f>IF(F870="","",VLOOKUP(F870,razon_social[#ALL],2,0))</f>
        <v/>
      </c>
      <c r="K870" s="21" t="str">
        <f>IF(G870="","",VLOOKUP(G870,tipo_contribuyente[#ALL],2,0))</f>
        <v/>
      </c>
      <c r="L870" s="21" t="str">
        <f>IF(H870="","",VLOOKUP(H870,pais[#ALL],2,0))</f>
        <v/>
      </c>
    </row>
    <row r="871">
      <c r="A871" s="21"/>
      <c r="B871" s="21"/>
      <c r="C871" s="21"/>
      <c r="D871" s="21"/>
      <c r="E871" s="21"/>
      <c r="F871" s="21"/>
      <c r="G871" s="21"/>
      <c r="H871" s="21"/>
      <c r="I871" s="21" t="str">
        <f>IF(E871="","",VLOOKUP(E871,tipo_organizacion[#ALL],2,0))</f>
        <v/>
      </c>
      <c r="J871" s="21" t="str">
        <f>IF(F871="","",VLOOKUP(F871,razon_social[#ALL],2,0))</f>
        <v/>
      </c>
      <c r="K871" s="21" t="str">
        <f>IF(G871="","",VLOOKUP(G871,tipo_contribuyente[#ALL],2,0))</f>
        <v/>
      </c>
      <c r="L871" s="21" t="str">
        <f>IF(H871="","",VLOOKUP(H871,pais[#ALL],2,0))</f>
        <v/>
      </c>
    </row>
    <row r="872">
      <c r="A872" s="21"/>
      <c r="B872" s="21"/>
      <c r="C872" s="21"/>
      <c r="D872" s="21"/>
      <c r="E872" s="21"/>
      <c r="F872" s="21"/>
      <c r="G872" s="21"/>
      <c r="H872" s="21"/>
      <c r="I872" s="21" t="str">
        <f>IF(E872="","",VLOOKUP(E872,tipo_organizacion[#ALL],2,0))</f>
        <v/>
      </c>
      <c r="J872" s="21" t="str">
        <f>IF(F872="","",VLOOKUP(F872,razon_social[#ALL],2,0))</f>
        <v/>
      </c>
      <c r="K872" s="21" t="str">
        <f>IF(G872="","",VLOOKUP(G872,tipo_contribuyente[#ALL],2,0))</f>
        <v/>
      </c>
      <c r="L872" s="21" t="str">
        <f>IF(H872="","",VLOOKUP(H872,pais[#ALL],2,0))</f>
        <v/>
      </c>
    </row>
    <row r="873">
      <c r="A873" s="21"/>
      <c r="B873" s="21"/>
      <c r="C873" s="21"/>
      <c r="D873" s="21"/>
      <c r="E873" s="21"/>
      <c r="F873" s="21"/>
      <c r="G873" s="21"/>
      <c r="H873" s="21"/>
      <c r="I873" s="21" t="str">
        <f>IF(E873="","",VLOOKUP(E873,tipo_organizacion[#ALL],2,0))</f>
        <v/>
      </c>
      <c r="J873" s="21" t="str">
        <f>IF(F873="","",VLOOKUP(F873,razon_social[#ALL],2,0))</f>
        <v/>
      </c>
      <c r="K873" s="21" t="str">
        <f>IF(G873="","",VLOOKUP(G873,tipo_contribuyente[#ALL],2,0))</f>
        <v/>
      </c>
      <c r="L873" s="21" t="str">
        <f>IF(H873="","",VLOOKUP(H873,pais[#ALL],2,0))</f>
        <v/>
      </c>
    </row>
    <row r="874">
      <c r="A874" s="21"/>
      <c r="B874" s="21"/>
      <c r="C874" s="21"/>
      <c r="D874" s="21"/>
      <c r="E874" s="21"/>
      <c r="F874" s="21"/>
      <c r="G874" s="21"/>
      <c r="H874" s="21"/>
      <c r="I874" s="21" t="str">
        <f>IF(E874="","",VLOOKUP(E874,tipo_organizacion[#ALL],2,0))</f>
        <v/>
      </c>
      <c r="J874" s="21" t="str">
        <f>IF(F874="","",VLOOKUP(F874,razon_social[#ALL],2,0))</f>
        <v/>
      </c>
      <c r="K874" s="21" t="str">
        <f>IF(G874="","",VLOOKUP(G874,tipo_contribuyente[#ALL],2,0))</f>
        <v/>
      </c>
      <c r="L874" s="21" t="str">
        <f>IF(H874="","",VLOOKUP(H874,pais[#ALL],2,0))</f>
        <v/>
      </c>
    </row>
    <row r="875">
      <c r="A875" s="21"/>
      <c r="B875" s="21"/>
      <c r="C875" s="21"/>
      <c r="D875" s="21"/>
      <c r="E875" s="21"/>
      <c r="F875" s="21"/>
      <c r="G875" s="21"/>
      <c r="H875" s="21"/>
      <c r="I875" s="21" t="str">
        <f>IF(E875="","",VLOOKUP(E875,tipo_organizacion[#ALL],2,0))</f>
        <v/>
      </c>
      <c r="J875" s="21" t="str">
        <f>IF(F875="","",VLOOKUP(F875,razon_social[#ALL],2,0))</f>
        <v/>
      </c>
      <c r="K875" s="21" t="str">
        <f>IF(G875="","",VLOOKUP(G875,tipo_contribuyente[#ALL],2,0))</f>
        <v/>
      </c>
      <c r="L875" s="21" t="str">
        <f>IF(H875="","",VLOOKUP(H875,pais[#ALL],2,0))</f>
        <v/>
      </c>
    </row>
    <row r="876">
      <c r="A876" s="21"/>
      <c r="B876" s="21"/>
      <c r="C876" s="21"/>
      <c r="D876" s="21"/>
      <c r="E876" s="21"/>
      <c r="F876" s="21"/>
      <c r="G876" s="21"/>
      <c r="H876" s="21"/>
      <c r="I876" s="21" t="str">
        <f>IF(E876="","",VLOOKUP(E876,tipo_organizacion[#ALL],2,0))</f>
        <v/>
      </c>
      <c r="J876" s="21" t="str">
        <f>IF(F876="","",VLOOKUP(F876,razon_social[#ALL],2,0))</f>
        <v/>
      </c>
      <c r="K876" s="21" t="str">
        <f>IF(G876="","",VLOOKUP(G876,tipo_contribuyente[#ALL],2,0))</f>
        <v/>
      </c>
      <c r="L876" s="21" t="str">
        <f>IF(H876="","",VLOOKUP(H876,pais[#ALL],2,0))</f>
        <v/>
      </c>
    </row>
    <row r="877">
      <c r="A877" s="21"/>
      <c r="B877" s="21"/>
      <c r="C877" s="21"/>
      <c r="D877" s="21"/>
      <c r="E877" s="21"/>
      <c r="F877" s="21"/>
      <c r="G877" s="21"/>
      <c r="H877" s="21"/>
      <c r="I877" s="21" t="str">
        <f>IF(E877="","",VLOOKUP(E877,tipo_organizacion[#ALL],2,0))</f>
        <v/>
      </c>
      <c r="J877" s="21" t="str">
        <f>IF(F877="","",VLOOKUP(F877,razon_social[#ALL],2,0))</f>
        <v/>
      </c>
      <c r="K877" s="21" t="str">
        <f>IF(G877="","",VLOOKUP(G877,tipo_contribuyente[#ALL],2,0))</f>
        <v/>
      </c>
      <c r="L877" s="21" t="str">
        <f>IF(H877="","",VLOOKUP(H877,pais[#ALL],2,0))</f>
        <v/>
      </c>
    </row>
    <row r="878">
      <c r="A878" s="21"/>
      <c r="B878" s="21"/>
      <c r="C878" s="21"/>
      <c r="D878" s="21"/>
      <c r="E878" s="21"/>
      <c r="F878" s="21"/>
      <c r="G878" s="21"/>
      <c r="H878" s="21"/>
      <c r="I878" s="21" t="str">
        <f>IF(E878="","",VLOOKUP(E878,tipo_organizacion[#ALL],2,0))</f>
        <v/>
      </c>
      <c r="J878" s="21" t="str">
        <f>IF(F878="","",VLOOKUP(F878,razon_social[#ALL],2,0))</f>
        <v/>
      </c>
      <c r="K878" s="21" t="str">
        <f>IF(G878="","",VLOOKUP(G878,tipo_contribuyente[#ALL],2,0))</f>
        <v/>
      </c>
      <c r="L878" s="21" t="str">
        <f>IF(H878="","",VLOOKUP(H878,pais[#ALL],2,0))</f>
        <v/>
      </c>
    </row>
    <row r="879">
      <c r="A879" s="21"/>
      <c r="B879" s="21"/>
      <c r="C879" s="21"/>
      <c r="D879" s="21"/>
      <c r="E879" s="21"/>
      <c r="F879" s="21"/>
      <c r="G879" s="21"/>
      <c r="H879" s="21"/>
      <c r="I879" s="21" t="str">
        <f>IF(E879="","",VLOOKUP(E879,tipo_organizacion[#ALL],2,0))</f>
        <v/>
      </c>
      <c r="J879" s="21" t="str">
        <f>IF(F879="","",VLOOKUP(F879,razon_social[#ALL],2,0))</f>
        <v/>
      </c>
      <c r="K879" s="21" t="str">
        <f>IF(G879="","",VLOOKUP(G879,tipo_contribuyente[#ALL],2,0))</f>
        <v/>
      </c>
      <c r="L879" s="21" t="str">
        <f>IF(H879="","",VLOOKUP(H879,pais[#ALL],2,0))</f>
        <v/>
      </c>
    </row>
    <row r="880">
      <c r="A880" s="21"/>
      <c r="B880" s="21"/>
      <c r="C880" s="21"/>
      <c r="D880" s="21"/>
      <c r="E880" s="21"/>
      <c r="F880" s="21"/>
      <c r="G880" s="21"/>
      <c r="H880" s="21"/>
      <c r="I880" s="21" t="str">
        <f>IF(E880="","",VLOOKUP(E880,tipo_organizacion[#ALL],2,0))</f>
        <v/>
      </c>
      <c r="J880" s="21" t="str">
        <f>IF(F880="","",VLOOKUP(F880,razon_social[#ALL],2,0))</f>
        <v/>
      </c>
      <c r="K880" s="21" t="str">
        <f>IF(G880="","",VLOOKUP(G880,tipo_contribuyente[#ALL],2,0))</f>
        <v/>
      </c>
      <c r="L880" s="21" t="str">
        <f>IF(H880="","",VLOOKUP(H880,pais[#ALL],2,0))</f>
        <v/>
      </c>
    </row>
    <row r="881">
      <c r="A881" s="21"/>
      <c r="B881" s="21"/>
      <c r="C881" s="21"/>
      <c r="D881" s="21"/>
      <c r="E881" s="21"/>
      <c r="F881" s="21"/>
      <c r="G881" s="21"/>
      <c r="H881" s="21"/>
      <c r="I881" s="21" t="str">
        <f>IF(E881="","",VLOOKUP(E881,tipo_organizacion[#ALL],2,0))</f>
        <v/>
      </c>
      <c r="J881" s="21" t="str">
        <f>IF(F881="","",VLOOKUP(F881,razon_social[#ALL],2,0))</f>
        <v/>
      </c>
      <c r="K881" s="21" t="str">
        <f>IF(G881="","",VLOOKUP(G881,tipo_contribuyente[#ALL],2,0))</f>
        <v/>
      </c>
      <c r="L881" s="21" t="str">
        <f>IF(H881="","",VLOOKUP(H881,pais[#ALL],2,0))</f>
        <v/>
      </c>
    </row>
    <row r="882">
      <c r="A882" s="21"/>
      <c r="B882" s="21"/>
      <c r="C882" s="21"/>
      <c r="D882" s="21"/>
      <c r="E882" s="21"/>
      <c r="F882" s="21"/>
      <c r="G882" s="21"/>
      <c r="H882" s="21"/>
      <c r="I882" s="21" t="str">
        <f>IF(E882="","",VLOOKUP(E882,tipo_organizacion[#ALL],2,0))</f>
        <v/>
      </c>
      <c r="J882" s="21" t="str">
        <f>IF(F882="","",VLOOKUP(F882,razon_social[#ALL],2,0))</f>
        <v/>
      </c>
      <c r="K882" s="21" t="str">
        <f>IF(G882="","",VLOOKUP(G882,tipo_contribuyente[#ALL],2,0))</f>
        <v/>
      </c>
      <c r="L882" s="21" t="str">
        <f>IF(H882="","",VLOOKUP(H882,pais[#ALL],2,0))</f>
        <v/>
      </c>
    </row>
    <row r="883">
      <c r="A883" s="21"/>
      <c r="B883" s="21"/>
      <c r="C883" s="21"/>
      <c r="D883" s="21"/>
      <c r="E883" s="21"/>
      <c r="F883" s="21"/>
      <c r="G883" s="21"/>
      <c r="H883" s="21"/>
      <c r="I883" s="21" t="str">
        <f>IF(E883="","",VLOOKUP(E883,tipo_organizacion[#ALL],2,0))</f>
        <v/>
      </c>
      <c r="J883" s="21" t="str">
        <f>IF(F883="","",VLOOKUP(F883,razon_social[#ALL],2,0))</f>
        <v/>
      </c>
      <c r="K883" s="21" t="str">
        <f>IF(G883="","",VLOOKUP(G883,tipo_contribuyente[#ALL],2,0))</f>
        <v/>
      </c>
      <c r="L883" s="21" t="str">
        <f>IF(H883="","",VLOOKUP(H883,pais[#ALL],2,0))</f>
        <v/>
      </c>
    </row>
    <row r="884">
      <c r="A884" s="21"/>
      <c r="B884" s="21"/>
      <c r="C884" s="21"/>
      <c r="D884" s="21"/>
      <c r="E884" s="21"/>
      <c r="F884" s="21"/>
      <c r="G884" s="21"/>
      <c r="H884" s="21"/>
      <c r="I884" s="21" t="str">
        <f>IF(E884="","",VLOOKUP(E884,tipo_organizacion[#ALL],2,0))</f>
        <v/>
      </c>
      <c r="J884" s="21" t="str">
        <f>IF(F884="","",VLOOKUP(F884,razon_social[#ALL],2,0))</f>
        <v/>
      </c>
      <c r="K884" s="21" t="str">
        <f>IF(G884="","",VLOOKUP(G884,tipo_contribuyente[#ALL],2,0))</f>
        <v/>
      </c>
      <c r="L884" s="21" t="str">
        <f>IF(H884="","",VLOOKUP(H884,pais[#ALL],2,0))</f>
        <v/>
      </c>
    </row>
    <row r="885">
      <c r="A885" s="21"/>
      <c r="B885" s="21"/>
      <c r="C885" s="21"/>
      <c r="D885" s="21"/>
      <c r="E885" s="21"/>
      <c r="F885" s="21"/>
      <c r="G885" s="21"/>
      <c r="H885" s="21"/>
      <c r="I885" s="21" t="str">
        <f>IF(E885="","",VLOOKUP(E885,tipo_organizacion[#ALL],2,0))</f>
        <v/>
      </c>
      <c r="J885" s="21" t="str">
        <f>IF(F885="","",VLOOKUP(F885,razon_social[#ALL],2,0))</f>
        <v/>
      </c>
      <c r="K885" s="21" t="str">
        <f>IF(G885="","",VLOOKUP(G885,tipo_contribuyente[#ALL],2,0))</f>
        <v/>
      </c>
      <c r="L885" s="21" t="str">
        <f>IF(H885="","",VLOOKUP(H885,pais[#ALL],2,0))</f>
        <v/>
      </c>
    </row>
    <row r="886">
      <c r="A886" s="21"/>
      <c r="B886" s="21"/>
      <c r="C886" s="21"/>
      <c r="D886" s="21"/>
      <c r="E886" s="21"/>
      <c r="F886" s="21"/>
      <c r="G886" s="21"/>
      <c r="H886" s="21"/>
      <c r="I886" s="21" t="str">
        <f>IF(E886="","",VLOOKUP(E886,tipo_organizacion[#ALL],2,0))</f>
        <v/>
      </c>
      <c r="J886" s="21" t="str">
        <f>IF(F886="","",VLOOKUP(F886,razon_social[#ALL],2,0))</f>
        <v/>
      </c>
      <c r="K886" s="21" t="str">
        <f>IF(G886="","",VLOOKUP(G886,tipo_contribuyente[#ALL],2,0))</f>
        <v/>
      </c>
      <c r="L886" s="21" t="str">
        <f>IF(H886="","",VLOOKUP(H886,pais[#ALL],2,0))</f>
        <v/>
      </c>
    </row>
    <row r="887">
      <c r="A887" s="21"/>
      <c r="B887" s="21"/>
      <c r="C887" s="21"/>
      <c r="D887" s="21"/>
      <c r="E887" s="21"/>
      <c r="F887" s="21"/>
      <c r="G887" s="21"/>
      <c r="H887" s="21"/>
      <c r="I887" s="21" t="str">
        <f>IF(E887="","",VLOOKUP(E887,tipo_organizacion[#ALL],2,0))</f>
        <v/>
      </c>
      <c r="J887" s="21" t="str">
        <f>IF(F887="","",VLOOKUP(F887,razon_social[#ALL],2,0))</f>
        <v/>
      </c>
      <c r="K887" s="21" t="str">
        <f>IF(G887="","",VLOOKUP(G887,tipo_contribuyente[#ALL],2,0))</f>
        <v/>
      </c>
      <c r="L887" s="21" t="str">
        <f>IF(H887="","",VLOOKUP(H887,pais[#ALL],2,0))</f>
        <v/>
      </c>
    </row>
    <row r="888">
      <c r="A888" s="21"/>
      <c r="B888" s="21"/>
      <c r="C888" s="21"/>
      <c r="D888" s="21"/>
      <c r="E888" s="21"/>
      <c r="F888" s="21"/>
      <c r="G888" s="21"/>
      <c r="H888" s="21"/>
      <c r="I888" s="21" t="str">
        <f>IF(E888="","",VLOOKUP(E888,tipo_organizacion[#ALL],2,0))</f>
        <v/>
      </c>
      <c r="J888" s="21" t="str">
        <f>IF(F888="","",VLOOKUP(F888,razon_social[#ALL],2,0))</f>
        <v/>
      </c>
      <c r="K888" s="21" t="str">
        <f>IF(G888="","",VLOOKUP(G888,tipo_contribuyente[#ALL],2,0))</f>
        <v/>
      </c>
      <c r="L888" s="21" t="str">
        <f>IF(H888="","",VLOOKUP(H888,pais[#ALL],2,0))</f>
        <v/>
      </c>
    </row>
    <row r="889">
      <c r="A889" s="21"/>
      <c r="B889" s="21"/>
      <c r="C889" s="21"/>
      <c r="D889" s="21"/>
      <c r="E889" s="21"/>
      <c r="F889" s="21"/>
      <c r="G889" s="21"/>
      <c r="H889" s="21"/>
      <c r="I889" s="21" t="str">
        <f>IF(E889="","",VLOOKUP(E889,tipo_organizacion[#ALL],2,0))</f>
        <v/>
      </c>
      <c r="J889" s="21" t="str">
        <f>IF(F889="","",VLOOKUP(F889,razon_social[#ALL],2,0))</f>
        <v/>
      </c>
      <c r="K889" s="21" t="str">
        <f>IF(G889="","",VLOOKUP(G889,tipo_contribuyente[#ALL],2,0))</f>
        <v/>
      </c>
      <c r="L889" s="21" t="str">
        <f>IF(H889="","",VLOOKUP(H889,pais[#ALL],2,0))</f>
        <v/>
      </c>
    </row>
    <row r="890">
      <c r="A890" s="21"/>
      <c r="B890" s="21"/>
      <c r="C890" s="21"/>
      <c r="D890" s="21"/>
      <c r="E890" s="21"/>
      <c r="F890" s="21"/>
      <c r="G890" s="21"/>
      <c r="H890" s="21"/>
      <c r="I890" s="21" t="str">
        <f>IF(E890="","",VLOOKUP(E890,tipo_organizacion[#ALL],2,0))</f>
        <v/>
      </c>
      <c r="J890" s="21" t="str">
        <f>IF(F890="","",VLOOKUP(F890,razon_social[#ALL],2,0))</f>
        <v/>
      </c>
      <c r="K890" s="21" t="str">
        <f>IF(G890="","",VLOOKUP(G890,tipo_contribuyente[#ALL],2,0))</f>
        <v/>
      </c>
      <c r="L890" s="21" t="str">
        <f>IF(H890="","",VLOOKUP(H890,pais[#ALL],2,0))</f>
        <v/>
      </c>
    </row>
    <row r="891">
      <c r="A891" s="21"/>
      <c r="B891" s="21"/>
      <c r="C891" s="21"/>
      <c r="D891" s="21"/>
      <c r="E891" s="21"/>
      <c r="F891" s="21"/>
      <c r="G891" s="21"/>
      <c r="H891" s="21"/>
      <c r="I891" s="21" t="str">
        <f>IF(E891="","",VLOOKUP(E891,tipo_organizacion[#ALL],2,0))</f>
        <v/>
      </c>
      <c r="J891" s="21" t="str">
        <f>IF(F891="","",VLOOKUP(F891,razon_social[#ALL],2,0))</f>
        <v/>
      </c>
      <c r="K891" s="21" t="str">
        <f>IF(G891="","",VLOOKUP(G891,tipo_contribuyente[#ALL],2,0))</f>
        <v/>
      </c>
      <c r="L891" s="21" t="str">
        <f>IF(H891="","",VLOOKUP(H891,pais[#ALL],2,0))</f>
        <v/>
      </c>
    </row>
    <row r="892">
      <c r="A892" s="21"/>
      <c r="B892" s="21"/>
      <c r="C892" s="21"/>
      <c r="D892" s="21"/>
      <c r="E892" s="21"/>
      <c r="F892" s="21"/>
      <c r="G892" s="21"/>
      <c r="H892" s="21"/>
      <c r="I892" s="21" t="str">
        <f>IF(E892="","",VLOOKUP(E892,tipo_organizacion[#ALL],2,0))</f>
        <v/>
      </c>
      <c r="J892" s="21" t="str">
        <f>IF(F892="","",VLOOKUP(F892,razon_social[#ALL],2,0))</f>
        <v/>
      </c>
      <c r="K892" s="21" t="str">
        <f>IF(G892="","",VLOOKUP(G892,tipo_contribuyente[#ALL],2,0))</f>
        <v/>
      </c>
      <c r="L892" s="21" t="str">
        <f>IF(H892="","",VLOOKUP(H892,pais[#ALL],2,0))</f>
        <v/>
      </c>
    </row>
    <row r="893">
      <c r="A893" s="21"/>
      <c r="B893" s="21"/>
      <c r="C893" s="21"/>
      <c r="D893" s="21"/>
      <c r="E893" s="21"/>
      <c r="F893" s="21"/>
      <c r="G893" s="21"/>
      <c r="H893" s="21"/>
      <c r="I893" s="21" t="str">
        <f>IF(E893="","",VLOOKUP(E893,tipo_organizacion[#ALL],2,0))</f>
        <v/>
      </c>
      <c r="J893" s="21" t="str">
        <f>IF(F893="","",VLOOKUP(F893,razon_social[#ALL],2,0))</f>
        <v/>
      </c>
      <c r="K893" s="21" t="str">
        <f>IF(G893="","",VLOOKUP(G893,tipo_contribuyente[#ALL],2,0))</f>
        <v/>
      </c>
      <c r="L893" s="21" t="str">
        <f>IF(H893="","",VLOOKUP(H893,pais[#ALL],2,0))</f>
        <v/>
      </c>
    </row>
    <row r="894">
      <c r="A894" s="21"/>
      <c r="B894" s="21"/>
      <c r="C894" s="21"/>
      <c r="D894" s="21"/>
      <c r="E894" s="21"/>
      <c r="F894" s="21"/>
      <c r="G894" s="21"/>
      <c r="H894" s="21"/>
      <c r="I894" s="21" t="str">
        <f>IF(E894="","",VLOOKUP(E894,tipo_organizacion[#ALL],2,0))</f>
        <v/>
      </c>
      <c r="J894" s="21" t="str">
        <f>IF(F894="","",VLOOKUP(F894,razon_social[#ALL],2,0))</f>
        <v/>
      </c>
      <c r="K894" s="21" t="str">
        <f>IF(G894="","",VLOOKUP(G894,tipo_contribuyente[#ALL],2,0))</f>
        <v/>
      </c>
      <c r="L894" s="21" t="str">
        <f>IF(H894="","",VLOOKUP(H894,pais[#ALL],2,0))</f>
        <v/>
      </c>
    </row>
    <row r="895">
      <c r="A895" s="21"/>
      <c r="B895" s="21"/>
      <c r="C895" s="21"/>
      <c r="D895" s="21"/>
      <c r="E895" s="21"/>
      <c r="F895" s="21"/>
      <c r="G895" s="21"/>
      <c r="H895" s="21"/>
      <c r="I895" s="21" t="str">
        <f>IF(E895="","",VLOOKUP(E895,tipo_organizacion[#ALL],2,0))</f>
        <v/>
      </c>
      <c r="J895" s="21" t="str">
        <f>IF(F895="","",VLOOKUP(F895,razon_social[#ALL],2,0))</f>
        <v/>
      </c>
      <c r="K895" s="21" t="str">
        <f>IF(G895="","",VLOOKUP(G895,tipo_contribuyente[#ALL],2,0))</f>
        <v/>
      </c>
      <c r="L895" s="21" t="str">
        <f>IF(H895="","",VLOOKUP(H895,pais[#ALL],2,0))</f>
        <v/>
      </c>
    </row>
    <row r="896">
      <c r="A896" s="21"/>
      <c r="B896" s="21"/>
      <c r="C896" s="21"/>
      <c r="D896" s="21"/>
      <c r="E896" s="21"/>
      <c r="F896" s="21"/>
      <c r="G896" s="21"/>
      <c r="H896" s="21"/>
      <c r="I896" s="21" t="str">
        <f>IF(E896="","",VLOOKUP(E896,tipo_organizacion[#ALL],2,0))</f>
        <v/>
      </c>
      <c r="J896" s="21" t="str">
        <f>IF(F896="","",VLOOKUP(F896,razon_social[#ALL],2,0))</f>
        <v/>
      </c>
      <c r="K896" s="21" t="str">
        <f>IF(G896="","",VLOOKUP(G896,tipo_contribuyente[#ALL],2,0))</f>
        <v/>
      </c>
      <c r="L896" s="21" t="str">
        <f>IF(H896="","",VLOOKUP(H896,pais[#ALL],2,0))</f>
        <v/>
      </c>
    </row>
    <row r="897">
      <c r="A897" s="21"/>
      <c r="B897" s="21"/>
      <c r="C897" s="21"/>
      <c r="D897" s="21"/>
      <c r="E897" s="21"/>
      <c r="F897" s="21"/>
      <c r="G897" s="21"/>
      <c r="H897" s="21"/>
      <c r="I897" s="21" t="str">
        <f>IF(E897="","",VLOOKUP(E897,tipo_organizacion[#ALL],2,0))</f>
        <v/>
      </c>
      <c r="J897" s="21" t="str">
        <f>IF(F897="","",VLOOKUP(F897,razon_social[#ALL],2,0))</f>
        <v/>
      </c>
      <c r="K897" s="21" t="str">
        <f>IF(G897="","",VLOOKUP(G897,tipo_contribuyente[#ALL],2,0))</f>
        <v/>
      </c>
      <c r="L897" s="21" t="str">
        <f>IF(H897="","",VLOOKUP(H897,pais[#ALL],2,0))</f>
        <v/>
      </c>
    </row>
    <row r="898">
      <c r="A898" s="21"/>
      <c r="B898" s="21"/>
      <c r="C898" s="21"/>
      <c r="D898" s="21"/>
      <c r="E898" s="21"/>
      <c r="F898" s="21"/>
      <c r="G898" s="21"/>
      <c r="H898" s="21"/>
      <c r="I898" s="21" t="str">
        <f>IF(E898="","",VLOOKUP(E898,tipo_organizacion[#ALL],2,0))</f>
        <v/>
      </c>
      <c r="J898" s="21" t="str">
        <f>IF(F898="","",VLOOKUP(F898,razon_social[#ALL],2,0))</f>
        <v/>
      </c>
      <c r="K898" s="21" t="str">
        <f>IF(G898="","",VLOOKUP(G898,tipo_contribuyente[#ALL],2,0))</f>
        <v/>
      </c>
      <c r="L898" s="21" t="str">
        <f>IF(H898="","",VLOOKUP(H898,pais[#ALL],2,0))</f>
        <v/>
      </c>
    </row>
    <row r="899">
      <c r="A899" s="21"/>
      <c r="B899" s="21"/>
      <c r="C899" s="21"/>
      <c r="D899" s="21"/>
      <c r="E899" s="21"/>
      <c r="F899" s="21"/>
      <c r="G899" s="21"/>
      <c r="H899" s="21"/>
      <c r="I899" s="21" t="str">
        <f>IF(E899="","",VLOOKUP(E899,tipo_organizacion[#ALL],2,0))</f>
        <v/>
      </c>
      <c r="J899" s="21" t="str">
        <f>IF(F899="","",VLOOKUP(F899,razon_social[#ALL],2,0))</f>
        <v/>
      </c>
      <c r="K899" s="21" t="str">
        <f>IF(G899="","",VLOOKUP(G899,tipo_contribuyente[#ALL],2,0))</f>
        <v/>
      </c>
      <c r="L899" s="21" t="str">
        <f>IF(H899="","",VLOOKUP(H899,pais[#ALL],2,0))</f>
        <v/>
      </c>
    </row>
    <row r="900">
      <c r="A900" s="21"/>
      <c r="B900" s="21"/>
      <c r="C900" s="21"/>
      <c r="D900" s="21"/>
      <c r="E900" s="21"/>
      <c r="F900" s="21"/>
      <c r="G900" s="21"/>
      <c r="H900" s="21"/>
      <c r="I900" s="21" t="str">
        <f>IF(E900="","",VLOOKUP(E900,tipo_organizacion[#ALL],2,0))</f>
        <v/>
      </c>
      <c r="J900" s="21" t="str">
        <f>IF(F900="","",VLOOKUP(F900,razon_social[#ALL],2,0))</f>
        <v/>
      </c>
      <c r="K900" s="21" t="str">
        <f>IF(G900="","",VLOOKUP(G900,tipo_contribuyente[#ALL],2,0))</f>
        <v/>
      </c>
      <c r="L900" s="21" t="str">
        <f>IF(H900="","",VLOOKUP(H900,pais[#ALL],2,0))</f>
        <v/>
      </c>
    </row>
    <row r="901">
      <c r="A901" s="21"/>
      <c r="B901" s="21"/>
      <c r="C901" s="21"/>
      <c r="D901" s="21"/>
      <c r="E901" s="21"/>
      <c r="F901" s="21"/>
      <c r="G901" s="21"/>
      <c r="H901" s="21"/>
      <c r="I901" s="21" t="str">
        <f>IF(E901="","",VLOOKUP(E901,tipo_organizacion[#ALL],2,0))</f>
        <v/>
      </c>
      <c r="J901" s="21" t="str">
        <f>IF(F901="","",VLOOKUP(F901,razon_social[#ALL],2,0))</f>
        <v/>
      </c>
      <c r="K901" s="21" t="str">
        <f>IF(G901="","",VLOOKUP(G901,tipo_contribuyente[#ALL],2,0))</f>
        <v/>
      </c>
      <c r="L901" s="21" t="str">
        <f>IF(H901="","",VLOOKUP(H901,pais[#ALL],2,0))</f>
        <v/>
      </c>
    </row>
    <row r="902">
      <c r="A902" s="21"/>
      <c r="B902" s="21"/>
      <c r="C902" s="21"/>
      <c r="D902" s="21"/>
      <c r="E902" s="21"/>
      <c r="F902" s="21"/>
      <c r="G902" s="21"/>
      <c r="H902" s="21"/>
      <c r="I902" s="21" t="str">
        <f>IF(E902="","",VLOOKUP(E902,tipo_organizacion[#ALL],2,0))</f>
        <v/>
      </c>
      <c r="J902" s="21" t="str">
        <f>IF(F902="","",VLOOKUP(F902,razon_social[#ALL],2,0))</f>
        <v/>
      </c>
      <c r="K902" s="21" t="str">
        <f>IF(G902="","",VLOOKUP(G902,tipo_contribuyente[#ALL],2,0))</f>
        <v/>
      </c>
      <c r="L902" s="21" t="str">
        <f>IF(H902="","",VLOOKUP(H902,pais[#ALL],2,0))</f>
        <v/>
      </c>
    </row>
    <row r="903">
      <c r="A903" s="21"/>
      <c r="B903" s="21"/>
      <c r="C903" s="21"/>
      <c r="D903" s="21"/>
      <c r="E903" s="21"/>
      <c r="F903" s="21"/>
      <c r="G903" s="21"/>
      <c r="H903" s="21"/>
      <c r="I903" s="21" t="str">
        <f>IF(E903="","",VLOOKUP(E903,tipo_organizacion[#ALL],2,0))</f>
        <v/>
      </c>
      <c r="J903" s="21" t="str">
        <f>IF(F903="","",VLOOKUP(F903,razon_social[#ALL],2,0))</f>
        <v/>
      </c>
      <c r="K903" s="21" t="str">
        <f>IF(G903="","",VLOOKUP(G903,tipo_contribuyente[#ALL],2,0))</f>
        <v/>
      </c>
      <c r="L903" s="21" t="str">
        <f>IF(H903="","",VLOOKUP(H903,pais[#ALL],2,0))</f>
        <v/>
      </c>
    </row>
    <row r="904">
      <c r="A904" s="21"/>
      <c r="B904" s="21"/>
      <c r="C904" s="21"/>
      <c r="D904" s="21"/>
      <c r="E904" s="21"/>
      <c r="F904" s="21"/>
      <c r="G904" s="21"/>
      <c r="H904" s="21"/>
      <c r="I904" s="21" t="str">
        <f>IF(E904="","",VLOOKUP(E904,tipo_organizacion[#ALL],2,0))</f>
        <v/>
      </c>
      <c r="J904" s="21" t="str">
        <f>IF(F904="","",VLOOKUP(F904,razon_social[#ALL],2,0))</f>
        <v/>
      </c>
      <c r="K904" s="21" t="str">
        <f>IF(G904="","",VLOOKUP(G904,tipo_contribuyente[#ALL],2,0))</f>
        <v/>
      </c>
      <c r="L904" s="21" t="str">
        <f>IF(H904="","",VLOOKUP(H904,pais[#ALL],2,0))</f>
        <v/>
      </c>
    </row>
    <row r="905">
      <c r="A905" s="21"/>
      <c r="B905" s="21"/>
      <c r="C905" s="21"/>
      <c r="D905" s="21"/>
      <c r="E905" s="21"/>
      <c r="F905" s="21"/>
      <c r="G905" s="21"/>
      <c r="H905" s="21"/>
      <c r="I905" s="21" t="str">
        <f>IF(E905="","",VLOOKUP(E905,tipo_organizacion[#ALL],2,0))</f>
        <v/>
      </c>
      <c r="J905" s="21" t="str">
        <f>IF(F905="","",VLOOKUP(F905,razon_social[#ALL],2,0))</f>
        <v/>
      </c>
      <c r="K905" s="21" t="str">
        <f>IF(G905="","",VLOOKUP(G905,tipo_contribuyente[#ALL],2,0))</f>
        <v/>
      </c>
      <c r="L905" s="21" t="str">
        <f>IF(H905="","",VLOOKUP(H905,pais[#ALL],2,0))</f>
        <v/>
      </c>
    </row>
    <row r="906">
      <c r="A906" s="21"/>
      <c r="B906" s="21"/>
      <c r="C906" s="21"/>
      <c r="D906" s="21"/>
      <c r="E906" s="21"/>
      <c r="F906" s="21"/>
      <c r="G906" s="21"/>
      <c r="H906" s="21"/>
      <c r="I906" s="21" t="str">
        <f>IF(E906="","",VLOOKUP(E906,tipo_organizacion[#ALL],2,0))</f>
        <v/>
      </c>
      <c r="J906" s="21" t="str">
        <f>IF(F906="","",VLOOKUP(F906,razon_social[#ALL],2,0))</f>
        <v/>
      </c>
      <c r="K906" s="21" t="str">
        <f>IF(G906="","",VLOOKUP(G906,tipo_contribuyente[#ALL],2,0))</f>
        <v/>
      </c>
      <c r="L906" s="21" t="str">
        <f>IF(H906="","",VLOOKUP(H906,pais[#ALL],2,0))</f>
        <v/>
      </c>
    </row>
    <row r="907">
      <c r="A907" s="21"/>
      <c r="B907" s="21"/>
      <c r="C907" s="21"/>
      <c r="D907" s="21"/>
      <c r="E907" s="21"/>
      <c r="F907" s="21"/>
      <c r="G907" s="21"/>
      <c r="H907" s="21"/>
      <c r="I907" s="21" t="str">
        <f>IF(E907="","",VLOOKUP(E907,tipo_organizacion[#ALL],2,0))</f>
        <v/>
      </c>
      <c r="J907" s="21" t="str">
        <f>IF(F907="","",VLOOKUP(F907,razon_social[#ALL],2,0))</f>
        <v/>
      </c>
      <c r="K907" s="21" t="str">
        <f>IF(G907="","",VLOOKUP(G907,tipo_contribuyente[#ALL],2,0))</f>
        <v/>
      </c>
      <c r="L907" s="21" t="str">
        <f>IF(H907="","",VLOOKUP(H907,pais[#ALL],2,0))</f>
        <v/>
      </c>
    </row>
    <row r="908">
      <c r="A908" s="21"/>
      <c r="B908" s="21"/>
      <c r="C908" s="21"/>
      <c r="D908" s="21"/>
      <c r="E908" s="21"/>
      <c r="F908" s="21"/>
      <c r="G908" s="21"/>
      <c r="H908" s="21"/>
      <c r="I908" s="21" t="str">
        <f>IF(E908="","",VLOOKUP(E908,tipo_organizacion[#ALL],2,0))</f>
        <v/>
      </c>
      <c r="J908" s="21" t="str">
        <f>IF(F908="","",VLOOKUP(F908,razon_social[#ALL],2,0))</f>
        <v/>
      </c>
      <c r="K908" s="21" t="str">
        <f>IF(G908="","",VLOOKUP(G908,tipo_contribuyente[#ALL],2,0))</f>
        <v/>
      </c>
      <c r="L908" s="21" t="str">
        <f>IF(H908="","",VLOOKUP(H908,pais[#ALL],2,0))</f>
        <v/>
      </c>
    </row>
    <row r="909">
      <c r="A909" s="21"/>
      <c r="B909" s="21"/>
      <c r="C909" s="21"/>
      <c r="D909" s="21"/>
      <c r="E909" s="21"/>
      <c r="F909" s="21"/>
      <c r="G909" s="21"/>
      <c r="H909" s="21"/>
      <c r="I909" s="21" t="str">
        <f>IF(E909="","",VLOOKUP(E909,tipo_organizacion[#ALL],2,0))</f>
        <v/>
      </c>
      <c r="J909" s="21" t="str">
        <f>IF(F909="","",VLOOKUP(F909,razon_social[#ALL],2,0))</f>
        <v/>
      </c>
      <c r="K909" s="21" t="str">
        <f>IF(G909="","",VLOOKUP(G909,tipo_contribuyente[#ALL],2,0))</f>
        <v/>
      </c>
      <c r="L909" s="21" t="str">
        <f>IF(H909="","",VLOOKUP(H909,pais[#ALL],2,0))</f>
        <v/>
      </c>
    </row>
    <row r="910">
      <c r="A910" s="21"/>
      <c r="B910" s="21"/>
      <c r="C910" s="21"/>
      <c r="D910" s="21"/>
      <c r="E910" s="21"/>
      <c r="F910" s="21"/>
      <c r="G910" s="21"/>
      <c r="H910" s="21"/>
      <c r="I910" s="21" t="str">
        <f>IF(E910="","",VLOOKUP(E910,tipo_organizacion[#ALL],2,0))</f>
        <v/>
      </c>
      <c r="J910" s="21" t="str">
        <f>IF(F910="","",VLOOKUP(F910,razon_social[#ALL],2,0))</f>
        <v/>
      </c>
      <c r="K910" s="21" t="str">
        <f>IF(G910="","",VLOOKUP(G910,tipo_contribuyente[#ALL],2,0))</f>
        <v/>
      </c>
      <c r="L910" s="21" t="str">
        <f>IF(H910="","",VLOOKUP(H910,pais[#ALL],2,0))</f>
        <v/>
      </c>
    </row>
    <row r="911">
      <c r="A911" s="21"/>
      <c r="B911" s="21"/>
      <c r="C911" s="21"/>
      <c r="D911" s="21"/>
      <c r="E911" s="21"/>
      <c r="F911" s="21"/>
      <c r="G911" s="21"/>
      <c r="H911" s="21"/>
      <c r="I911" s="21" t="str">
        <f>IF(E911="","",VLOOKUP(E911,tipo_organizacion[#ALL],2,0))</f>
        <v/>
      </c>
      <c r="J911" s="21" t="str">
        <f>IF(F911="","",VLOOKUP(F911,razon_social[#ALL],2,0))</f>
        <v/>
      </c>
      <c r="K911" s="21" t="str">
        <f>IF(G911="","",VLOOKUP(G911,tipo_contribuyente[#ALL],2,0))</f>
        <v/>
      </c>
      <c r="L911" s="21" t="str">
        <f>IF(H911="","",VLOOKUP(H911,pais[#ALL],2,0))</f>
        <v/>
      </c>
    </row>
    <row r="912">
      <c r="A912" s="21"/>
      <c r="B912" s="21"/>
      <c r="C912" s="21"/>
      <c r="D912" s="21"/>
      <c r="E912" s="21"/>
      <c r="F912" s="21"/>
      <c r="G912" s="21"/>
      <c r="H912" s="21"/>
      <c r="I912" s="21" t="str">
        <f>IF(E912="","",VLOOKUP(E912,tipo_organizacion[#ALL],2,0))</f>
        <v/>
      </c>
      <c r="J912" s="21" t="str">
        <f>IF(F912="","",VLOOKUP(F912,razon_social[#ALL],2,0))</f>
        <v/>
      </c>
      <c r="K912" s="21" t="str">
        <f>IF(G912="","",VLOOKUP(G912,tipo_contribuyente[#ALL],2,0))</f>
        <v/>
      </c>
      <c r="L912" s="21" t="str">
        <f>IF(H912="","",VLOOKUP(H912,pais[#ALL],2,0))</f>
        <v/>
      </c>
    </row>
    <row r="913">
      <c r="A913" s="21"/>
      <c r="B913" s="21"/>
      <c r="C913" s="21"/>
      <c r="D913" s="21"/>
      <c r="E913" s="21"/>
      <c r="F913" s="21"/>
      <c r="G913" s="21"/>
      <c r="H913" s="21"/>
      <c r="I913" s="21" t="str">
        <f>IF(E913="","",VLOOKUP(E913,tipo_organizacion[#ALL],2,0))</f>
        <v/>
      </c>
      <c r="J913" s="21" t="str">
        <f>IF(F913="","",VLOOKUP(F913,razon_social[#ALL],2,0))</f>
        <v/>
      </c>
      <c r="K913" s="21" t="str">
        <f>IF(G913="","",VLOOKUP(G913,tipo_contribuyente[#ALL],2,0))</f>
        <v/>
      </c>
      <c r="L913" s="21" t="str">
        <f>IF(H913="","",VLOOKUP(H913,pais[#ALL],2,0))</f>
        <v/>
      </c>
    </row>
    <row r="914">
      <c r="A914" s="21"/>
      <c r="B914" s="21"/>
      <c r="C914" s="21"/>
      <c r="D914" s="21"/>
      <c r="E914" s="21"/>
      <c r="F914" s="21"/>
      <c r="G914" s="21"/>
      <c r="H914" s="21"/>
      <c r="I914" s="21" t="str">
        <f>IF(E914="","",VLOOKUP(E914,tipo_organizacion[#ALL],2,0))</f>
        <v/>
      </c>
      <c r="J914" s="21" t="str">
        <f>IF(F914="","",VLOOKUP(F914,razon_social[#ALL],2,0))</f>
        <v/>
      </c>
      <c r="K914" s="21" t="str">
        <f>IF(G914="","",VLOOKUP(G914,tipo_contribuyente[#ALL],2,0))</f>
        <v/>
      </c>
      <c r="L914" s="21" t="str">
        <f>IF(H914="","",VLOOKUP(H914,pais[#ALL],2,0))</f>
        <v/>
      </c>
    </row>
    <row r="915">
      <c r="A915" s="21"/>
      <c r="B915" s="21"/>
      <c r="C915" s="21"/>
      <c r="D915" s="21"/>
      <c r="E915" s="21"/>
      <c r="F915" s="21"/>
      <c r="G915" s="21"/>
      <c r="H915" s="21"/>
      <c r="I915" s="21" t="str">
        <f>IF(E915="","",VLOOKUP(E915,tipo_organizacion[#ALL],2,0))</f>
        <v/>
      </c>
      <c r="J915" s="21" t="str">
        <f>IF(F915="","",VLOOKUP(F915,razon_social[#ALL],2,0))</f>
        <v/>
      </c>
      <c r="K915" s="21" t="str">
        <f>IF(G915="","",VLOOKUP(G915,tipo_contribuyente[#ALL],2,0))</f>
        <v/>
      </c>
      <c r="L915" s="21" t="str">
        <f>IF(H915="","",VLOOKUP(H915,pais[#ALL],2,0))</f>
        <v/>
      </c>
    </row>
    <row r="916">
      <c r="A916" s="21"/>
      <c r="B916" s="21"/>
      <c r="C916" s="21"/>
      <c r="D916" s="21"/>
      <c r="E916" s="21"/>
      <c r="F916" s="21"/>
      <c r="G916" s="21"/>
      <c r="H916" s="21"/>
      <c r="I916" s="21" t="str">
        <f>IF(E916="","",VLOOKUP(E916,tipo_organizacion[#ALL],2,0))</f>
        <v/>
      </c>
      <c r="J916" s="21" t="str">
        <f>IF(F916="","",VLOOKUP(F916,razon_social[#ALL],2,0))</f>
        <v/>
      </c>
      <c r="K916" s="21" t="str">
        <f>IF(G916="","",VLOOKUP(G916,tipo_contribuyente[#ALL],2,0))</f>
        <v/>
      </c>
      <c r="L916" s="21" t="str">
        <f>IF(H916="","",VLOOKUP(H916,pais[#ALL],2,0))</f>
        <v/>
      </c>
    </row>
    <row r="917">
      <c r="A917" s="21"/>
      <c r="B917" s="21"/>
      <c r="C917" s="21"/>
      <c r="D917" s="21"/>
      <c r="E917" s="21"/>
      <c r="F917" s="21"/>
      <c r="G917" s="21"/>
      <c r="H917" s="21"/>
      <c r="I917" s="21" t="str">
        <f>IF(E917="","",VLOOKUP(E917,tipo_organizacion[#ALL],2,0))</f>
        <v/>
      </c>
      <c r="J917" s="21" t="str">
        <f>IF(F917="","",VLOOKUP(F917,razon_social[#ALL],2,0))</f>
        <v/>
      </c>
      <c r="K917" s="21" t="str">
        <f>IF(G917="","",VLOOKUP(G917,tipo_contribuyente[#ALL],2,0))</f>
        <v/>
      </c>
      <c r="L917" s="21" t="str">
        <f>IF(H917="","",VLOOKUP(H917,pais[#ALL],2,0))</f>
        <v/>
      </c>
    </row>
    <row r="918">
      <c r="A918" s="21"/>
      <c r="B918" s="21"/>
      <c r="C918" s="21"/>
      <c r="D918" s="21"/>
      <c r="E918" s="21"/>
      <c r="F918" s="21"/>
      <c r="G918" s="21"/>
      <c r="H918" s="21"/>
      <c r="I918" s="21" t="str">
        <f>IF(E918="","",VLOOKUP(E918,tipo_organizacion[#ALL],2,0))</f>
        <v/>
      </c>
      <c r="J918" s="21" t="str">
        <f>IF(F918="","",VLOOKUP(F918,razon_social[#ALL],2,0))</f>
        <v/>
      </c>
      <c r="K918" s="21" t="str">
        <f>IF(G918="","",VLOOKUP(G918,tipo_contribuyente[#ALL],2,0))</f>
        <v/>
      </c>
      <c r="L918" s="21" t="str">
        <f>IF(H918="","",VLOOKUP(H918,pais[#ALL],2,0))</f>
        <v/>
      </c>
    </row>
    <row r="919">
      <c r="A919" s="21"/>
      <c r="B919" s="21"/>
      <c r="C919" s="21"/>
      <c r="D919" s="21"/>
      <c r="E919" s="21"/>
      <c r="F919" s="21"/>
      <c r="G919" s="21"/>
      <c r="H919" s="21"/>
      <c r="I919" s="21" t="str">
        <f>IF(E919="","",VLOOKUP(E919,tipo_organizacion[#ALL],2,0))</f>
        <v/>
      </c>
      <c r="J919" s="21" t="str">
        <f>IF(F919="","",VLOOKUP(F919,razon_social[#ALL],2,0))</f>
        <v/>
      </c>
      <c r="K919" s="21" t="str">
        <f>IF(G919="","",VLOOKUP(G919,tipo_contribuyente[#ALL],2,0))</f>
        <v/>
      </c>
      <c r="L919" s="21" t="str">
        <f>IF(H919="","",VLOOKUP(H919,pais[#ALL],2,0))</f>
        <v/>
      </c>
    </row>
    <row r="920">
      <c r="A920" s="21"/>
      <c r="B920" s="21"/>
      <c r="C920" s="21"/>
      <c r="D920" s="21"/>
      <c r="E920" s="21"/>
      <c r="F920" s="21"/>
      <c r="G920" s="21"/>
      <c r="H920" s="21"/>
      <c r="I920" s="21" t="str">
        <f>IF(E920="","",VLOOKUP(E920,tipo_organizacion[#ALL],2,0))</f>
        <v/>
      </c>
      <c r="J920" s="21" t="str">
        <f>IF(F920="","",VLOOKUP(F920,razon_social[#ALL],2,0))</f>
        <v/>
      </c>
      <c r="K920" s="21" t="str">
        <f>IF(G920="","",VLOOKUP(G920,tipo_contribuyente[#ALL],2,0))</f>
        <v/>
      </c>
      <c r="L920" s="21" t="str">
        <f>IF(H920="","",VLOOKUP(H920,pais[#ALL],2,0))</f>
        <v/>
      </c>
    </row>
    <row r="921">
      <c r="A921" s="21"/>
      <c r="B921" s="21"/>
      <c r="C921" s="21"/>
      <c r="D921" s="21"/>
      <c r="E921" s="21"/>
      <c r="F921" s="21"/>
      <c r="G921" s="21"/>
      <c r="H921" s="21"/>
      <c r="I921" s="21" t="str">
        <f>IF(E921="","",VLOOKUP(E921,tipo_organizacion[#ALL],2,0))</f>
        <v/>
      </c>
      <c r="J921" s="21" t="str">
        <f>IF(F921="","",VLOOKUP(F921,razon_social[#ALL],2,0))</f>
        <v/>
      </c>
      <c r="K921" s="21" t="str">
        <f>IF(G921="","",VLOOKUP(G921,tipo_contribuyente[#ALL],2,0))</f>
        <v/>
      </c>
      <c r="L921" s="21" t="str">
        <f>IF(H921="","",VLOOKUP(H921,pais[#ALL],2,0))</f>
        <v/>
      </c>
    </row>
    <row r="922">
      <c r="A922" s="21"/>
      <c r="B922" s="21"/>
      <c r="C922" s="21"/>
      <c r="D922" s="21"/>
      <c r="E922" s="21"/>
      <c r="F922" s="21"/>
      <c r="G922" s="21"/>
      <c r="H922" s="21"/>
      <c r="I922" s="21" t="str">
        <f>IF(E922="","",VLOOKUP(E922,tipo_organizacion[#ALL],2,0))</f>
        <v/>
      </c>
      <c r="J922" s="21" t="str">
        <f>IF(F922="","",VLOOKUP(F922,razon_social[#ALL],2,0))</f>
        <v/>
      </c>
      <c r="K922" s="21" t="str">
        <f>IF(G922="","",VLOOKUP(G922,tipo_contribuyente[#ALL],2,0))</f>
        <v/>
      </c>
      <c r="L922" s="21" t="str">
        <f>IF(H922="","",VLOOKUP(H922,pais[#ALL],2,0))</f>
        <v/>
      </c>
    </row>
    <row r="923">
      <c r="A923" s="21"/>
      <c r="B923" s="21"/>
      <c r="C923" s="21"/>
      <c r="D923" s="21"/>
      <c r="E923" s="21"/>
      <c r="F923" s="21"/>
      <c r="G923" s="21"/>
      <c r="H923" s="21"/>
      <c r="I923" s="21" t="str">
        <f>IF(E923="","",VLOOKUP(E923,tipo_organizacion[#ALL],2,0))</f>
        <v/>
      </c>
      <c r="J923" s="21" t="str">
        <f>IF(F923="","",VLOOKUP(F923,razon_social[#ALL],2,0))</f>
        <v/>
      </c>
      <c r="K923" s="21" t="str">
        <f>IF(G923="","",VLOOKUP(G923,tipo_contribuyente[#ALL],2,0))</f>
        <v/>
      </c>
      <c r="L923" s="21" t="str">
        <f>IF(H923="","",VLOOKUP(H923,pais[#ALL],2,0))</f>
        <v/>
      </c>
    </row>
    <row r="924">
      <c r="A924" s="21"/>
      <c r="B924" s="21"/>
      <c r="C924" s="21"/>
      <c r="D924" s="21"/>
      <c r="E924" s="21"/>
      <c r="F924" s="21"/>
      <c r="G924" s="21"/>
      <c r="H924" s="21"/>
      <c r="I924" s="21" t="str">
        <f>IF(E924="","",VLOOKUP(E924,tipo_organizacion[#ALL],2,0))</f>
        <v/>
      </c>
      <c r="J924" s="21" t="str">
        <f>IF(F924="","",VLOOKUP(F924,razon_social[#ALL],2,0))</f>
        <v/>
      </c>
      <c r="K924" s="21" t="str">
        <f>IF(G924="","",VLOOKUP(G924,tipo_contribuyente[#ALL],2,0))</f>
        <v/>
      </c>
      <c r="L924" s="21" t="str">
        <f>IF(H924="","",VLOOKUP(H924,pais[#ALL],2,0))</f>
        <v/>
      </c>
    </row>
    <row r="925">
      <c r="A925" s="21"/>
      <c r="B925" s="21"/>
      <c r="C925" s="21"/>
      <c r="D925" s="21"/>
      <c r="E925" s="21"/>
      <c r="F925" s="21"/>
      <c r="G925" s="21"/>
      <c r="H925" s="21"/>
      <c r="I925" s="21" t="str">
        <f>IF(E925="","",VLOOKUP(E925,tipo_organizacion[#ALL],2,0))</f>
        <v/>
      </c>
      <c r="J925" s="21" t="str">
        <f>IF(F925="","",VLOOKUP(F925,razon_social[#ALL],2,0))</f>
        <v/>
      </c>
      <c r="K925" s="21" t="str">
        <f>IF(G925="","",VLOOKUP(G925,tipo_contribuyente[#ALL],2,0))</f>
        <v/>
      </c>
      <c r="L925" s="21" t="str">
        <f>IF(H925="","",VLOOKUP(H925,pais[#ALL],2,0))</f>
        <v/>
      </c>
    </row>
    <row r="926">
      <c r="A926" s="21"/>
      <c r="B926" s="21"/>
      <c r="C926" s="21"/>
      <c r="D926" s="21"/>
      <c r="E926" s="21"/>
      <c r="F926" s="21"/>
      <c r="G926" s="21"/>
      <c r="H926" s="21"/>
      <c r="I926" s="21" t="str">
        <f>IF(E926="","",VLOOKUP(E926,tipo_organizacion[#ALL],2,0))</f>
        <v/>
      </c>
      <c r="J926" s="21" t="str">
        <f>IF(F926="","",VLOOKUP(F926,razon_social[#ALL],2,0))</f>
        <v/>
      </c>
      <c r="K926" s="21" t="str">
        <f>IF(G926="","",VLOOKUP(G926,tipo_contribuyente[#ALL],2,0))</f>
        <v/>
      </c>
      <c r="L926" s="21" t="str">
        <f>IF(H926="","",VLOOKUP(H926,pais[#ALL],2,0))</f>
        <v/>
      </c>
    </row>
    <row r="927">
      <c r="A927" s="21"/>
      <c r="B927" s="21"/>
      <c r="C927" s="21"/>
      <c r="D927" s="21"/>
      <c r="E927" s="21"/>
      <c r="F927" s="21"/>
      <c r="G927" s="21"/>
      <c r="H927" s="21"/>
      <c r="I927" s="21" t="str">
        <f>IF(E927="","",VLOOKUP(E927,tipo_organizacion[#ALL],2,0))</f>
        <v/>
      </c>
      <c r="J927" s="21" t="str">
        <f>IF(F927="","",VLOOKUP(F927,razon_social[#ALL],2,0))</f>
        <v/>
      </c>
      <c r="K927" s="21" t="str">
        <f>IF(G927="","",VLOOKUP(G927,tipo_contribuyente[#ALL],2,0))</f>
        <v/>
      </c>
      <c r="L927" s="21" t="str">
        <f>IF(H927="","",VLOOKUP(H927,pais[#ALL],2,0))</f>
        <v/>
      </c>
    </row>
    <row r="928">
      <c r="A928" s="21"/>
      <c r="B928" s="21"/>
      <c r="C928" s="21"/>
      <c r="D928" s="21"/>
      <c r="E928" s="21"/>
      <c r="F928" s="21"/>
      <c r="G928" s="21"/>
      <c r="H928" s="21"/>
      <c r="I928" s="21" t="str">
        <f>IF(E928="","",VLOOKUP(E928,tipo_organizacion[#ALL],2,0))</f>
        <v/>
      </c>
      <c r="J928" s="21" t="str">
        <f>IF(F928="","",VLOOKUP(F928,razon_social[#ALL],2,0))</f>
        <v/>
      </c>
      <c r="K928" s="21" t="str">
        <f>IF(G928="","",VLOOKUP(G928,tipo_contribuyente[#ALL],2,0))</f>
        <v/>
      </c>
      <c r="L928" s="21" t="str">
        <f>IF(H928="","",VLOOKUP(H928,pais[#ALL],2,0))</f>
        <v/>
      </c>
    </row>
    <row r="929">
      <c r="A929" s="21"/>
      <c r="B929" s="21"/>
      <c r="C929" s="21"/>
      <c r="D929" s="21"/>
      <c r="E929" s="21"/>
      <c r="F929" s="21"/>
      <c r="G929" s="21"/>
      <c r="H929" s="21"/>
      <c r="I929" s="21" t="str">
        <f>IF(E929="","",VLOOKUP(E929,tipo_organizacion[#ALL],2,0))</f>
        <v/>
      </c>
      <c r="J929" s="21" t="str">
        <f>IF(F929="","",VLOOKUP(F929,razon_social[#ALL],2,0))</f>
        <v/>
      </c>
      <c r="K929" s="21" t="str">
        <f>IF(G929="","",VLOOKUP(G929,tipo_contribuyente[#ALL],2,0))</f>
        <v/>
      </c>
      <c r="L929" s="21" t="str">
        <f>IF(H929="","",VLOOKUP(H929,pais[#ALL],2,0))</f>
        <v/>
      </c>
    </row>
    <row r="930">
      <c r="A930" s="21"/>
      <c r="B930" s="21"/>
      <c r="C930" s="21"/>
      <c r="D930" s="21"/>
      <c r="E930" s="21"/>
      <c r="F930" s="21"/>
      <c r="G930" s="21"/>
      <c r="H930" s="21"/>
      <c r="I930" s="21" t="str">
        <f>IF(E930="","",VLOOKUP(E930,tipo_organizacion[#ALL],2,0))</f>
        <v/>
      </c>
      <c r="J930" s="21" t="str">
        <f>IF(F930="","",VLOOKUP(F930,razon_social[#ALL],2,0))</f>
        <v/>
      </c>
      <c r="K930" s="21" t="str">
        <f>IF(G930="","",VLOOKUP(G930,tipo_contribuyente[#ALL],2,0))</f>
        <v/>
      </c>
      <c r="L930" s="21" t="str">
        <f>IF(H930="","",VLOOKUP(H930,pais[#ALL],2,0))</f>
        <v/>
      </c>
    </row>
    <row r="931">
      <c r="A931" s="21"/>
      <c r="B931" s="21"/>
      <c r="C931" s="21"/>
      <c r="D931" s="21"/>
      <c r="E931" s="21"/>
      <c r="F931" s="21"/>
      <c r="G931" s="21"/>
      <c r="H931" s="21"/>
      <c r="I931" s="21" t="str">
        <f>IF(E931="","",VLOOKUP(E931,tipo_organizacion[#ALL],2,0))</f>
        <v/>
      </c>
      <c r="J931" s="21" t="str">
        <f>IF(F931="","",VLOOKUP(F931,razon_social[#ALL],2,0))</f>
        <v/>
      </c>
      <c r="K931" s="21" t="str">
        <f>IF(G931="","",VLOOKUP(G931,tipo_contribuyente[#ALL],2,0))</f>
        <v/>
      </c>
      <c r="L931" s="21" t="str">
        <f>IF(H931="","",VLOOKUP(H931,pais[#ALL],2,0))</f>
        <v/>
      </c>
    </row>
    <row r="932">
      <c r="A932" s="21"/>
      <c r="B932" s="21"/>
      <c r="C932" s="21"/>
      <c r="D932" s="21"/>
      <c r="E932" s="21"/>
      <c r="F932" s="21"/>
      <c r="G932" s="21"/>
      <c r="H932" s="21"/>
      <c r="I932" s="21" t="str">
        <f>IF(E932="","",VLOOKUP(E932,tipo_organizacion[#ALL],2,0))</f>
        <v/>
      </c>
      <c r="J932" s="21" t="str">
        <f>IF(F932="","",VLOOKUP(F932,razon_social[#ALL],2,0))</f>
        <v/>
      </c>
      <c r="K932" s="21" t="str">
        <f>IF(G932="","",VLOOKUP(G932,tipo_contribuyente[#ALL],2,0))</f>
        <v/>
      </c>
      <c r="L932" s="21" t="str">
        <f>IF(H932="","",VLOOKUP(H932,pais[#ALL],2,0))</f>
        <v/>
      </c>
    </row>
    <row r="933">
      <c r="A933" s="21"/>
      <c r="B933" s="21"/>
      <c r="C933" s="21"/>
      <c r="D933" s="21"/>
      <c r="E933" s="21"/>
      <c r="F933" s="21"/>
      <c r="G933" s="21"/>
      <c r="H933" s="21"/>
      <c r="I933" s="21" t="str">
        <f>IF(E933="","",VLOOKUP(E933,tipo_organizacion[#ALL],2,0))</f>
        <v/>
      </c>
      <c r="J933" s="21" t="str">
        <f>IF(F933="","",VLOOKUP(F933,razon_social[#ALL],2,0))</f>
        <v/>
      </c>
      <c r="K933" s="21" t="str">
        <f>IF(G933="","",VLOOKUP(G933,tipo_contribuyente[#ALL],2,0))</f>
        <v/>
      </c>
      <c r="L933" s="21" t="str">
        <f>IF(H933="","",VLOOKUP(H933,pais[#ALL],2,0))</f>
        <v/>
      </c>
    </row>
    <row r="934">
      <c r="A934" s="21"/>
      <c r="B934" s="21"/>
      <c r="C934" s="21"/>
      <c r="D934" s="21"/>
      <c r="E934" s="21"/>
      <c r="F934" s="21"/>
      <c r="G934" s="21"/>
      <c r="H934" s="21"/>
      <c r="I934" s="21" t="str">
        <f>IF(E934="","",VLOOKUP(E934,tipo_organizacion[#ALL],2,0))</f>
        <v/>
      </c>
      <c r="J934" s="21" t="str">
        <f>IF(F934="","",VLOOKUP(F934,razon_social[#ALL],2,0))</f>
        <v/>
      </c>
      <c r="K934" s="21" t="str">
        <f>IF(G934="","",VLOOKUP(G934,tipo_contribuyente[#ALL],2,0))</f>
        <v/>
      </c>
      <c r="L934" s="21" t="str">
        <f>IF(H934="","",VLOOKUP(H934,pais[#ALL],2,0))</f>
        <v/>
      </c>
    </row>
    <row r="935">
      <c r="A935" s="21"/>
      <c r="B935" s="21"/>
      <c r="C935" s="21"/>
      <c r="D935" s="21"/>
      <c r="E935" s="21"/>
      <c r="F935" s="21"/>
      <c r="G935" s="21"/>
      <c r="H935" s="21"/>
      <c r="I935" s="21" t="str">
        <f>IF(E935="","",VLOOKUP(E935,tipo_organizacion[#ALL],2,0))</f>
        <v/>
      </c>
      <c r="J935" s="21" t="str">
        <f>IF(F935="","",VLOOKUP(F935,razon_social[#ALL],2,0))</f>
        <v/>
      </c>
      <c r="K935" s="21" t="str">
        <f>IF(G935="","",VLOOKUP(G935,tipo_contribuyente[#ALL],2,0))</f>
        <v/>
      </c>
      <c r="L935" s="21" t="str">
        <f>IF(H935="","",VLOOKUP(H935,pais[#ALL],2,0))</f>
        <v/>
      </c>
    </row>
    <row r="936">
      <c r="A936" s="21"/>
      <c r="B936" s="21"/>
      <c r="C936" s="21"/>
      <c r="D936" s="21"/>
      <c r="E936" s="21"/>
      <c r="F936" s="21"/>
      <c r="G936" s="21"/>
      <c r="H936" s="21"/>
      <c r="I936" s="21" t="str">
        <f>IF(E936="","",VLOOKUP(E936,tipo_organizacion[#ALL],2,0))</f>
        <v/>
      </c>
      <c r="J936" s="21" t="str">
        <f>IF(F936="","",VLOOKUP(F936,razon_social[#ALL],2,0))</f>
        <v/>
      </c>
      <c r="K936" s="21" t="str">
        <f>IF(G936="","",VLOOKUP(G936,tipo_contribuyente[#ALL],2,0))</f>
        <v/>
      </c>
      <c r="L936" s="21" t="str">
        <f>IF(H936="","",VLOOKUP(H936,pais[#ALL],2,0))</f>
        <v/>
      </c>
    </row>
    <row r="937">
      <c r="A937" s="21"/>
      <c r="B937" s="21"/>
      <c r="C937" s="21"/>
      <c r="D937" s="21"/>
      <c r="E937" s="21"/>
      <c r="F937" s="21"/>
      <c r="G937" s="21"/>
      <c r="H937" s="21"/>
      <c r="I937" s="21" t="str">
        <f>IF(E937="","",VLOOKUP(E937,tipo_organizacion[#ALL],2,0))</f>
        <v/>
      </c>
      <c r="J937" s="21" t="str">
        <f>IF(F937="","",VLOOKUP(F937,razon_social[#ALL],2,0))</f>
        <v/>
      </c>
      <c r="K937" s="21" t="str">
        <f>IF(G937="","",VLOOKUP(G937,tipo_contribuyente[#ALL],2,0))</f>
        <v/>
      </c>
      <c r="L937" s="21" t="str">
        <f>IF(H937="","",VLOOKUP(H937,pais[#ALL],2,0))</f>
        <v/>
      </c>
    </row>
    <row r="938">
      <c r="A938" s="21"/>
      <c r="B938" s="21"/>
      <c r="C938" s="21"/>
      <c r="D938" s="21"/>
      <c r="E938" s="21"/>
      <c r="F938" s="21"/>
      <c r="G938" s="21"/>
      <c r="H938" s="21"/>
      <c r="I938" s="21" t="str">
        <f>IF(E938="","",VLOOKUP(E938,tipo_organizacion[#ALL],2,0))</f>
        <v/>
      </c>
      <c r="J938" s="21" t="str">
        <f>IF(F938="","",VLOOKUP(F938,razon_social[#ALL],2,0))</f>
        <v/>
      </c>
      <c r="K938" s="21" t="str">
        <f>IF(G938="","",VLOOKUP(G938,tipo_contribuyente[#ALL],2,0))</f>
        <v/>
      </c>
      <c r="L938" s="21" t="str">
        <f>IF(H938="","",VLOOKUP(H938,pais[#ALL],2,0))</f>
        <v/>
      </c>
    </row>
    <row r="939">
      <c r="A939" s="21"/>
      <c r="B939" s="21"/>
      <c r="C939" s="21"/>
      <c r="D939" s="21"/>
      <c r="E939" s="21"/>
      <c r="F939" s="21"/>
      <c r="G939" s="21"/>
      <c r="H939" s="21"/>
      <c r="I939" s="21" t="str">
        <f>IF(E939="","",VLOOKUP(E939,tipo_organizacion[#ALL],2,0))</f>
        <v/>
      </c>
      <c r="J939" s="21" t="str">
        <f>IF(F939="","",VLOOKUP(F939,razon_social[#ALL],2,0))</f>
        <v/>
      </c>
      <c r="K939" s="21" t="str">
        <f>IF(G939="","",VLOOKUP(G939,tipo_contribuyente[#ALL],2,0))</f>
        <v/>
      </c>
      <c r="L939" s="21" t="str">
        <f>IF(H939="","",VLOOKUP(H939,pais[#ALL],2,0))</f>
        <v/>
      </c>
    </row>
    <row r="940">
      <c r="A940" s="21"/>
      <c r="B940" s="21"/>
      <c r="C940" s="21"/>
      <c r="D940" s="21"/>
      <c r="E940" s="21"/>
      <c r="F940" s="21"/>
      <c r="G940" s="21"/>
      <c r="H940" s="21"/>
      <c r="I940" s="21" t="str">
        <f>IF(E940="","",VLOOKUP(E940,tipo_organizacion[#ALL],2,0))</f>
        <v/>
      </c>
      <c r="J940" s="21" t="str">
        <f>IF(F940="","",VLOOKUP(F940,razon_social[#ALL],2,0))</f>
        <v/>
      </c>
      <c r="K940" s="21" t="str">
        <f>IF(G940="","",VLOOKUP(G940,tipo_contribuyente[#ALL],2,0))</f>
        <v/>
      </c>
      <c r="L940" s="21" t="str">
        <f>IF(H940="","",VLOOKUP(H940,pais[#ALL],2,0))</f>
        <v/>
      </c>
    </row>
    <row r="941">
      <c r="A941" s="21"/>
      <c r="B941" s="21"/>
      <c r="C941" s="21"/>
      <c r="D941" s="21"/>
      <c r="E941" s="21"/>
      <c r="F941" s="21"/>
      <c r="G941" s="21"/>
      <c r="H941" s="21"/>
      <c r="I941" s="21" t="str">
        <f>IF(E941="","",VLOOKUP(E941,tipo_organizacion[#ALL],2,0))</f>
        <v/>
      </c>
      <c r="J941" s="21" t="str">
        <f>IF(F941="","",VLOOKUP(F941,razon_social[#ALL],2,0))</f>
        <v/>
      </c>
      <c r="K941" s="21" t="str">
        <f>IF(G941="","",VLOOKUP(G941,tipo_contribuyente[#ALL],2,0))</f>
        <v/>
      </c>
      <c r="L941" s="21" t="str">
        <f>IF(H941="","",VLOOKUP(H941,pais[#ALL],2,0))</f>
        <v/>
      </c>
    </row>
    <row r="942">
      <c r="A942" s="21"/>
      <c r="B942" s="21"/>
      <c r="C942" s="21"/>
      <c r="D942" s="21"/>
      <c r="E942" s="21"/>
      <c r="F942" s="21"/>
      <c r="G942" s="21"/>
      <c r="H942" s="21"/>
      <c r="I942" s="21" t="str">
        <f>IF(E942="","",VLOOKUP(E942,tipo_organizacion[#ALL],2,0))</f>
        <v/>
      </c>
      <c r="J942" s="21" t="str">
        <f>IF(F942="","",VLOOKUP(F942,razon_social[#ALL],2,0))</f>
        <v/>
      </c>
      <c r="K942" s="21" t="str">
        <f>IF(G942="","",VLOOKUP(G942,tipo_contribuyente[#ALL],2,0))</f>
        <v/>
      </c>
      <c r="L942" s="21" t="str">
        <f>IF(H942="","",VLOOKUP(H942,pais[#ALL],2,0))</f>
        <v/>
      </c>
    </row>
    <row r="943">
      <c r="A943" s="21"/>
      <c r="B943" s="21"/>
      <c r="C943" s="21"/>
      <c r="D943" s="21"/>
      <c r="E943" s="21"/>
      <c r="F943" s="21"/>
      <c r="G943" s="21"/>
      <c r="H943" s="21"/>
      <c r="I943" s="21" t="str">
        <f>IF(E943="","",VLOOKUP(E943,tipo_organizacion[#ALL],2,0))</f>
        <v/>
      </c>
      <c r="J943" s="21" t="str">
        <f>IF(F943="","",VLOOKUP(F943,razon_social[#ALL],2,0))</f>
        <v/>
      </c>
      <c r="K943" s="21" t="str">
        <f>IF(G943="","",VLOOKUP(G943,tipo_contribuyente[#ALL],2,0))</f>
        <v/>
      </c>
      <c r="L943" s="21" t="str">
        <f>IF(H943="","",VLOOKUP(H943,pais[#ALL],2,0))</f>
        <v/>
      </c>
    </row>
    <row r="944">
      <c r="A944" s="21"/>
      <c r="B944" s="21"/>
      <c r="C944" s="21"/>
      <c r="D944" s="21"/>
      <c r="E944" s="21"/>
      <c r="F944" s="21"/>
      <c r="G944" s="21"/>
      <c r="H944" s="21"/>
      <c r="I944" s="21" t="str">
        <f>IF(E944="","",VLOOKUP(E944,tipo_organizacion[#ALL],2,0))</f>
        <v/>
      </c>
      <c r="J944" s="21" t="str">
        <f>IF(F944="","",VLOOKUP(F944,razon_social[#ALL],2,0))</f>
        <v/>
      </c>
      <c r="K944" s="21" t="str">
        <f>IF(G944="","",VLOOKUP(G944,tipo_contribuyente[#ALL],2,0))</f>
        <v/>
      </c>
      <c r="L944" s="21" t="str">
        <f>IF(H944="","",VLOOKUP(H944,pais[#ALL],2,0))</f>
        <v/>
      </c>
    </row>
    <row r="945">
      <c r="A945" s="21"/>
      <c r="B945" s="21"/>
      <c r="C945" s="21"/>
      <c r="D945" s="21"/>
      <c r="E945" s="21"/>
      <c r="F945" s="21"/>
      <c r="G945" s="21"/>
      <c r="H945" s="21"/>
      <c r="I945" s="21" t="str">
        <f>IF(E945="","",VLOOKUP(E945,tipo_organizacion[#ALL],2,0))</f>
        <v/>
      </c>
      <c r="J945" s="21" t="str">
        <f>IF(F945="","",VLOOKUP(F945,razon_social[#ALL],2,0))</f>
        <v/>
      </c>
      <c r="K945" s="21" t="str">
        <f>IF(G945="","",VLOOKUP(G945,tipo_contribuyente[#ALL],2,0))</f>
        <v/>
      </c>
      <c r="L945" s="21" t="str">
        <f>IF(H945="","",VLOOKUP(H945,pais[#ALL],2,0))</f>
        <v/>
      </c>
    </row>
    <row r="946">
      <c r="A946" s="21"/>
      <c r="B946" s="21"/>
      <c r="C946" s="21"/>
      <c r="D946" s="21"/>
      <c r="E946" s="21"/>
      <c r="F946" s="21"/>
      <c r="G946" s="21"/>
      <c r="H946" s="21"/>
      <c r="I946" s="21" t="str">
        <f>IF(E946="","",VLOOKUP(E946,tipo_organizacion[#ALL],2,0))</f>
        <v/>
      </c>
      <c r="J946" s="21" t="str">
        <f>IF(F946="","",VLOOKUP(F946,razon_social[#ALL],2,0))</f>
        <v/>
      </c>
      <c r="K946" s="21" t="str">
        <f>IF(G946="","",VLOOKUP(G946,tipo_contribuyente[#ALL],2,0))</f>
        <v/>
      </c>
      <c r="L946" s="21" t="str">
        <f>IF(H946="","",VLOOKUP(H946,pais[#ALL],2,0))</f>
        <v/>
      </c>
    </row>
    <row r="947">
      <c r="A947" s="21"/>
      <c r="B947" s="21"/>
      <c r="C947" s="21"/>
      <c r="D947" s="21"/>
      <c r="E947" s="21"/>
      <c r="F947" s="21"/>
      <c r="G947" s="21"/>
      <c r="H947" s="21"/>
      <c r="I947" s="21" t="str">
        <f>IF(E947="","",VLOOKUP(E947,tipo_organizacion[#ALL],2,0))</f>
        <v/>
      </c>
      <c r="J947" s="21" t="str">
        <f>IF(F947="","",VLOOKUP(F947,razon_social[#ALL],2,0))</f>
        <v/>
      </c>
      <c r="K947" s="21" t="str">
        <f>IF(G947="","",VLOOKUP(G947,tipo_contribuyente[#ALL],2,0))</f>
        <v/>
      </c>
      <c r="L947" s="21" t="str">
        <f>IF(H947="","",VLOOKUP(H947,pais[#ALL],2,0))</f>
        <v/>
      </c>
    </row>
    <row r="948">
      <c r="A948" s="21"/>
      <c r="B948" s="21"/>
      <c r="C948" s="21"/>
      <c r="D948" s="21"/>
      <c r="E948" s="21"/>
      <c r="F948" s="21"/>
      <c r="G948" s="21"/>
      <c r="H948" s="21"/>
      <c r="I948" s="21" t="str">
        <f>IF(E948="","",VLOOKUP(E948,tipo_organizacion[#ALL],2,0))</f>
        <v/>
      </c>
      <c r="J948" s="21" t="str">
        <f>IF(F948="","",VLOOKUP(F948,razon_social[#ALL],2,0))</f>
        <v/>
      </c>
      <c r="K948" s="21" t="str">
        <f>IF(G948="","",VLOOKUP(G948,tipo_contribuyente[#ALL],2,0))</f>
        <v/>
      </c>
      <c r="L948" s="21" t="str">
        <f>IF(H948="","",VLOOKUP(H948,pais[#ALL],2,0))</f>
        <v/>
      </c>
    </row>
    <row r="949">
      <c r="A949" s="21"/>
      <c r="B949" s="21"/>
      <c r="C949" s="21"/>
      <c r="D949" s="21"/>
      <c r="E949" s="21"/>
      <c r="F949" s="21"/>
      <c r="G949" s="21"/>
      <c r="H949" s="21"/>
      <c r="I949" s="21" t="str">
        <f>IF(E949="","",VLOOKUP(E949,tipo_organizacion[#ALL],2,0))</f>
        <v/>
      </c>
      <c r="J949" s="21" t="str">
        <f>IF(F949="","",VLOOKUP(F949,razon_social[#ALL],2,0))</f>
        <v/>
      </c>
      <c r="K949" s="21" t="str">
        <f>IF(G949="","",VLOOKUP(G949,tipo_contribuyente[#ALL],2,0))</f>
        <v/>
      </c>
      <c r="L949" s="21" t="str">
        <f>IF(H949="","",VLOOKUP(H949,pais[#ALL],2,0))</f>
        <v/>
      </c>
    </row>
    <row r="950">
      <c r="A950" s="21"/>
      <c r="B950" s="21"/>
      <c r="C950" s="21"/>
      <c r="D950" s="21"/>
      <c r="E950" s="21"/>
      <c r="F950" s="21"/>
      <c r="G950" s="21"/>
      <c r="H950" s="21"/>
      <c r="I950" s="21" t="str">
        <f>IF(E950="","",VLOOKUP(E950,tipo_organizacion[#ALL],2,0))</f>
        <v/>
      </c>
      <c r="J950" s="21" t="str">
        <f>IF(F950="","",VLOOKUP(F950,razon_social[#ALL],2,0))</f>
        <v/>
      </c>
      <c r="K950" s="21" t="str">
        <f>IF(G950="","",VLOOKUP(G950,tipo_contribuyente[#ALL],2,0))</f>
        <v/>
      </c>
      <c r="L950" s="21" t="str">
        <f>IF(H950="","",VLOOKUP(H950,pais[#ALL],2,0))</f>
        <v/>
      </c>
    </row>
    <row r="951">
      <c r="A951" s="21"/>
      <c r="B951" s="21"/>
      <c r="C951" s="21"/>
      <c r="D951" s="21"/>
      <c r="E951" s="21"/>
      <c r="F951" s="21"/>
      <c r="G951" s="21"/>
      <c r="H951" s="21"/>
      <c r="I951" s="21" t="str">
        <f>IF(E951="","",VLOOKUP(E951,tipo_organizacion[#ALL],2,0))</f>
        <v/>
      </c>
      <c r="J951" s="21" t="str">
        <f>IF(F951="","",VLOOKUP(F951,razon_social[#ALL],2,0))</f>
        <v/>
      </c>
      <c r="K951" s="21" t="str">
        <f>IF(G951="","",VLOOKUP(G951,tipo_contribuyente[#ALL],2,0))</f>
        <v/>
      </c>
      <c r="L951" s="21" t="str">
        <f>IF(H951="","",VLOOKUP(H951,pais[#ALL],2,0))</f>
        <v/>
      </c>
    </row>
    <row r="952">
      <c r="A952" s="21"/>
      <c r="B952" s="21"/>
      <c r="C952" s="21"/>
      <c r="D952" s="21"/>
      <c r="E952" s="21"/>
      <c r="F952" s="21"/>
      <c r="G952" s="21"/>
      <c r="H952" s="21"/>
      <c r="I952" s="21" t="str">
        <f>IF(E952="","",VLOOKUP(E952,tipo_organizacion[#ALL],2,0))</f>
        <v/>
      </c>
      <c r="J952" s="21" t="str">
        <f>IF(F952="","",VLOOKUP(F952,razon_social[#ALL],2,0))</f>
        <v/>
      </c>
      <c r="K952" s="21" t="str">
        <f>IF(G952="","",VLOOKUP(G952,tipo_contribuyente[#ALL],2,0))</f>
        <v/>
      </c>
      <c r="L952" s="21" t="str">
        <f>IF(H952="","",VLOOKUP(H952,pais[#ALL],2,0))</f>
        <v/>
      </c>
    </row>
    <row r="953">
      <c r="A953" s="21"/>
      <c r="B953" s="21"/>
      <c r="C953" s="21"/>
      <c r="D953" s="21"/>
      <c r="E953" s="21"/>
      <c r="F953" s="21"/>
      <c r="G953" s="21"/>
      <c r="H953" s="21"/>
      <c r="I953" s="21" t="str">
        <f>IF(E953="","",VLOOKUP(E953,tipo_organizacion[#ALL],2,0))</f>
        <v/>
      </c>
      <c r="J953" s="21" t="str">
        <f>IF(F953="","",VLOOKUP(F953,razon_social[#ALL],2,0))</f>
        <v/>
      </c>
      <c r="K953" s="21" t="str">
        <f>IF(G953="","",VLOOKUP(G953,tipo_contribuyente[#ALL],2,0))</f>
        <v/>
      </c>
      <c r="L953" s="21" t="str">
        <f>IF(H953="","",VLOOKUP(H953,pais[#ALL],2,0))</f>
        <v/>
      </c>
    </row>
    <row r="954">
      <c r="A954" s="21"/>
      <c r="B954" s="21"/>
      <c r="C954" s="21"/>
      <c r="D954" s="21"/>
      <c r="E954" s="21"/>
      <c r="F954" s="21"/>
      <c r="G954" s="21"/>
      <c r="H954" s="21"/>
      <c r="I954" s="21" t="str">
        <f>IF(E954="","",VLOOKUP(E954,tipo_organizacion[#ALL],2,0))</f>
        <v/>
      </c>
      <c r="J954" s="21" t="str">
        <f>IF(F954="","",VLOOKUP(F954,razon_social[#ALL],2,0))</f>
        <v/>
      </c>
      <c r="K954" s="21" t="str">
        <f>IF(G954="","",VLOOKUP(G954,tipo_contribuyente[#ALL],2,0))</f>
        <v/>
      </c>
      <c r="L954" s="21" t="str">
        <f>IF(H954="","",VLOOKUP(H954,pais[#ALL],2,0))</f>
        <v/>
      </c>
    </row>
    <row r="955">
      <c r="A955" s="21"/>
      <c r="B955" s="21"/>
      <c r="C955" s="21"/>
      <c r="D955" s="21"/>
      <c r="E955" s="21"/>
      <c r="F955" s="21"/>
      <c r="G955" s="21"/>
      <c r="H955" s="21"/>
      <c r="I955" s="21" t="str">
        <f>IF(E955="","",VLOOKUP(E955,tipo_organizacion[#ALL],2,0))</f>
        <v/>
      </c>
      <c r="J955" s="21" t="str">
        <f>IF(F955="","",VLOOKUP(F955,razon_social[#ALL],2,0))</f>
        <v/>
      </c>
      <c r="K955" s="21" t="str">
        <f>IF(G955="","",VLOOKUP(G955,tipo_contribuyente[#ALL],2,0))</f>
        <v/>
      </c>
      <c r="L955" s="21" t="str">
        <f>IF(H955="","",VLOOKUP(H955,pais[#ALL],2,0))</f>
        <v/>
      </c>
    </row>
    <row r="956">
      <c r="A956" s="21"/>
      <c r="B956" s="21"/>
      <c r="C956" s="21"/>
      <c r="D956" s="21"/>
      <c r="E956" s="21"/>
      <c r="F956" s="21"/>
      <c r="G956" s="21"/>
      <c r="H956" s="21"/>
      <c r="I956" s="21" t="str">
        <f>IF(E956="","",VLOOKUP(E956,tipo_organizacion[#ALL],2,0))</f>
        <v/>
      </c>
      <c r="J956" s="21" t="str">
        <f>IF(F956="","",VLOOKUP(F956,razon_social[#ALL],2,0))</f>
        <v/>
      </c>
      <c r="K956" s="21" t="str">
        <f>IF(G956="","",VLOOKUP(G956,tipo_contribuyente[#ALL],2,0))</f>
        <v/>
      </c>
      <c r="L956" s="21" t="str">
        <f>IF(H956="","",VLOOKUP(H956,pais[#ALL],2,0))</f>
        <v/>
      </c>
    </row>
    <row r="957">
      <c r="A957" s="21"/>
      <c r="B957" s="21"/>
      <c r="C957" s="21"/>
      <c r="D957" s="21"/>
      <c r="E957" s="21"/>
      <c r="F957" s="21"/>
      <c r="G957" s="21"/>
      <c r="H957" s="21"/>
      <c r="I957" s="21" t="str">
        <f>IF(E957="","",VLOOKUP(E957,tipo_organizacion[#ALL],2,0))</f>
        <v/>
      </c>
      <c r="J957" s="21" t="str">
        <f>IF(F957="","",VLOOKUP(F957,razon_social[#ALL],2,0))</f>
        <v/>
      </c>
      <c r="K957" s="21" t="str">
        <f>IF(G957="","",VLOOKUP(G957,tipo_contribuyente[#ALL],2,0))</f>
        <v/>
      </c>
      <c r="L957" s="21" t="str">
        <f>IF(H957="","",VLOOKUP(H957,pais[#ALL],2,0))</f>
        <v/>
      </c>
    </row>
    <row r="958">
      <c r="A958" s="21"/>
      <c r="B958" s="21"/>
      <c r="C958" s="21"/>
      <c r="D958" s="21"/>
      <c r="E958" s="21"/>
      <c r="F958" s="21"/>
      <c r="G958" s="21"/>
      <c r="H958" s="21"/>
      <c r="I958" s="21" t="str">
        <f>IF(E958="","",VLOOKUP(E958,tipo_organizacion[#ALL],2,0))</f>
        <v/>
      </c>
      <c r="J958" s="21" t="str">
        <f>IF(F958="","",VLOOKUP(F958,razon_social[#ALL],2,0))</f>
        <v/>
      </c>
      <c r="K958" s="21" t="str">
        <f>IF(G958="","",VLOOKUP(G958,tipo_contribuyente[#ALL],2,0))</f>
        <v/>
      </c>
      <c r="L958" s="21" t="str">
        <f>IF(H958="","",VLOOKUP(H958,pais[#ALL],2,0))</f>
        <v/>
      </c>
    </row>
    <row r="959">
      <c r="A959" s="21"/>
      <c r="B959" s="21"/>
      <c r="C959" s="21"/>
      <c r="D959" s="21"/>
      <c r="E959" s="21"/>
      <c r="F959" s="21"/>
      <c r="G959" s="21"/>
      <c r="H959" s="21"/>
      <c r="I959" s="21" t="str">
        <f>IF(E959="","",VLOOKUP(E959,tipo_organizacion[#ALL],2,0))</f>
        <v/>
      </c>
      <c r="J959" s="21" t="str">
        <f>IF(F959="","",VLOOKUP(F959,razon_social[#ALL],2,0))</f>
        <v/>
      </c>
      <c r="K959" s="21" t="str">
        <f>IF(G959="","",VLOOKUP(G959,tipo_contribuyente[#ALL],2,0))</f>
        <v/>
      </c>
      <c r="L959" s="21" t="str">
        <f>IF(H959="","",VLOOKUP(H959,pais[#ALL],2,0))</f>
        <v/>
      </c>
    </row>
    <row r="960">
      <c r="A960" s="21"/>
      <c r="B960" s="21"/>
      <c r="C960" s="21"/>
      <c r="D960" s="21"/>
      <c r="E960" s="21"/>
      <c r="F960" s="21"/>
      <c r="G960" s="21"/>
      <c r="H960" s="21"/>
      <c r="I960" s="21" t="str">
        <f>IF(E960="","",VLOOKUP(E960,tipo_organizacion[#ALL],2,0))</f>
        <v/>
      </c>
      <c r="J960" s="21" t="str">
        <f>IF(F960="","",VLOOKUP(F960,razon_social[#ALL],2,0))</f>
        <v/>
      </c>
      <c r="K960" s="21" t="str">
        <f>IF(G960="","",VLOOKUP(G960,tipo_contribuyente[#ALL],2,0))</f>
        <v/>
      </c>
      <c r="L960" s="21" t="str">
        <f>IF(H960="","",VLOOKUP(H960,pais[#ALL],2,0))</f>
        <v/>
      </c>
    </row>
    <row r="961">
      <c r="A961" s="21"/>
      <c r="B961" s="21"/>
      <c r="C961" s="21"/>
      <c r="D961" s="21"/>
      <c r="E961" s="21"/>
      <c r="F961" s="21"/>
      <c r="G961" s="21"/>
      <c r="H961" s="21"/>
      <c r="I961" s="21" t="str">
        <f>IF(E961="","",VLOOKUP(E961,tipo_organizacion[#ALL],2,0))</f>
        <v/>
      </c>
      <c r="J961" s="21" t="str">
        <f>IF(F961="","",VLOOKUP(F961,razon_social[#ALL],2,0))</f>
        <v/>
      </c>
      <c r="K961" s="21" t="str">
        <f>IF(G961="","",VLOOKUP(G961,tipo_contribuyente[#ALL],2,0))</f>
        <v/>
      </c>
      <c r="L961" s="21" t="str">
        <f>IF(H961="","",VLOOKUP(H961,pais[#ALL],2,0))</f>
        <v/>
      </c>
    </row>
    <row r="962">
      <c r="A962" s="21"/>
      <c r="B962" s="21"/>
      <c r="C962" s="21"/>
      <c r="D962" s="21"/>
      <c r="E962" s="21"/>
      <c r="F962" s="21"/>
      <c r="G962" s="21"/>
      <c r="H962" s="21"/>
      <c r="I962" s="21" t="str">
        <f>IF(E962="","",VLOOKUP(E962,tipo_organizacion[#ALL],2,0))</f>
        <v/>
      </c>
      <c r="J962" s="21" t="str">
        <f>IF(F962="","",VLOOKUP(F962,razon_social[#ALL],2,0))</f>
        <v/>
      </c>
      <c r="K962" s="21" t="str">
        <f>IF(G962="","",VLOOKUP(G962,tipo_contribuyente[#ALL],2,0))</f>
        <v/>
      </c>
      <c r="L962" s="21" t="str">
        <f>IF(H962="","",VLOOKUP(H962,pais[#ALL],2,0))</f>
        <v/>
      </c>
    </row>
    <row r="963">
      <c r="A963" s="21"/>
      <c r="B963" s="21"/>
      <c r="C963" s="21"/>
      <c r="D963" s="21"/>
      <c r="E963" s="21"/>
      <c r="F963" s="21"/>
      <c r="G963" s="21"/>
      <c r="H963" s="21"/>
      <c r="I963" s="21" t="str">
        <f>IF(E963="","",VLOOKUP(E963,tipo_organizacion[#ALL],2,0))</f>
        <v/>
      </c>
      <c r="J963" s="21" t="str">
        <f>IF(F963="","",VLOOKUP(F963,razon_social[#ALL],2,0))</f>
        <v/>
      </c>
      <c r="K963" s="21" t="str">
        <f>IF(G963="","",VLOOKUP(G963,tipo_contribuyente[#ALL],2,0))</f>
        <v/>
      </c>
      <c r="L963" s="21" t="str">
        <f>IF(H963="","",VLOOKUP(H963,pais[#ALL],2,0))</f>
        <v/>
      </c>
    </row>
    <row r="964">
      <c r="A964" s="21"/>
      <c r="B964" s="21"/>
      <c r="C964" s="21"/>
      <c r="D964" s="21"/>
      <c r="E964" s="21"/>
      <c r="F964" s="21"/>
      <c r="G964" s="21"/>
      <c r="H964" s="21"/>
      <c r="I964" s="21" t="str">
        <f>IF(E964="","",VLOOKUP(E964,tipo_organizacion[#ALL],2,0))</f>
        <v/>
      </c>
      <c r="J964" s="21" t="str">
        <f>IF(F964="","",VLOOKUP(F964,razon_social[#ALL],2,0))</f>
        <v/>
      </c>
      <c r="K964" s="21" t="str">
        <f>IF(G964="","",VLOOKUP(G964,tipo_contribuyente[#ALL],2,0))</f>
        <v/>
      </c>
      <c r="L964" s="21" t="str">
        <f>IF(H964="","",VLOOKUP(H964,pais[#ALL],2,0))</f>
        <v/>
      </c>
    </row>
    <row r="965">
      <c r="A965" s="21"/>
      <c r="B965" s="21"/>
      <c r="C965" s="21"/>
      <c r="D965" s="21"/>
      <c r="E965" s="21"/>
      <c r="F965" s="21"/>
      <c r="G965" s="21"/>
      <c r="H965" s="21"/>
      <c r="I965" s="21" t="str">
        <f>IF(E965="","",VLOOKUP(E965,tipo_organizacion[#ALL],2,0))</f>
        <v/>
      </c>
      <c r="J965" s="21" t="str">
        <f>IF(F965="","",VLOOKUP(F965,razon_social[#ALL],2,0))</f>
        <v/>
      </c>
      <c r="K965" s="21" t="str">
        <f>IF(G965="","",VLOOKUP(G965,tipo_contribuyente[#ALL],2,0))</f>
        <v/>
      </c>
      <c r="L965" s="21" t="str">
        <f>IF(H965="","",VLOOKUP(H965,pais[#ALL],2,0))</f>
        <v/>
      </c>
    </row>
    <row r="966">
      <c r="A966" s="21"/>
      <c r="B966" s="21"/>
      <c r="C966" s="21"/>
      <c r="D966" s="21"/>
      <c r="E966" s="21"/>
      <c r="F966" s="21"/>
      <c r="G966" s="21"/>
      <c r="H966" s="21"/>
      <c r="I966" s="21" t="str">
        <f>IF(E966="","",VLOOKUP(E966,tipo_organizacion[#ALL],2,0))</f>
        <v/>
      </c>
      <c r="J966" s="21" t="str">
        <f>IF(F966="","",VLOOKUP(F966,razon_social[#ALL],2,0))</f>
        <v/>
      </c>
      <c r="K966" s="21" t="str">
        <f>IF(G966="","",VLOOKUP(G966,tipo_contribuyente[#ALL],2,0))</f>
        <v/>
      </c>
      <c r="L966" s="21" t="str">
        <f>IF(H966="","",VLOOKUP(H966,pais[#ALL],2,0))</f>
        <v/>
      </c>
    </row>
    <row r="967">
      <c r="A967" s="21"/>
      <c r="B967" s="21"/>
      <c r="C967" s="21"/>
      <c r="D967" s="21"/>
      <c r="E967" s="21"/>
      <c r="F967" s="21"/>
      <c r="G967" s="21"/>
      <c r="H967" s="21"/>
      <c r="I967" s="21" t="str">
        <f>IF(E967="","",VLOOKUP(E967,tipo_organizacion[#ALL],2,0))</f>
        <v/>
      </c>
      <c r="J967" s="21" t="str">
        <f>IF(F967="","",VLOOKUP(F967,razon_social[#ALL],2,0))</f>
        <v/>
      </c>
      <c r="K967" s="21" t="str">
        <f>IF(G967="","",VLOOKUP(G967,tipo_contribuyente[#ALL],2,0))</f>
        <v/>
      </c>
      <c r="L967" s="21" t="str">
        <f>IF(H967="","",VLOOKUP(H967,pais[#ALL],2,0))</f>
        <v/>
      </c>
    </row>
    <row r="968">
      <c r="A968" s="21"/>
      <c r="B968" s="21"/>
      <c r="C968" s="21"/>
      <c r="D968" s="21"/>
      <c r="E968" s="21"/>
      <c r="F968" s="21"/>
      <c r="G968" s="21"/>
      <c r="H968" s="21"/>
      <c r="I968" s="21" t="str">
        <f>IF(E968="","",VLOOKUP(E968,tipo_organizacion[#ALL],2,0))</f>
        <v/>
      </c>
      <c r="J968" s="21" t="str">
        <f>IF(F968="","",VLOOKUP(F968,razon_social[#ALL],2,0))</f>
        <v/>
      </c>
      <c r="K968" s="21" t="str">
        <f>IF(G968="","",VLOOKUP(G968,tipo_contribuyente[#ALL],2,0))</f>
        <v/>
      </c>
      <c r="L968" s="21" t="str">
        <f>IF(H968="","",VLOOKUP(H968,pais[#ALL],2,0))</f>
        <v/>
      </c>
    </row>
    <row r="969">
      <c r="A969" s="21"/>
      <c r="B969" s="21"/>
      <c r="C969" s="21"/>
      <c r="D969" s="21"/>
      <c r="E969" s="21"/>
      <c r="F969" s="21"/>
      <c r="G969" s="21"/>
      <c r="H969" s="21"/>
      <c r="I969" s="21" t="str">
        <f>IF(E969="","",VLOOKUP(E969,tipo_organizacion[#ALL],2,0))</f>
        <v/>
      </c>
      <c r="J969" s="21" t="str">
        <f>IF(F969="","",VLOOKUP(F969,razon_social[#ALL],2,0))</f>
        <v/>
      </c>
      <c r="K969" s="21" t="str">
        <f>IF(G969="","",VLOOKUP(G969,tipo_contribuyente[#ALL],2,0))</f>
        <v/>
      </c>
      <c r="L969" s="21" t="str">
        <f>IF(H969="","",VLOOKUP(H969,pais[#ALL],2,0))</f>
        <v/>
      </c>
    </row>
    <row r="970">
      <c r="A970" s="21"/>
      <c r="B970" s="21"/>
      <c r="C970" s="21"/>
      <c r="D970" s="21"/>
      <c r="E970" s="21"/>
      <c r="F970" s="21"/>
      <c r="G970" s="21"/>
      <c r="H970" s="21"/>
      <c r="I970" s="21" t="str">
        <f>IF(E970="","",VLOOKUP(E970,tipo_organizacion[#ALL],2,0))</f>
        <v/>
      </c>
      <c r="J970" s="21" t="str">
        <f>IF(F970="","",VLOOKUP(F970,razon_social[#ALL],2,0))</f>
        <v/>
      </c>
      <c r="K970" s="21" t="str">
        <f>IF(G970="","",VLOOKUP(G970,tipo_contribuyente[#ALL],2,0))</f>
        <v/>
      </c>
      <c r="L970" s="21" t="str">
        <f>IF(H970="","",VLOOKUP(H970,pais[#ALL],2,0))</f>
        <v/>
      </c>
    </row>
    <row r="971">
      <c r="A971" s="21"/>
      <c r="B971" s="21"/>
      <c r="C971" s="21"/>
      <c r="D971" s="21"/>
      <c r="E971" s="21"/>
      <c r="F971" s="21"/>
      <c r="G971" s="21"/>
      <c r="H971" s="21"/>
      <c r="I971" s="21" t="str">
        <f>IF(E971="","",VLOOKUP(E971,tipo_organizacion[#ALL],2,0))</f>
        <v/>
      </c>
      <c r="J971" s="21" t="str">
        <f>IF(F971="","",VLOOKUP(F971,razon_social[#ALL],2,0))</f>
        <v/>
      </c>
      <c r="K971" s="21" t="str">
        <f>IF(G971="","",VLOOKUP(G971,tipo_contribuyente[#ALL],2,0))</f>
        <v/>
      </c>
      <c r="L971" s="21" t="str">
        <f>IF(H971="","",VLOOKUP(H971,pais[#ALL],2,0))</f>
        <v/>
      </c>
    </row>
    <row r="972">
      <c r="A972" s="21"/>
      <c r="B972" s="21"/>
      <c r="C972" s="21"/>
      <c r="D972" s="21"/>
      <c r="E972" s="21"/>
      <c r="F972" s="21"/>
      <c r="G972" s="21"/>
      <c r="H972" s="21"/>
      <c r="I972" s="21" t="str">
        <f>IF(E972="","",VLOOKUP(E972,tipo_organizacion[#ALL],2,0))</f>
        <v/>
      </c>
      <c r="J972" s="21" t="str">
        <f>IF(F972="","",VLOOKUP(F972,razon_social[#ALL],2,0))</f>
        <v/>
      </c>
      <c r="K972" s="21" t="str">
        <f>IF(G972="","",VLOOKUP(G972,tipo_contribuyente[#ALL],2,0))</f>
        <v/>
      </c>
      <c r="L972" s="21" t="str">
        <f>IF(H972="","",VLOOKUP(H972,pais[#ALL],2,0))</f>
        <v/>
      </c>
    </row>
    <row r="973">
      <c r="A973" s="21"/>
      <c r="B973" s="21"/>
      <c r="C973" s="21"/>
      <c r="D973" s="21"/>
      <c r="E973" s="21"/>
      <c r="F973" s="21"/>
      <c r="G973" s="21"/>
      <c r="H973" s="21"/>
      <c r="I973" s="21" t="str">
        <f>IF(E973="","",VLOOKUP(E973,tipo_organizacion[#ALL],2,0))</f>
        <v/>
      </c>
      <c r="J973" s="21" t="str">
        <f>IF(F973="","",VLOOKUP(F973,razon_social[#ALL],2,0))</f>
        <v/>
      </c>
      <c r="K973" s="21" t="str">
        <f>IF(G973="","",VLOOKUP(G973,tipo_contribuyente[#ALL],2,0))</f>
        <v/>
      </c>
      <c r="L973" s="21" t="str">
        <f>IF(H973="","",VLOOKUP(H973,pais[#ALL],2,0))</f>
        <v/>
      </c>
    </row>
    <row r="974">
      <c r="A974" s="21"/>
      <c r="B974" s="21"/>
      <c r="C974" s="21"/>
      <c r="D974" s="21"/>
      <c r="E974" s="21"/>
      <c r="F974" s="21"/>
      <c r="G974" s="21"/>
      <c r="H974" s="21"/>
      <c r="I974" s="21" t="str">
        <f>IF(E974="","",VLOOKUP(E974,tipo_organizacion[#ALL],2,0))</f>
        <v/>
      </c>
      <c r="J974" s="21" t="str">
        <f>IF(F974="","",VLOOKUP(F974,razon_social[#ALL],2,0))</f>
        <v/>
      </c>
      <c r="K974" s="21" t="str">
        <f>IF(G974="","",VLOOKUP(G974,tipo_contribuyente[#ALL],2,0))</f>
        <v/>
      </c>
      <c r="L974" s="21" t="str">
        <f>IF(H974="","",VLOOKUP(H974,pais[#ALL],2,0))</f>
        <v/>
      </c>
    </row>
    <row r="975">
      <c r="A975" s="21"/>
      <c r="B975" s="21"/>
      <c r="C975" s="21"/>
      <c r="D975" s="21"/>
      <c r="E975" s="21"/>
      <c r="F975" s="21"/>
      <c r="G975" s="21"/>
      <c r="H975" s="21"/>
      <c r="I975" s="21" t="str">
        <f>IF(E975="","",VLOOKUP(E975,tipo_organizacion[#ALL],2,0))</f>
        <v/>
      </c>
      <c r="J975" s="21" t="str">
        <f>IF(F975="","",VLOOKUP(F975,razon_social[#ALL],2,0))</f>
        <v/>
      </c>
      <c r="K975" s="21" t="str">
        <f>IF(G975="","",VLOOKUP(G975,tipo_contribuyente[#ALL],2,0))</f>
        <v/>
      </c>
      <c r="L975" s="21" t="str">
        <f>IF(H975="","",VLOOKUP(H975,pais[#ALL],2,0))</f>
        <v/>
      </c>
    </row>
    <row r="976">
      <c r="A976" s="21"/>
      <c r="B976" s="21"/>
      <c r="C976" s="21"/>
      <c r="D976" s="21"/>
      <c r="E976" s="21"/>
      <c r="F976" s="21"/>
      <c r="G976" s="21"/>
      <c r="H976" s="21"/>
      <c r="I976" s="21" t="str">
        <f>IF(E976="","",VLOOKUP(E976,tipo_organizacion[#ALL],2,0))</f>
        <v/>
      </c>
      <c r="J976" s="21" t="str">
        <f>IF(F976="","",VLOOKUP(F976,razon_social[#ALL],2,0))</f>
        <v/>
      </c>
      <c r="K976" s="21" t="str">
        <f>IF(G976="","",VLOOKUP(G976,tipo_contribuyente[#ALL],2,0))</f>
        <v/>
      </c>
      <c r="L976" s="21" t="str">
        <f>IF(H976="","",VLOOKUP(H976,pais[#ALL],2,0))</f>
        <v/>
      </c>
    </row>
    <row r="977">
      <c r="A977" s="21"/>
      <c r="B977" s="21"/>
      <c r="C977" s="21"/>
      <c r="D977" s="21"/>
      <c r="E977" s="21"/>
      <c r="F977" s="21"/>
      <c r="G977" s="21"/>
      <c r="H977" s="21"/>
      <c r="I977" s="21" t="str">
        <f>IF(E977="","",VLOOKUP(E977,tipo_organizacion[#ALL],2,0))</f>
        <v/>
      </c>
      <c r="J977" s="21" t="str">
        <f>IF(F977="","",VLOOKUP(F977,razon_social[#ALL],2,0))</f>
        <v/>
      </c>
      <c r="K977" s="21" t="str">
        <f>IF(G977="","",VLOOKUP(G977,tipo_contribuyente[#ALL],2,0))</f>
        <v/>
      </c>
      <c r="L977" s="21" t="str">
        <f>IF(H977="","",VLOOKUP(H977,pais[#ALL],2,0))</f>
        <v/>
      </c>
    </row>
    <row r="978">
      <c r="A978" s="21"/>
      <c r="B978" s="21"/>
      <c r="C978" s="21"/>
      <c r="D978" s="21"/>
      <c r="E978" s="21"/>
      <c r="F978" s="21"/>
      <c r="G978" s="21"/>
      <c r="H978" s="21"/>
      <c r="I978" s="21" t="str">
        <f>IF(E978="","",VLOOKUP(E978,tipo_organizacion[#ALL],2,0))</f>
        <v/>
      </c>
      <c r="J978" s="21" t="str">
        <f>IF(F978="","",VLOOKUP(F978,razon_social[#ALL],2,0))</f>
        <v/>
      </c>
      <c r="K978" s="21" t="str">
        <f>IF(G978="","",VLOOKUP(G978,tipo_contribuyente[#ALL],2,0))</f>
        <v/>
      </c>
      <c r="L978" s="21" t="str">
        <f>IF(H978="","",VLOOKUP(H978,pais[#ALL],2,0))</f>
        <v/>
      </c>
    </row>
    <row r="979">
      <c r="A979" s="21"/>
      <c r="B979" s="21"/>
      <c r="C979" s="21"/>
      <c r="D979" s="21"/>
      <c r="E979" s="21"/>
      <c r="F979" s="21"/>
      <c r="G979" s="21"/>
      <c r="H979" s="21"/>
      <c r="I979" s="21" t="str">
        <f>IF(E979="","",VLOOKUP(E979,tipo_organizacion[#ALL],2,0))</f>
        <v/>
      </c>
      <c r="J979" s="21" t="str">
        <f>IF(F979="","",VLOOKUP(F979,razon_social[#ALL],2,0))</f>
        <v/>
      </c>
      <c r="K979" s="21" t="str">
        <f>IF(G979="","",VLOOKUP(G979,tipo_contribuyente[#ALL],2,0))</f>
        <v/>
      </c>
      <c r="L979" s="21" t="str">
        <f>IF(H979="","",VLOOKUP(H979,pais[#ALL],2,0))</f>
        <v/>
      </c>
    </row>
    <row r="980">
      <c r="A980" s="21"/>
      <c r="B980" s="21"/>
      <c r="C980" s="21"/>
      <c r="D980" s="21"/>
      <c r="E980" s="21"/>
      <c r="F980" s="21"/>
      <c r="G980" s="21"/>
      <c r="H980" s="21"/>
      <c r="I980" s="21" t="str">
        <f>IF(E980="","",VLOOKUP(E980,tipo_organizacion[#ALL],2,0))</f>
        <v/>
      </c>
      <c r="J980" s="21" t="str">
        <f>IF(F980="","",VLOOKUP(F980,razon_social[#ALL],2,0))</f>
        <v/>
      </c>
      <c r="K980" s="21" t="str">
        <f>IF(G980="","",VLOOKUP(G980,tipo_contribuyente[#ALL],2,0))</f>
        <v/>
      </c>
      <c r="L980" s="21" t="str">
        <f>IF(H980="","",VLOOKUP(H980,pais[#ALL],2,0))</f>
        <v/>
      </c>
    </row>
    <row r="981">
      <c r="A981" s="21"/>
      <c r="B981" s="21"/>
      <c r="C981" s="21"/>
      <c r="D981" s="21"/>
      <c r="E981" s="21"/>
      <c r="F981" s="21"/>
      <c r="G981" s="21"/>
      <c r="H981" s="21"/>
      <c r="I981" s="21" t="str">
        <f>IF(E981="","",VLOOKUP(E981,tipo_organizacion[#ALL],2,0))</f>
        <v/>
      </c>
      <c r="J981" s="21" t="str">
        <f>IF(F981="","",VLOOKUP(F981,razon_social[#ALL],2,0))</f>
        <v/>
      </c>
      <c r="K981" s="21" t="str">
        <f>IF(G981="","",VLOOKUP(G981,tipo_contribuyente[#ALL],2,0))</f>
        <v/>
      </c>
      <c r="L981" s="21" t="str">
        <f>IF(H981="","",VLOOKUP(H981,pais[#ALL],2,0))</f>
        <v/>
      </c>
    </row>
    <row r="982">
      <c r="A982" s="21"/>
      <c r="B982" s="21"/>
      <c r="C982" s="21"/>
      <c r="D982" s="21"/>
      <c r="E982" s="21"/>
      <c r="F982" s="21"/>
      <c r="G982" s="21"/>
      <c r="H982" s="21"/>
      <c r="I982" s="21" t="str">
        <f>IF(E982="","",VLOOKUP(E982,tipo_organizacion[#ALL],2,0))</f>
        <v/>
      </c>
      <c r="J982" s="21" t="str">
        <f>IF(F982="","",VLOOKUP(F982,razon_social[#ALL],2,0))</f>
        <v/>
      </c>
      <c r="K982" s="21" t="str">
        <f>IF(G982="","",VLOOKUP(G982,tipo_contribuyente[#ALL],2,0))</f>
        <v/>
      </c>
      <c r="L982" s="21" t="str">
        <f>IF(H982="","",VLOOKUP(H982,pais[#ALL],2,0))</f>
        <v/>
      </c>
    </row>
    <row r="983">
      <c r="A983" s="21"/>
      <c r="B983" s="21"/>
      <c r="C983" s="21"/>
      <c r="D983" s="21"/>
      <c r="E983" s="21"/>
      <c r="F983" s="21"/>
      <c r="G983" s="21"/>
      <c r="H983" s="21"/>
      <c r="I983" s="21" t="str">
        <f>IF(E983="","",VLOOKUP(E983,tipo_organizacion[#ALL],2,0))</f>
        <v/>
      </c>
      <c r="J983" s="21" t="str">
        <f>IF(F983="","",VLOOKUP(F983,razon_social[#ALL],2,0))</f>
        <v/>
      </c>
      <c r="K983" s="21" t="str">
        <f>IF(G983="","",VLOOKUP(G983,tipo_contribuyente[#ALL],2,0))</f>
        <v/>
      </c>
      <c r="L983" s="21" t="str">
        <f>IF(H983="","",VLOOKUP(H983,pais[#ALL],2,0))</f>
        <v/>
      </c>
    </row>
    <row r="984">
      <c r="A984" s="21"/>
      <c r="B984" s="21"/>
      <c r="C984" s="21"/>
      <c r="D984" s="21"/>
      <c r="E984" s="21"/>
      <c r="F984" s="21"/>
      <c r="G984" s="21"/>
      <c r="H984" s="21"/>
      <c r="I984" s="21" t="str">
        <f>IF(E984="","",VLOOKUP(E984,tipo_organizacion[#ALL],2,0))</f>
        <v/>
      </c>
      <c r="J984" s="21" t="str">
        <f>IF(F984="","",VLOOKUP(F984,razon_social[#ALL],2,0))</f>
        <v/>
      </c>
      <c r="K984" s="21" t="str">
        <f>IF(G984="","",VLOOKUP(G984,tipo_contribuyente[#ALL],2,0))</f>
        <v/>
      </c>
      <c r="L984" s="21" t="str">
        <f>IF(H984="","",VLOOKUP(H984,pais[#ALL],2,0))</f>
        <v/>
      </c>
    </row>
    <row r="985">
      <c r="A985" s="21"/>
      <c r="B985" s="21"/>
      <c r="C985" s="21"/>
      <c r="D985" s="21"/>
      <c r="E985" s="21"/>
      <c r="F985" s="21"/>
      <c r="G985" s="21"/>
      <c r="H985" s="21"/>
      <c r="I985" s="21" t="str">
        <f>IF(E985="","",VLOOKUP(E985,tipo_organizacion[#ALL],2,0))</f>
        <v/>
      </c>
      <c r="J985" s="21" t="str">
        <f>IF(F985="","",VLOOKUP(F985,razon_social[#ALL],2,0))</f>
        <v/>
      </c>
      <c r="K985" s="21" t="str">
        <f>IF(G985="","",VLOOKUP(G985,tipo_contribuyente[#ALL],2,0))</f>
        <v/>
      </c>
      <c r="L985" s="21" t="str">
        <f>IF(H985="","",VLOOKUP(H985,pais[#ALL],2,0))</f>
        <v/>
      </c>
    </row>
    <row r="986">
      <c r="A986" s="21"/>
      <c r="B986" s="21"/>
      <c r="C986" s="21"/>
      <c r="D986" s="21"/>
      <c r="E986" s="21"/>
      <c r="F986" s="21"/>
      <c r="G986" s="21"/>
      <c r="H986" s="21"/>
      <c r="I986" s="21" t="str">
        <f>IF(E986="","",VLOOKUP(E986,tipo_organizacion[#ALL],2,0))</f>
        <v/>
      </c>
      <c r="J986" s="21" t="str">
        <f>IF(F986="","",VLOOKUP(F986,razon_social[#ALL],2,0))</f>
        <v/>
      </c>
      <c r="K986" s="21" t="str">
        <f>IF(G986="","",VLOOKUP(G986,tipo_contribuyente[#ALL],2,0))</f>
        <v/>
      </c>
      <c r="L986" s="21" t="str">
        <f>IF(H986="","",VLOOKUP(H986,pais[#ALL],2,0))</f>
        <v/>
      </c>
    </row>
    <row r="987">
      <c r="A987" s="21"/>
      <c r="B987" s="21"/>
      <c r="C987" s="21"/>
      <c r="D987" s="21"/>
      <c r="E987" s="21"/>
      <c r="F987" s="21"/>
      <c r="G987" s="21"/>
      <c r="H987" s="21"/>
      <c r="I987" s="21" t="str">
        <f>IF(E987="","",VLOOKUP(E987,tipo_organizacion[#ALL],2,0))</f>
        <v/>
      </c>
      <c r="J987" s="21" t="str">
        <f>IF(F987="","",VLOOKUP(F987,razon_social[#ALL],2,0))</f>
        <v/>
      </c>
      <c r="K987" s="21" t="str">
        <f>IF(G987="","",VLOOKUP(G987,tipo_contribuyente[#ALL],2,0))</f>
        <v/>
      </c>
      <c r="L987" s="21" t="str">
        <f>IF(H987="","",VLOOKUP(H987,pais[#ALL],2,0))</f>
        <v/>
      </c>
    </row>
    <row r="988">
      <c r="A988" s="21"/>
      <c r="B988" s="21"/>
      <c r="C988" s="21"/>
      <c r="D988" s="21"/>
      <c r="E988" s="21"/>
      <c r="F988" s="21"/>
      <c r="G988" s="21"/>
      <c r="H988" s="21"/>
      <c r="I988" s="21" t="str">
        <f>IF(E988="","",VLOOKUP(E988,tipo_organizacion[#ALL],2,0))</f>
        <v/>
      </c>
      <c r="J988" s="21" t="str">
        <f>IF(F988="","",VLOOKUP(F988,razon_social[#ALL],2,0))</f>
        <v/>
      </c>
      <c r="K988" s="21" t="str">
        <f>IF(G988="","",VLOOKUP(G988,tipo_contribuyente[#ALL],2,0))</f>
        <v/>
      </c>
      <c r="L988" s="21" t="str">
        <f>IF(H988="","",VLOOKUP(H988,pais[#ALL],2,0))</f>
        <v/>
      </c>
    </row>
    <row r="989">
      <c r="A989" s="21"/>
      <c r="B989" s="21"/>
      <c r="C989" s="21"/>
      <c r="D989" s="21"/>
      <c r="E989" s="21"/>
      <c r="F989" s="21"/>
      <c r="G989" s="21"/>
      <c r="H989" s="21"/>
      <c r="I989" s="21" t="str">
        <f>IF(E989="","",VLOOKUP(E989,tipo_organizacion[#ALL],2,0))</f>
        <v/>
      </c>
      <c r="J989" s="21" t="str">
        <f>IF(F989="","",VLOOKUP(F989,razon_social[#ALL],2,0))</f>
        <v/>
      </c>
      <c r="K989" s="21" t="str">
        <f>IF(G989="","",VLOOKUP(G989,tipo_contribuyente[#ALL],2,0))</f>
        <v/>
      </c>
      <c r="L989" s="21" t="str">
        <f>IF(H989="","",VLOOKUP(H989,pais[#ALL],2,0))</f>
        <v/>
      </c>
    </row>
    <row r="990">
      <c r="A990" s="21"/>
      <c r="B990" s="21"/>
      <c r="C990" s="21"/>
      <c r="D990" s="21"/>
      <c r="E990" s="21"/>
      <c r="F990" s="21"/>
      <c r="G990" s="21"/>
      <c r="H990" s="21"/>
      <c r="I990" s="21" t="str">
        <f>IF(E990="","",VLOOKUP(E990,tipo_organizacion[#ALL],2,0))</f>
        <v/>
      </c>
      <c r="J990" s="21" t="str">
        <f>IF(F990="","",VLOOKUP(F990,razon_social[#ALL],2,0))</f>
        <v/>
      </c>
      <c r="K990" s="21" t="str">
        <f>IF(G990="","",VLOOKUP(G990,tipo_contribuyente[#ALL],2,0))</f>
        <v/>
      </c>
      <c r="L990" s="21" t="str">
        <f>IF(H990="","",VLOOKUP(H990,pais[#ALL],2,0))</f>
        <v/>
      </c>
    </row>
    <row r="991">
      <c r="A991" s="21"/>
      <c r="B991" s="21"/>
      <c r="C991" s="21"/>
      <c r="D991" s="21"/>
      <c r="E991" s="21"/>
      <c r="F991" s="21"/>
      <c r="G991" s="21"/>
      <c r="H991" s="21"/>
      <c r="I991" s="21" t="str">
        <f>IF(E991="","",VLOOKUP(E991,tipo_organizacion[#ALL],2,0))</f>
        <v/>
      </c>
      <c r="J991" s="21" t="str">
        <f>IF(F991="","",VLOOKUP(F991,razon_social[#ALL],2,0))</f>
        <v/>
      </c>
      <c r="K991" s="21" t="str">
        <f>IF(G991="","",VLOOKUP(G991,tipo_contribuyente[#ALL],2,0))</f>
        <v/>
      </c>
      <c r="L991" s="21" t="str">
        <f>IF(H991="","",VLOOKUP(H991,pais[#ALL],2,0))</f>
        <v/>
      </c>
    </row>
    <row r="992">
      <c r="A992" s="21"/>
      <c r="B992" s="21"/>
      <c r="C992" s="21"/>
      <c r="D992" s="21"/>
      <c r="E992" s="21"/>
      <c r="F992" s="21"/>
      <c r="G992" s="21"/>
      <c r="H992" s="21"/>
      <c r="I992" s="21" t="str">
        <f>IF(E992="","",VLOOKUP(E992,tipo_organizacion[#ALL],2,0))</f>
        <v/>
      </c>
      <c r="J992" s="21" t="str">
        <f>IF(F992="","",VLOOKUP(F992,razon_social[#ALL],2,0))</f>
        <v/>
      </c>
      <c r="K992" s="21" t="str">
        <f>IF(G992="","",VLOOKUP(G992,tipo_contribuyente[#ALL],2,0))</f>
        <v/>
      </c>
      <c r="L992" s="21" t="str">
        <f>IF(H992="","",VLOOKUP(H992,pais[#ALL],2,0))</f>
        <v/>
      </c>
    </row>
    <row r="993">
      <c r="A993" s="21"/>
      <c r="B993" s="21"/>
      <c r="C993" s="21"/>
      <c r="D993" s="21"/>
      <c r="E993" s="21"/>
      <c r="F993" s="21"/>
      <c r="G993" s="21"/>
      <c r="H993" s="21"/>
      <c r="I993" s="21" t="str">
        <f>IF(E993="","",VLOOKUP(E993,tipo_organizacion[#ALL],2,0))</f>
        <v/>
      </c>
      <c r="J993" s="21" t="str">
        <f>IF(F993="","",VLOOKUP(F993,razon_social[#ALL],2,0))</f>
        <v/>
      </c>
      <c r="K993" s="21" t="str">
        <f>IF(G993="","",VLOOKUP(G993,tipo_contribuyente[#ALL],2,0))</f>
        <v/>
      </c>
      <c r="L993" s="21" t="str">
        <f>IF(H993="","",VLOOKUP(H993,pais[#ALL],2,0))</f>
        <v/>
      </c>
    </row>
    <row r="994">
      <c r="A994" s="21"/>
      <c r="B994" s="21"/>
      <c r="C994" s="21"/>
      <c r="D994" s="21"/>
      <c r="E994" s="21"/>
      <c r="F994" s="21"/>
      <c r="G994" s="21"/>
      <c r="H994" s="21"/>
      <c r="I994" s="21" t="str">
        <f>IF(E994="","",VLOOKUP(E994,tipo_organizacion[#ALL],2,0))</f>
        <v/>
      </c>
      <c r="J994" s="21" t="str">
        <f>IF(F994="","",VLOOKUP(F994,razon_social[#ALL],2,0))</f>
        <v/>
      </c>
      <c r="K994" s="21" t="str">
        <f>IF(G994="","",VLOOKUP(G994,tipo_contribuyente[#ALL],2,0))</f>
        <v/>
      </c>
      <c r="L994" s="21" t="str">
        <f>IF(H994="","",VLOOKUP(H994,pais[#ALL],2,0))</f>
        <v/>
      </c>
    </row>
    <row r="995">
      <c r="A995" s="21"/>
      <c r="B995" s="21"/>
      <c r="C995" s="21"/>
      <c r="D995" s="21"/>
      <c r="E995" s="21"/>
      <c r="F995" s="21"/>
      <c r="G995" s="21"/>
      <c r="H995" s="21"/>
      <c r="I995" s="21" t="str">
        <f>IF(E995="","",VLOOKUP(E995,tipo_organizacion[#ALL],2,0))</f>
        <v/>
      </c>
      <c r="J995" s="21" t="str">
        <f>IF(F995="","",VLOOKUP(F995,razon_social[#ALL],2,0))</f>
        <v/>
      </c>
      <c r="K995" s="21" t="str">
        <f>IF(G995="","",VLOOKUP(G995,tipo_contribuyente[#ALL],2,0))</f>
        <v/>
      </c>
      <c r="L995" s="21" t="str">
        <f>IF(H995="","",VLOOKUP(H995,pais[#ALL],2,0))</f>
        <v/>
      </c>
    </row>
    <row r="996">
      <c r="A996" s="21"/>
      <c r="B996" s="21"/>
      <c r="C996" s="21"/>
      <c r="D996" s="21"/>
      <c r="E996" s="21"/>
      <c r="F996" s="21"/>
      <c r="G996" s="21"/>
      <c r="H996" s="21"/>
      <c r="I996" s="21" t="str">
        <f>IF(E996="","",VLOOKUP(E996,tipo_organizacion[#ALL],2,0))</f>
        <v/>
      </c>
      <c r="J996" s="21" t="str">
        <f>IF(F996="","",VLOOKUP(F996,razon_social[#ALL],2,0))</f>
        <v/>
      </c>
      <c r="K996" s="21" t="str">
        <f>IF(G996="","",VLOOKUP(G996,tipo_contribuyente[#ALL],2,0))</f>
        <v/>
      </c>
      <c r="L996" s="21" t="str">
        <f>IF(H996="","",VLOOKUP(H996,pais[#ALL],2,0))</f>
        <v/>
      </c>
    </row>
    <row r="997">
      <c r="A997" s="21"/>
      <c r="B997" s="21"/>
      <c r="C997" s="21"/>
      <c r="D997" s="21"/>
      <c r="E997" s="21"/>
      <c r="F997" s="21"/>
      <c r="G997" s="21"/>
      <c r="H997" s="21"/>
      <c r="I997" s="21" t="str">
        <f>IF(E997="","",VLOOKUP(E997,tipo_organizacion[#ALL],2,0))</f>
        <v/>
      </c>
      <c r="J997" s="21" t="str">
        <f>IF(F997="","",VLOOKUP(F997,razon_social[#ALL],2,0))</f>
        <v/>
      </c>
      <c r="K997" s="21" t="str">
        <f>IF(G997="","",VLOOKUP(G997,tipo_contribuyente[#ALL],2,0))</f>
        <v/>
      </c>
      <c r="L997" s="21" t="str">
        <f>IF(H997="","",VLOOKUP(H997,pais[#ALL],2,0))</f>
        <v/>
      </c>
    </row>
    <row r="998">
      <c r="A998" s="21"/>
      <c r="B998" s="21"/>
      <c r="C998" s="21"/>
      <c r="D998" s="21"/>
      <c r="E998" s="21"/>
      <c r="F998" s="21"/>
      <c r="G998" s="21"/>
      <c r="H998" s="21"/>
      <c r="I998" s="21" t="str">
        <f>IF(E998="","",VLOOKUP(E998,tipo_organizacion[#ALL],2,0))</f>
        <v/>
      </c>
      <c r="J998" s="21" t="str">
        <f>IF(F998="","",VLOOKUP(F998,razon_social[#ALL],2,0))</f>
        <v/>
      </c>
      <c r="K998" s="21" t="str">
        <f>IF(G998="","",VLOOKUP(G998,tipo_contribuyente[#ALL],2,0))</f>
        <v/>
      </c>
      <c r="L998" s="21" t="str">
        <f>IF(H998="","",VLOOKUP(H998,pais[#ALL],2,0))</f>
        <v/>
      </c>
    </row>
    <row r="999">
      <c r="A999" s="21"/>
      <c r="B999" s="21"/>
      <c r="C999" s="21"/>
      <c r="D999" s="21"/>
      <c r="E999" s="21"/>
      <c r="F999" s="21"/>
      <c r="G999" s="21"/>
      <c r="H999" s="21"/>
      <c r="I999" s="21" t="str">
        <f>IF(E999="","",VLOOKUP(E999,tipo_organizacion[#ALL],2,0))</f>
        <v/>
      </c>
      <c r="J999" s="21" t="str">
        <f>IF(F999="","",VLOOKUP(F999,razon_social[#ALL],2,0))</f>
        <v/>
      </c>
      <c r="K999" s="21" t="str">
        <f>IF(G999="","",VLOOKUP(G999,tipo_contribuyente[#ALL],2,0))</f>
        <v/>
      </c>
      <c r="L999" s="21" t="str">
        <f>IF(H999="","",VLOOKUP(H999,pais[#ALL],2,0))</f>
        <v/>
      </c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 t="str">
        <f>IF(E1000="","",VLOOKUP(E1000,tipo_organizacion[#ALL],2,0))</f>
        <v/>
      </c>
      <c r="J1000" s="21" t="str">
        <f>IF(F1000="","",VLOOKUP(F1000,razon_social[#ALL],2,0))</f>
        <v/>
      </c>
      <c r="K1000" s="21" t="str">
        <f>IF(G1000="","",VLOOKUP(G1000,tipo_contribuyente[#ALL],2,0))</f>
        <v/>
      </c>
      <c r="L1000" s="21" t="str">
        <f>IF(H1000="","",VLOOKUP(H1000,pais[#ALL],2,0))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21" t="str">
        <f>IFERROR(__xludf.DUMMYFUNCTION("IMPORTRANGE(""1EmUqVBUcr7NLL1JTZAbAisj-MrqKi3tXobQyMMKEV4Q"",""cuenta!A:E"")"),"id_cta")</f>
        <v>id_cta</v>
      </c>
      <c r="B1" s="21" t="str">
        <f>IFERROR(__xludf.DUMMYFUNCTION("""COMPUTED_VALUE"""),"nro_cta")</f>
        <v>nro_cta</v>
      </c>
      <c r="C1" s="21" t="str">
        <f>IFERROR(__xludf.DUMMYFUNCTION("""COMPUTED_VALUE"""),"nom_cta")</f>
        <v>nom_cta</v>
      </c>
      <c r="D1" s="21" t="str">
        <f>IFERROR(__xludf.DUMMYFUNCTION("""COMPUTED_VALUE"""),"descripcion")</f>
        <v>descripcion</v>
      </c>
      <c r="E1" s="21" t="str">
        <f>IFERROR(__xludf.DUMMYFUNCTION("""COMPUTED_VALUE"""),"id_tipo_cta")</f>
        <v>id_tipo_cta</v>
      </c>
      <c r="F1" s="22" t="s">
        <v>733</v>
      </c>
    </row>
    <row r="2">
      <c r="A2" s="21" t="str">
        <f>IFERROR(__xludf.DUMMYFUNCTION("""COMPUTED_VALUE"""),"1")</f>
        <v>1</v>
      </c>
      <c r="B2" s="21" t="str">
        <f>IFERROR(__xludf.DUMMYFUNCTION("""COMPUTED_VALUE"""),"102201")</f>
        <v>102201</v>
      </c>
      <c r="C2" s="21" t="str">
        <f>IFERROR(__xludf.DUMMYFUNCTION("""COMPUTED_VALUE"""),"Gastos Pagados por adelantado")</f>
        <v>Gastos Pagados por adelantado</v>
      </c>
      <c r="D2" s="21" t="str">
        <f>IFERROR(__xludf.DUMMYFUNCTION("""COMPUTED_VALUE"""),"N/A")</f>
        <v>N/A</v>
      </c>
      <c r="E2" s="21" t="str">
        <f>IFERROR(__xludf.DUMMYFUNCTION("""COMPUTED_VALUE"""),"1")</f>
        <v>1</v>
      </c>
      <c r="F2" s="21" t="str">
        <f>IF(E2="","",VLOOKUP(E2,tipo_cuenta[#ALL],2,0))</f>
        <v>Otros activos corto plazo</v>
      </c>
    </row>
    <row r="3">
      <c r="A3" s="21" t="str">
        <f>IFERROR(__xludf.DUMMYFUNCTION("""COMPUTED_VALUE"""),"2")</f>
        <v>2</v>
      </c>
      <c r="B3" s="21" t="str">
        <f>IFERROR(__xludf.DUMMYFUNCTION("""COMPUTED_VALUE"""),"202001")</f>
        <v>202001</v>
      </c>
      <c r="C3" s="21" t="str">
        <f>IFERROR(__xludf.DUMMYFUNCTION("""COMPUTED_VALUE"""),"Prestamos")</f>
        <v>Prestamos</v>
      </c>
      <c r="D3" s="21" t="str">
        <f>IFERROR(__xludf.DUMMYFUNCTION("""COMPUTED_VALUE"""),"N/A")</f>
        <v>N/A</v>
      </c>
      <c r="E3" s="21" t="str">
        <f>IFERROR(__xludf.DUMMYFUNCTION("""COMPUTED_VALUE"""),"2")</f>
        <v>2</v>
      </c>
      <c r="F3" s="21" t="str">
        <f>IF(E3="","",VLOOKUP(E3,tipo_cuenta[#ALL],2,0))</f>
        <v>Otros pasivos corto plazo</v>
      </c>
    </row>
    <row r="4">
      <c r="A4" s="21" t="str">
        <f>IFERROR(__xludf.DUMMYFUNCTION("""COMPUTED_VALUE"""),"3")</f>
        <v>3</v>
      </c>
      <c r="B4" s="21" t="str">
        <f>IFERROR(__xludf.DUMMYFUNCTION("""COMPUTED_VALUE"""),"300010")</f>
        <v>300010</v>
      </c>
      <c r="C4" s="21" t="str">
        <f>IFERROR(__xludf.DUMMYFUNCTION("""COMPUTED_VALUE"""),"Apertura Balance Inicial")</f>
        <v>Apertura Balance Inicial</v>
      </c>
      <c r="D4" s="21" t="str">
        <f>IFERROR(__xludf.DUMMYFUNCTION("""COMPUTED_VALUE"""),"N/A")</f>
        <v>N/A</v>
      </c>
      <c r="E4" s="21" t="str">
        <f>IFERROR(__xludf.DUMMYFUNCTION("""COMPUTED_VALUE"""),"3")</f>
        <v>3</v>
      </c>
      <c r="F4" s="21" t="str">
        <f>IF(E4="","",VLOOKUP(E4,tipo_cuenta[#ALL],2,0))</f>
        <v>Patrimonio Neto</v>
      </c>
    </row>
    <row r="5">
      <c r="A5" s="21" t="str">
        <f>IFERROR(__xludf.DUMMYFUNCTION("""COMPUTED_VALUE"""),"4")</f>
        <v>4</v>
      </c>
      <c r="B5" s="21" t="str">
        <f>IFERROR(__xludf.DUMMYFUNCTION("""COMPUTED_VALUE"""),"401200")</f>
        <v>401200</v>
      </c>
      <c r="C5" s="21" t="str">
        <f>IFERROR(__xludf.DUMMYFUNCTION("""COMPUTED_VALUE"""),"Ingresos Institucionales")</f>
        <v>Ingresos Institucionales</v>
      </c>
      <c r="D5" s="21" t="str">
        <f>IFERROR(__xludf.DUMMYFUNCTION("""COMPUTED_VALUE"""),"Programas / Proyectos Sociales, Internacionales, Concursos")</f>
        <v>Programas / Proyectos Sociales, Internacionales, Concursos</v>
      </c>
      <c r="E5" s="21" t="str">
        <f>IFERROR(__xludf.DUMMYFUNCTION("""COMPUTED_VALUE"""),"4")</f>
        <v>4</v>
      </c>
      <c r="F5" s="21" t="str">
        <f>IF(E5="","",VLOOKUP(E5,tipo_cuenta[#ALL],2,0))</f>
        <v>Ingresos</v>
      </c>
    </row>
    <row r="6">
      <c r="A6" s="21" t="str">
        <f>IFERROR(__xludf.DUMMYFUNCTION("""COMPUTED_VALUE"""),"5")</f>
        <v>5</v>
      </c>
      <c r="B6" s="21" t="str">
        <f>IFERROR(__xludf.DUMMYFUNCTION("""COMPUTED_VALUE"""),"402101")</f>
        <v>402101</v>
      </c>
      <c r="C6" s="21" t="str">
        <f>IFERROR(__xludf.DUMMYFUNCTION("""COMPUTED_VALUE"""),"Ingresos Institucionales mensuales")</f>
        <v>Ingresos Institucionales mensuales</v>
      </c>
      <c r="D6" s="21" t="str">
        <f>IFERROR(__xludf.DUMMYFUNCTION("""COMPUTED_VALUE"""),"N/A")</f>
        <v>N/A</v>
      </c>
      <c r="E6" s="21" t="str">
        <f>IFERROR(__xludf.DUMMYFUNCTION("""COMPUTED_VALUE"""),"4")</f>
        <v>4</v>
      </c>
      <c r="F6" s="21" t="str">
        <f>IF(E6="","",VLOOKUP(E6,tipo_cuenta[#ALL],2,0))</f>
        <v>Ingresos</v>
      </c>
    </row>
    <row r="7">
      <c r="A7" s="21" t="str">
        <f>IFERROR(__xludf.DUMMYFUNCTION("""COMPUTED_VALUE"""),"6")</f>
        <v>6</v>
      </c>
      <c r="B7" s="21" t="str">
        <f>IFERROR(__xludf.DUMMYFUNCTION("""COMPUTED_VALUE"""),"402102")</f>
        <v>402102</v>
      </c>
      <c r="C7" s="21" t="str">
        <f>IFERROR(__xludf.DUMMYFUNCTION("""COMPUTED_VALUE"""),"Donaciones Personales mensuales")</f>
        <v>Donaciones Personales mensuales</v>
      </c>
      <c r="D7" s="21" t="str">
        <f>IFERROR(__xludf.DUMMYFUNCTION("""COMPUTED_VALUE"""),"N/A")</f>
        <v>N/A</v>
      </c>
      <c r="E7" s="21" t="str">
        <f>IFERROR(__xludf.DUMMYFUNCTION("""COMPUTED_VALUE"""),"4")</f>
        <v>4</v>
      </c>
      <c r="F7" s="21" t="str">
        <f>IF(E7="","",VLOOKUP(E7,tipo_cuenta[#ALL],2,0))</f>
        <v>Ingresos</v>
      </c>
    </row>
    <row r="8">
      <c r="A8" s="21" t="str">
        <f>IFERROR(__xludf.DUMMYFUNCTION("""COMPUTED_VALUE"""),"7")</f>
        <v>7</v>
      </c>
      <c r="B8" s="21" t="str">
        <f>IFERROR(__xludf.DUMMYFUNCTION("""COMPUTED_VALUE"""),"403101")</f>
        <v>403101</v>
      </c>
      <c r="C8" s="21" t="str">
        <f>IFERROR(__xludf.DUMMYFUNCTION("""COMPUTED_VALUE"""),"Donaciones Personales no recurrentes")</f>
        <v>Donaciones Personales no recurrentes</v>
      </c>
      <c r="D8" s="21" t="str">
        <f>IFERROR(__xludf.DUMMYFUNCTION("""COMPUTED_VALUE"""),"N/A")</f>
        <v>N/A</v>
      </c>
      <c r="E8" s="21" t="str">
        <f>IFERROR(__xludf.DUMMYFUNCTION("""COMPUTED_VALUE"""),"4")</f>
        <v>4</v>
      </c>
      <c r="F8" s="21" t="str">
        <f>IF(E8="","",VLOOKUP(E8,tipo_cuenta[#ALL],2,0))</f>
        <v>Ingresos</v>
      </c>
    </row>
    <row r="9">
      <c r="A9" s="21" t="str">
        <f>IFERROR(__xludf.DUMMYFUNCTION("""COMPUTED_VALUE"""),"8")</f>
        <v>8</v>
      </c>
      <c r="B9" s="21" t="str">
        <f>IFERROR(__xludf.DUMMYFUNCTION("""COMPUTED_VALUE"""),"403102")</f>
        <v>403102</v>
      </c>
      <c r="C9" s="21" t="str">
        <f>IFERROR(__xludf.DUMMYFUNCTION("""COMPUTED_VALUE"""),"Ingresos Cuotas Asociados")</f>
        <v>Ingresos Cuotas Asociados</v>
      </c>
      <c r="D9" s="21" t="str">
        <f>IFERROR(__xludf.DUMMYFUNCTION("""COMPUTED_VALUE"""),"N/A")</f>
        <v>N/A</v>
      </c>
      <c r="E9" s="21" t="str">
        <f>IFERROR(__xludf.DUMMYFUNCTION("""COMPUTED_VALUE"""),"4")</f>
        <v>4</v>
      </c>
      <c r="F9" s="21" t="str">
        <f>IF(E9="","",VLOOKUP(E9,tipo_cuenta[#ALL],2,0))</f>
        <v>Ingresos</v>
      </c>
    </row>
    <row r="10">
      <c r="A10" s="21" t="str">
        <f>IFERROR(__xludf.DUMMYFUNCTION("""COMPUTED_VALUE"""),"9")</f>
        <v>9</v>
      </c>
      <c r="B10" s="21" t="str">
        <f>IFERROR(__xludf.DUMMYFUNCTION("""COMPUTED_VALUE"""),"403103")</f>
        <v>403103</v>
      </c>
      <c r="C10" s="21" t="str">
        <f>IFERROR(__xludf.DUMMYFUNCTION("""COMPUTED_VALUE"""),"Ingresos Bonos Contribucion")</f>
        <v>Ingresos Bonos Contribucion</v>
      </c>
      <c r="D10" s="21" t="str">
        <f>IFERROR(__xludf.DUMMYFUNCTION("""COMPUTED_VALUE"""),"Para fines generales")</f>
        <v>Para fines generales</v>
      </c>
      <c r="E10" s="21" t="str">
        <f>IFERROR(__xludf.DUMMYFUNCTION("""COMPUTED_VALUE"""),"4")</f>
        <v>4</v>
      </c>
      <c r="F10" s="21" t="str">
        <f>IF(E10="","",VLOOKUP(E10,tipo_cuenta[#ALL],2,0))</f>
        <v>Ingresos</v>
      </c>
    </row>
    <row r="11">
      <c r="A11" s="21" t="str">
        <f>IFERROR(__xludf.DUMMYFUNCTION("""COMPUTED_VALUE"""),"10")</f>
        <v>10</v>
      </c>
      <c r="B11" s="21" t="str">
        <f>IFERROR(__xludf.DUMMYFUNCTION("""COMPUTED_VALUE"""),"403106")</f>
        <v>403106</v>
      </c>
      <c r="C11" s="21" t="str">
        <f>IFERROR(__xludf.DUMMYFUNCTION("""COMPUTED_VALUE"""),"Ingresos Internacionales Personales")</f>
        <v>Ingresos Internacionales Personales</v>
      </c>
      <c r="D11" s="21" t="str">
        <f>IFERROR(__xludf.DUMMYFUNCTION("""COMPUTED_VALUE"""),"De Personas en Moneda Extranjera (se valoriza en $ al TC)")</f>
        <v>De Personas en Moneda Extranjera (se valoriza en $ al TC)</v>
      </c>
      <c r="E11" s="21" t="str">
        <f>IFERROR(__xludf.DUMMYFUNCTION("""COMPUTED_VALUE"""),"4")</f>
        <v>4</v>
      </c>
      <c r="F11" s="21" t="str">
        <f>IF(E11="","",VLOOKUP(E11,tipo_cuenta[#ALL],2,0))</f>
        <v>Ingresos</v>
      </c>
    </row>
    <row r="12">
      <c r="A12" s="21" t="str">
        <f>IFERROR(__xludf.DUMMYFUNCTION("""COMPUTED_VALUE"""),"11")</f>
        <v>11</v>
      </c>
      <c r="B12" s="21" t="str">
        <f>IFERROR(__xludf.DUMMYFUNCTION("""COMPUTED_VALUE"""),"404100")</f>
        <v>404100</v>
      </c>
      <c r="C12" s="21" t="str">
        <f>IFERROR(__xludf.DUMMYFUNCTION("""COMPUTED_VALUE"""),"Ingresos Estado")</f>
        <v>Ingresos Estado</v>
      </c>
      <c r="D12" s="21" t="str">
        <f>IFERROR(__xludf.DUMMYFUNCTION("""COMPUTED_VALUE"""),"Subsidios Cargas Sociales, Programas Estatales, Becas Estatales, etc")</f>
        <v>Subsidios Cargas Sociales, Programas Estatales, Becas Estatales, etc</v>
      </c>
      <c r="E12" s="21" t="str">
        <f>IFERROR(__xludf.DUMMYFUNCTION("""COMPUTED_VALUE"""),"4")</f>
        <v>4</v>
      </c>
      <c r="F12" s="21" t="str">
        <f>IF(E12="","",VLOOKUP(E12,tipo_cuenta[#ALL],2,0))</f>
        <v>Ingresos</v>
      </c>
    </row>
    <row r="13">
      <c r="A13" s="21" t="str">
        <f>IFERROR(__xludf.DUMMYFUNCTION("""COMPUTED_VALUE"""),"12")</f>
        <v>12</v>
      </c>
      <c r="B13" s="21" t="str">
        <f>IFERROR(__xludf.DUMMYFUNCTION("""COMPUTED_VALUE"""),"405100")</f>
        <v>405100</v>
      </c>
      <c r="C13" s="21" t="str">
        <f>IFERROR(__xludf.DUMMYFUNCTION("""COMPUTED_VALUE"""),"Ingresos Servicios")</f>
        <v>Ingresos Servicios</v>
      </c>
      <c r="D13" s="21" t="str">
        <f>IFERROR(__xludf.DUMMYFUNCTION("""COMPUTED_VALUE"""),"Servicios Sociales, Asistencia Tecnica, Educacion, Matriculas, etc")</f>
        <v>Servicios Sociales, Asistencia Tecnica, Educacion, Matriculas, etc</v>
      </c>
      <c r="E13" s="21" t="str">
        <f>IFERROR(__xludf.DUMMYFUNCTION("""COMPUTED_VALUE"""),"4")</f>
        <v>4</v>
      </c>
      <c r="F13" s="21" t="str">
        <f>IF(E13="","",VLOOKUP(E13,tipo_cuenta[#ALL],2,0))</f>
        <v>Ingresos</v>
      </c>
    </row>
    <row r="14">
      <c r="A14" s="21" t="str">
        <f>IFERROR(__xludf.DUMMYFUNCTION("""COMPUTED_VALUE"""),"13")</f>
        <v>13</v>
      </c>
      <c r="B14" s="21" t="str">
        <f>IFERROR(__xludf.DUMMYFUNCTION("""COMPUTED_VALUE"""),"406100")</f>
        <v>406100</v>
      </c>
      <c r="C14" s="21" t="str">
        <f>IFERROR(__xludf.DUMMYFUNCTION("""COMPUTED_VALUE"""),"Ingresos Eventos Institucionales")</f>
        <v>Ingresos Eventos Institucionales</v>
      </c>
      <c r="D14" s="21" t="str">
        <f>IFERROR(__xludf.DUMMYFUNCTION("""COMPUTED_VALUE"""),"Institucionales o Bonos Contribucion al Evento, Ingresos adicionales institucionales o Personales al Evento, Otros, etc")</f>
        <v>Institucionales o Bonos Contribucion al Evento, Ingresos adicionales institucionales o Personales al Evento, Otros, etc</v>
      </c>
      <c r="E14" s="21" t="str">
        <f>IFERROR(__xludf.DUMMYFUNCTION("""COMPUTED_VALUE"""),"4")</f>
        <v>4</v>
      </c>
      <c r="F14" s="21" t="str">
        <f>IF(E14="","",VLOOKUP(E14,tipo_cuenta[#ALL],2,0))</f>
        <v>Ingresos</v>
      </c>
    </row>
    <row r="15">
      <c r="A15" s="21" t="str">
        <f>IFERROR(__xludf.DUMMYFUNCTION("""COMPUTED_VALUE"""),"14")</f>
        <v>14</v>
      </c>
      <c r="B15" s="21" t="str">
        <f>IFERROR(__xludf.DUMMYFUNCTION("""COMPUTED_VALUE"""),"409021")</f>
        <v>409021</v>
      </c>
      <c r="C15" s="21" t="str">
        <f>IFERROR(__xludf.DUMMYFUNCTION("""COMPUTED_VALUE"""),"Donaciones en Especies")</f>
        <v>Donaciones en Especies</v>
      </c>
      <c r="D15" s="21" t="str">
        <f>IFERROR(__xludf.DUMMYFUNCTION("""COMPUTED_VALUE"""),"Donacion de mercaderia que, si se registra, debe ser a un valor en $$$ que sea correcto de acuerdo al valor de mercado")</f>
        <v>Donacion de mercaderia que, si se registra, debe ser a un valor en $$$ que sea correcto de acuerdo al valor de mercado</v>
      </c>
      <c r="E15" s="21" t="str">
        <f>IFERROR(__xludf.DUMMYFUNCTION("""COMPUTED_VALUE"""),"4")</f>
        <v>4</v>
      </c>
      <c r="F15" s="21" t="str">
        <f>IF(E15="","",VLOOKUP(E15,tipo_cuenta[#ALL],2,0))</f>
        <v>Ingresos</v>
      </c>
    </row>
    <row r="16">
      <c r="A16" s="21" t="str">
        <f>IFERROR(__xludf.DUMMYFUNCTION("""COMPUTED_VALUE"""),"15")</f>
        <v>15</v>
      </c>
      <c r="B16" s="21" t="str">
        <f>IFERROR(__xludf.DUMMYFUNCTION("""COMPUTED_VALUE"""),"409099")</f>
        <v>409099</v>
      </c>
      <c r="C16" s="21" t="str">
        <f>IFERROR(__xludf.DUMMYFUNCTION("""COMPUTED_VALUE"""),"Ingresos / Donaciones a clasificar o identificar")</f>
        <v>Ingresos / Donaciones a clasificar o identificar</v>
      </c>
      <c r="D16" s="21" t="str">
        <f>IFERROR(__xludf.DUMMYFUNCTION("""COMPUTED_VALUE"""),"Ingreso sin identificar / clasificar. Al cierre dejar nula.")</f>
        <v>Ingreso sin identificar / clasificar. Al cierre dejar nula.</v>
      </c>
      <c r="E16" s="21" t="str">
        <f>IFERROR(__xludf.DUMMYFUNCTION("""COMPUTED_VALUE"""),"4")</f>
        <v>4</v>
      </c>
      <c r="F16" s="21" t="str">
        <f>IF(E16="","",VLOOKUP(E16,tipo_cuenta[#ALL],2,0))</f>
        <v>Ingresos</v>
      </c>
    </row>
    <row r="17">
      <c r="A17" s="21" t="str">
        <f>IFERROR(__xludf.DUMMYFUNCTION("""COMPUTED_VALUE"""),"16")</f>
        <v>16</v>
      </c>
      <c r="B17" s="21" t="str">
        <f>IFERROR(__xludf.DUMMYFUNCTION("""COMPUTED_VALUE"""),"501100")</f>
        <v>501100</v>
      </c>
      <c r="C17" s="21" t="str">
        <f>IFERROR(__xludf.DUMMYFUNCTION("""COMPUTED_VALUE"""),"Sueldos Empleados")</f>
        <v>Sueldos Empleados</v>
      </c>
      <c r="D17" s="21" t="str">
        <f>IFERROR(__xludf.DUMMYFUNCTION("""COMPUTED_VALUE"""),"Hacen al sueldo: Sueldo bruto, SAC, cargas sociales patronales, horas extras, sindicatos, seguros, vacaciones, etc")</f>
        <v>Hacen al sueldo: Sueldo bruto, SAC, cargas sociales patronales, horas extras, sindicatos, seguros, vacaciones, etc</v>
      </c>
      <c r="E17" s="21" t="str">
        <f>IFERROR(__xludf.DUMMYFUNCTION("""COMPUTED_VALUE"""),"5")</f>
        <v>5</v>
      </c>
      <c r="F17" s="21" t="str">
        <f>IF(E17="","",VLOOKUP(E17,tipo_cuenta[#ALL],2,0))</f>
        <v>Gastos</v>
      </c>
    </row>
    <row r="18">
      <c r="A18" s="21" t="str">
        <f>IFERROR(__xludf.DUMMYFUNCTION("""COMPUTED_VALUE"""),"17")</f>
        <v>17</v>
      </c>
      <c r="B18" s="21" t="str">
        <f>IFERROR(__xludf.DUMMYFUNCTION("""COMPUTED_VALUE"""),"501200")</f>
        <v>501200</v>
      </c>
      <c r="C18" s="21" t="str">
        <f>IFERROR(__xludf.DUMMYFUNCTION("""COMPUTED_VALUE"""),"Honorarios Programas Sociales")</f>
        <v>Honorarios Programas Sociales</v>
      </c>
      <c r="D18" s="21" t="str">
        <f>IFERROR(__xludf.DUMMYFUNCTION("""COMPUTED_VALUE"""),"Trabajadores sociales, medicos, nutricionistas, enfermeria, pedagogicos, tutores, coordinacion, limpieza y cocina, apoyo escolar, etc")</f>
        <v>Trabajadores sociales, medicos, nutricionistas, enfermeria, pedagogicos, tutores, coordinacion, limpieza y cocina, apoyo escolar, etc</v>
      </c>
      <c r="E18" s="21" t="str">
        <f>IFERROR(__xludf.DUMMYFUNCTION("""COMPUTED_VALUE"""),"5")</f>
        <v>5</v>
      </c>
      <c r="F18" s="21" t="str">
        <f>IF(E18="","",VLOOKUP(E18,tipo_cuenta[#ALL],2,0))</f>
        <v>Gastos</v>
      </c>
    </row>
    <row r="19">
      <c r="A19" s="21" t="str">
        <f>IFERROR(__xludf.DUMMYFUNCTION("""COMPUTED_VALUE"""),"18")</f>
        <v>18</v>
      </c>
      <c r="B19" s="21" t="str">
        <f>IFERROR(__xludf.DUMMYFUNCTION("""COMPUTED_VALUE"""),"501300")</f>
        <v>501300</v>
      </c>
      <c r="C19" s="21" t="str">
        <f>IFERROR(__xludf.DUMMYFUNCTION("""COMPUTED_VALUE"""),"Honorarios Generales")</f>
        <v>Honorarios Generales</v>
      </c>
      <c r="D19" s="21" t="str">
        <f>IFERROR(__xludf.DUMMYFUNCTION("""COMPUTED_VALUE"""),"Contables, Administrativos, Legales, Escribania, Auditoria, Liquidacion Sueldos, RRHH, desarrollo fondos, voluntarios, etc")</f>
        <v>Contables, Administrativos, Legales, Escribania, Auditoria, Liquidacion Sueldos, RRHH, desarrollo fondos, voluntarios, etc</v>
      </c>
      <c r="E19" s="21" t="str">
        <f>IFERROR(__xludf.DUMMYFUNCTION("""COMPUTED_VALUE"""),"5")</f>
        <v>5</v>
      </c>
      <c r="F19" s="21" t="str">
        <f>IF(E19="","",VLOOKUP(E19,tipo_cuenta[#ALL],2,0))</f>
        <v>Gastos</v>
      </c>
    </row>
    <row r="20">
      <c r="A20" s="21" t="str">
        <f>IFERROR(__xludf.DUMMYFUNCTION("""COMPUTED_VALUE"""),"19")</f>
        <v>19</v>
      </c>
      <c r="B20" s="21" t="str">
        <f>IFERROR(__xludf.DUMMYFUNCTION("""COMPUTED_VALUE"""),"501400")</f>
        <v>501400</v>
      </c>
      <c r="C20" s="21" t="str">
        <f>IFERROR(__xludf.DUMMYFUNCTION("""COMPUTED_VALUE"""),"Honorarios Asesoria General")</f>
        <v>Honorarios Asesoria General</v>
      </c>
      <c r="D20" s="21" t="str">
        <f>IFERROR(__xludf.DUMMYFUNCTION("""COMPUTED_VALUE"""),"Gestion, Comunicacion Institucional, Voluntariado, Desarrollo de Fondos")</f>
        <v>Gestion, Comunicacion Institucional, Voluntariado, Desarrollo de Fondos</v>
      </c>
      <c r="E20" s="21" t="str">
        <f>IFERROR(__xludf.DUMMYFUNCTION("""COMPUTED_VALUE"""),"5")</f>
        <v>5</v>
      </c>
      <c r="F20" s="21" t="str">
        <f>IF(E20="","",VLOOKUP(E20,tipo_cuenta[#ALL],2,0))</f>
        <v>Gastos</v>
      </c>
    </row>
    <row r="21">
      <c r="A21" s="21" t="str">
        <f>IFERROR(__xludf.DUMMYFUNCTION("""COMPUTED_VALUE"""),"20")</f>
        <v>20</v>
      </c>
      <c r="B21" s="21" t="str">
        <f>IFERROR(__xludf.DUMMYFUNCTION("""COMPUTED_VALUE"""),"502100")</f>
        <v>502100</v>
      </c>
      <c r="C21" s="21" t="str">
        <f>IFERROR(__xludf.DUMMYFUNCTION("""COMPUTED_VALUE"""),"Servicios Protagonistas")</f>
        <v>Servicios Protagonistas</v>
      </c>
      <c r="D21" s="21" t="str">
        <f>IFERROR(__xludf.DUMMYFUNCTION("""COMPUTED_VALUE"""),"Translados, lavado, cuidadores nocturnos, servicios sepelios, actividades recreativas, regalos, etc")</f>
        <v>Translados, lavado, cuidadores nocturnos, servicios sepelios, actividades recreativas, regalos, etc</v>
      </c>
      <c r="E21" s="21" t="str">
        <f>IFERROR(__xludf.DUMMYFUNCTION("""COMPUTED_VALUE"""),"5")</f>
        <v>5</v>
      </c>
      <c r="F21" s="21" t="str">
        <f>IF(E21="","",VLOOKUP(E21,tipo_cuenta[#ALL],2,0))</f>
        <v>Gastos</v>
      </c>
    </row>
    <row r="22">
      <c r="A22" s="21" t="str">
        <f>IFERROR(__xludf.DUMMYFUNCTION("""COMPUTED_VALUE"""),"21")</f>
        <v>21</v>
      </c>
      <c r="B22" s="21" t="str">
        <f>IFERROR(__xludf.DUMMYFUNCTION("""COMPUTED_VALUE"""),"503100")</f>
        <v>503100</v>
      </c>
      <c r="C22" s="21" t="str">
        <f>IFERROR(__xludf.DUMMYFUNCTION("""COMPUTED_VALUE"""),"Alimentacion")</f>
        <v>Alimentacion</v>
      </c>
      <c r="D22" s="21" t="str">
        <f>IFERROR(__xludf.DUMMYFUNCTION("""COMPUTED_VALUE"""),"Comida protagonistas, bolsones comida, leche, suplemento nutricional, etc")</f>
        <v>Comida protagonistas, bolsones comida, leche, suplemento nutricional, etc</v>
      </c>
      <c r="E22" s="21" t="str">
        <f>IFERROR(__xludf.DUMMYFUNCTION("""COMPUTED_VALUE"""),"5")</f>
        <v>5</v>
      </c>
      <c r="F22" s="21" t="str">
        <f>IF(E22="","",VLOOKUP(E22,tipo_cuenta[#ALL],2,0))</f>
        <v>Gastos</v>
      </c>
    </row>
    <row r="23">
      <c r="A23" s="21" t="str">
        <f>IFERROR(__xludf.DUMMYFUNCTION("""COMPUTED_VALUE"""),"22")</f>
        <v>22</v>
      </c>
      <c r="B23" s="21" t="str">
        <f>IFERROR(__xludf.DUMMYFUNCTION("""COMPUTED_VALUE"""),"504100")</f>
        <v>504100</v>
      </c>
      <c r="C23" s="21" t="str">
        <f>IFERROR(__xludf.DUMMYFUNCTION("""COMPUTED_VALUE"""),"Sanitarios")</f>
        <v>Sanitarios</v>
      </c>
      <c r="D23" s="21" t="str">
        <f>IFERROR(__xludf.DUMMYFUNCTION("""COMPUTED_VALUE"""),"Insumos medicos/enfermeria/odontologicos, medicamentos, analisis, consultas, emergencias, etc")</f>
        <v>Insumos medicos/enfermeria/odontologicos, medicamentos, analisis, consultas, emergencias, etc</v>
      </c>
      <c r="E23" s="21" t="str">
        <f>IFERROR(__xludf.DUMMYFUNCTION("""COMPUTED_VALUE"""),"5")</f>
        <v>5</v>
      </c>
      <c r="F23" s="21" t="str">
        <f>IF(E23="","",VLOOKUP(E23,tipo_cuenta[#ALL],2,0))</f>
        <v>Gastos</v>
      </c>
    </row>
    <row r="24">
      <c r="A24" s="21" t="str">
        <f>IFERROR(__xludf.DUMMYFUNCTION("""COMPUTED_VALUE"""),"23")</f>
        <v>23</v>
      </c>
      <c r="B24" s="21" t="str">
        <f>IFERROR(__xludf.DUMMYFUNCTION("""COMPUTED_VALUE"""),"505100")</f>
        <v>505100</v>
      </c>
      <c r="C24" s="21" t="str">
        <f>IFERROR(__xludf.DUMMYFUNCTION("""COMPUTED_VALUE"""),"Ayudas Economicas")</f>
        <v>Ayudas Economicas</v>
      </c>
      <c r="D24" s="21" t="str">
        <f>IFERROR(__xludf.DUMMYFUNCTION("""COMPUTED_VALUE"""),"Becas Protagonistas, subsidios, descuentos, incobrables, becas aranceles educativos, etc")</f>
        <v>Becas Protagonistas, subsidios, descuentos, incobrables, becas aranceles educativos, etc</v>
      </c>
      <c r="E24" s="21" t="str">
        <f>IFERROR(__xludf.DUMMYFUNCTION("""COMPUTED_VALUE"""),"5")</f>
        <v>5</v>
      </c>
      <c r="F24" s="21" t="str">
        <f>IF(E24="","",VLOOKUP(E24,tipo_cuenta[#ALL],2,0))</f>
        <v>Gastos</v>
      </c>
    </row>
    <row r="25">
      <c r="A25" s="21" t="str">
        <f>IFERROR(__xludf.DUMMYFUNCTION("""COMPUTED_VALUE"""),"24")</f>
        <v>24</v>
      </c>
      <c r="B25" s="21" t="str">
        <f>IFERROR(__xludf.DUMMYFUNCTION("""COMPUTED_VALUE"""),"506100")</f>
        <v>506100</v>
      </c>
      <c r="C25" s="21" t="str">
        <f>IFERROR(__xludf.DUMMYFUNCTION("""COMPUTED_VALUE"""),"Insumos Pedagogicos")</f>
        <v>Insumos Pedagogicos</v>
      </c>
      <c r="D25" s="21" t="str">
        <f>IFERROR(__xludf.DUMMYFUNCTION("""COMPUTED_VALUE"""),"Material didactico, laboratorio, deportivo, artistico, libros, revistas y subscripciones")</f>
        <v>Material didactico, laboratorio, deportivo, artistico, libros, revistas y subscripciones</v>
      </c>
      <c r="E25" s="21" t="str">
        <f>IFERROR(__xludf.DUMMYFUNCTION("""COMPUTED_VALUE"""),"5")</f>
        <v>5</v>
      </c>
      <c r="F25" s="21" t="str">
        <f>IF(E25="","",VLOOKUP(E25,tipo_cuenta[#ALL],2,0))</f>
        <v>Gastos</v>
      </c>
    </row>
    <row r="26">
      <c r="A26" s="21" t="str">
        <f>IFERROR(__xludf.DUMMYFUNCTION("""COMPUTED_VALUE"""),"25")</f>
        <v>25</v>
      </c>
      <c r="B26" s="21" t="str">
        <f>IFERROR(__xludf.DUMMYFUNCTION("""COMPUTED_VALUE"""),"507100")</f>
        <v>507100</v>
      </c>
      <c r="C26" s="21" t="str">
        <f>IFERROR(__xludf.DUMMYFUNCTION("""COMPUTED_VALUE"""),"Insumos Varios Programas Sociales")</f>
        <v>Insumos Varios Programas Sociales</v>
      </c>
      <c r="D26" s="21" t="str">
        <f>IFERROR(__xludf.DUMMYFUNCTION("""COMPUTED_VALUE"""),"Accesorios, utiles, higiene personal, materia prima, etc")</f>
        <v>Accesorios, utiles, higiene personal, materia prima, etc</v>
      </c>
      <c r="E26" s="21" t="str">
        <f>IFERROR(__xludf.DUMMYFUNCTION("""COMPUTED_VALUE"""),"5")</f>
        <v>5</v>
      </c>
      <c r="F26" s="21" t="str">
        <f>IF(E26="","",VLOOKUP(E26,tipo_cuenta[#ALL],2,0))</f>
        <v>Gastos</v>
      </c>
    </row>
    <row r="27">
      <c r="A27" s="21" t="str">
        <f>IFERROR(__xludf.DUMMYFUNCTION("""COMPUTED_VALUE"""),"26")</f>
        <v>26</v>
      </c>
      <c r="B27" s="21" t="str">
        <f>IFERROR(__xludf.DUMMYFUNCTION("""COMPUTED_VALUE"""),"508100")</f>
        <v>508100</v>
      </c>
      <c r="C27" s="21" t="str">
        <f>IFERROR(__xludf.DUMMYFUNCTION("""COMPUTED_VALUE"""),"Formacion")</f>
        <v>Formacion</v>
      </c>
      <c r="D27" s="21" t="str">
        <f>IFERROR(__xludf.DUMMYFUNCTION("""COMPUTED_VALUE"""),"Entrenamiento, capacitacion, alquileres proyectores, pantallas, salas, etc")</f>
        <v>Entrenamiento, capacitacion, alquileres proyectores, pantallas, salas, etc</v>
      </c>
      <c r="E27" s="21" t="str">
        <f>IFERROR(__xludf.DUMMYFUNCTION("""COMPUTED_VALUE"""),"5")</f>
        <v>5</v>
      </c>
      <c r="F27" s="21" t="str">
        <f>IF(E27="","",VLOOKUP(E27,tipo_cuenta[#ALL],2,0))</f>
        <v>Gastos</v>
      </c>
    </row>
    <row r="28">
      <c r="A28" s="21" t="str">
        <f>IFERROR(__xludf.DUMMYFUNCTION("""COMPUTED_VALUE"""),"27")</f>
        <v>27</v>
      </c>
      <c r="B28" s="21" t="str">
        <f>IFERROR(__xludf.DUMMYFUNCTION("""COMPUTED_VALUE"""),"509100")</f>
        <v>509100</v>
      </c>
      <c r="C28" s="21" t="str">
        <f>IFERROR(__xludf.DUMMYFUNCTION("""COMPUTED_VALUE"""),"Servicios Soporte")</f>
        <v>Servicios Soporte</v>
      </c>
      <c r="D28" s="21" t="str">
        <f>IFERROR(__xludf.DUMMYFUNCTION("""COMPUTED_VALUE"""),"Reparaciones, mantenimiento, insumos y servivios de limpieza, matafuegos, jardineria, seguridad, alarmas, vigilancia, etc")</f>
        <v>Reparaciones, mantenimiento, insumos y servivios de limpieza, matafuegos, jardineria, seguridad, alarmas, vigilancia, etc</v>
      </c>
      <c r="E28" s="21" t="str">
        <f>IFERROR(__xludf.DUMMYFUNCTION("""COMPUTED_VALUE"""),"5")</f>
        <v>5</v>
      </c>
      <c r="F28" s="21" t="str">
        <f>IF(E28="","",VLOOKUP(E28,tipo_cuenta[#ALL],2,0))</f>
        <v>Gastos</v>
      </c>
    </row>
    <row r="29">
      <c r="A29" s="21" t="str">
        <f>IFERROR(__xludf.DUMMYFUNCTION("""COMPUTED_VALUE"""),"28")</f>
        <v>28</v>
      </c>
      <c r="B29" s="21" t="str">
        <f>IFERROR(__xludf.DUMMYFUNCTION("""COMPUTED_VALUE"""),"510100")</f>
        <v>510100</v>
      </c>
      <c r="C29" s="21" t="str">
        <f>IFERROR(__xludf.DUMMYFUNCTION("""COMPUTED_VALUE"""),"Viatico General")</f>
        <v>Viatico General</v>
      </c>
      <c r="D29" s="21" t="str">
        <f>IFERROR(__xludf.DUMMYFUNCTION("""COMPUTED_VALUE"""),"Refrigerio, transporte publico, taxi, remisse, combi, fletes, etc")</f>
        <v>Refrigerio, transporte publico, taxi, remisse, combi, fletes, etc</v>
      </c>
      <c r="E29" s="21" t="str">
        <f>IFERROR(__xludf.DUMMYFUNCTION("""COMPUTED_VALUE"""),"5")</f>
        <v>5</v>
      </c>
      <c r="F29" s="21" t="str">
        <f>IF(E29="","",VLOOKUP(E29,tipo_cuenta[#ALL],2,0))</f>
        <v>Gastos</v>
      </c>
    </row>
    <row r="30">
      <c r="A30" s="21" t="str">
        <f>IFERROR(__xludf.DUMMYFUNCTION("""COMPUTED_VALUE"""),"29")</f>
        <v>29</v>
      </c>
      <c r="B30" s="21" t="str">
        <f>IFERROR(__xludf.DUMMYFUNCTION("""COMPUTED_VALUE"""),"510200")</f>
        <v>510200</v>
      </c>
      <c r="C30" s="21" t="str">
        <f>IFERROR(__xludf.DUMMYFUNCTION("""COMPUTED_VALUE"""),"Viajes Locales")</f>
        <v>Viajes Locales</v>
      </c>
      <c r="D30" s="21" t="str">
        <f>IFERROR(__xludf.DUMMYFUNCTION("""COMPUTED_VALUE"""),"Pasajes, hoteles, gasto representacion, etc en viajes DENTRO del Pais")</f>
        <v>Pasajes, hoteles, gasto representacion, etc en viajes DENTRO del Pais</v>
      </c>
      <c r="E30" s="21" t="str">
        <f>IFERROR(__xludf.DUMMYFUNCTION("""COMPUTED_VALUE"""),"5")</f>
        <v>5</v>
      </c>
      <c r="F30" s="21" t="str">
        <f>IF(E30="","",VLOOKUP(E30,tipo_cuenta[#ALL],2,0))</f>
        <v>Gastos</v>
      </c>
    </row>
    <row r="31">
      <c r="A31" s="21" t="str">
        <f>IFERROR(__xludf.DUMMYFUNCTION("""COMPUTED_VALUE"""),"30")</f>
        <v>30</v>
      </c>
      <c r="B31" s="21" t="str">
        <f>IFERROR(__xludf.DUMMYFUNCTION("""COMPUTED_VALUE"""),"510300")</f>
        <v>510300</v>
      </c>
      <c r="C31" s="21" t="str">
        <f>IFERROR(__xludf.DUMMYFUNCTION("""COMPUTED_VALUE"""),"Viajes Internacionales")</f>
        <v>Viajes Internacionales</v>
      </c>
      <c r="D31" s="21" t="str">
        <f>IFERROR(__xludf.DUMMYFUNCTION("""COMPUTED_VALUE"""),"Pasajes, hoteles, gasto representacion, etc en viajes FUERA del Pais")</f>
        <v>Pasajes, hoteles, gasto representacion, etc en viajes FUERA del Pais</v>
      </c>
      <c r="E31" s="21" t="str">
        <f>IFERROR(__xludf.DUMMYFUNCTION("""COMPUTED_VALUE"""),"5")</f>
        <v>5</v>
      </c>
      <c r="F31" s="21" t="str">
        <f>IF(E31="","",VLOOKUP(E31,tipo_cuenta[#ALL],2,0))</f>
        <v>Gastos</v>
      </c>
    </row>
    <row r="32">
      <c r="A32" s="21" t="str">
        <f>IFERROR(__xludf.DUMMYFUNCTION("""COMPUTED_VALUE"""),"31")</f>
        <v>31</v>
      </c>
      <c r="B32" s="21" t="str">
        <f>IFERROR(__xludf.DUMMYFUNCTION("""COMPUTED_VALUE"""),"510500")</f>
        <v>510500</v>
      </c>
      <c r="C32" s="21" t="str">
        <f>IFERROR(__xludf.DUMMYFUNCTION("""COMPUTED_VALUE"""),"Gastos Rodados")</f>
        <v>Gastos Rodados</v>
      </c>
      <c r="D32" s="21" t="str">
        <f>IFERROR(__xludf.DUMMYFUNCTION("""COMPUTED_VALUE"""),"Patente, seguro, lavado, mantenimiento, reparaciones, etc")</f>
        <v>Patente, seguro, lavado, mantenimiento, reparaciones, etc</v>
      </c>
      <c r="E32" s="21" t="str">
        <f>IFERROR(__xludf.DUMMYFUNCTION("""COMPUTED_VALUE"""),"5")</f>
        <v>5</v>
      </c>
      <c r="F32" s="21" t="str">
        <f>IF(E32="","",VLOOKUP(E32,tipo_cuenta[#ALL],2,0))</f>
        <v>Gastos</v>
      </c>
    </row>
    <row r="33">
      <c r="A33" s="21" t="str">
        <f>IFERROR(__xludf.DUMMYFUNCTION("""COMPUTED_VALUE"""),"32")</f>
        <v>32</v>
      </c>
      <c r="B33" s="21" t="str">
        <f>IFERROR(__xludf.DUMMYFUNCTION("""COMPUTED_VALUE"""),"511000")</f>
        <v>511000</v>
      </c>
      <c r="C33" s="21" t="str">
        <f>IFERROR(__xludf.DUMMYFUNCTION("""COMPUTED_VALUE"""),"Sede")</f>
        <v>Sede</v>
      </c>
      <c r="D33" s="21" t="str">
        <f>IFERROR(__xludf.DUMMYFUNCTION("""COMPUTED_VALUE"""),"Gastos relacionados a la Sede… p.ej. Alquiler, expensas, refrigerio, telefonia, internet, tv, etc")</f>
        <v>Gastos relacionados a la Sede… p.ej. Alquiler, expensas, refrigerio, telefonia, internet, tv, etc</v>
      </c>
      <c r="E33" s="21" t="str">
        <f>IFERROR(__xludf.DUMMYFUNCTION("""COMPUTED_VALUE"""),"5")</f>
        <v>5</v>
      </c>
      <c r="F33" s="21" t="str">
        <f>IF(E33="","",VLOOKUP(E33,tipo_cuenta[#ALL],2,0))</f>
        <v>Gastos</v>
      </c>
    </row>
    <row r="34">
      <c r="A34" s="21" t="str">
        <f>IFERROR(__xludf.DUMMYFUNCTION("""COMPUTED_VALUE"""),"33")</f>
        <v>33</v>
      </c>
      <c r="B34" s="21" t="str">
        <f>IFERROR(__xludf.DUMMYFUNCTION("""COMPUTED_VALUE"""),"511200")</f>
        <v>511200</v>
      </c>
      <c r="C34" s="21" t="str">
        <f>IFERROR(__xludf.DUMMYFUNCTION("""COMPUTED_VALUE"""),"Servicios Basicos")</f>
        <v>Servicios Basicos</v>
      </c>
      <c r="D34" s="21" t="str">
        <f>IFERROR(__xludf.DUMMYFUNCTION("""COMPUTED_VALUE"""),"Luz, Gas, Agua, Tasas y Contribuciones Municipales, etc")</f>
        <v>Luz, Gas, Agua, Tasas y Contribuciones Municipales, etc</v>
      </c>
      <c r="E34" s="21" t="str">
        <f>IFERROR(__xludf.DUMMYFUNCTION("""COMPUTED_VALUE"""),"5")</f>
        <v>5</v>
      </c>
      <c r="F34" s="21" t="str">
        <f>IF(E34="","",VLOOKUP(E34,tipo_cuenta[#ALL],2,0))</f>
        <v>Gastos</v>
      </c>
    </row>
    <row r="35">
      <c r="A35" s="21" t="str">
        <f>IFERROR(__xludf.DUMMYFUNCTION("""COMPUTED_VALUE"""),"34")</f>
        <v>34</v>
      </c>
      <c r="B35" s="21" t="str">
        <f>IFERROR(__xludf.DUMMYFUNCTION("""COMPUTED_VALUE"""),"512100")</f>
        <v>512100</v>
      </c>
      <c r="C35" s="21" t="str">
        <f>IFERROR(__xludf.DUMMYFUNCTION("""COMPUTED_VALUE"""),"Sistemas informaticos")</f>
        <v>Sistemas informaticos</v>
      </c>
      <c r="D35" s="21" t="str">
        <f>IFERROR(__xludf.DUMMYFUNCTION("""COMPUTED_VALUE"""),"Sueldos, Contable, Microfinanzas, mantenimiento, desarrollo,asesoria, etc")</f>
        <v>Sueldos, Contable, Microfinanzas, mantenimiento, desarrollo,asesoria, etc</v>
      </c>
      <c r="E35" s="21" t="str">
        <f>IFERROR(__xludf.DUMMYFUNCTION("""COMPUTED_VALUE"""),"5")</f>
        <v>5</v>
      </c>
      <c r="F35" s="21" t="str">
        <f>IF(E35="","",VLOOKUP(E35,tipo_cuenta[#ALL],2,0))</f>
        <v>Gastos</v>
      </c>
    </row>
    <row r="36">
      <c r="A36" s="21" t="str">
        <f>IFERROR(__xludf.DUMMYFUNCTION("""COMPUTED_VALUE"""),"35")</f>
        <v>35</v>
      </c>
      <c r="B36" s="21" t="str">
        <f>IFERROR(__xludf.DUMMYFUNCTION("""COMPUTED_VALUE"""),"513000")</f>
        <v>513000</v>
      </c>
      <c r="C36" s="21" t="str">
        <f>IFERROR(__xludf.DUMMYFUNCTION("""COMPUTED_VALUE"""),"Basicos Generales")</f>
        <v>Basicos Generales</v>
      </c>
      <c r="D36" s="21" t="str">
        <f>IFERROR(__xludf.DUMMYFUNCTION("""COMPUTED_VALUE"""),"Bancarios, Cobranza Fondos, Impuestos, Basicos Oficina, Libreria, Envios masivos, Seguros,Tramites ONG, etc")</f>
        <v>Bancarios, Cobranza Fondos, Impuestos, Basicos Oficina, Libreria, Envios masivos, Seguros,Tramites ONG, etc</v>
      </c>
      <c r="E36" s="21" t="str">
        <f>IFERROR(__xludf.DUMMYFUNCTION("""COMPUTED_VALUE"""),"5")</f>
        <v>5</v>
      </c>
      <c r="F36" s="21" t="str">
        <f>IF(E36="","",VLOOKUP(E36,tipo_cuenta[#ALL],2,0))</f>
        <v>Gastos</v>
      </c>
    </row>
    <row r="37">
      <c r="A37" s="21" t="str">
        <f>IFERROR(__xludf.DUMMYFUNCTION("""COMPUTED_VALUE"""),"36")</f>
        <v>36</v>
      </c>
      <c r="B37" s="21" t="str">
        <f>IFERROR(__xludf.DUMMYFUNCTION("""COMPUTED_VALUE"""),"514100")</f>
        <v>514100</v>
      </c>
      <c r="C37" s="21" t="str">
        <f>IFERROR(__xludf.DUMMYFUNCTION("""COMPUTED_VALUE"""),"Institucionales varios")</f>
        <v>Institucionales varios</v>
      </c>
      <c r="D37" s="21" t="str">
        <f>IFERROR(__xludf.DUMMYFUNCTION("""COMPUTED_VALUE"""),"Desarrollo y material, reconocimiento, publicidad, promocion, telemarketing, internet, hosting, membrecias, herramientas digitales, etc")</f>
        <v>Desarrollo y material, reconocimiento, publicidad, promocion, telemarketing, internet, hosting, membrecias, herramientas digitales, etc</v>
      </c>
      <c r="E37" s="21" t="str">
        <f>IFERROR(__xludf.DUMMYFUNCTION("""COMPUTED_VALUE"""),"5")</f>
        <v>5</v>
      </c>
      <c r="F37" s="21" t="str">
        <f>IF(E37="","",VLOOKUP(E37,tipo_cuenta[#ALL],2,0))</f>
        <v>Gastos</v>
      </c>
    </row>
    <row r="38">
      <c r="A38" s="21" t="str">
        <f>IFERROR(__xludf.DUMMYFUNCTION("""COMPUTED_VALUE"""),"37")</f>
        <v>37</v>
      </c>
      <c r="B38" s="21" t="str">
        <f>IFERROR(__xludf.DUMMYFUNCTION("""COMPUTED_VALUE"""),"515100")</f>
        <v>515100</v>
      </c>
      <c r="C38" s="21" t="str">
        <f>IFERROR(__xludf.DUMMYFUNCTION("""COMPUTED_VALUE"""),"Eventos Institucionales")</f>
        <v>Eventos Institucionales</v>
      </c>
      <c r="D38" s="21" t="str">
        <f>IFERROR(__xludf.DUMMYFUNCTION("""COMPUTED_VALUE"""),"Alquileres, catering, planners, musicalizacion, salas, proyecciones, espectaculos, presentadores, SADAIC,seguros, premios, etc")</f>
        <v>Alquileres, catering, planners, musicalizacion, salas, proyecciones, espectaculos, presentadores, SADAIC,seguros, premios, etc</v>
      </c>
      <c r="E38" s="21" t="str">
        <f>IFERROR(__xludf.DUMMYFUNCTION("""COMPUTED_VALUE"""),"5")</f>
        <v>5</v>
      </c>
      <c r="F38" s="21" t="str">
        <f>IF(E38="","",VLOOKUP(E38,tipo_cuenta[#ALL],2,0))</f>
        <v>Gastos</v>
      </c>
    </row>
    <row r="39">
      <c r="A39" s="21" t="str">
        <f>IFERROR(__xludf.DUMMYFUNCTION("""COMPUTED_VALUE"""),"38")</f>
        <v>38</v>
      </c>
      <c r="B39" s="21" t="str">
        <f>IFERROR(__xludf.DUMMYFUNCTION("""COMPUTED_VALUE"""),"516000")</f>
        <v>516000</v>
      </c>
      <c r="C39" s="21" t="str">
        <f>IFERROR(__xludf.DUMMYFUNCTION("""COMPUTED_VALUE"""),"Gastos varios")</f>
        <v>Gastos varios</v>
      </c>
      <c r="D39" s="21" t="str">
        <f>IFERROR(__xludf.DUMMYFUNCTION("""COMPUTED_VALUE"""),"Celulares, capacitacion equipo interno, uniformes, delantales, decoracion sede, busqueda y despido personal, multas, otros gastos, etc")</f>
        <v>Celulares, capacitacion equipo interno, uniformes, delantales, decoracion sede, busqueda y despido personal, multas, otros gastos, etc</v>
      </c>
      <c r="E39" s="21" t="str">
        <f>IFERROR(__xludf.DUMMYFUNCTION("""COMPUTED_VALUE"""),"5")</f>
        <v>5</v>
      </c>
      <c r="F39" s="21" t="str">
        <f>IF(E39="","",VLOOKUP(E39,tipo_cuenta[#ALL],2,0))</f>
        <v>Gastos</v>
      </c>
    </row>
    <row r="40">
      <c r="A40" s="21" t="str">
        <f>IFERROR(__xludf.DUMMYFUNCTION("""COMPUTED_VALUE"""),"39")</f>
        <v>39</v>
      </c>
      <c r="B40" s="21" t="str">
        <f>IFERROR(__xludf.DUMMYFUNCTION("""COMPUTED_VALUE"""),"601001")</f>
        <v>601001</v>
      </c>
      <c r="C40" s="21" t="str">
        <f>IFERROR(__xludf.DUMMYFUNCTION("""COMPUTED_VALUE"""),"Intereses ganados en pesos")</f>
        <v>Intereses ganados en pesos</v>
      </c>
      <c r="D40" s="21" t="str">
        <f>IFERROR(__xludf.DUMMYFUNCTION("""COMPUTED_VALUE"""),"Intereses Ganados - Moneda Local")</f>
        <v>Intereses Ganados - Moneda Local</v>
      </c>
      <c r="E40" s="21" t="str">
        <f>IFERROR(__xludf.DUMMYFUNCTION("""COMPUTED_VALUE"""),"6")</f>
        <v>6</v>
      </c>
      <c r="F40" s="21" t="str">
        <f>IF(E40="","",VLOOKUP(E40,tipo_cuenta[#ALL],2,0))</f>
        <v>Resultados financieros netos</v>
      </c>
    </row>
    <row r="41">
      <c r="A41" s="21" t="str">
        <f>IFERROR(__xludf.DUMMYFUNCTION("""COMPUTED_VALUE"""),"40")</f>
        <v>40</v>
      </c>
      <c r="B41" s="21" t="str">
        <f>IFERROR(__xludf.DUMMYFUNCTION("""COMPUTED_VALUE"""),"601002")</f>
        <v>601002</v>
      </c>
      <c r="C41" s="21" t="str">
        <f>IFERROR(__xludf.DUMMYFUNCTION("""COMPUTED_VALUE"""),"Intereses pagados")</f>
        <v>Intereses pagados</v>
      </c>
      <c r="D41" s="21" t="str">
        <f>IFERROR(__xludf.DUMMYFUNCTION("""COMPUTED_VALUE"""),"N/A")</f>
        <v>N/A</v>
      </c>
      <c r="E41" s="21" t="str">
        <f>IFERROR(__xludf.DUMMYFUNCTION("""COMPUTED_VALUE"""),"6")</f>
        <v>6</v>
      </c>
      <c r="F41" s="21" t="str">
        <f>IF(E41="","",VLOOKUP(E41,tipo_cuenta[#ALL],2,0))</f>
        <v>Resultados financieros netos</v>
      </c>
    </row>
    <row r="42">
      <c r="A42" s="21" t="str">
        <f>IFERROR(__xludf.DUMMYFUNCTION("""COMPUTED_VALUE"""),"41")</f>
        <v>41</v>
      </c>
      <c r="B42" s="21" t="str">
        <f>IFERROR(__xludf.DUMMYFUNCTION("""COMPUTED_VALUE"""),"601003")</f>
        <v>601003</v>
      </c>
      <c r="C42" s="21" t="str">
        <f>IFERROR(__xludf.DUMMYFUNCTION("""COMPUTED_VALUE"""),"Intereses ganados en u$s")</f>
        <v>Intereses ganados en u$s</v>
      </c>
      <c r="D42" s="21" t="str">
        <f>IFERROR(__xludf.DUMMYFUNCTION("""COMPUTED_VALUE"""),"Intereses Ganados - Moneda extranjera")</f>
        <v>Intereses Ganados - Moneda extranjera</v>
      </c>
      <c r="E42" s="21" t="str">
        <f>IFERROR(__xludf.DUMMYFUNCTION("""COMPUTED_VALUE"""),"6")</f>
        <v>6</v>
      </c>
      <c r="F42" s="21" t="str">
        <f>IF(E42="","",VLOOKUP(E42,tipo_cuenta[#ALL],2,0))</f>
        <v>Resultados financieros netos</v>
      </c>
    </row>
    <row r="43">
      <c r="A43" s="21" t="str">
        <f>IFERROR(__xludf.DUMMYFUNCTION("""COMPUTED_VALUE"""),"42")</f>
        <v>42</v>
      </c>
      <c r="B43" s="21" t="str">
        <f>IFERROR(__xludf.DUMMYFUNCTION("""COMPUTED_VALUE"""),"601005")</f>
        <v>601005</v>
      </c>
      <c r="C43" s="21" t="str">
        <f>IFERROR(__xludf.DUMMYFUNCTION("""COMPUTED_VALUE"""),"Diferencia de Cambio")</f>
        <v>Diferencia de Cambio</v>
      </c>
      <c r="D43" s="21" t="str">
        <f>IFERROR(__xludf.DUMMYFUNCTION("""COMPUTED_VALUE"""),"N/A")</f>
        <v>N/A</v>
      </c>
      <c r="E43" s="21" t="str">
        <f>IFERROR(__xludf.DUMMYFUNCTION("""COMPUTED_VALUE"""),"6")</f>
        <v>6</v>
      </c>
      <c r="F43" s="21" t="str">
        <f>IF(E43="","",VLOOKUP(E43,tipo_cuenta[#ALL],2,0))</f>
        <v>Resultados financieros netos</v>
      </c>
    </row>
    <row r="44">
      <c r="A44" s="21" t="str">
        <f>IFERROR(__xludf.DUMMYFUNCTION("""COMPUTED_VALUE"""),"43")</f>
        <v>43</v>
      </c>
      <c r="B44" s="21" t="str">
        <f>IFERROR(__xludf.DUMMYFUNCTION("""COMPUTED_VALUE"""),"601007")</f>
        <v>601007</v>
      </c>
      <c r="C44" s="21" t="str">
        <f>IFERROR(__xludf.DUMMYFUNCTION("""COMPUTED_VALUE"""),"Resultado por Tenencia")</f>
        <v>Resultado por Tenencia</v>
      </c>
      <c r="D44" s="21" t="str">
        <f>IFERROR(__xludf.DUMMYFUNCTION("""COMPUTED_VALUE"""),"Tenencia de bienes o valores cuotasparte en fondos inversion")</f>
        <v>Tenencia de bienes o valores cuotasparte en fondos inversion</v>
      </c>
      <c r="E44" s="21" t="str">
        <f>IFERROR(__xludf.DUMMYFUNCTION("""COMPUTED_VALUE"""),"6")</f>
        <v>6</v>
      </c>
      <c r="F44" s="21" t="str">
        <f>IF(E44="","",VLOOKUP(E44,tipo_cuenta[#ALL],2,0))</f>
        <v>Resultados financieros netos</v>
      </c>
    </row>
    <row r="45">
      <c r="A45" s="21" t="str">
        <f>IFERROR(__xludf.DUMMYFUNCTION("""COMPUTED_VALUE"""),"44")</f>
        <v>44</v>
      </c>
      <c r="B45" s="21" t="str">
        <f>IFERROR(__xludf.DUMMYFUNCTION("""COMPUTED_VALUE"""),"601008")</f>
        <v>601008</v>
      </c>
      <c r="C45" s="21" t="str">
        <f>IFERROR(__xludf.DUMMYFUNCTION("""COMPUTED_VALUE"""),"Resultado por Compraventa de Bonos")</f>
        <v>Resultado por Compraventa de Bonos</v>
      </c>
      <c r="D45" s="21" t="str">
        <f>IFERROR(__xludf.DUMMYFUNCTION("""COMPUTED_VALUE"""),"Compraventa Acciones, Bonos y otros Titulos Valores")</f>
        <v>Compraventa Acciones, Bonos y otros Titulos Valores</v>
      </c>
      <c r="E45" s="21" t="str">
        <f>IFERROR(__xludf.DUMMYFUNCTION("""COMPUTED_VALUE"""),"6")</f>
        <v>6</v>
      </c>
      <c r="F45" s="21" t="str">
        <f>IF(E45="","",VLOOKUP(E45,tipo_cuenta[#ALL],2,0))</f>
        <v>Resultados financieros netos</v>
      </c>
    </row>
    <row r="46">
      <c r="A46" s="21"/>
      <c r="B46" s="21"/>
      <c r="C46" s="21"/>
      <c r="D46" s="21"/>
      <c r="E46" s="21"/>
      <c r="F46" s="21" t="str">
        <f>IF(E46="","",VLOOKUP(E46,tipo_cuenta[#ALL],2,0))</f>
        <v/>
      </c>
    </row>
    <row r="47">
      <c r="A47" s="21"/>
      <c r="B47" s="21"/>
      <c r="C47" s="21"/>
      <c r="D47" s="21"/>
      <c r="E47" s="21"/>
      <c r="F47" s="21" t="str">
        <f>IF(E47="","",VLOOKUP(E47,tipo_cuenta[#ALL],2,0))</f>
        <v/>
      </c>
    </row>
    <row r="48">
      <c r="A48" s="21"/>
      <c r="B48" s="21"/>
      <c r="C48" s="21"/>
      <c r="D48" s="21"/>
      <c r="E48" s="21"/>
      <c r="F48" s="21" t="str">
        <f>IF(E48="","",VLOOKUP(E48,tipo_cuenta[#ALL],2,0))</f>
        <v/>
      </c>
    </row>
    <row r="49">
      <c r="A49" s="21"/>
      <c r="B49" s="21"/>
      <c r="C49" s="21"/>
      <c r="D49" s="21"/>
      <c r="E49" s="21"/>
      <c r="F49" s="21" t="str">
        <f>IF(E49="","",VLOOKUP(E49,tipo_cuenta[#ALL],2,0))</f>
        <v/>
      </c>
    </row>
    <row r="50">
      <c r="A50" s="21"/>
      <c r="B50" s="21"/>
      <c r="C50" s="21"/>
      <c r="D50" s="21"/>
      <c r="E50" s="21"/>
      <c r="F50" s="21" t="str">
        <f>IF(E50="","",VLOOKUP(E50,tipo_cuenta[#ALL],2,0))</f>
        <v/>
      </c>
    </row>
    <row r="51">
      <c r="A51" s="21"/>
      <c r="B51" s="21"/>
      <c r="C51" s="21"/>
      <c r="D51" s="21"/>
      <c r="E51" s="21"/>
      <c r="F51" s="21" t="str">
        <f>IF(E51="","",VLOOKUP(E51,tipo_cuenta[#ALL],2,0))</f>
        <v/>
      </c>
    </row>
    <row r="52">
      <c r="A52" s="21"/>
      <c r="B52" s="21"/>
      <c r="C52" s="21"/>
      <c r="D52" s="21"/>
      <c r="E52" s="21"/>
      <c r="F52" s="21" t="str">
        <f>IF(E52="","",VLOOKUP(E52,tipo_cuenta[#ALL],2,0))</f>
        <v/>
      </c>
    </row>
    <row r="53">
      <c r="A53" s="21"/>
      <c r="B53" s="21"/>
      <c r="C53" s="21"/>
      <c r="D53" s="21"/>
      <c r="E53" s="21"/>
      <c r="F53" s="21" t="str">
        <f>IF(E53="","",VLOOKUP(E53,tipo_cuenta[#ALL],2,0))</f>
        <v/>
      </c>
    </row>
    <row r="54">
      <c r="A54" s="21"/>
      <c r="B54" s="21"/>
      <c r="C54" s="21"/>
      <c r="D54" s="21"/>
      <c r="E54" s="21"/>
      <c r="F54" s="21" t="str">
        <f>IF(E54="","",VLOOKUP(E54,tipo_cuenta[#ALL],2,0))</f>
        <v/>
      </c>
    </row>
    <row r="55">
      <c r="A55" s="21"/>
      <c r="B55" s="21"/>
      <c r="C55" s="21"/>
      <c r="D55" s="21"/>
      <c r="E55" s="21"/>
      <c r="F55" s="21" t="str">
        <f>IF(E55="","",VLOOKUP(E55,tipo_cuenta[#ALL],2,0))</f>
        <v/>
      </c>
    </row>
    <row r="56">
      <c r="A56" s="21"/>
      <c r="B56" s="21"/>
      <c r="C56" s="21"/>
      <c r="D56" s="21"/>
      <c r="E56" s="21"/>
      <c r="F56" s="21" t="str">
        <f>IF(E56="","",VLOOKUP(E56,tipo_cuenta[#ALL],2,0))</f>
        <v/>
      </c>
    </row>
    <row r="57">
      <c r="A57" s="21"/>
      <c r="B57" s="21"/>
      <c r="C57" s="21"/>
      <c r="D57" s="21"/>
      <c r="E57" s="21"/>
      <c r="F57" s="21" t="str">
        <f>IF(E57="","",VLOOKUP(E57,tipo_cuenta[#ALL],2,0))</f>
        <v/>
      </c>
    </row>
    <row r="58">
      <c r="A58" s="21"/>
      <c r="B58" s="21"/>
      <c r="C58" s="21"/>
      <c r="D58" s="21"/>
      <c r="E58" s="21"/>
      <c r="F58" s="21" t="str">
        <f>IF(E58="","",VLOOKUP(E58,tipo_cuenta[#ALL],2,0))</f>
        <v/>
      </c>
    </row>
    <row r="59">
      <c r="A59" s="21"/>
      <c r="B59" s="21"/>
      <c r="C59" s="21"/>
      <c r="D59" s="21"/>
      <c r="E59" s="21"/>
      <c r="F59" s="21" t="str">
        <f>IF(E59="","",VLOOKUP(E59,tipo_cuenta[#ALL],2,0))</f>
        <v/>
      </c>
    </row>
    <row r="60">
      <c r="A60" s="21"/>
      <c r="B60" s="21"/>
      <c r="C60" s="21"/>
      <c r="D60" s="21"/>
      <c r="E60" s="21"/>
      <c r="F60" s="21" t="str">
        <f>IF(E60="","",VLOOKUP(E60,tipo_cuenta[#ALL],2,0))</f>
        <v/>
      </c>
    </row>
    <row r="61">
      <c r="A61" s="21"/>
      <c r="B61" s="21"/>
      <c r="C61" s="21"/>
      <c r="D61" s="21"/>
      <c r="E61" s="21"/>
      <c r="F61" s="21" t="str">
        <f>IF(E61="","",VLOOKUP(E61,tipo_cuenta[#ALL],2,0))</f>
        <v/>
      </c>
    </row>
    <row r="62">
      <c r="A62" s="21"/>
      <c r="B62" s="21"/>
      <c r="C62" s="21"/>
      <c r="D62" s="21"/>
      <c r="E62" s="21"/>
      <c r="F62" s="21" t="str">
        <f>IF(E62="","",VLOOKUP(E62,tipo_cuenta[#ALL],2,0))</f>
        <v/>
      </c>
    </row>
    <row r="63">
      <c r="A63" s="21"/>
      <c r="B63" s="21"/>
      <c r="C63" s="21"/>
      <c r="D63" s="21"/>
      <c r="E63" s="21"/>
      <c r="F63" s="21" t="str">
        <f>IF(E63="","",VLOOKUP(E63,tipo_cuenta[#ALL],2,0))</f>
        <v/>
      </c>
    </row>
    <row r="64">
      <c r="A64" s="21"/>
      <c r="B64" s="21"/>
      <c r="C64" s="21"/>
      <c r="D64" s="21"/>
      <c r="E64" s="21"/>
      <c r="F64" s="21" t="str">
        <f>IF(E64="","",VLOOKUP(E64,tipo_cuenta[#ALL],2,0))</f>
        <v/>
      </c>
    </row>
    <row r="65">
      <c r="A65" s="21"/>
      <c r="B65" s="21"/>
      <c r="C65" s="21"/>
      <c r="D65" s="21"/>
      <c r="E65" s="21"/>
      <c r="F65" s="21" t="str">
        <f>IF(E65="","",VLOOKUP(E65,tipo_cuenta[#ALL],2,0))</f>
        <v/>
      </c>
    </row>
    <row r="66">
      <c r="A66" s="21"/>
      <c r="B66" s="21"/>
      <c r="C66" s="21"/>
      <c r="D66" s="21"/>
      <c r="E66" s="21"/>
      <c r="F66" s="21" t="str">
        <f>IF(E66="","",VLOOKUP(E66,tipo_cuenta[#ALL],2,0))</f>
        <v/>
      </c>
    </row>
    <row r="67">
      <c r="A67" s="21"/>
      <c r="B67" s="21"/>
      <c r="C67" s="21"/>
      <c r="D67" s="21"/>
      <c r="E67" s="21"/>
      <c r="F67" s="21" t="str">
        <f>IF(E67="","",VLOOKUP(E67,tipo_cuenta[#ALL],2,0))</f>
        <v/>
      </c>
    </row>
    <row r="68">
      <c r="A68" s="21"/>
      <c r="B68" s="21"/>
      <c r="C68" s="21"/>
      <c r="D68" s="21"/>
      <c r="E68" s="21"/>
      <c r="F68" s="21" t="str">
        <f>IF(E68="","",VLOOKUP(E68,tipo_cuenta[#ALL],2,0))</f>
        <v/>
      </c>
    </row>
    <row r="69">
      <c r="A69" s="21"/>
      <c r="B69" s="21"/>
      <c r="C69" s="21"/>
      <c r="D69" s="21"/>
      <c r="E69" s="21"/>
      <c r="F69" s="21" t="str">
        <f>IF(E69="","",VLOOKUP(E69,tipo_cuenta[#ALL],2,0))</f>
        <v/>
      </c>
    </row>
    <row r="70">
      <c r="A70" s="21"/>
      <c r="B70" s="21"/>
      <c r="C70" s="21"/>
      <c r="D70" s="21"/>
      <c r="E70" s="21"/>
      <c r="F70" s="21" t="str">
        <f>IF(E70="","",VLOOKUP(E70,tipo_cuenta[#ALL],2,0))</f>
        <v/>
      </c>
    </row>
    <row r="71">
      <c r="A71" s="21"/>
      <c r="B71" s="21"/>
      <c r="C71" s="21"/>
      <c r="D71" s="21"/>
      <c r="E71" s="21"/>
      <c r="F71" s="21" t="str">
        <f>IF(E71="","",VLOOKUP(E71,tipo_cuenta[#ALL],2,0))</f>
        <v/>
      </c>
    </row>
    <row r="72">
      <c r="A72" s="21"/>
      <c r="B72" s="21"/>
      <c r="C72" s="21"/>
      <c r="D72" s="21"/>
      <c r="E72" s="21"/>
      <c r="F72" s="21" t="str">
        <f>IF(E72="","",VLOOKUP(E72,tipo_cuenta[#ALL],2,0))</f>
        <v/>
      </c>
    </row>
    <row r="73">
      <c r="A73" s="21"/>
      <c r="B73" s="21"/>
      <c r="C73" s="21"/>
      <c r="D73" s="21"/>
      <c r="E73" s="21"/>
      <c r="F73" s="21" t="str">
        <f>IF(E73="","",VLOOKUP(E73,tipo_cuenta[#ALL],2,0))</f>
        <v/>
      </c>
    </row>
    <row r="74">
      <c r="A74" s="21"/>
      <c r="B74" s="21"/>
      <c r="C74" s="21"/>
      <c r="D74" s="21"/>
      <c r="E74" s="21"/>
      <c r="F74" s="21" t="str">
        <f>IF(E74="","",VLOOKUP(E74,tipo_cuenta[#ALL],2,0))</f>
        <v/>
      </c>
    </row>
    <row r="75">
      <c r="A75" s="21"/>
      <c r="B75" s="21"/>
      <c r="C75" s="21"/>
      <c r="D75" s="21"/>
      <c r="E75" s="21"/>
      <c r="F75" s="21" t="str">
        <f>IF(E75="","",VLOOKUP(E75,tipo_cuenta[#ALL],2,0))</f>
        <v/>
      </c>
    </row>
    <row r="76">
      <c r="A76" s="21"/>
      <c r="B76" s="21"/>
      <c r="C76" s="21"/>
      <c r="D76" s="21"/>
      <c r="E76" s="21"/>
      <c r="F76" s="21" t="str">
        <f>IF(E76="","",VLOOKUP(E76,tipo_cuenta[#ALL],2,0))</f>
        <v/>
      </c>
    </row>
    <row r="77">
      <c r="A77" s="21"/>
      <c r="B77" s="21"/>
      <c r="C77" s="21"/>
      <c r="D77" s="21"/>
      <c r="E77" s="21"/>
      <c r="F77" s="21" t="str">
        <f>IF(E77="","",VLOOKUP(E77,tipo_cuenta[#ALL],2,0))</f>
        <v/>
      </c>
    </row>
    <row r="78">
      <c r="A78" s="21"/>
      <c r="B78" s="21"/>
      <c r="C78" s="21"/>
      <c r="D78" s="21"/>
      <c r="E78" s="21"/>
      <c r="F78" s="21" t="str">
        <f>IF(E78="","",VLOOKUP(E78,tipo_cuenta[#ALL],2,0))</f>
        <v/>
      </c>
    </row>
    <row r="79">
      <c r="A79" s="21"/>
      <c r="B79" s="21"/>
      <c r="C79" s="21"/>
      <c r="D79" s="21"/>
      <c r="E79" s="21"/>
      <c r="F79" s="21" t="str">
        <f>IF(E79="","",VLOOKUP(E79,tipo_cuenta[#ALL],2,0))</f>
        <v/>
      </c>
    </row>
    <row r="80">
      <c r="A80" s="21"/>
      <c r="B80" s="21"/>
      <c r="C80" s="21"/>
      <c r="D80" s="21"/>
      <c r="E80" s="21"/>
      <c r="F80" s="21" t="str">
        <f>IF(E80="","",VLOOKUP(E80,tipo_cuenta[#ALL],2,0))</f>
        <v/>
      </c>
    </row>
    <row r="81">
      <c r="A81" s="21"/>
      <c r="B81" s="21"/>
      <c r="C81" s="21"/>
      <c r="D81" s="21"/>
      <c r="E81" s="21"/>
      <c r="F81" s="21" t="str">
        <f>IF(E81="","",VLOOKUP(E81,tipo_cuenta[#ALL],2,0))</f>
        <v/>
      </c>
    </row>
    <row r="82">
      <c r="A82" s="21"/>
      <c r="B82" s="21"/>
      <c r="C82" s="21"/>
      <c r="D82" s="21"/>
      <c r="E82" s="21"/>
      <c r="F82" s="21" t="str">
        <f>IF(E82="","",VLOOKUP(E82,tipo_cuenta[#ALL],2,0))</f>
        <v/>
      </c>
    </row>
    <row r="83">
      <c r="A83" s="21"/>
      <c r="B83" s="21"/>
      <c r="C83" s="21"/>
      <c r="D83" s="21"/>
      <c r="E83" s="21"/>
      <c r="F83" s="21" t="str">
        <f>IF(E83="","",VLOOKUP(E83,tipo_cuenta[#ALL],2,0))</f>
        <v/>
      </c>
    </row>
    <row r="84">
      <c r="A84" s="21"/>
      <c r="B84" s="21"/>
      <c r="C84" s="21"/>
      <c r="D84" s="21"/>
      <c r="E84" s="21"/>
      <c r="F84" s="21" t="str">
        <f>IF(E84="","",VLOOKUP(E84,tipo_cuenta[#ALL],2,0))</f>
        <v/>
      </c>
    </row>
    <row r="85">
      <c r="A85" s="21"/>
      <c r="B85" s="21"/>
      <c r="C85" s="21"/>
      <c r="D85" s="21"/>
      <c r="E85" s="21"/>
      <c r="F85" s="21" t="str">
        <f>IF(E85="","",VLOOKUP(E85,tipo_cuenta[#ALL],2,0))</f>
        <v/>
      </c>
    </row>
    <row r="86">
      <c r="A86" s="21"/>
      <c r="B86" s="21"/>
      <c r="C86" s="21"/>
      <c r="D86" s="21"/>
      <c r="E86" s="21"/>
      <c r="F86" s="21" t="str">
        <f>IF(E86="","",VLOOKUP(E86,tipo_cuenta[#ALL],2,0))</f>
        <v/>
      </c>
    </row>
    <row r="87">
      <c r="A87" s="21"/>
      <c r="B87" s="21"/>
      <c r="C87" s="21"/>
      <c r="D87" s="21"/>
      <c r="E87" s="21"/>
      <c r="F87" s="21" t="str">
        <f>IF(E87="","",VLOOKUP(E87,tipo_cuenta[#ALL],2,0))</f>
        <v/>
      </c>
    </row>
    <row r="88">
      <c r="A88" s="21"/>
      <c r="B88" s="21"/>
      <c r="C88" s="21"/>
      <c r="D88" s="21"/>
      <c r="E88" s="21"/>
      <c r="F88" s="21" t="str">
        <f>IF(E88="","",VLOOKUP(E88,tipo_cuenta[#ALL],2,0))</f>
        <v/>
      </c>
    </row>
    <row r="89">
      <c r="A89" s="21"/>
      <c r="B89" s="21"/>
      <c r="C89" s="21"/>
      <c r="D89" s="21"/>
      <c r="E89" s="21"/>
      <c r="F89" s="21" t="str">
        <f>IF(E89="","",VLOOKUP(E89,tipo_cuenta[#ALL],2,0))</f>
        <v/>
      </c>
    </row>
    <row r="90">
      <c r="A90" s="21"/>
      <c r="B90" s="21"/>
      <c r="C90" s="21"/>
      <c r="D90" s="21"/>
      <c r="E90" s="21"/>
      <c r="F90" s="21" t="str">
        <f>IF(E90="","",VLOOKUP(E90,tipo_cuenta[#ALL],2,0))</f>
        <v/>
      </c>
    </row>
    <row r="91">
      <c r="A91" s="21"/>
      <c r="B91" s="21"/>
      <c r="C91" s="21"/>
      <c r="D91" s="21"/>
      <c r="E91" s="21"/>
      <c r="F91" s="21" t="str">
        <f>IF(E91="","",VLOOKUP(E91,tipo_cuenta[#ALL],2,0))</f>
        <v/>
      </c>
    </row>
    <row r="92">
      <c r="A92" s="21"/>
      <c r="B92" s="21"/>
      <c r="C92" s="21"/>
      <c r="D92" s="21"/>
      <c r="E92" s="21"/>
      <c r="F92" s="21" t="str">
        <f>IF(E92="","",VLOOKUP(E92,tipo_cuenta[#ALL],2,0))</f>
        <v/>
      </c>
    </row>
    <row r="93">
      <c r="A93" s="21"/>
      <c r="B93" s="21"/>
      <c r="C93" s="21"/>
      <c r="D93" s="21"/>
      <c r="E93" s="21"/>
      <c r="F93" s="21" t="str">
        <f>IF(E93="","",VLOOKUP(E93,tipo_cuenta[#ALL],2,0))</f>
        <v/>
      </c>
    </row>
    <row r="94">
      <c r="A94" s="21"/>
      <c r="B94" s="21"/>
      <c r="C94" s="21"/>
      <c r="D94" s="21"/>
      <c r="E94" s="21"/>
      <c r="F94" s="21" t="str">
        <f>IF(E94="","",VLOOKUP(E94,tipo_cuenta[#ALL],2,0))</f>
        <v/>
      </c>
    </row>
    <row r="95">
      <c r="A95" s="21"/>
      <c r="B95" s="21"/>
      <c r="C95" s="21"/>
      <c r="D95" s="21"/>
      <c r="E95" s="21"/>
      <c r="F95" s="21" t="str">
        <f>IF(E95="","",VLOOKUP(E95,tipo_cuenta[#ALL],2,0))</f>
        <v/>
      </c>
    </row>
    <row r="96">
      <c r="A96" s="21"/>
      <c r="B96" s="21"/>
      <c r="C96" s="21"/>
      <c r="D96" s="21"/>
      <c r="E96" s="21"/>
      <c r="F96" s="21" t="str">
        <f>IF(E96="","",VLOOKUP(E96,tipo_cuenta[#ALL],2,0))</f>
        <v/>
      </c>
    </row>
    <row r="97">
      <c r="A97" s="21"/>
      <c r="B97" s="21"/>
      <c r="C97" s="21"/>
      <c r="D97" s="21"/>
      <c r="E97" s="21"/>
      <c r="F97" s="21" t="str">
        <f>IF(E97="","",VLOOKUP(E97,tipo_cuenta[#ALL],2,0))</f>
        <v/>
      </c>
    </row>
    <row r="98">
      <c r="A98" s="21"/>
      <c r="B98" s="21"/>
      <c r="C98" s="21"/>
      <c r="D98" s="21"/>
      <c r="E98" s="21"/>
      <c r="F98" s="21" t="str">
        <f>IF(E98="","",VLOOKUP(E98,tipo_cuenta[#ALL],2,0))</f>
        <v/>
      </c>
    </row>
    <row r="99">
      <c r="A99" s="21"/>
      <c r="B99" s="21"/>
      <c r="C99" s="21"/>
      <c r="D99" s="21"/>
      <c r="E99" s="21"/>
      <c r="F99" s="21" t="str">
        <f>IF(E99="","",VLOOKUP(E99,tipo_cuenta[#ALL],2,0))</f>
        <v/>
      </c>
    </row>
    <row r="100">
      <c r="A100" s="21"/>
      <c r="B100" s="21"/>
      <c r="C100" s="21"/>
      <c r="D100" s="21"/>
      <c r="E100" s="21"/>
      <c r="F100" s="21" t="str">
        <f>IF(E100="","",VLOOKUP(E100,tipo_cuenta[#ALL],2,0))</f>
        <v/>
      </c>
    </row>
    <row r="101">
      <c r="A101" s="21"/>
      <c r="B101" s="21"/>
      <c r="C101" s="21"/>
      <c r="D101" s="21"/>
      <c r="E101" s="21"/>
      <c r="F101" s="21" t="str">
        <f>IF(E101="","",VLOOKUP(E101,tipo_cuenta[#ALL],2,0))</f>
        <v/>
      </c>
    </row>
    <row r="102">
      <c r="A102" s="21"/>
      <c r="B102" s="21"/>
      <c r="C102" s="21"/>
      <c r="D102" s="21"/>
      <c r="E102" s="21"/>
      <c r="F102" s="21" t="str">
        <f>IF(E102="","",VLOOKUP(E102,tipo_cuenta[#ALL],2,0))</f>
        <v/>
      </c>
    </row>
    <row r="103">
      <c r="A103" s="21"/>
      <c r="B103" s="21"/>
      <c r="C103" s="21"/>
      <c r="D103" s="21"/>
      <c r="E103" s="21"/>
      <c r="F103" s="21" t="str">
        <f>IF(E103="","",VLOOKUP(E103,tipo_cuenta[#ALL],2,0))</f>
        <v/>
      </c>
    </row>
    <row r="104">
      <c r="A104" s="21"/>
      <c r="B104" s="21"/>
      <c r="C104" s="21"/>
      <c r="D104" s="21"/>
      <c r="E104" s="21"/>
      <c r="F104" s="21" t="str">
        <f>IF(E104="","",VLOOKUP(E104,tipo_cuenta[#ALL],2,0))</f>
        <v/>
      </c>
    </row>
    <row r="105">
      <c r="A105" s="21"/>
      <c r="B105" s="21"/>
      <c r="C105" s="21"/>
      <c r="D105" s="21"/>
      <c r="E105" s="21"/>
      <c r="F105" s="21" t="str">
        <f>IF(E105="","",VLOOKUP(E105,tipo_cuenta[#ALL],2,0))</f>
        <v/>
      </c>
    </row>
    <row r="106">
      <c r="A106" s="21"/>
      <c r="B106" s="21"/>
      <c r="C106" s="21"/>
      <c r="D106" s="21"/>
      <c r="E106" s="21"/>
      <c r="F106" s="21" t="str">
        <f>IF(E106="","",VLOOKUP(E106,tipo_cuenta[#ALL],2,0))</f>
        <v/>
      </c>
    </row>
    <row r="107">
      <c r="A107" s="21"/>
      <c r="B107" s="21"/>
      <c r="C107" s="21"/>
      <c r="D107" s="21"/>
      <c r="E107" s="21"/>
      <c r="F107" s="21" t="str">
        <f>IF(E107="","",VLOOKUP(E107,tipo_cuenta[#ALL],2,0))</f>
        <v/>
      </c>
    </row>
    <row r="108">
      <c r="A108" s="21"/>
      <c r="B108" s="21"/>
      <c r="C108" s="21"/>
      <c r="D108" s="21"/>
      <c r="E108" s="21"/>
      <c r="F108" s="21" t="str">
        <f>IF(E108="","",VLOOKUP(E108,tipo_cuenta[#ALL],2,0))</f>
        <v/>
      </c>
    </row>
    <row r="109">
      <c r="A109" s="21"/>
      <c r="B109" s="21"/>
      <c r="C109" s="21"/>
      <c r="D109" s="21"/>
      <c r="E109" s="21"/>
      <c r="F109" s="21" t="str">
        <f>IF(E109="","",VLOOKUP(E109,tipo_cuenta[#ALL],2,0))</f>
        <v/>
      </c>
    </row>
    <row r="110">
      <c r="A110" s="21"/>
      <c r="B110" s="21"/>
      <c r="C110" s="21"/>
      <c r="D110" s="21"/>
      <c r="E110" s="21"/>
      <c r="F110" s="21" t="str">
        <f>IF(E110="","",VLOOKUP(E110,tipo_cuenta[#ALL],2,0))</f>
        <v/>
      </c>
    </row>
    <row r="111">
      <c r="A111" s="21"/>
      <c r="B111" s="21"/>
      <c r="C111" s="21"/>
      <c r="D111" s="21"/>
      <c r="E111" s="21"/>
      <c r="F111" s="21" t="str">
        <f>IF(E111="","",VLOOKUP(E111,tipo_cuenta[#ALL],2,0))</f>
        <v/>
      </c>
    </row>
    <row r="112">
      <c r="A112" s="21"/>
      <c r="B112" s="21"/>
      <c r="C112" s="21"/>
      <c r="D112" s="21"/>
      <c r="E112" s="21"/>
      <c r="F112" s="21" t="str">
        <f>IF(E112="","",VLOOKUP(E112,tipo_cuenta[#ALL],2,0))</f>
        <v/>
      </c>
    </row>
    <row r="113">
      <c r="A113" s="21"/>
      <c r="B113" s="21"/>
      <c r="C113" s="21"/>
      <c r="D113" s="21"/>
      <c r="E113" s="21"/>
      <c r="F113" s="21" t="str">
        <f>IF(E113="","",VLOOKUP(E113,tipo_cuenta[#ALL],2,0))</f>
        <v/>
      </c>
    </row>
    <row r="114">
      <c r="A114" s="21"/>
      <c r="B114" s="21"/>
      <c r="C114" s="21"/>
      <c r="D114" s="21"/>
      <c r="E114" s="21"/>
      <c r="F114" s="21" t="str">
        <f>IF(E114="","",VLOOKUP(E114,tipo_cuenta[#ALL],2,0))</f>
        <v/>
      </c>
    </row>
    <row r="115">
      <c r="A115" s="21"/>
      <c r="B115" s="21"/>
      <c r="C115" s="21"/>
      <c r="D115" s="21"/>
      <c r="E115" s="21"/>
      <c r="F115" s="21" t="str">
        <f>IF(E115="","",VLOOKUP(E115,tipo_cuenta[#ALL],2,0))</f>
        <v/>
      </c>
    </row>
    <row r="116">
      <c r="A116" s="21"/>
      <c r="B116" s="21"/>
      <c r="C116" s="21"/>
      <c r="D116" s="21"/>
      <c r="E116" s="21"/>
      <c r="F116" s="21" t="str">
        <f>IF(E116="","",VLOOKUP(E116,tipo_cuenta[#ALL],2,0))</f>
        <v/>
      </c>
    </row>
    <row r="117">
      <c r="A117" s="21"/>
      <c r="B117" s="21"/>
      <c r="C117" s="21"/>
      <c r="D117" s="21"/>
      <c r="E117" s="21"/>
      <c r="F117" s="21" t="str">
        <f>IF(E117="","",VLOOKUP(E117,tipo_cuenta[#ALL],2,0))</f>
        <v/>
      </c>
    </row>
    <row r="118">
      <c r="A118" s="21"/>
      <c r="B118" s="21"/>
      <c r="C118" s="21"/>
      <c r="D118" s="21"/>
      <c r="E118" s="21"/>
      <c r="F118" s="21" t="str">
        <f>IF(E118="","",VLOOKUP(E118,tipo_cuenta[#ALL],2,0))</f>
        <v/>
      </c>
    </row>
    <row r="119">
      <c r="A119" s="21"/>
      <c r="B119" s="21"/>
      <c r="C119" s="21"/>
      <c r="D119" s="21"/>
      <c r="E119" s="21"/>
      <c r="F119" s="21" t="str">
        <f>IF(E119="","",VLOOKUP(E119,tipo_cuenta[#ALL],2,0))</f>
        <v/>
      </c>
    </row>
    <row r="120">
      <c r="A120" s="21"/>
      <c r="B120" s="21"/>
      <c r="C120" s="21"/>
      <c r="D120" s="21"/>
      <c r="E120" s="21"/>
      <c r="F120" s="21" t="str">
        <f>IF(E120="","",VLOOKUP(E120,tipo_cuenta[#ALL],2,0))</f>
        <v/>
      </c>
    </row>
    <row r="121">
      <c r="A121" s="21"/>
      <c r="B121" s="21"/>
      <c r="C121" s="21"/>
      <c r="D121" s="21"/>
      <c r="E121" s="21"/>
      <c r="F121" s="21" t="str">
        <f>IF(E121="","",VLOOKUP(E121,tipo_cuenta[#ALL],2,0))</f>
        <v/>
      </c>
    </row>
    <row r="122">
      <c r="A122" s="21"/>
      <c r="B122" s="21"/>
      <c r="C122" s="21"/>
      <c r="D122" s="21"/>
      <c r="E122" s="21"/>
      <c r="F122" s="21" t="str">
        <f>IF(E122="","",VLOOKUP(E122,tipo_cuenta[#ALL],2,0))</f>
        <v/>
      </c>
    </row>
    <row r="123">
      <c r="A123" s="21"/>
      <c r="B123" s="21"/>
      <c r="C123" s="21"/>
      <c r="D123" s="21"/>
      <c r="E123" s="21"/>
      <c r="F123" s="21" t="str">
        <f>IF(E123="","",VLOOKUP(E123,tipo_cuenta[#ALL],2,0))</f>
        <v/>
      </c>
    </row>
    <row r="124">
      <c r="A124" s="21"/>
      <c r="B124" s="21"/>
      <c r="C124" s="21"/>
      <c r="D124" s="21"/>
      <c r="E124" s="21"/>
      <c r="F124" s="21" t="str">
        <f>IF(E124="","",VLOOKUP(E124,tipo_cuenta[#ALL],2,0))</f>
        <v/>
      </c>
    </row>
    <row r="125">
      <c r="A125" s="21"/>
      <c r="B125" s="21"/>
      <c r="C125" s="21"/>
      <c r="D125" s="21"/>
      <c r="E125" s="21"/>
      <c r="F125" s="21" t="str">
        <f>IF(E125="","",VLOOKUP(E125,tipo_cuenta[#ALL],2,0))</f>
        <v/>
      </c>
    </row>
    <row r="126">
      <c r="A126" s="21"/>
      <c r="B126" s="21"/>
      <c r="C126" s="21"/>
      <c r="D126" s="21"/>
      <c r="E126" s="21"/>
      <c r="F126" s="21" t="str">
        <f>IF(E126="","",VLOOKUP(E126,tipo_cuenta[#ALL],2,0))</f>
        <v/>
      </c>
    </row>
    <row r="127">
      <c r="A127" s="21"/>
      <c r="B127" s="21"/>
      <c r="C127" s="21"/>
      <c r="D127" s="21"/>
      <c r="E127" s="21"/>
      <c r="F127" s="21" t="str">
        <f>IF(E127="","",VLOOKUP(E127,tipo_cuenta[#ALL],2,0))</f>
        <v/>
      </c>
    </row>
    <row r="128">
      <c r="A128" s="21"/>
      <c r="B128" s="21"/>
      <c r="C128" s="21"/>
      <c r="D128" s="21"/>
      <c r="E128" s="21"/>
      <c r="F128" s="21" t="str">
        <f>IF(E128="","",VLOOKUP(E128,tipo_cuenta[#ALL],2,0))</f>
        <v/>
      </c>
    </row>
    <row r="129">
      <c r="A129" s="21"/>
      <c r="B129" s="21"/>
      <c r="C129" s="21"/>
      <c r="D129" s="21"/>
      <c r="E129" s="21"/>
      <c r="F129" s="21" t="str">
        <f>IF(E129="","",VLOOKUP(E129,tipo_cuenta[#ALL],2,0))</f>
        <v/>
      </c>
    </row>
    <row r="130">
      <c r="A130" s="21"/>
      <c r="B130" s="21"/>
      <c r="C130" s="21"/>
      <c r="D130" s="21"/>
      <c r="E130" s="21"/>
      <c r="F130" s="21" t="str">
        <f>IF(E130="","",VLOOKUP(E130,tipo_cuenta[#ALL],2,0))</f>
        <v/>
      </c>
    </row>
    <row r="131">
      <c r="A131" s="21"/>
      <c r="B131" s="21"/>
      <c r="C131" s="21"/>
      <c r="D131" s="21"/>
      <c r="E131" s="21"/>
      <c r="F131" s="21" t="str">
        <f>IF(E131="","",VLOOKUP(E131,tipo_cuenta[#ALL],2,0))</f>
        <v/>
      </c>
    </row>
    <row r="132">
      <c r="A132" s="21"/>
      <c r="B132" s="21"/>
      <c r="C132" s="21"/>
      <c r="D132" s="21"/>
      <c r="E132" s="21"/>
      <c r="F132" s="21" t="str">
        <f>IF(E132="","",VLOOKUP(E132,tipo_cuenta[#ALL],2,0))</f>
        <v/>
      </c>
    </row>
    <row r="133">
      <c r="A133" s="21"/>
      <c r="B133" s="21"/>
      <c r="C133" s="21"/>
      <c r="D133" s="21"/>
      <c r="E133" s="21"/>
      <c r="F133" s="21" t="str">
        <f>IF(E133="","",VLOOKUP(E133,tipo_cuenta[#ALL],2,0))</f>
        <v/>
      </c>
    </row>
    <row r="134">
      <c r="A134" s="21"/>
      <c r="B134" s="21"/>
      <c r="C134" s="21"/>
      <c r="D134" s="21"/>
      <c r="E134" s="21"/>
      <c r="F134" s="21" t="str">
        <f>IF(E134="","",VLOOKUP(E134,tipo_cuenta[#ALL],2,0))</f>
        <v/>
      </c>
    </row>
    <row r="135">
      <c r="A135" s="21"/>
      <c r="B135" s="21"/>
      <c r="C135" s="21"/>
      <c r="D135" s="21"/>
      <c r="E135" s="21"/>
      <c r="F135" s="21" t="str">
        <f>IF(E135="","",VLOOKUP(E135,tipo_cuenta[#ALL],2,0))</f>
        <v/>
      </c>
    </row>
    <row r="136">
      <c r="A136" s="21"/>
      <c r="B136" s="21"/>
      <c r="C136" s="21"/>
      <c r="D136" s="21"/>
      <c r="E136" s="21"/>
      <c r="F136" s="21" t="str">
        <f>IF(E136="","",VLOOKUP(E136,tipo_cuenta[#ALL],2,0))</f>
        <v/>
      </c>
    </row>
    <row r="137">
      <c r="A137" s="21"/>
      <c r="B137" s="21"/>
      <c r="C137" s="21"/>
      <c r="D137" s="21"/>
      <c r="E137" s="21"/>
      <c r="F137" s="21" t="str">
        <f>IF(E137="","",VLOOKUP(E137,tipo_cuenta[#ALL],2,0))</f>
        <v/>
      </c>
    </row>
    <row r="138">
      <c r="A138" s="21"/>
      <c r="B138" s="21"/>
      <c r="C138" s="21"/>
      <c r="D138" s="21"/>
      <c r="E138" s="21"/>
      <c r="F138" s="21" t="str">
        <f>IF(E138="","",VLOOKUP(E138,tipo_cuenta[#ALL],2,0))</f>
        <v/>
      </c>
    </row>
    <row r="139">
      <c r="A139" s="21"/>
      <c r="B139" s="21"/>
      <c r="C139" s="21"/>
      <c r="D139" s="21"/>
      <c r="E139" s="21"/>
      <c r="F139" s="21" t="str">
        <f>IF(E139="","",VLOOKUP(E139,tipo_cuenta[#ALL],2,0))</f>
        <v/>
      </c>
    </row>
    <row r="140">
      <c r="A140" s="21"/>
      <c r="B140" s="21"/>
      <c r="C140" s="21"/>
      <c r="D140" s="21"/>
      <c r="E140" s="21"/>
      <c r="F140" s="21" t="str">
        <f>IF(E140="","",VLOOKUP(E140,tipo_cuenta[#ALL],2,0))</f>
        <v/>
      </c>
    </row>
    <row r="141">
      <c r="A141" s="21"/>
      <c r="B141" s="21"/>
      <c r="C141" s="21"/>
      <c r="D141" s="21"/>
      <c r="E141" s="21"/>
      <c r="F141" s="21" t="str">
        <f>IF(E141="","",VLOOKUP(E141,tipo_cuenta[#ALL],2,0))</f>
        <v/>
      </c>
    </row>
    <row r="142">
      <c r="A142" s="21"/>
      <c r="B142" s="21"/>
      <c r="C142" s="21"/>
      <c r="D142" s="21"/>
      <c r="E142" s="21"/>
      <c r="F142" s="21" t="str">
        <f>IF(E142="","",VLOOKUP(E142,tipo_cuenta[#ALL],2,0))</f>
        <v/>
      </c>
    </row>
    <row r="143">
      <c r="A143" s="21"/>
      <c r="B143" s="21"/>
      <c r="C143" s="21"/>
      <c r="D143" s="21"/>
      <c r="E143" s="21"/>
      <c r="F143" s="21" t="str">
        <f>IF(E143="","",VLOOKUP(E143,tipo_cuenta[#ALL],2,0))</f>
        <v/>
      </c>
    </row>
    <row r="144">
      <c r="A144" s="21"/>
      <c r="B144" s="21"/>
      <c r="C144" s="21"/>
      <c r="D144" s="21"/>
      <c r="E144" s="21"/>
      <c r="F144" s="21" t="str">
        <f>IF(E144="","",VLOOKUP(E144,tipo_cuenta[#ALL],2,0))</f>
        <v/>
      </c>
    </row>
    <row r="145">
      <c r="A145" s="21"/>
      <c r="B145" s="21"/>
      <c r="C145" s="21"/>
      <c r="D145" s="21"/>
      <c r="E145" s="21"/>
      <c r="F145" s="21" t="str">
        <f>IF(E145="","",VLOOKUP(E145,tipo_cuenta[#ALL],2,0))</f>
        <v/>
      </c>
    </row>
    <row r="146">
      <c r="A146" s="21"/>
      <c r="B146" s="21"/>
      <c r="C146" s="21"/>
      <c r="D146" s="21"/>
      <c r="E146" s="21"/>
      <c r="F146" s="21" t="str">
        <f>IF(E146="","",VLOOKUP(E146,tipo_cuenta[#ALL],2,0))</f>
        <v/>
      </c>
    </row>
    <row r="147">
      <c r="A147" s="21"/>
      <c r="B147" s="21"/>
      <c r="C147" s="21"/>
      <c r="D147" s="21"/>
      <c r="E147" s="21"/>
      <c r="F147" s="21" t="str">
        <f>IF(E147="","",VLOOKUP(E147,tipo_cuenta[#ALL],2,0))</f>
        <v/>
      </c>
    </row>
    <row r="148">
      <c r="A148" s="21"/>
      <c r="B148" s="21"/>
      <c r="C148" s="21"/>
      <c r="D148" s="21"/>
      <c r="E148" s="21"/>
      <c r="F148" s="21" t="str">
        <f>IF(E148="","",VLOOKUP(E148,tipo_cuenta[#ALL],2,0))</f>
        <v/>
      </c>
    </row>
    <row r="149">
      <c r="A149" s="21"/>
      <c r="B149" s="21"/>
      <c r="C149" s="21"/>
      <c r="D149" s="21"/>
      <c r="E149" s="21"/>
      <c r="F149" s="21" t="str">
        <f>IF(E149="","",VLOOKUP(E149,tipo_cuenta[#ALL],2,0))</f>
        <v/>
      </c>
    </row>
    <row r="150">
      <c r="A150" s="21"/>
      <c r="B150" s="21"/>
      <c r="C150" s="21"/>
      <c r="D150" s="21"/>
      <c r="E150" s="21"/>
      <c r="F150" s="21" t="str">
        <f>IF(E150="","",VLOOKUP(E150,tipo_cuenta[#ALL],2,0))</f>
        <v/>
      </c>
    </row>
    <row r="151">
      <c r="A151" s="21"/>
      <c r="B151" s="21"/>
      <c r="C151" s="21"/>
      <c r="D151" s="21"/>
      <c r="E151" s="21"/>
      <c r="F151" s="21" t="str">
        <f>IF(E151="","",VLOOKUP(E151,tipo_cuenta[#ALL],2,0))</f>
        <v/>
      </c>
    </row>
    <row r="152">
      <c r="A152" s="21"/>
      <c r="B152" s="21"/>
      <c r="C152" s="21"/>
      <c r="D152" s="21"/>
      <c r="E152" s="21"/>
      <c r="F152" s="21" t="str">
        <f>IF(E152="","",VLOOKUP(E152,tipo_cuenta[#ALL],2,0))</f>
        <v/>
      </c>
    </row>
    <row r="153">
      <c r="A153" s="21"/>
      <c r="B153" s="21"/>
      <c r="C153" s="21"/>
      <c r="D153" s="21"/>
      <c r="E153" s="21"/>
      <c r="F153" s="21" t="str">
        <f>IF(E153="","",VLOOKUP(E153,tipo_cuenta[#ALL],2,0))</f>
        <v/>
      </c>
    </row>
    <row r="154">
      <c r="A154" s="21"/>
      <c r="B154" s="21"/>
      <c r="C154" s="21"/>
      <c r="D154" s="21"/>
      <c r="E154" s="21"/>
      <c r="F154" s="21" t="str">
        <f>IF(E154="","",VLOOKUP(E154,tipo_cuenta[#ALL],2,0))</f>
        <v/>
      </c>
    </row>
    <row r="155">
      <c r="A155" s="21"/>
      <c r="B155" s="21"/>
      <c r="C155" s="21"/>
      <c r="D155" s="21"/>
      <c r="E155" s="21"/>
      <c r="F155" s="21" t="str">
        <f>IF(E155="","",VLOOKUP(E155,tipo_cuenta[#ALL],2,0))</f>
        <v/>
      </c>
    </row>
    <row r="156">
      <c r="A156" s="21"/>
      <c r="B156" s="21"/>
      <c r="C156" s="21"/>
      <c r="D156" s="21"/>
      <c r="E156" s="21"/>
      <c r="F156" s="21" t="str">
        <f>IF(E156="","",VLOOKUP(E156,tipo_cuenta[#ALL],2,0))</f>
        <v/>
      </c>
    </row>
    <row r="157">
      <c r="A157" s="21"/>
      <c r="B157" s="21"/>
      <c r="C157" s="21"/>
      <c r="D157" s="21"/>
      <c r="E157" s="21"/>
      <c r="F157" s="21" t="str">
        <f>IF(E157="","",VLOOKUP(E157,tipo_cuenta[#ALL],2,0))</f>
        <v/>
      </c>
    </row>
    <row r="158">
      <c r="A158" s="21"/>
      <c r="B158" s="21"/>
      <c r="C158" s="21"/>
      <c r="D158" s="21"/>
      <c r="E158" s="21"/>
      <c r="F158" s="21" t="str">
        <f>IF(E158="","",VLOOKUP(E158,tipo_cuenta[#ALL],2,0))</f>
        <v/>
      </c>
    </row>
    <row r="159">
      <c r="A159" s="21"/>
      <c r="B159" s="21"/>
      <c r="C159" s="21"/>
      <c r="D159" s="21"/>
      <c r="E159" s="21"/>
      <c r="F159" s="21" t="str">
        <f>IF(E159="","",VLOOKUP(E159,tipo_cuenta[#ALL],2,0))</f>
        <v/>
      </c>
    </row>
    <row r="160">
      <c r="A160" s="21"/>
      <c r="B160" s="21"/>
      <c r="C160" s="21"/>
      <c r="D160" s="21"/>
      <c r="E160" s="21"/>
      <c r="F160" s="21" t="str">
        <f>IF(E160="","",VLOOKUP(E160,tipo_cuenta[#ALL],2,0))</f>
        <v/>
      </c>
    </row>
    <row r="161">
      <c r="A161" s="21"/>
      <c r="B161" s="21"/>
      <c r="C161" s="21"/>
      <c r="D161" s="21"/>
      <c r="E161" s="21"/>
      <c r="F161" s="21" t="str">
        <f>IF(E161="","",VLOOKUP(E161,tipo_cuenta[#ALL],2,0))</f>
        <v/>
      </c>
    </row>
    <row r="162">
      <c r="A162" s="21"/>
      <c r="B162" s="21"/>
      <c r="C162" s="21"/>
      <c r="D162" s="21"/>
      <c r="E162" s="21"/>
      <c r="F162" s="21" t="str">
        <f>IF(E162="","",VLOOKUP(E162,tipo_cuenta[#ALL],2,0))</f>
        <v/>
      </c>
    </row>
    <row r="163">
      <c r="A163" s="21"/>
      <c r="B163" s="21"/>
      <c r="C163" s="21"/>
      <c r="D163" s="21"/>
      <c r="E163" s="21"/>
      <c r="F163" s="21" t="str">
        <f>IF(E163="","",VLOOKUP(E163,tipo_cuenta[#ALL],2,0))</f>
        <v/>
      </c>
    </row>
    <row r="164">
      <c r="A164" s="21"/>
      <c r="B164" s="21"/>
      <c r="C164" s="21"/>
      <c r="D164" s="21"/>
      <c r="E164" s="21"/>
      <c r="F164" s="21" t="str">
        <f>IF(E164="","",VLOOKUP(E164,tipo_cuenta[#ALL],2,0))</f>
        <v/>
      </c>
    </row>
    <row r="165">
      <c r="A165" s="21"/>
      <c r="B165" s="21"/>
      <c r="C165" s="21"/>
      <c r="D165" s="21"/>
      <c r="E165" s="21"/>
      <c r="F165" s="21" t="str">
        <f>IF(E165="","",VLOOKUP(E165,tipo_cuenta[#ALL],2,0))</f>
        <v/>
      </c>
    </row>
    <row r="166">
      <c r="A166" s="21"/>
      <c r="B166" s="21"/>
      <c r="C166" s="21"/>
      <c r="D166" s="21"/>
      <c r="E166" s="21"/>
      <c r="F166" s="21" t="str">
        <f>IF(E166="","",VLOOKUP(E166,tipo_cuenta[#ALL],2,0))</f>
        <v/>
      </c>
    </row>
    <row r="167">
      <c r="A167" s="21"/>
      <c r="B167" s="21"/>
      <c r="C167" s="21"/>
      <c r="D167" s="21"/>
      <c r="E167" s="21"/>
      <c r="F167" s="21" t="str">
        <f>IF(E167="","",VLOOKUP(E167,tipo_cuenta[#ALL],2,0))</f>
        <v/>
      </c>
    </row>
    <row r="168">
      <c r="A168" s="21"/>
      <c r="B168" s="21"/>
      <c r="C168" s="21"/>
      <c r="D168" s="21"/>
      <c r="E168" s="21"/>
      <c r="F168" s="21" t="str">
        <f>IF(E168="","",VLOOKUP(E168,tipo_cuenta[#ALL],2,0))</f>
        <v/>
      </c>
    </row>
    <row r="169">
      <c r="A169" s="21"/>
      <c r="B169" s="21"/>
      <c r="C169" s="21"/>
      <c r="D169" s="21"/>
      <c r="E169" s="21"/>
      <c r="F169" s="21" t="str">
        <f>IF(E169="","",VLOOKUP(E169,tipo_cuenta[#ALL],2,0))</f>
        <v/>
      </c>
    </row>
    <row r="170">
      <c r="A170" s="21"/>
      <c r="B170" s="21"/>
      <c r="C170" s="21"/>
      <c r="D170" s="21"/>
      <c r="E170" s="21"/>
      <c r="F170" s="21" t="str">
        <f>IF(E170="","",VLOOKUP(E170,tipo_cuenta[#ALL],2,0))</f>
        <v/>
      </c>
    </row>
    <row r="171">
      <c r="A171" s="21"/>
      <c r="B171" s="21"/>
      <c r="C171" s="21"/>
      <c r="D171" s="21"/>
      <c r="E171" s="21"/>
      <c r="F171" s="21" t="str">
        <f>IF(E171="","",VLOOKUP(E171,tipo_cuenta[#ALL],2,0))</f>
        <v/>
      </c>
    </row>
    <row r="172">
      <c r="A172" s="21"/>
      <c r="B172" s="21"/>
      <c r="C172" s="21"/>
      <c r="D172" s="21"/>
      <c r="E172" s="21"/>
      <c r="F172" s="21" t="str">
        <f>IF(E172="","",VLOOKUP(E172,tipo_cuenta[#ALL],2,0))</f>
        <v/>
      </c>
    </row>
    <row r="173">
      <c r="A173" s="21"/>
      <c r="B173" s="21"/>
      <c r="C173" s="21"/>
      <c r="D173" s="21"/>
      <c r="E173" s="21"/>
      <c r="F173" s="21" t="str">
        <f>IF(E173="","",VLOOKUP(E173,tipo_cuenta[#ALL],2,0))</f>
        <v/>
      </c>
    </row>
    <row r="174">
      <c r="A174" s="21"/>
      <c r="B174" s="21"/>
      <c r="C174" s="21"/>
      <c r="D174" s="21"/>
      <c r="E174" s="21"/>
      <c r="F174" s="21" t="str">
        <f>IF(E174="","",VLOOKUP(E174,tipo_cuenta[#ALL],2,0))</f>
        <v/>
      </c>
    </row>
    <row r="175">
      <c r="A175" s="21"/>
      <c r="B175" s="21"/>
      <c r="C175" s="21"/>
      <c r="D175" s="21"/>
      <c r="E175" s="21"/>
      <c r="F175" s="21" t="str">
        <f>IF(E175="","",VLOOKUP(E175,tipo_cuenta[#ALL],2,0))</f>
        <v/>
      </c>
    </row>
    <row r="176">
      <c r="A176" s="21"/>
      <c r="B176" s="21"/>
      <c r="C176" s="21"/>
      <c r="D176" s="21"/>
      <c r="E176" s="21"/>
      <c r="F176" s="21" t="str">
        <f>IF(E176="","",VLOOKUP(E176,tipo_cuenta[#ALL],2,0))</f>
        <v/>
      </c>
    </row>
    <row r="177">
      <c r="A177" s="21"/>
      <c r="B177" s="21"/>
      <c r="C177" s="21"/>
      <c r="D177" s="21"/>
      <c r="E177" s="21"/>
      <c r="F177" s="21" t="str">
        <f>IF(E177="","",VLOOKUP(E177,tipo_cuenta[#ALL],2,0))</f>
        <v/>
      </c>
    </row>
    <row r="178">
      <c r="A178" s="21"/>
      <c r="B178" s="21"/>
      <c r="C178" s="21"/>
      <c r="D178" s="21"/>
      <c r="E178" s="21"/>
      <c r="F178" s="21" t="str">
        <f>IF(E178="","",VLOOKUP(E178,tipo_cuenta[#ALL],2,0))</f>
        <v/>
      </c>
    </row>
    <row r="179">
      <c r="A179" s="21"/>
      <c r="B179" s="21"/>
      <c r="C179" s="21"/>
      <c r="D179" s="21"/>
      <c r="E179" s="21"/>
      <c r="F179" s="21" t="str">
        <f>IF(E179="","",VLOOKUP(E179,tipo_cuenta[#ALL],2,0))</f>
        <v/>
      </c>
    </row>
    <row r="180">
      <c r="A180" s="21"/>
      <c r="B180" s="21"/>
      <c r="C180" s="21"/>
      <c r="D180" s="21"/>
      <c r="E180" s="21"/>
      <c r="F180" s="21" t="str">
        <f>IF(E180="","",VLOOKUP(E180,tipo_cuenta[#ALL],2,0))</f>
        <v/>
      </c>
    </row>
    <row r="181">
      <c r="A181" s="21"/>
      <c r="B181" s="21"/>
      <c r="C181" s="21"/>
      <c r="D181" s="21"/>
      <c r="E181" s="21"/>
      <c r="F181" s="21" t="str">
        <f>IF(E181="","",VLOOKUP(E181,tipo_cuenta[#ALL],2,0))</f>
        <v/>
      </c>
    </row>
    <row r="182">
      <c r="A182" s="21"/>
      <c r="B182" s="21"/>
      <c r="C182" s="21"/>
      <c r="D182" s="21"/>
      <c r="E182" s="21"/>
      <c r="F182" s="21" t="str">
        <f>IF(E182="","",VLOOKUP(E182,tipo_cuenta[#ALL],2,0))</f>
        <v/>
      </c>
    </row>
    <row r="183">
      <c r="A183" s="21"/>
      <c r="B183" s="21"/>
      <c r="C183" s="21"/>
      <c r="D183" s="21"/>
      <c r="E183" s="21"/>
      <c r="F183" s="21" t="str">
        <f>IF(E183="","",VLOOKUP(E183,tipo_cuenta[#ALL],2,0))</f>
        <v/>
      </c>
    </row>
    <row r="184">
      <c r="A184" s="21"/>
      <c r="B184" s="21"/>
      <c r="C184" s="21"/>
      <c r="D184" s="21"/>
      <c r="E184" s="21"/>
      <c r="F184" s="21" t="str">
        <f>IF(E184="","",VLOOKUP(E184,tipo_cuenta[#ALL],2,0))</f>
        <v/>
      </c>
    </row>
    <row r="185">
      <c r="A185" s="21"/>
      <c r="B185" s="21"/>
      <c r="C185" s="21"/>
      <c r="D185" s="21"/>
      <c r="E185" s="21"/>
      <c r="F185" s="21" t="str">
        <f>IF(E185="","",VLOOKUP(E185,tipo_cuenta[#ALL],2,0))</f>
        <v/>
      </c>
    </row>
    <row r="186">
      <c r="A186" s="21"/>
      <c r="B186" s="21"/>
      <c r="C186" s="21"/>
      <c r="D186" s="21"/>
      <c r="E186" s="21"/>
      <c r="F186" s="21" t="str">
        <f>IF(E186="","",VLOOKUP(E186,tipo_cuenta[#ALL],2,0))</f>
        <v/>
      </c>
    </row>
    <row r="187">
      <c r="A187" s="21"/>
      <c r="B187" s="21"/>
      <c r="C187" s="21"/>
      <c r="D187" s="21"/>
      <c r="E187" s="21"/>
      <c r="F187" s="21" t="str">
        <f>IF(E187="","",VLOOKUP(E187,tipo_cuenta[#ALL],2,0))</f>
        <v/>
      </c>
    </row>
    <row r="188">
      <c r="A188" s="21"/>
      <c r="B188" s="21"/>
      <c r="C188" s="21"/>
      <c r="D188" s="21"/>
      <c r="E188" s="21"/>
      <c r="F188" s="21" t="str">
        <f>IF(E188="","",VLOOKUP(E188,tipo_cuenta[#ALL],2,0))</f>
        <v/>
      </c>
    </row>
    <row r="189">
      <c r="A189" s="21"/>
      <c r="B189" s="21"/>
      <c r="C189" s="21"/>
      <c r="D189" s="21"/>
      <c r="E189" s="21"/>
      <c r="F189" s="21" t="str">
        <f>IF(E189="","",VLOOKUP(E189,tipo_cuenta[#ALL],2,0))</f>
        <v/>
      </c>
    </row>
    <row r="190">
      <c r="A190" s="21"/>
      <c r="B190" s="21"/>
      <c r="C190" s="21"/>
      <c r="D190" s="21"/>
      <c r="E190" s="21"/>
      <c r="F190" s="21" t="str">
        <f>IF(E190="","",VLOOKUP(E190,tipo_cuenta[#ALL],2,0))</f>
        <v/>
      </c>
    </row>
    <row r="191">
      <c r="A191" s="21"/>
      <c r="B191" s="21"/>
      <c r="C191" s="21"/>
      <c r="D191" s="21"/>
      <c r="E191" s="21"/>
      <c r="F191" s="21" t="str">
        <f>IF(E191="","",VLOOKUP(E191,tipo_cuenta[#ALL],2,0))</f>
        <v/>
      </c>
    </row>
    <row r="192">
      <c r="A192" s="21"/>
      <c r="B192" s="21"/>
      <c r="C192" s="21"/>
      <c r="D192" s="21"/>
      <c r="E192" s="21"/>
      <c r="F192" s="21" t="str">
        <f>IF(E192="","",VLOOKUP(E192,tipo_cuenta[#ALL],2,0))</f>
        <v/>
      </c>
    </row>
    <row r="193">
      <c r="A193" s="21"/>
      <c r="B193" s="21"/>
      <c r="C193" s="21"/>
      <c r="D193" s="21"/>
      <c r="E193" s="21"/>
      <c r="F193" s="21" t="str">
        <f>IF(E193="","",VLOOKUP(E193,tipo_cuenta[#ALL],2,0))</f>
        <v/>
      </c>
    </row>
    <row r="194">
      <c r="A194" s="21"/>
      <c r="B194" s="21"/>
      <c r="C194" s="21"/>
      <c r="D194" s="21"/>
      <c r="E194" s="21"/>
      <c r="F194" s="21" t="str">
        <f>IF(E194="","",VLOOKUP(E194,tipo_cuenta[#ALL],2,0))</f>
        <v/>
      </c>
    </row>
    <row r="195">
      <c r="A195" s="21"/>
      <c r="B195" s="21"/>
      <c r="C195" s="21"/>
      <c r="D195" s="21"/>
      <c r="E195" s="21"/>
      <c r="F195" s="21" t="str">
        <f>IF(E195="","",VLOOKUP(E195,tipo_cuenta[#ALL],2,0))</f>
        <v/>
      </c>
    </row>
    <row r="196">
      <c r="A196" s="21"/>
      <c r="B196" s="21"/>
      <c r="C196" s="21"/>
      <c r="D196" s="21"/>
      <c r="E196" s="21"/>
      <c r="F196" s="21" t="str">
        <f>IF(E196="","",VLOOKUP(E196,tipo_cuenta[#ALL],2,0))</f>
        <v/>
      </c>
    </row>
    <row r="197">
      <c r="A197" s="21"/>
      <c r="B197" s="21"/>
      <c r="C197" s="21"/>
      <c r="D197" s="21"/>
      <c r="E197" s="21"/>
      <c r="F197" s="21" t="str">
        <f>IF(E197="","",VLOOKUP(E197,tipo_cuenta[#ALL],2,0))</f>
        <v/>
      </c>
    </row>
    <row r="198">
      <c r="A198" s="21"/>
      <c r="B198" s="21"/>
      <c r="C198" s="21"/>
      <c r="D198" s="21"/>
      <c r="E198" s="21"/>
      <c r="F198" s="21" t="str">
        <f>IF(E198="","",VLOOKUP(E198,tipo_cuenta[#ALL],2,0))</f>
        <v/>
      </c>
    </row>
    <row r="199">
      <c r="A199" s="21"/>
      <c r="B199" s="21"/>
      <c r="C199" s="21"/>
      <c r="D199" s="21"/>
      <c r="E199" s="21"/>
      <c r="F199" s="21" t="str">
        <f>IF(E199="","",VLOOKUP(E199,tipo_cuenta[#ALL],2,0))</f>
        <v/>
      </c>
    </row>
    <row r="200">
      <c r="A200" s="21"/>
      <c r="B200" s="21"/>
      <c r="C200" s="21"/>
      <c r="D200" s="21"/>
      <c r="E200" s="21"/>
      <c r="F200" s="21" t="str">
        <f>IF(E200="","",VLOOKUP(E200,tipo_cuenta[#ALL],2,0))</f>
        <v/>
      </c>
    </row>
    <row r="201">
      <c r="A201" s="21"/>
      <c r="B201" s="21"/>
      <c r="C201" s="21"/>
      <c r="D201" s="21"/>
      <c r="E201" s="21"/>
      <c r="F201" s="21" t="str">
        <f>IF(E201="","",VLOOKUP(E201,tipo_cuenta[#ALL],2,0))</f>
        <v/>
      </c>
    </row>
    <row r="202">
      <c r="A202" s="21"/>
      <c r="B202" s="21"/>
      <c r="C202" s="21"/>
      <c r="D202" s="21"/>
      <c r="E202" s="21"/>
      <c r="F202" s="21" t="str">
        <f>IF(E202="","",VLOOKUP(E202,tipo_cuenta[#ALL],2,0))</f>
        <v/>
      </c>
    </row>
    <row r="203">
      <c r="A203" s="21"/>
      <c r="B203" s="21"/>
      <c r="C203" s="21"/>
      <c r="D203" s="21"/>
      <c r="E203" s="21"/>
      <c r="F203" s="21" t="str">
        <f>IF(E203="","",VLOOKUP(E203,tipo_cuenta[#ALL],2,0))</f>
        <v/>
      </c>
    </row>
    <row r="204">
      <c r="A204" s="21"/>
      <c r="B204" s="21"/>
      <c r="C204" s="21"/>
      <c r="D204" s="21"/>
      <c r="E204" s="21"/>
      <c r="F204" s="21" t="str">
        <f>IF(E204="","",VLOOKUP(E204,tipo_cuenta[#ALL],2,0))</f>
        <v/>
      </c>
    </row>
    <row r="205">
      <c r="A205" s="21"/>
      <c r="B205" s="21"/>
      <c r="C205" s="21"/>
      <c r="D205" s="21"/>
      <c r="E205" s="21"/>
      <c r="F205" s="21" t="str">
        <f>IF(E205="","",VLOOKUP(E205,tipo_cuenta[#ALL],2,0))</f>
        <v/>
      </c>
    </row>
    <row r="206">
      <c r="A206" s="21"/>
      <c r="B206" s="21"/>
      <c r="C206" s="21"/>
      <c r="D206" s="21"/>
      <c r="E206" s="21"/>
      <c r="F206" s="21" t="str">
        <f>IF(E206="","",VLOOKUP(E206,tipo_cuenta[#ALL],2,0))</f>
        <v/>
      </c>
    </row>
    <row r="207">
      <c r="A207" s="21"/>
      <c r="B207" s="21"/>
      <c r="C207" s="21"/>
      <c r="D207" s="21"/>
      <c r="E207" s="21"/>
      <c r="F207" s="21" t="str">
        <f>IF(E207="","",VLOOKUP(E207,tipo_cuenta[#ALL],2,0))</f>
        <v/>
      </c>
    </row>
    <row r="208">
      <c r="A208" s="21"/>
      <c r="B208" s="21"/>
      <c r="C208" s="21"/>
      <c r="D208" s="21"/>
      <c r="E208" s="21"/>
      <c r="F208" s="21" t="str">
        <f>IF(E208="","",VLOOKUP(E208,tipo_cuenta[#ALL],2,0))</f>
        <v/>
      </c>
    </row>
    <row r="209">
      <c r="A209" s="21"/>
      <c r="B209" s="21"/>
      <c r="C209" s="21"/>
      <c r="D209" s="21"/>
      <c r="E209" s="21"/>
      <c r="F209" s="21" t="str">
        <f>IF(E209="","",VLOOKUP(E209,tipo_cuenta[#ALL],2,0))</f>
        <v/>
      </c>
    </row>
    <row r="210">
      <c r="A210" s="21"/>
      <c r="B210" s="21"/>
      <c r="C210" s="21"/>
      <c r="D210" s="21"/>
      <c r="E210" s="21"/>
      <c r="F210" s="21" t="str">
        <f>IF(E210="","",VLOOKUP(E210,tipo_cuenta[#ALL],2,0))</f>
        <v/>
      </c>
    </row>
    <row r="211">
      <c r="A211" s="21"/>
      <c r="B211" s="21"/>
      <c r="C211" s="21"/>
      <c r="D211" s="21"/>
      <c r="E211" s="21"/>
      <c r="F211" s="21" t="str">
        <f>IF(E211="","",VLOOKUP(E211,tipo_cuenta[#ALL],2,0))</f>
        <v/>
      </c>
    </row>
    <row r="212">
      <c r="A212" s="21"/>
      <c r="B212" s="21"/>
      <c r="C212" s="21"/>
      <c r="D212" s="21"/>
      <c r="E212" s="21"/>
      <c r="F212" s="21" t="str">
        <f>IF(E212="","",VLOOKUP(E212,tipo_cuenta[#ALL],2,0))</f>
        <v/>
      </c>
    </row>
    <row r="213">
      <c r="A213" s="21"/>
      <c r="B213" s="21"/>
      <c r="C213" s="21"/>
      <c r="D213" s="21"/>
      <c r="E213" s="21"/>
      <c r="F213" s="21" t="str">
        <f>IF(E213="","",VLOOKUP(E213,tipo_cuenta[#ALL],2,0))</f>
        <v/>
      </c>
    </row>
    <row r="214">
      <c r="A214" s="21"/>
      <c r="B214" s="21"/>
      <c r="C214" s="21"/>
      <c r="D214" s="21"/>
      <c r="E214" s="21"/>
      <c r="F214" s="21" t="str">
        <f>IF(E214="","",VLOOKUP(E214,tipo_cuenta[#ALL],2,0))</f>
        <v/>
      </c>
    </row>
    <row r="215">
      <c r="A215" s="21"/>
      <c r="B215" s="21"/>
      <c r="C215" s="21"/>
      <c r="D215" s="21"/>
      <c r="E215" s="21"/>
      <c r="F215" s="21" t="str">
        <f>IF(E215="","",VLOOKUP(E215,tipo_cuenta[#ALL],2,0))</f>
        <v/>
      </c>
    </row>
    <row r="216">
      <c r="A216" s="21"/>
      <c r="B216" s="21"/>
      <c r="C216" s="21"/>
      <c r="D216" s="21"/>
      <c r="E216" s="21"/>
      <c r="F216" s="21" t="str">
        <f>IF(E216="","",VLOOKUP(E216,tipo_cuenta[#ALL],2,0))</f>
        <v/>
      </c>
    </row>
    <row r="217">
      <c r="A217" s="21"/>
      <c r="B217" s="21"/>
      <c r="C217" s="21"/>
      <c r="D217" s="21"/>
      <c r="E217" s="21"/>
      <c r="F217" s="21" t="str">
        <f>IF(E217="","",VLOOKUP(E217,tipo_cuenta[#ALL],2,0))</f>
        <v/>
      </c>
    </row>
    <row r="218">
      <c r="A218" s="21"/>
      <c r="B218" s="21"/>
      <c r="C218" s="21"/>
      <c r="D218" s="21"/>
      <c r="E218" s="21"/>
      <c r="F218" s="21" t="str">
        <f>IF(E218="","",VLOOKUP(E218,tipo_cuenta[#ALL],2,0))</f>
        <v/>
      </c>
    </row>
    <row r="219">
      <c r="A219" s="21"/>
      <c r="B219" s="21"/>
      <c r="C219" s="21"/>
      <c r="D219" s="21"/>
      <c r="E219" s="21"/>
      <c r="F219" s="21" t="str">
        <f>IF(E219="","",VLOOKUP(E219,tipo_cuenta[#ALL],2,0))</f>
        <v/>
      </c>
    </row>
    <row r="220">
      <c r="A220" s="21"/>
      <c r="B220" s="21"/>
      <c r="C220" s="21"/>
      <c r="D220" s="21"/>
      <c r="E220" s="21"/>
      <c r="F220" s="21" t="str">
        <f>IF(E220="","",VLOOKUP(E220,tipo_cuenta[#ALL],2,0))</f>
        <v/>
      </c>
    </row>
    <row r="221">
      <c r="A221" s="21"/>
      <c r="B221" s="21"/>
      <c r="C221" s="21"/>
      <c r="D221" s="21"/>
      <c r="E221" s="21"/>
      <c r="F221" s="21" t="str">
        <f>IF(E221="","",VLOOKUP(E221,tipo_cuenta[#ALL],2,0))</f>
        <v/>
      </c>
    </row>
    <row r="222">
      <c r="A222" s="21"/>
      <c r="B222" s="21"/>
      <c r="C222" s="21"/>
      <c r="D222" s="21"/>
      <c r="E222" s="21"/>
      <c r="F222" s="21" t="str">
        <f>IF(E222="","",VLOOKUP(E222,tipo_cuenta[#ALL],2,0))</f>
        <v/>
      </c>
    </row>
    <row r="223">
      <c r="A223" s="21"/>
      <c r="B223" s="21"/>
      <c r="C223" s="21"/>
      <c r="D223" s="21"/>
      <c r="E223" s="21"/>
      <c r="F223" s="21" t="str">
        <f>IF(E223="","",VLOOKUP(E223,tipo_cuenta[#ALL],2,0))</f>
        <v/>
      </c>
    </row>
    <row r="224">
      <c r="A224" s="21"/>
      <c r="B224" s="21"/>
      <c r="C224" s="21"/>
      <c r="D224" s="21"/>
      <c r="E224" s="21"/>
      <c r="F224" s="21" t="str">
        <f>IF(E224="","",VLOOKUP(E224,tipo_cuenta[#ALL],2,0))</f>
        <v/>
      </c>
    </row>
    <row r="225">
      <c r="A225" s="21"/>
      <c r="B225" s="21"/>
      <c r="C225" s="21"/>
      <c r="D225" s="21"/>
      <c r="E225" s="21"/>
      <c r="F225" s="21" t="str">
        <f>IF(E225="","",VLOOKUP(E225,tipo_cuenta[#ALL],2,0))</f>
        <v/>
      </c>
    </row>
    <row r="226">
      <c r="A226" s="21"/>
      <c r="B226" s="21"/>
      <c r="C226" s="21"/>
      <c r="D226" s="21"/>
      <c r="E226" s="21"/>
      <c r="F226" s="21" t="str">
        <f>IF(E226="","",VLOOKUP(E226,tipo_cuenta[#ALL],2,0))</f>
        <v/>
      </c>
    </row>
    <row r="227">
      <c r="A227" s="21"/>
      <c r="B227" s="21"/>
      <c r="C227" s="21"/>
      <c r="D227" s="21"/>
      <c r="E227" s="21"/>
      <c r="F227" s="21" t="str">
        <f>IF(E227="","",VLOOKUP(E227,tipo_cuenta[#ALL],2,0))</f>
        <v/>
      </c>
    </row>
    <row r="228">
      <c r="A228" s="21"/>
      <c r="B228" s="21"/>
      <c r="C228" s="21"/>
      <c r="D228" s="21"/>
      <c r="E228" s="21"/>
      <c r="F228" s="21" t="str">
        <f>IF(E228="","",VLOOKUP(E228,tipo_cuenta[#ALL],2,0))</f>
        <v/>
      </c>
    </row>
    <row r="229">
      <c r="A229" s="21"/>
      <c r="B229" s="21"/>
      <c r="C229" s="21"/>
      <c r="D229" s="21"/>
      <c r="E229" s="21"/>
      <c r="F229" s="21" t="str">
        <f>IF(E229="","",VLOOKUP(E229,tipo_cuenta[#ALL],2,0))</f>
        <v/>
      </c>
    </row>
    <row r="230">
      <c r="A230" s="21"/>
      <c r="B230" s="21"/>
      <c r="C230" s="21"/>
      <c r="D230" s="21"/>
      <c r="E230" s="21"/>
      <c r="F230" s="21" t="str">
        <f>IF(E230="","",VLOOKUP(E230,tipo_cuenta[#ALL],2,0))</f>
        <v/>
      </c>
    </row>
    <row r="231">
      <c r="A231" s="21"/>
      <c r="B231" s="21"/>
      <c r="C231" s="21"/>
      <c r="D231" s="21"/>
      <c r="E231" s="21"/>
      <c r="F231" s="21" t="str">
        <f>IF(E231="","",VLOOKUP(E231,tipo_cuenta[#ALL],2,0))</f>
        <v/>
      </c>
    </row>
    <row r="232">
      <c r="A232" s="21"/>
      <c r="B232" s="21"/>
      <c r="C232" s="21"/>
      <c r="D232" s="21"/>
      <c r="E232" s="21"/>
      <c r="F232" s="21" t="str">
        <f>IF(E232="","",VLOOKUP(E232,tipo_cuenta[#ALL],2,0))</f>
        <v/>
      </c>
    </row>
    <row r="233">
      <c r="A233" s="21"/>
      <c r="B233" s="21"/>
      <c r="C233" s="21"/>
      <c r="D233" s="21"/>
      <c r="E233" s="21"/>
      <c r="F233" s="21" t="str">
        <f>IF(E233="","",VLOOKUP(E233,tipo_cuenta[#ALL],2,0))</f>
        <v/>
      </c>
    </row>
    <row r="234">
      <c r="A234" s="21"/>
      <c r="B234" s="21"/>
      <c r="C234" s="21"/>
      <c r="D234" s="21"/>
      <c r="E234" s="21"/>
      <c r="F234" s="21" t="str">
        <f>IF(E234="","",VLOOKUP(E234,tipo_cuenta[#ALL],2,0))</f>
        <v/>
      </c>
    </row>
    <row r="235">
      <c r="A235" s="21"/>
      <c r="B235" s="21"/>
      <c r="C235" s="21"/>
      <c r="D235" s="21"/>
      <c r="E235" s="21"/>
      <c r="F235" s="21" t="str">
        <f>IF(E235="","",VLOOKUP(E235,tipo_cuenta[#ALL],2,0))</f>
        <v/>
      </c>
    </row>
    <row r="236">
      <c r="A236" s="21"/>
      <c r="B236" s="21"/>
      <c r="C236" s="21"/>
      <c r="D236" s="21"/>
      <c r="E236" s="21"/>
      <c r="F236" s="21" t="str">
        <f>IF(E236="","",VLOOKUP(E236,tipo_cuenta[#ALL],2,0))</f>
        <v/>
      </c>
    </row>
    <row r="237">
      <c r="A237" s="21"/>
      <c r="B237" s="21"/>
      <c r="C237" s="21"/>
      <c r="D237" s="21"/>
      <c r="E237" s="21"/>
      <c r="F237" s="21" t="str">
        <f>IF(E237="","",VLOOKUP(E237,tipo_cuenta[#ALL],2,0))</f>
        <v/>
      </c>
    </row>
    <row r="238">
      <c r="A238" s="21"/>
      <c r="B238" s="21"/>
      <c r="C238" s="21"/>
      <c r="D238" s="21"/>
      <c r="E238" s="21"/>
      <c r="F238" s="21" t="str">
        <f>IF(E238="","",VLOOKUP(E238,tipo_cuenta[#ALL],2,0))</f>
        <v/>
      </c>
    </row>
    <row r="239">
      <c r="A239" s="21"/>
      <c r="B239" s="21"/>
      <c r="C239" s="21"/>
      <c r="D239" s="21"/>
      <c r="E239" s="21"/>
      <c r="F239" s="21" t="str">
        <f>IF(E239="","",VLOOKUP(E239,tipo_cuenta[#ALL],2,0))</f>
        <v/>
      </c>
    </row>
    <row r="240">
      <c r="A240" s="21"/>
      <c r="B240" s="21"/>
      <c r="C240" s="21"/>
      <c r="D240" s="21"/>
      <c r="E240" s="21"/>
      <c r="F240" s="21" t="str">
        <f>IF(E240="","",VLOOKUP(E240,tipo_cuenta[#ALL],2,0))</f>
        <v/>
      </c>
    </row>
    <row r="241">
      <c r="A241" s="21"/>
      <c r="B241" s="21"/>
      <c r="C241" s="21"/>
      <c r="D241" s="21"/>
      <c r="E241" s="21"/>
      <c r="F241" s="21" t="str">
        <f>IF(E241="","",VLOOKUP(E241,tipo_cuenta[#ALL],2,0))</f>
        <v/>
      </c>
    </row>
    <row r="242">
      <c r="A242" s="21"/>
      <c r="B242" s="21"/>
      <c r="C242" s="21"/>
      <c r="D242" s="21"/>
      <c r="E242" s="21"/>
      <c r="F242" s="21" t="str">
        <f>IF(E242="","",VLOOKUP(E242,tipo_cuenta[#ALL],2,0))</f>
        <v/>
      </c>
    </row>
    <row r="243">
      <c r="A243" s="21"/>
      <c r="B243" s="21"/>
      <c r="C243" s="21"/>
      <c r="D243" s="21"/>
      <c r="E243" s="21"/>
      <c r="F243" s="21" t="str">
        <f>IF(E243="","",VLOOKUP(E243,tipo_cuenta[#ALL],2,0))</f>
        <v/>
      </c>
    </row>
    <row r="244">
      <c r="A244" s="21"/>
      <c r="B244" s="21"/>
      <c r="C244" s="21"/>
      <c r="D244" s="21"/>
      <c r="E244" s="21"/>
      <c r="F244" s="21" t="str">
        <f>IF(E244="","",VLOOKUP(E244,tipo_cuenta[#ALL],2,0))</f>
        <v/>
      </c>
    </row>
    <row r="245">
      <c r="A245" s="21"/>
      <c r="B245" s="21"/>
      <c r="C245" s="21"/>
      <c r="D245" s="21"/>
      <c r="E245" s="21"/>
      <c r="F245" s="21" t="str">
        <f>IF(E245="","",VLOOKUP(E245,tipo_cuenta[#ALL],2,0))</f>
        <v/>
      </c>
    </row>
    <row r="246">
      <c r="A246" s="21"/>
      <c r="B246" s="21"/>
      <c r="C246" s="21"/>
      <c r="D246" s="21"/>
      <c r="E246" s="21"/>
      <c r="F246" s="21" t="str">
        <f>IF(E246="","",VLOOKUP(E246,tipo_cuenta[#ALL],2,0))</f>
        <v/>
      </c>
    </row>
    <row r="247">
      <c r="A247" s="21"/>
      <c r="B247" s="21"/>
      <c r="C247" s="21"/>
      <c r="D247" s="21"/>
      <c r="E247" s="21"/>
      <c r="F247" s="21" t="str">
        <f>IF(E247="","",VLOOKUP(E247,tipo_cuenta[#ALL],2,0))</f>
        <v/>
      </c>
    </row>
    <row r="248">
      <c r="A248" s="21"/>
      <c r="B248" s="21"/>
      <c r="C248" s="21"/>
      <c r="D248" s="21"/>
      <c r="E248" s="21"/>
      <c r="F248" s="21" t="str">
        <f>IF(E248="","",VLOOKUP(E248,tipo_cuenta[#ALL],2,0))</f>
        <v/>
      </c>
    </row>
    <row r="249">
      <c r="A249" s="21"/>
      <c r="B249" s="21"/>
      <c r="C249" s="21"/>
      <c r="D249" s="21"/>
      <c r="E249" s="21"/>
      <c r="F249" s="21" t="str">
        <f>IF(E249="","",VLOOKUP(E249,tipo_cuenta[#ALL],2,0))</f>
        <v/>
      </c>
    </row>
    <row r="250">
      <c r="A250" s="21"/>
      <c r="B250" s="21"/>
      <c r="C250" s="21"/>
      <c r="D250" s="21"/>
      <c r="E250" s="21"/>
      <c r="F250" s="21" t="str">
        <f>IF(E250="","",VLOOKUP(E250,tipo_cuenta[#ALL],2,0))</f>
        <v/>
      </c>
    </row>
    <row r="251">
      <c r="A251" s="21"/>
      <c r="B251" s="21"/>
      <c r="C251" s="21"/>
      <c r="D251" s="21"/>
      <c r="E251" s="21"/>
      <c r="F251" s="21" t="str">
        <f>IF(E251="","",VLOOKUP(E251,tipo_cuenta[#ALL],2,0))</f>
        <v/>
      </c>
    </row>
    <row r="252">
      <c r="A252" s="21"/>
      <c r="B252" s="21"/>
      <c r="C252" s="21"/>
      <c r="D252" s="21"/>
      <c r="E252" s="21"/>
      <c r="F252" s="21" t="str">
        <f>IF(E252="","",VLOOKUP(E252,tipo_cuenta[#ALL],2,0))</f>
        <v/>
      </c>
    </row>
    <row r="253">
      <c r="A253" s="21"/>
      <c r="B253" s="21"/>
      <c r="C253" s="21"/>
      <c r="D253" s="21"/>
      <c r="E253" s="21"/>
      <c r="F253" s="21" t="str">
        <f>IF(E253="","",VLOOKUP(E253,tipo_cuenta[#ALL],2,0))</f>
        <v/>
      </c>
    </row>
    <row r="254">
      <c r="A254" s="21"/>
      <c r="B254" s="21"/>
      <c r="C254" s="21"/>
      <c r="D254" s="21"/>
      <c r="E254" s="21"/>
      <c r="F254" s="21" t="str">
        <f>IF(E254="","",VLOOKUP(E254,tipo_cuenta[#ALL],2,0))</f>
        <v/>
      </c>
    </row>
    <row r="255">
      <c r="A255" s="21"/>
      <c r="B255" s="21"/>
      <c r="C255" s="21"/>
      <c r="D255" s="21"/>
      <c r="E255" s="21"/>
      <c r="F255" s="21" t="str">
        <f>IF(E255="","",VLOOKUP(E255,tipo_cuenta[#ALL],2,0))</f>
        <v/>
      </c>
    </row>
    <row r="256">
      <c r="A256" s="21"/>
      <c r="B256" s="21"/>
      <c r="C256" s="21"/>
      <c r="D256" s="21"/>
      <c r="E256" s="21"/>
      <c r="F256" s="21" t="str">
        <f>IF(E256="","",VLOOKUP(E256,tipo_cuenta[#ALL],2,0))</f>
        <v/>
      </c>
    </row>
    <row r="257">
      <c r="A257" s="21"/>
      <c r="B257" s="21"/>
      <c r="C257" s="21"/>
      <c r="D257" s="21"/>
      <c r="E257" s="21"/>
      <c r="F257" s="21" t="str">
        <f>IF(E257="","",VLOOKUP(E257,tipo_cuenta[#ALL],2,0))</f>
        <v/>
      </c>
    </row>
    <row r="258">
      <c r="A258" s="21"/>
      <c r="B258" s="21"/>
      <c r="C258" s="21"/>
      <c r="D258" s="21"/>
      <c r="E258" s="21"/>
      <c r="F258" s="21" t="str">
        <f>IF(E258="","",VLOOKUP(E258,tipo_cuenta[#ALL],2,0))</f>
        <v/>
      </c>
    </row>
    <row r="259">
      <c r="A259" s="21"/>
      <c r="B259" s="21"/>
      <c r="C259" s="21"/>
      <c r="D259" s="21"/>
      <c r="E259" s="21"/>
      <c r="F259" s="21" t="str">
        <f>IF(E259="","",VLOOKUP(E259,tipo_cuenta[#ALL],2,0))</f>
        <v/>
      </c>
    </row>
    <row r="260">
      <c r="A260" s="21"/>
      <c r="B260" s="21"/>
      <c r="C260" s="21"/>
      <c r="D260" s="21"/>
      <c r="E260" s="21"/>
      <c r="F260" s="21" t="str">
        <f>IF(E260="","",VLOOKUP(E260,tipo_cuenta[#ALL],2,0))</f>
        <v/>
      </c>
    </row>
    <row r="261">
      <c r="A261" s="21"/>
      <c r="B261" s="21"/>
      <c r="C261" s="21"/>
      <c r="D261" s="21"/>
      <c r="E261" s="21"/>
      <c r="F261" s="21" t="str">
        <f>IF(E261="","",VLOOKUP(E261,tipo_cuenta[#ALL],2,0))</f>
        <v/>
      </c>
    </row>
    <row r="262">
      <c r="A262" s="21"/>
      <c r="B262" s="21"/>
      <c r="C262" s="21"/>
      <c r="D262" s="21"/>
      <c r="E262" s="21"/>
      <c r="F262" s="21" t="str">
        <f>IF(E262="","",VLOOKUP(E262,tipo_cuenta[#ALL],2,0))</f>
        <v/>
      </c>
    </row>
    <row r="263">
      <c r="A263" s="21"/>
      <c r="B263" s="21"/>
      <c r="C263" s="21"/>
      <c r="D263" s="21"/>
      <c r="E263" s="21"/>
      <c r="F263" s="21" t="str">
        <f>IF(E263="","",VLOOKUP(E263,tipo_cuenta[#ALL],2,0))</f>
        <v/>
      </c>
    </row>
    <row r="264">
      <c r="A264" s="21"/>
      <c r="B264" s="21"/>
      <c r="C264" s="21"/>
      <c r="D264" s="21"/>
      <c r="E264" s="21"/>
      <c r="F264" s="21" t="str">
        <f>IF(E264="","",VLOOKUP(E264,tipo_cuenta[#ALL],2,0))</f>
        <v/>
      </c>
    </row>
    <row r="265">
      <c r="A265" s="21"/>
      <c r="B265" s="21"/>
      <c r="C265" s="21"/>
      <c r="D265" s="21"/>
      <c r="E265" s="21"/>
      <c r="F265" s="21" t="str">
        <f>IF(E265="","",VLOOKUP(E265,tipo_cuenta[#ALL],2,0))</f>
        <v/>
      </c>
    </row>
    <row r="266">
      <c r="A266" s="21"/>
      <c r="B266" s="21"/>
      <c r="C266" s="21"/>
      <c r="D266" s="21"/>
      <c r="E266" s="21"/>
      <c r="F266" s="21" t="str">
        <f>IF(E266="","",VLOOKUP(E266,tipo_cuenta[#ALL],2,0))</f>
        <v/>
      </c>
    </row>
    <row r="267">
      <c r="A267" s="21"/>
      <c r="B267" s="21"/>
      <c r="C267" s="21"/>
      <c r="D267" s="21"/>
      <c r="E267" s="21"/>
      <c r="F267" s="21" t="str">
        <f>IF(E267="","",VLOOKUP(E267,tipo_cuenta[#ALL],2,0))</f>
        <v/>
      </c>
    </row>
    <row r="268">
      <c r="A268" s="21"/>
      <c r="B268" s="21"/>
      <c r="C268" s="21"/>
      <c r="D268" s="21"/>
      <c r="E268" s="21"/>
      <c r="F268" s="21" t="str">
        <f>IF(E268="","",VLOOKUP(E268,tipo_cuenta[#ALL],2,0))</f>
        <v/>
      </c>
    </row>
    <row r="269">
      <c r="A269" s="21"/>
      <c r="B269" s="21"/>
      <c r="C269" s="21"/>
      <c r="D269" s="21"/>
      <c r="E269" s="21"/>
      <c r="F269" s="21" t="str">
        <f>IF(E269="","",VLOOKUP(E269,tipo_cuenta[#ALL],2,0))</f>
        <v/>
      </c>
    </row>
    <row r="270">
      <c r="A270" s="21"/>
      <c r="B270" s="21"/>
      <c r="C270" s="21"/>
      <c r="D270" s="21"/>
      <c r="E270" s="21"/>
      <c r="F270" s="21" t="str">
        <f>IF(E270="","",VLOOKUP(E270,tipo_cuenta[#ALL],2,0))</f>
        <v/>
      </c>
    </row>
    <row r="271">
      <c r="A271" s="21"/>
      <c r="B271" s="21"/>
      <c r="C271" s="21"/>
      <c r="D271" s="21"/>
      <c r="E271" s="21"/>
      <c r="F271" s="21" t="str">
        <f>IF(E271="","",VLOOKUP(E271,tipo_cuenta[#ALL],2,0))</f>
        <v/>
      </c>
    </row>
    <row r="272">
      <c r="A272" s="21"/>
      <c r="B272" s="21"/>
      <c r="C272" s="21"/>
      <c r="D272" s="21"/>
      <c r="E272" s="21"/>
      <c r="F272" s="21" t="str">
        <f>IF(E272="","",VLOOKUP(E272,tipo_cuenta[#ALL],2,0))</f>
        <v/>
      </c>
    </row>
    <row r="273">
      <c r="A273" s="21"/>
      <c r="B273" s="21"/>
      <c r="C273" s="21"/>
      <c r="D273" s="21"/>
      <c r="E273" s="21"/>
      <c r="F273" s="21" t="str">
        <f>IF(E273="","",VLOOKUP(E273,tipo_cuenta[#ALL],2,0))</f>
        <v/>
      </c>
    </row>
    <row r="274">
      <c r="A274" s="21"/>
      <c r="B274" s="21"/>
      <c r="C274" s="21"/>
      <c r="D274" s="21"/>
      <c r="E274" s="21"/>
      <c r="F274" s="21" t="str">
        <f>IF(E274="","",VLOOKUP(E274,tipo_cuenta[#ALL],2,0))</f>
        <v/>
      </c>
    </row>
    <row r="275">
      <c r="A275" s="21"/>
      <c r="B275" s="21"/>
      <c r="C275" s="21"/>
      <c r="D275" s="21"/>
      <c r="E275" s="21"/>
      <c r="F275" s="21" t="str">
        <f>IF(E275="","",VLOOKUP(E275,tipo_cuenta[#ALL],2,0))</f>
        <v/>
      </c>
    </row>
    <row r="276">
      <c r="A276" s="21"/>
      <c r="B276" s="21"/>
      <c r="C276" s="21"/>
      <c r="D276" s="21"/>
      <c r="E276" s="21"/>
      <c r="F276" s="21" t="str">
        <f>IF(E276="","",VLOOKUP(E276,tipo_cuenta[#ALL],2,0))</f>
        <v/>
      </c>
    </row>
    <row r="277">
      <c r="A277" s="21"/>
      <c r="B277" s="21"/>
      <c r="C277" s="21"/>
      <c r="D277" s="21"/>
      <c r="E277" s="21"/>
      <c r="F277" s="21" t="str">
        <f>IF(E277="","",VLOOKUP(E277,tipo_cuenta[#ALL],2,0))</f>
        <v/>
      </c>
    </row>
    <row r="278">
      <c r="A278" s="21"/>
      <c r="B278" s="21"/>
      <c r="C278" s="21"/>
      <c r="D278" s="21"/>
      <c r="E278" s="21"/>
      <c r="F278" s="21" t="str">
        <f>IF(E278="","",VLOOKUP(E278,tipo_cuenta[#ALL],2,0))</f>
        <v/>
      </c>
    </row>
    <row r="279">
      <c r="A279" s="21"/>
      <c r="B279" s="21"/>
      <c r="C279" s="21"/>
      <c r="D279" s="21"/>
      <c r="E279" s="21"/>
      <c r="F279" s="21" t="str">
        <f>IF(E279="","",VLOOKUP(E279,tipo_cuenta[#ALL],2,0))</f>
        <v/>
      </c>
    </row>
    <row r="280">
      <c r="A280" s="21"/>
      <c r="B280" s="21"/>
      <c r="C280" s="21"/>
      <c r="D280" s="21"/>
      <c r="E280" s="21"/>
      <c r="F280" s="21" t="str">
        <f>IF(E280="","",VLOOKUP(E280,tipo_cuenta[#ALL],2,0))</f>
        <v/>
      </c>
    </row>
    <row r="281">
      <c r="A281" s="21"/>
      <c r="B281" s="21"/>
      <c r="C281" s="21"/>
      <c r="D281" s="21"/>
      <c r="E281" s="21"/>
      <c r="F281" s="21" t="str">
        <f>IF(E281="","",VLOOKUP(E281,tipo_cuenta[#ALL],2,0))</f>
        <v/>
      </c>
    </row>
    <row r="282">
      <c r="A282" s="21"/>
      <c r="B282" s="21"/>
      <c r="C282" s="21"/>
      <c r="D282" s="21"/>
      <c r="E282" s="21"/>
      <c r="F282" s="21" t="str">
        <f>IF(E282="","",VLOOKUP(E282,tipo_cuenta[#ALL],2,0))</f>
        <v/>
      </c>
    </row>
    <row r="283">
      <c r="A283" s="21"/>
      <c r="B283" s="21"/>
      <c r="C283" s="21"/>
      <c r="D283" s="21"/>
      <c r="E283" s="21"/>
      <c r="F283" s="21" t="str">
        <f>IF(E283="","",VLOOKUP(E283,tipo_cuenta[#ALL],2,0))</f>
        <v/>
      </c>
    </row>
    <row r="284">
      <c r="A284" s="21"/>
      <c r="B284" s="21"/>
      <c r="C284" s="21"/>
      <c r="D284" s="21"/>
      <c r="E284" s="21"/>
      <c r="F284" s="21" t="str">
        <f>IF(E284="","",VLOOKUP(E284,tipo_cuenta[#ALL],2,0))</f>
        <v/>
      </c>
    </row>
    <row r="285">
      <c r="A285" s="21"/>
      <c r="B285" s="21"/>
      <c r="C285" s="21"/>
      <c r="D285" s="21"/>
      <c r="E285" s="21"/>
      <c r="F285" s="21" t="str">
        <f>IF(E285="","",VLOOKUP(E285,tipo_cuenta[#ALL],2,0))</f>
        <v/>
      </c>
    </row>
    <row r="286">
      <c r="A286" s="21"/>
      <c r="B286" s="21"/>
      <c r="C286" s="21"/>
      <c r="D286" s="21"/>
      <c r="E286" s="21"/>
      <c r="F286" s="21" t="str">
        <f>IF(E286="","",VLOOKUP(E286,tipo_cuenta[#ALL],2,0))</f>
        <v/>
      </c>
    </row>
    <row r="287">
      <c r="A287" s="21"/>
      <c r="B287" s="21"/>
      <c r="C287" s="21"/>
      <c r="D287" s="21"/>
      <c r="E287" s="21"/>
      <c r="F287" s="21" t="str">
        <f>IF(E287="","",VLOOKUP(E287,tipo_cuenta[#ALL],2,0))</f>
        <v/>
      </c>
    </row>
    <row r="288">
      <c r="A288" s="21"/>
      <c r="B288" s="21"/>
      <c r="C288" s="21"/>
      <c r="D288" s="21"/>
      <c r="E288" s="21"/>
      <c r="F288" s="21" t="str">
        <f>IF(E288="","",VLOOKUP(E288,tipo_cuenta[#ALL],2,0))</f>
        <v/>
      </c>
    </row>
    <row r="289">
      <c r="A289" s="21"/>
      <c r="B289" s="21"/>
      <c r="C289" s="21"/>
      <c r="D289" s="21"/>
      <c r="E289" s="21"/>
      <c r="F289" s="21" t="str">
        <f>IF(E289="","",VLOOKUP(E289,tipo_cuenta[#ALL],2,0))</f>
        <v/>
      </c>
    </row>
    <row r="290">
      <c r="A290" s="21"/>
      <c r="B290" s="21"/>
      <c r="C290" s="21"/>
      <c r="D290" s="21"/>
      <c r="E290" s="21"/>
      <c r="F290" s="21" t="str">
        <f>IF(E290="","",VLOOKUP(E290,tipo_cuenta[#ALL],2,0))</f>
        <v/>
      </c>
    </row>
    <row r="291">
      <c r="A291" s="21"/>
      <c r="B291" s="21"/>
      <c r="C291" s="21"/>
      <c r="D291" s="21"/>
      <c r="E291" s="21"/>
      <c r="F291" s="21" t="str">
        <f>IF(E291="","",VLOOKUP(E291,tipo_cuenta[#ALL],2,0))</f>
        <v/>
      </c>
    </row>
    <row r="292">
      <c r="A292" s="21"/>
      <c r="B292" s="21"/>
      <c r="C292" s="21"/>
      <c r="D292" s="21"/>
      <c r="E292" s="21"/>
      <c r="F292" s="21" t="str">
        <f>IF(E292="","",VLOOKUP(E292,tipo_cuenta[#ALL],2,0))</f>
        <v/>
      </c>
    </row>
    <row r="293">
      <c r="A293" s="21"/>
      <c r="B293" s="21"/>
      <c r="C293" s="21"/>
      <c r="D293" s="21"/>
      <c r="E293" s="21"/>
      <c r="F293" s="21" t="str">
        <f>IF(E293="","",VLOOKUP(E293,tipo_cuenta[#ALL],2,0))</f>
        <v/>
      </c>
    </row>
    <row r="294">
      <c r="A294" s="21"/>
      <c r="B294" s="21"/>
      <c r="C294" s="21"/>
      <c r="D294" s="21"/>
      <c r="E294" s="21"/>
      <c r="F294" s="21" t="str">
        <f>IF(E294="","",VLOOKUP(E294,tipo_cuenta[#ALL],2,0))</f>
        <v/>
      </c>
    </row>
    <row r="295">
      <c r="A295" s="21"/>
      <c r="B295" s="21"/>
      <c r="C295" s="21"/>
      <c r="D295" s="21"/>
      <c r="E295" s="21"/>
      <c r="F295" s="21" t="str">
        <f>IF(E295="","",VLOOKUP(E295,tipo_cuenta[#ALL],2,0))</f>
        <v/>
      </c>
    </row>
    <row r="296">
      <c r="A296" s="21"/>
      <c r="B296" s="21"/>
      <c r="C296" s="21"/>
      <c r="D296" s="21"/>
      <c r="E296" s="21"/>
      <c r="F296" s="21" t="str">
        <f>IF(E296="","",VLOOKUP(E296,tipo_cuenta[#ALL],2,0))</f>
        <v/>
      </c>
    </row>
    <row r="297">
      <c r="A297" s="21"/>
      <c r="B297" s="21"/>
      <c r="C297" s="21"/>
      <c r="D297" s="21"/>
      <c r="E297" s="21"/>
      <c r="F297" s="21" t="str">
        <f>IF(E297="","",VLOOKUP(E297,tipo_cuenta[#ALL],2,0))</f>
        <v/>
      </c>
    </row>
    <row r="298">
      <c r="A298" s="21"/>
      <c r="B298" s="21"/>
      <c r="C298" s="21"/>
      <c r="D298" s="21"/>
      <c r="E298" s="21"/>
      <c r="F298" s="21" t="str">
        <f>IF(E298="","",VLOOKUP(E298,tipo_cuenta[#ALL],2,0))</f>
        <v/>
      </c>
    </row>
    <row r="299">
      <c r="A299" s="21"/>
      <c r="B299" s="21"/>
      <c r="C299" s="21"/>
      <c r="D299" s="21"/>
      <c r="E299" s="21"/>
      <c r="F299" s="21" t="str">
        <f>IF(E299="","",VLOOKUP(E299,tipo_cuenta[#ALL],2,0))</f>
        <v/>
      </c>
    </row>
    <row r="300">
      <c r="A300" s="21"/>
      <c r="B300" s="21"/>
      <c r="C300" s="21"/>
      <c r="D300" s="21"/>
      <c r="E300" s="21"/>
      <c r="F300" s="21" t="str">
        <f>IF(E300="","",VLOOKUP(E300,tipo_cuenta[#ALL],2,0))</f>
        <v/>
      </c>
    </row>
    <row r="301">
      <c r="A301" s="21"/>
      <c r="B301" s="21"/>
      <c r="C301" s="21"/>
      <c r="D301" s="21"/>
      <c r="E301" s="21"/>
      <c r="F301" s="21" t="str">
        <f>IF(E301="","",VLOOKUP(E301,tipo_cuenta[#ALL],2,0))</f>
        <v/>
      </c>
    </row>
    <row r="302">
      <c r="A302" s="21"/>
      <c r="B302" s="21"/>
      <c r="C302" s="21"/>
      <c r="D302" s="21"/>
      <c r="E302" s="21"/>
      <c r="F302" s="21" t="str">
        <f>IF(E302="","",VLOOKUP(E302,tipo_cuenta[#ALL],2,0))</f>
        <v/>
      </c>
    </row>
    <row r="303">
      <c r="A303" s="21"/>
      <c r="B303" s="21"/>
      <c r="C303" s="21"/>
      <c r="D303" s="21"/>
      <c r="E303" s="21"/>
      <c r="F303" s="21" t="str">
        <f>IF(E303="","",VLOOKUP(E303,tipo_cuenta[#ALL],2,0))</f>
        <v/>
      </c>
    </row>
    <row r="304">
      <c r="A304" s="21"/>
      <c r="B304" s="21"/>
      <c r="C304" s="21"/>
      <c r="D304" s="21"/>
      <c r="E304" s="21"/>
      <c r="F304" s="21" t="str">
        <f>IF(E304="","",VLOOKUP(E304,tipo_cuenta[#ALL],2,0))</f>
        <v/>
      </c>
    </row>
    <row r="305">
      <c r="A305" s="21"/>
      <c r="B305" s="21"/>
      <c r="C305" s="21"/>
      <c r="D305" s="21"/>
      <c r="E305" s="21"/>
      <c r="F305" s="21" t="str">
        <f>IF(E305="","",VLOOKUP(E305,tipo_cuenta[#ALL],2,0))</f>
        <v/>
      </c>
    </row>
    <row r="306">
      <c r="A306" s="21"/>
      <c r="B306" s="21"/>
      <c r="C306" s="21"/>
      <c r="D306" s="21"/>
      <c r="E306" s="21"/>
      <c r="F306" s="21" t="str">
        <f>IF(E306="","",VLOOKUP(E306,tipo_cuenta[#ALL],2,0))</f>
        <v/>
      </c>
    </row>
    <row r="307">
      <c r="A307" s="21"/>
      <c r="B307" s="21"/>
      <c r="C307" s="21"/>
      <c r="D307" s="21"/>
      <c r="E307" s="21"/>
      <c r="F307" s="21" t="str">
        <f>IF(E307="","",VLOOKUP(E307,tipo_cuenta[#ALL],2,0))</f>
        <v/>
      </c>
    </row>
    <row r="308">
      <c r="A308" s="21"/>
      <c r="B308" s="21"/>
      <c r="C308" s="21"/>
      <c r="D308" s="21"/>
      <c r="E308" s="21"/>
      <c r="F308" s="21" t="str">
        <f>IF(E308="","",VLOOKUP(E308,tipo_cuenta[#ALL],2,0))</f>
        <v/>
      </c>
    </row>
    <row r="309">
      <c r="A309" s="21"/>
      <c r="B309" s="21"/>
      <c r="C309" s="21"/>
      <c r="D309" s="21"/>
      <c r="E309" s="21"/>
      <c r="F309" s="21" t="str">
        <f>IF(E309="","",VLOOKUP(E309,tipo_cuenta[#ALL],2,0))</f>
        <v/>
      </c>
    </row>
    <row r="310">
      <c r="A310" s="21"/>
      <c r="B310" s="21"/>
      <c r="C310" s="21"/>
      <c r="D310" s="21"/>
      <c r="E310" s="21"/>
      <c r="F310" s="21" t="str">
        <f>IF(E310="","",VLOOKUP(E310,tipo_cuenta[#ALL],2,0))</f>
        <v/>
      </c>
    </row>
    <row r="311">
      <c r="A311" s="21"/>
      <c r="B311" s="21"/>
      <c r="C311" s="21"/>
      <c r="D311" s="21"/>
      <c r="E311" s="21"/>
      <c r="F311" s="21" t="str">
        <f>IF(E311="","",VLOOKUP(E311,tipo_cuenta[#ALL],2,0))</f>
        <v/>
      </c>
    </row>
    <row r="312">
      <c r="A312" s="21"/>
      <c r="B312" s="21"/>
      <c r="C312" s="21"/>
      <c r="D312" s="21"/>
      <c r="E312" s="21"/>
      <c r="F312" s="21" t="str">
        <f>IF(E312="","",VLOOKUP(E312,tipo_cuenta[#ALL],2,0))</f>
        <v/>
      </c>
    </row>
    <row r="313">
      <c r="A313" s="21"/>
      <c r="B313" s="21"/>
      <c r="C313" s="21"/>
      <c r="D313" s="21"/>
      <c r="E313" s="21"/>
      <c r="F313" s="21" t="str">
        <f>IF(E313="","",VLOOKUP(E313,tipo_cuenta[#ALL],2,0))</f>
        <v/>
      </c>
    </row>
    <row r="314">
      <c r="A314" s="21"/>
      <c r="B314" s="21"/>
      <c r="C314" s="21"/>
      <c r="D314" s="21"/>
      <c r="E314" s="21"/>
      <c r="F314" s="21" t="str">
        <f>IF(E314="","",VLOOKUP(E314,tipo_cuenta[#ALL],2,0))</f>
        <v/>
      </c>
    </row>
    <row r="315">
      <c r="A315" s="21"/>
      <c r="B315" s="21"/>
      <c r="C315" s="21"/>
      <c r="D315" s="21"/>
      <c r="E315" s="21"/>
      <c r="F315" s="21" t="str">
        <f>IF(E315="","",VLOOKUP(E315,tipo_cuenta[#ALL],2,0))</f>
        <v/>
      </c>
    </row>
    <row r="316">
      <c r="A316" s="21"/>
      <c r="B316" s="21"/>
      <c r="C316" s="21"/>
      <c r="D316" s="21"/>
      <c r="E316" s="21"/>
      <c r="F316" s="21" t="str">
        <f>IF(E316="","",VLOOKUP(E316,tipo_cuenta[#ALL],2,0))</f>
        <v/>
      </c>
    </row>
    <row r="317">
      <c r="A317" s="21"/>
      <c r="B317" s="21"/>
      <c r="C317" s="21"/>
      <c r="D317" s="21"/>
      <c r="E317" s="21"/>
      <c r="F317" s="21" t="str">
        <f>IF(E317="","",VLOOKUP(E317,tipo_cuenta[#ALL],2,0))</f>
        <v/>
      </c>
    </row>
    <row r="318">
      <c r="A318" s="21"/>
      <c r="B318" s="21"/>
      <c r="C318" s="21"/>
      <c r="D318" s="21"/>
      <c r="E318" s="21"/>
      <c r="F318" s="21" t="str">
        <f>IF(E318="","",VLOOKUP(E318,tipo_cuenta[#ALL],2,0))</f>
        <v/>
      </c>
    </row>
    <row r="319">
      <c r="A319" s="21"/>
      <c r="B319" s="21"/>
      <c r="C319" s="21"/>
      <c r="D319" s="21"/>
      <c r="E319" s="21"/>
      <c r="F319" s="21" t="str">
        <f>IF(E319="","",VLOOKUP(E319,tipo_cuenta[#ALL],2,0))</f>
        <v/>
      </c>
    </row>
    <row r="320">
      <c r="A320" s="21"/>
      <c r="B320" s="21"/>
      <c r="C320" s="21"/>
      <c r="D320" s="21"/>
      <c r="E320" s="21"/>
      <c r="F320" s="21" t="str">
        <f>IF(E320="","",VLOOKUP(E320,tipo_cuenta[#ALL],2,0))</f>
        <v/>
      </c>
    </row>
    <row r="321">
      <c r="A321" s="21"/>
      <c r="B321" s="21"/>
      <c r="C321" s="21"/>
      <c r="D321" s="21"/>
      <c r="E321" s="21"/>
      <c r="F321" s="21" t="str">
        <f>IF(E321="","",VLOOKUP(E321,tipo_cuenta[#ALL],2,0))</f>
        <v/>
      </c>
    </row>
    <row r="322">
      <c r="A322" s="21"/>
      <c r="B322" s="21"/>
      <c r="C322" s="21"/>
      <c r="D322" s="21"/>
      <c r="E322" s="21"/>
      <c r="F322" s="21" t="str">
        <f>IF(E322="","",VLOOKUP(E322,tipo_cuenta[#ALL],2,0))</f>
        <v/>
      </c>
    </row>
    <row r="323">
      <c r="A323" s="21"/>
      <c r="B323" s="21"/>
      <c r="C323" s="21"/>
      <c r="D323" s="21"/>
      <c r="E323" s="21"/>
      <c r="F323" s="21" t="str">
        <f>IF(E323="","",VLOOKUP(E323,tipo_cuenta[#ALL],2,0))</f>
        <v/>
      </c>
    </row>
    <row r="324">
      <c r="A324" s="21"/>
      <c r="B324" s="21"/>
      <c r="C324" s="21"/>
      <c r="D324" s="21"/>
      <c r="E324" s="21"/>
      <c r="F324" s="21" t="str">
        <f>IF(E324="","",VLOOKUP(E324,tipo_cuenta[#ALL],2,0))</f>
        <v/>
      </c>
    </row>
    <row r="325">
      <c r="A325" s="21"/>
      <c r="B325" s="21"/>
      <c r="C325" s="21"/>
      <c r="D325" s="21"/>
      <c r="E325" s="21"/>
      <c r="F325" s="21" t="str">
        <f>IF(E325="","",VLOOKUP(E325,tipo_cuenta[#ALL],2,0))</f>
        <v/>
      </c>
    </row>
    <row r="326">
      <c r="A326" s="21"/>
      <c r="B326" s="21"/>
      <c r="C326" s="21"/>
      <c r="D326" s="21"/>
      <c r="E326" s="21"/>
      <c r="F326" s="21" t="str">
        <f>IF(E326="","",VLOOKUP(E326,tipo_cuenta[#ALL],2,0))</f>
        <v/>
      </c>
    </row>
    <row r="327">
      <c r="A327" s="21"/>
      <c r="B327" s="21"/>
      <c r="C327" s="21"/>
      <c r="D327" s="21"/>
      <c r="E327" s="21"/>
      <c r="F327" s="21" t="str">
        <f>IF(E327="","",VLOOKUP(E327,tipo_cuenta[#ALL],2,0))</f>
        <v/>
      </c>
    </row>
    <row r="328">
      <c r="A328" s="21"/>
      <c r="B328" s="21"/>
      <c r="C328" s="21"/>
      <c r="D328" s="21"/>
      <c r="E328" s="21"/>
      <c r="F328" s="21" t="str">
        <f>IF(E328="","",VLOOKUP(E328,tipo_cuenta[#ALL],2,0))</f>
        <v/>
      </c>
    </row>
    <row r="329">
      <c r="A329" s="21"/>
      <c r="B329" s="21"/>
      <c r="C329" s="21"/>
      <c r="D329" s="21"/>
      <c r="E329" s="21"/>
      <c r="F329" s="21" t="str">
        <f>IF(E329="","",VLOOKUP(E329,tipo_cuenta[#ALL],2,0))</f>
        <v/>
      </c>
    </row>
    <row r="330">
      <c r="A330" s="21"/>
      <c r="B330" s="21"/>
      <c r="C330" s="21"/>
      <c r="D330" s="21"/>
      <c r="E330" s="21"/>
      <c r="F330" s="21" t="str">
        <f>IF(E330="","",VLOOKUP(E330,tipo_cuenta[#ALL],2,0))</f>
        <v/>
      </c>
    </row>
    <row r="331">
      <c r="A331" s="21"/>
      <c r="B331" s="21"/>
      <c r="C331" s="21"/>
      <c r="D331" s="21"/>
      <c r="E331" s="21"/>
      <c r="F331" s="21" t="str">
        <f>IF(E331="","",VLOOKUP(E331,tipo_cuenta[#ALL],2,0))</f>
        <v/>
      </c>
    </row>
    <row r="332">
      <c r="A332" s="21"/>
      <c r="B332" s="21"/>
      <c r="C332" s="21"/>
      <c r="D332" s="21"/>
      <c r="E332" s="21"/>
      <c r="F332" s="21" t="str">
        <f>IF(E332="","",VLOOKUP(E332,tipo_cuenta[#ALL],2,0))</f>
        <v/>
      </c>
    </row>
    <row r="333">
      <c r="A333" s="21"/>
      <c r="B333" s="21"/>
      <c r="C333" s="21"/>
      <c r="D333" s="21"/>
      <c r="E333" s="21"/>
      <c r="F333" s="21" t="str">
        <f>IF(E333="","",VLOOKUP(E333,tipo_cuenta[#ALL],2,0))</f>
        <v/>
      </c>
    </row>
    <row r="334">
      <c r="A334" s="21"/>
      <c r="B334" s="21"/>
      <c r="C334" s="21"/>
      <c r="D334" s="21"/>
      <c r="E334" s="21"/>
      <c r="F334" s="21" t="str">
        <f>IF(E334="","",VLOOKUP(E334,tipo_cuenta[#ALL],2,0))</f>
        <v/>
      </c>
    </row>
    <row r="335">
      <c r="A335" s="21"/>
      <c r="B335" s="21"/>
      <c r="C335" s="21"/>
      <c r="D335" s="21"/>
      <c r="E335" s="21"/>
      <c r="F335" s="21" t="str">
        <f>IF(E335="","",VLOOKUP(E335,tipo_cuenta[#ALL],2,0))</f>
        <v/>
      </c>
    </row>
    <row r="336">
      <c r="A336" s="21"/>
      <c r="B336" s="21"/>
      <c r="C336" s="21"/>
      <c r="D336" s="21"/>
      <c r="E336" s="21"/>
      <c r="F336" s="21" t="str">
        <f>IF(E336="","",VLOOKUP(E336,tipo_cuenta[#ALL],2,0))</f>
        <v/>
      </c>
    </row>
    <row r="337">
      <c r="A337" s="21"/>
      <c r="B337" s="21"/>
      <c r="C337" s="21"/>
      <c r="D337" s="21"/>
      <c r="E337" s="21"/>
      <c r="F337" s="21" t="str">
        <f>IF(E337="","",VLOOKUP(E337,tipo_cuenta[#ALL],2,0))</f>
        <v/>
      </c>
    </row>
    <row r="338">
      <c r="A338" s="21"/>
      <c r="B338" s="21"/>
      <c r="C338" s="21"/>
      <c r="D338" s="21"/>
      <c r="E338" s="21"/>
      <c r="F338" s="21" t="str">
        <f>IF(E338="","",VLOOKUP(E338,tipo_cuenta[#ALL],2,0))</f>
        <v/>
      </c>
    </row>
    <row r="339">
      <c r="A339" s="21"/>
      <c r="B339" s="21"/>
      <c r="C339" s="21"/>
      <c r="D339" s="21"/>
      <c r="E339" s="21"/>
      <c r="F339" s="21" t="str">
        <f>IF(E339="","",VLOOKUP(E339,tipo_cuenta[#ALL],2,0))</f>
        <v/>
      </c>
    </row>
    <row r="340">
      <c r="A340" s="21"/>
      <c r="B340" s="21"/>
      <c r="C340" s="21"/>
      <c r="D340" s="21"/>
      <c r="E340" s="21"/>
      <c r="F340" s="21" t="str">
        <f>IF(E340="","",VLOOKUP(E340,tipo_cuenta[#ALL],2,0))</f>
        <v/>
      </c>
    </row>
    <row r="341">
      <c r="A341" s="21"/>
      <c r="B341" s="21"/>
      <c r="C341" s="21"/>
      <c r="D341" s="21"/>
      <c r="E341" s="21"/>
      <c r="F341" s="21" t="str">
        <f>IF(E341="","",VLOOKUP(E341,tipo_cuenta[#ALL],2,0))</f>
        <v/>
      </c>
    </row>
    <row r="342">
      <c r="A342" s="21"/>
      <c r="B342" s="21"/>
      <c r="C342" s="21"/>
      <c r="D342" s="21"/>
      <c r="E342" s="21"/>
      <c r="F342" s="21" t="str">
        <f>IF(E342="","",VLOOKUP(E342,tipo_cuenta[#ALL],2,0))</f>
        <v/>
      </c>
    </row>
    <row r="343">
      <c r="A343" s="21"/>
      <c r="B343" s="21"/>
      <c r="C343" s="21"/>
      <c r="D343" s="21"/>
      <c r="E343" s="21"/>
      <c r="F343" s="21" t="str">
        <f>IF(E343="","",VLOOKUP(E343,tipo_cuenta[#ALL],2,0))</f>
        <v/>
      </c>
    </row>
    <row r="344">
      <c r="A344" s="21"/>
      <c r="B344" s="21"/>
      <c r="C344" s="21"/>
      <c r="D344" s="21"/>
      <c r="E344" s="21"/>
      <c r="F344" s="21" t="str">
        <f>IF(E344="","",VLOOKUP(E344,tipo_cuenta[#ALL],2,0))</f>
        <v/>
      </c>
    </row>
    <row r="345">
      <c r="A345" s="21"/>
      <c r="B345" s="21"/>
      <c r="C345" s="21"/>
      <c r="D345" s="21"/>
      <c r="E345" s="21"/>
      <c r="F345" s="21" t="str">
        <f>IF(E345="","",VLOOKUP(E345,tipo_cuenta[#ALL],2,0))</f>
        <v/>
      </c>
    </row>
    <row r="346">
      <c r="A346" s="21"/>
      <c r="B346" s="21"/>
      <c r="C346" s="21"/>
      <c r="D346" s="21"/>
      <c r="E346" s="21"/>
      <c r="F346" s="21" t="str">
        <f>IF(E346="","",VLOOKUP(E346,tipo_cuenta[#ALL],2,0))</f>
        <v/>
      </c>
    </row>
    <row r="347">
      <c r="A347" s="21"/>
      <c r="B347" s="21"/>
      <c r="C347" s="21"/>
      <c r="D347" s="21"/>
      <c r="E347" s="21"/>
      <c r="F347" s="21" t="str">
        <f>IF(E347="","",VLOOKUP(E347,tipo_cuenta[#ALL],2,0))</f>
        <v/>
      </c>
    </row>
    <row r="348">
      <c r="A348" s="21"/>
      <c r="B348" s="21"/>
      <c r="C348" s="21"/>
      <c r="D348" s="21"/>
      <c r="E348" s="21"/>
      <c r="F348" s="21" t="str">
        <f>IF(E348="","",VLOOKUP(E348,tipo_cuenta[#ALL],2,0))</f>
        <v/>
      </c>
    </row>
    <row r="349">
      <c r="A349" s="21"/>
      <c r="B349" s="21"/>
      <c r="C349" s="21"/>
      <c r="D349" s="21"/>
      <c r="E349" s="21"/>
      <c r="F349" s="21" t="str">
        <f>IF(E349="","",VLOOKUP(E349,tipo_cuenta[#ALL],2,0))</f>
        <v/>
      </c>
    </row>
    <row r="350">
      <c r="A350" s="21"/>
      <c r="B350" s="21"/>
      <c r="C350" s="21"/>
      <c r="D350" s="21"/>
      <c r="E350" s="21"/>
      <c r="F350" s="21" t="str">
        <f>IF(E350="","",VLOOKUP(E350,tipo_cuenta[#ALL],2,0))</f>
        <v/>
      </c>
    </row>
    <row r="351">
      <c r="A351" s="21"/>
      <c r="B351" s="21"/>
      <c r="C351" s="21"/>
      <c r="D351" s="21"/>
      <c r="E351" s="21"/>
      <c r="F351" s="21" t="str">
        <f>IF(E351="","",VLOOKUP(E351,tipo_cuenta[#ALL],2,0))</f>
        <v/>
      </c>
    </row>
    <row r="352">
      <c r="A352" s="21"/>
      <c r="B352" s="21"/>
      <c r="C352" s="21"/>
      <c r="D352" s="21"/>
      <c r="E352" s="21"/>
      <c r="F352" s="21" t="str">
        <f>IF(E352="","",VLOOKUP(E352,tipo_cuenta[#ALL],2,0))</f>
        <v/>
      </c>
    </row>
    <row r="353">
      <c r="A353" s="21"/>
      <c r="B353" s="21"/>
      <c r="C353" s="21"/>
      <c r="D353" s="21"/>
      <c r="E353" s="21"/>
      <c r="F353" s="21" t="str">
        <f>IF(E353="","",VLOOKUP(E353,tipo_cuenta[#ALL],2,0))</f>
        <v/>
      </c>
    </row>
    <row r="354">
      <c r="A354" s="21"/>
      <c r="B354" s="21"/>
      <c r="C354" s="21"/>
      <c r="D354" s="21"/>
      <c r="E354" s="21"/>
      <c r="F354" s="21" t="str">
        <f>IF(E354="","",VLOOKUP(E354,tipo_cuenta[#ALL],2,0))</f>
        <v/>
      </c>
    </row>
    <row r="355">
      <c r="A355" s="21"/>
      <c r="B355" s="21"/>
      <c r="C355" s="21"/>
      <c r="D355" s="21"/>
      <c r="E355" s="21"/>
      <c r="F355" s="21" t="str">
        <f>IF(E355="","",VLOOKUP(E355,tipo_cuenta[#ALL],2,0))</f>
        <v/>
      </c>
    </row>
    <row r="356">
      <c r="A356" s="21"/>
      <c r="B356" s="21"/>
      <c r="C356" s="21"/>
      <c r="D356" s="21"/>
      <c r="E356" s="21"/>
      <c r="F356" s="21" t="str">
        <f>IF(E356="","",VLOOKUP(E356,tipo_cuenta[#ALL],2,0))</f>
        <v/>
      </c>
    </row>
    <row r="357">
      <c r="A357" s="21"/>
      <c r="B357" s="21"/>
      <c r="C357" s="21"/>
      <c r="D357" s="21"/>
      <c r="E357" s="21"/>
      <c r="F357" s="21" t="str">
        <f>IF(E357="","",VLOOKUP(E357,tipo_cuenta[#ALL],2,0))</f>
        <v/>
      </c>
    </row>
    <row r="358">
      <c r="A358" s="21"/>
      <c r="B358" s="21"/>
      <c r="C358" s="21"/>
      <c r="D358" s="21"/>
      <c r="E358" s="21"/>
      <c r="F358" s="21" t="str">
        <f>IF(E358="","",VLOOKUP(E358,tipo_cuenta[#ALL],2,0))</f>
        <v/>
      </c>
    </row>
    <row r="359">
      <c r="A359" s="21"/>
      <c r="B359" s="21"/>
      <c r="C359" s="21"/>
      <c r="D359" s="21"/>
      <c r="E359" s="21"/>
      <c r="F359" s="21" t="str">
        <f>IF(E359="","",VLOOKUP(E359,tipo_cuenta[#ALL],2,0))</f>
        <v/>
      </c>
    </row>
    <row r="360">
      <c r="A360" s="21"/>
      <c r="B360" s="21"/>
      <c r="C360" s="21"/>
      <c r="D360" s="21"/>
      <c r="E360" s="21"/>
      <c r="F360" s="21" t="str">
        <f>IF(E360="","",VLOOKUP(E360,tipo_cuenta[#ALL],2,0))</f>
        <v/>
      </c>
    </row>
    <row r="361">
      <c r="A361" s="21"/>
      <c r="B361" s="21"/>
      <c r="C361" s="21"/>
      <c r="D361" s="21"/>
      <c r="E361" s="21"/>
      <c r="F361" s="21" t="str">
        <f>IF(E361="","",VLOOKUP(E361,tipo_cuenta[#ALL],2,0))</f>
        <v/>
      </c>
    </row>
    <row r="362">
      <c r="A362" s="21"/>
      <c r="B362" s="21"/>
      <c r="C362" s="21"/>
      <c r="D362" s="21"/>
      <c r="E362" s="21"/>
      <c r="F362" s="21" t="str">
        <f>IF(E362="","",VLOOKUP(E362,tipo_cuenta[#ALL],2,0))</f>
        <v/>
      </c>
    </row>
    <row r="363">
      <c r="A363" s="21"/>
      <c r="B363" s="21"/>
      <c r="C363" s="21"/>
      <c r="D363" s="21"/>
      <c r="E363" s="21"/>
      <c r="F363" s="21" t="str">
        <f>IF(E363="","",VLOOKUP(E363,tipo_cuenta[#ALL],2,0))</f>
        <v/>
      </c>
    </row>
    <row r="364">
      <c r="A364" s="21"/>
      <c r="B364" s="21"/>
      <c r="C364" s="21"/>
      <c r="D364" s="21"/>
      <c r="E364" s="21"/>
      <c r="F364" s="21" t="str">
        <f>IF(E364="","",VLOOKUP(E364,tipo_cuenta[#ALL],2,0))</f>
        <v/>
      </c>
    </row>
    <row r="365">
      <c r="A365" s="21"/>
      <c r="B365" s="21"/>
      <c r="C365" s="21"/>
      <c r="D365" s="21"/>
      <c r="E365" s="21"/>
      <c r="F365" s="21" t="str">
        <f>IF(E365="","",VLOOKUP(E365,tipo_cuenta[#ALL],2,0))</f>
        <v/>
      </c>
    </row>
    <row r="366">
      <c r="A366" s="21"/>
      <c r="B366" s="21"/>
      <c r="C366" s="21"/>
      <c r="D366" s="21"/>
      <c r="E366" s="21"/>
      <c r="F366" s="21" t="str">
        <f>IF(E366="","",VLOOKUP(E366,tipo_cuenta[#ALL],2,0))</f>
        <v/>
      </c>
    </row>
    <row r="367">
      <c r="A367" s="21"/>
      <c r="B367" s="21"/>
      <c r="C367" s="21"/>
      <c r="D367" s="21"/>
      <c r="E367" s="21"/>
      <c r="F367" s="21" t="str">
        <f>IF(E367="","",VLOOKUP(E367,tipo_cuenta[#ALL],2,0))</f>
        <v/>
      </c>
    </row>
    <row r="368">
      <c r="A368" s="21"/>
      <c r="B368" s="21"/>
      <c r="C368" s="21"/>
      <c r="D368" s="21"/>
      <c r="E368" s="21"/>
      <c r="F368" s="21" t="str">
        <f>IF(E368="","",VLOOKUP(E368,tipo_cuenta[#ALL],2,0))</f>
        <v/>
      </c>
    </row>
    <row r="369">
      <c r="A369" s="21"/>
      <c r="B369" s="21"/>
      <c r="C369" s="21"/>
      <c r="D369" s="21"/>
      <c r="E369" s="21"/>
      <c r="F369" s="21" t="str">
        <f>IF(E369="","",VLOOKUP(E369,tipo_cuenta[#ALL],2,0))</f>
        <v/>
      </c>
    </row>
    <row r="370">
      <c r="A370" s="21"/>
      <c r="B370" s="21"/>
      <c r="C370" s="21"/>
      <c r="D370" s="21"/>
      <c r="E370" s="21"/>
      <c r="F370" s="21" t="str">
        <f>IF(E370="","",VLOOKUP(E370,tipo_cuenta[#ALL],2,0))</f>
        <v/>
      </c>
    </row>
    <row r="371">
      <c r="A371" s="21"/>
      <c r="B371" s="21"/>
      <c r="C371" s="21"/>
      <c r="D371" s="21"/>
      <c r="E371" s="21"/>
      <c r="F371" s="21" t="str">
        <f>IF(E371="","",VLOOKUP(E371,tipo_cuenta[#ALL],2,0))</f>
        <v/>
      </c>
    </row>
    <row r="372">
      <c r="A372" s="21"/>
      <c r="B372" s="21"/>
      <c r="C372" s="21"/>
      <c r="D372" s="21"/>
      <c r="E372" s="21"/>
      <c r="F372" s="21" t="str">
        <f>IF(E372="","",VLOOKUP(E372,tipo_cuenta[#ALL],2,0))</f>
        <v/>
      </c>
    </row>
    <row r="373">
      <c r="A373" s="21"/>
      <c r="B373" s="21"/>
      <c r="C373" s="21"/>
      <c r="D373" s="21"/>
      <c r="E373" s="21"/>
      <c r="F373" s="21" t="str">
        <f>IF(E373="","",VLOOKUP(E373,tipo_cuenta[#ALL],2,0))</f>
        <v/>
      </c>
    </row>
    <row r="374">
      <c r="A374" s="21"/>
      <c r="B374" s="21"/>
      <c r="C374" s="21"/>
      <c r="D374" s="21"/>
      <c r="E374" s="21"/>
      <c r="F374" s="21" t="str">
        <f>IF(E374="","",VLOOKUP(E374,tipo_cuenta[#ALL],2,0))</f>
        <v/>
      </c>
    </row>
    <row r="375">
      <c r="A375" s="21"/>
      <c r="B375" s="21"/>
      <c r="C375" s="21"/>
      <c r="D375" s="21"/>
      <c r="E375" s="21"/>
      <c r="F375" s="21" t="str">
        <f>IF(E375="","",VLOOKUP(E375,tipo_cuenta[#ALL],2,0))</f>
        <v/>
      </c>
    </row>
    <row r="376">
      <c r="A376" s="21"/>
      <c r="B376" s="21"/>
      <c r="C376" s="21"/>
      <c r="D376" s="21"/>
      <c r="E376" s="21"/>
      <c r="F376" s="21" t="str">
        <f>IF(E376="","",VLOOKUP(E376,tipo_cuenta[#ALL],2,0))</f>
        <v/>
      </c>
    </row>
    <row r="377">
      <c r="A377" s="21"/>
      <c r="B377" s="21"/>
      <c r="C377" s="21"/>
      <c r="D377" s="21"/>
      <c r="E377" s="21"/>
      <c r="F377" s="21" t="str">
        <f>IF(E377="","",VLOOKUP(E377,tipo_cuenta[#ALL],2,0))</f>
        <v/>
      </c>
    </row>
    <row r="378">
      <c r="A378" s="21"/>
      <c r="B378" s="21"/>
      <c r="C378" s="21"/>
      <c r="D378" s="21"/>
      <c r="E378" s="21"/>
      <c r="F378" s="21" t="str">
        <f>IF(E378="","",VLOOKUP(E378,tipo_cuenta[#ALL],2,0))</f>
        <v/>
      </c>
    </row>
    <row r="379">
      <c r="A379" s="21"/>
      <c r="B379" s="21"/>
      <c r="C379" s="21"/>
      <c r="D379" s="21"/>
      <c r="E379" s="21"/>
      <c r="F379" s="21" t="str">
        <f>IF(E379="","",VLOOKUP(E379,tipo_cuenta[#ALL],2,0))</f>
        <v/>
      </c>
    </row>
    <row r="380">
      <c r="A380" s="21"/>
      <c r="B380" s="21"/>
      <c r="C380" s="21"/>
      <c r="D380" s="21"/>
      <c r="E380" s="21"/>
      <c r="F380" s="21" t="str">
        <f>IF(E380="","",VLOOKUP(E380,tipo_cuenta[#ALL],2,0))</f>
        <v/>
      </c>
    </row>
    <row r="381">
      <c r="A381" s="21"/>
      <c r="B381" s="21"/>
      <c r="C381" s="21"/>
      <c r="D381" s="21"/>
      <c r="E381" s="21"/>
      <c r="F381" s="21" t="str">
        <f>IF(E381="","",VLOOKUP(E381,tipo_cuenta[#ALL],2,0))</f>
        <v/>
      </c>
    </row>
    <row r="382">
      <c r="A382" s="21"/>
      <c r="B382" s="21"/>
      <c r="C382" s="21"/>
      <c r="D382" s="21"/>
      <c r="E382" s="21"/>
      <c r="F382" s="21" t="str">
        <f>IF(E382="","",VLOOKUP(E382,tipo_cuenta[#ALL],2,0))</f>
        <v/>
      </c>
    </row>
    <row r="383">
      <c r="A383" s="21"/>
      <c r="B383" s="21"/>
      <c r="C383" s="21"/>
      <c r="D383" s="21"/>
      <c r="E383" s="21"/>
      <c r="F383" s="21" t="str">
        <f>IF(E383="","",VLOOKUP(E383,tipo_cuenta[#ALL],2,0))</f>
        <v/>
      </c>
    </row>
    <row r="384">
      <c r="A384" s="21"/>
      <c r="B384" s="21"/>
      <c r="C384" s="21"/>
      <c r="D384" s="21"/>
      <c r="E384" s="21"/>
      <c r="F384" s="21" t="str">
        <f>IF(E384="","",VLOOKUP(E384,tipo_cuenta[#ALL],2,0))</f>
        <v/>
      </c>
    </row>
    <row r="385">
      <c r="A385" s="21"/>
      <c r="B385" s="21"/>
      <c r="C385" s="21"/>
      <c r="D385" s="21"/>
      <c r="E385" s="21"/>
      <c r="F385" s="21" t="str">
        <f>IF(E385="","",VLOOKUP(E385,tipo_cuenta[#ALL],2,0))</f>
        <v/>
      </c>
    </row>
    <row r="386">
      <c r="A386" s="21"/>
      <c r="B386" s="21"/>
      <c r="C386" s="21"/>
      <c r="D386" s="21"/>
      <c r="E386" s="21"/>
      <c r="F386" s="21" t="str">
        <f>IF(E386="","",VLOOKUP(E386,tipo_cuenta[#ALL],2,0))</f>
        <v/>
      </c>
    </row>
    <row r="387">
      <c r="A387" s="21"/>
      <c r="B387" s="21"/>
      <c r="C387" s="21"/>
      <c r="D387" s="21"/>
      <c r="E387" s="21"/>
      <c r="F387" s="21" t="str">
        <f>IF(E387="","",VLOOKUP(E387,tipo_cuenta[#ALL],2,0))</f>
        <v/>
      </c>
    </row>
    <row r="388">
      <c r="A388" s="21"/>
      <c r="B388" s="21"/>
      <c r="C388" s="21"/>
      <c r="D388" s="21"/>
      <c r="E388" s="21"/>
      <c r="F388" s="21" t="str">
        <f>IF(E388="","",VLOOKUP(E388,tipo_cuenta[#ALL],2,0))</f>
        <v/>
      </c>
    </row>
    <row r="389">
      <c r="A389" s="21"/>
      <c r="B389" s="21"/>
      <c r="C389" s="21"/>
      <c r="D389" s="21"/>
      <c r="E389" s="21"/>
      <c r="F389" s="21" t="str">
        <f>IF(E389="","",VLOOKUP(E389,tipo_cuenta[#ALL],2,0))</f>
        <v/>
      </c>
    </row>
    <row r="390">
      <c r="A390" s="21"/>
      <c r="B390" s="21"/>
      <c r="C390" s="21"/>
      <c r="D390" s="21"/>
      <c r="E390" s="21"/>
      <c r="F390" s="21" t="str">
        <f>IF(E390="","",VLOOKUP(E390,tipo_cuenta[#ALL],2,0))</f>
        <v/>
      </c>
    </row>
    <row r="391">
      <c r="A391" s="21"/>
      <c r="B391" s="21"/>
      <c r="C391" s="21"/>
      <c r="D391" s="21"/>
      <c r="E391" s="21"/>
      <c r="F391" s="21" t="str">
        <f>IF(E391="","",VLOOKUP(E391,tipo_cuenta[#ALL],2,0))</f>
        <v/>
      </c>
    </row>
    <row r="392">
      <c r="A392" s="21"/>
      <c r="B392" s="21"/>
      <c r="C392" s="21"/>
      <c r="D392" s="21"/>
      <c r="E392" s="21"/>
      <c r="F392" s="21" t="str">
        <f>IF(E392="","",VLOOKUP(E392,tipo_cuenta[#ALL],2,0))</f>
        <v/>
      </c>
    </row>
    <row r="393">
      <c r="A393" s="21"/>
      <c r="B393" s="21"/>
      <c r="C393" s="21"/>
      <c r="D393" s="21"/>
      <c r="E393" s="21"/>
      <c r="F393" s="21" t="str">
        <f>IF(E393="","",VLOOKUP(E393,tipo_cuenta[#ALL],2,0))</f>
        <v/>
      </c>
    </row>
    <row r="394">
      <c r="A394" s="21"/>
      <c r="B394" s="21"/>
      <c r="C394" s="21"/>
      <c r="D394" s="21"/>
      <c r="E394" s="21"/>
      <c r="F394" s="21" t="str">
        <f>IF(E394="","",VLOOKUP(E394,tipo_cuenta[#ALL],2,0))</f>
        <v/>
      </c>
    </row>
    <row r="395">
      <c r="A395" s="21"/>
      <c r="B395" s="21"/>
      <c r="C395" s="21"/>
      <c r="D395" s="21"/>
      <c r="E395" s="21"/>
      <c r="F395" s="21" t="str">
        <f>IF(E395="","",VLOOKUP(E395,tipo_cuenta[#ALL],2,0))</f>
        <v/>
      </c>
    </row>
    <row r="396">
      <c r="A396" s="21"/>
      <c r="B396" s="21"/>
      <c r="C396" s="21"/>
      <c r="D396" s="21"/>
      <c r="E396" s="21"/>
      <c r="F396" s="21" t="str">
        <f>IF(E396="","",VLOOKUP(E396,tipo_cuenta[#ALL],2,0))</f>
        <v/>
      </c>
    </row>
    <row r="397">
      <c r="A397" s="21"/>
      <c r="B397" s="21"/>
      <c r="C397" s="21"/>
      <c r="D397" s="21"/>
      <c r="E397" s="21"/>
      <c r="F397" s="21" t="str">
        <f>IF(E397="","",VLOOKUP(E397,tipo_cuenta[#ALL],2,0))</f>
        <v/>
      </c>
    </row>
    <row r="398">
      <c r="A398" s="21"/>
      <c r="B398" s="21"/>
      <c r="C398" s="21"/>
      <c r="D398" s="21"/>
      <c r="E398" s="21"/>
      <c r="F398" s="21" t="str">
        <f>IF(E398="","",VLOOKUP(E398,tipo_cuenta[#ALL],2,0))</f>
        <v/>
      </c>
    </row>
    <row r="399">
      <c r="A399" s="21"/>
      <c r="B399" s="21"/>
      <c r="C399" s="21"/>
      <c r="D399" s="21"/>
      <c r="E399" s="21"/>
      <c r="F399" s="21" t="str">
        <f>IF(E399="","",VLOOKUP(E399,tipo_cuenta[#ALL],2,0))</f>
        <v/>
      </c>
    </row>
    <row r="400">
      <c r="A400" s="21"/>
      <c r="B400" s="21"/>
      <c r="C400" s="21"/>
      <c r="D400" s="21"/>
      <c r="E400" s="21"/>
      <c r="F400" s="21" t="str">
        <f>IF(E400="","",VLOOKUP(E400,tipo_cuenta[#ALL],2,0))</f>
        <v/>
      </c>
    </row>
    <row r="401">
      <c r="A401" s="21"/>
      <c r="B401" s="21"/>
      <c r="C401" s="21"/>
      <c r="D401" s="21"/>
      <c r="E401" s="21"/>
      <c r="F401" s="21" t="str">
        <f>IF(E401="","",VLOOKUP(E401,tipo_cuenta[#ALL],2,0))</f>
        <v/>
      </c>
    </row>
    <row r="402">
      <c r="A402" s="21"/>
      <c r="B402" s="21"/>
      <c r="C402" s="21"/>
      <c r="D402" s="21"/>
      <c r="E402" s="21"/>
      <c r="F402" s="21" t="str">
        <f>IF(E402="","",VLOOKUP(E402,tipo_cuenta[#ALL],2,0))</f>
        <v/>
      </c>
    </row>
    <row r="403">
      <c r="A403" s="21"/>
      <c r="B403" s="21"/>
      <c r="C403" s="21"/>
      <c r="D403" s="21"/>
      <c r="E403" s="21"/>
      <c r="F403" s="21" t="str">
        <f>IF(E403="","",VLOOKUP(E403,tipo_cuenta[#ALL],2,0))</f>
        <v/>
      </c>
    </row>
    <row r="404">
      <c r="A404" s="21"/>
      <c r="B404" s="21"/>
      <c r="C404" s="21"/>
      <c r="D404" s="21"/>
      <c r="E404" s="21"/>
      <c r="F404" s="21" t="str">
        <f>IF(E404="","",VLOOKUP(E404,tipo_cuenta[#ALL],2,0))</f>
        <v/>
      </c>
    </row>
    <row r="405">
      <c r="A405" s="21"/>
      <c r="B405" s="21"/>
      <c r="C405" s="21"/>
      <c r="D405" s="21"/>
      <c r="E405" s="21"/>
      <c r="F405" s="21" t="str">
        <f>IF(E405="","",VLOOKUP(E405,tipo_cuenta[#ALL],2,0))</f>
        <v/>
      </c>
    </row>
    <row r="406">
      <c r="A406" s="21"/>
      <c r="B406" s="21"/>
      <c r="C406" s="21"/>
      <c r="D406" s="21"/>
      <c r="E406" s="21"/>
      <c r="F406" s="21" t="str">
        <f>IF(E406="","",VLOOKUP(E406,tipo_cuenta[#ALL],2,0))</f>
        <v/>
      </c>
    </row>
    <row r="407">
      <c r="A407" s="21"/>
      <c r="B407" s="21"/>
      <c r="C407" s="21"/>
      <c r="D407" s="21"/>
      <c r="E407" s="21"/>
      <c r="F407" s="21" t="str">
        <f>IF(E407="","",VLOOKUP(E407,tipo_cuenta[#ALL],2,0))</f>
        <v/>
      </c>
    </row>
    <row r="408">
      <c r="A408" s="21"/>
      <c r="B408" s="21"/>
      <c r="C408" s="21"/>
      <c r="D408" s="21"/>
      <c r="E408" s="21"/>
      <c r="F408" s="21" t="str">
        <f>IF(E408="","",VLOOKUP(E408,tipo_cuenta[#ALL],2,0))</f>
        <v/>
      </c>
    </row>
    <row r="409">
      <c r="A409" s="21"/>
      <c r="B409" s="21"/>
      <c r="C409" s="21"/>
      <c r="D409" s="21"/>
      <c r="E409" s="21"/>
      <c r="F409" s="21" t="str">
        <f>IF(E409="","",VLOOKUP(E409,tipo_cuenta[#ALL],2,0))</f>
        <v/>
      </c>
    </row>
    <row r="410">
      <c r="A410" s="21"/>
      <c r="B410" s="21"/>
      <c r="C410" s="21"/>
      <c r="D410" s="21"/>
      <c r="E410" s="21"/>
      <c r="F410" s="21" t="str">
        <f>IF(E410="","",VLOOKUP(E410,tipo_cuenta[#ALL],2,0))</f>
        <v/>
      </c>
    </row>
    <row r="411">
      <c r="A411" s="21"/>
      <c r="B411" s="21"/>
      <c r="C411" s="21"/>
      <c r="D411" s="21"/>
      <c r="E411" s="21"/>
      <c r="F411" s="21" t="str">
        <f>IF(E411="","",VLOOKUP(E411,tipo_cuenta[#ALL],2,0))</f>
        <v/>
      </c>
    </row>
    <row r="412">
      <c r="A412" s="21"/>
      <c r="B412" s="21"/>
      <c r="C412" s="21"/>
      <c r="D412" s="21"/>
      <c r="E412" s="21"/>
      <c r="F412" s="21" t="str">
        <f>IF(E412="","",VLOOKUP(E412,tipo_cuenta[#ALL],2,0))</f>
        <v/>
      </c>
    </row>
    <row r="413">
      <c r="A413" s="21"/>
      <c r="B413" s="21"/>
      <c r="C413" s="21"/>
      <c r="D413" s="21"/>
      <c r="E413" s="21"/>
      <c r="F413" s="21" t="str">
        <f>IF(E413="","",VLOOKUP(E413,tipo_cuenta[#ALL],2,0))</f>
        <v/>
      </c>
    </row>
    <row r="414">
      <c r="A414" s="21"/>
      <c r="B414" s="21"/>
      <c r="C414" s="21"/>
      <c r="D414" s="21"/>
      <c r="E414" s="21"/>
      <c r="F414" s="21" t="str">
        <f>IF(E414="","",VLOOKUP(E414,tipo_cuenta[#ALL],2,0))</f>
        <v/>
      </c>
    </row>
    <row r="415">
      <c r="A415" s="21"/>
      <c r="B415" s="21"/>
      <c r="C415" s="21"/>
      <c r="D415" s="21"/>
      <c r="E415" s="21"/>
      <c r="F415" s="21" t="str">
        <f>IF(E415="","",VLOOKUP(E415,tipo_cuenta[#ALL],2,0))</f>
        <v/>
      </c>
    </row>
    <row r="416">
      <c r="A416" s="21"/>
      <c r="B416" s="21"/>
      <c r="C416" s="21"/>
      <c r="D416" s="21"/>
      <c r="E416" s="21"/>
      <c r="F416" s="21" t="str">
        <f>IF(E416="","",VLOOKUP(E416,tipo_cuenta[#ALL],2,0))</f>
        <v/>
      </c>
    </row>
    <row r="417">
      <c r="A417" s="21"/>
      <c r="B417" s="21"/>
      <c r="C417" s="21"/>
      <c r="D417" s="21"/>
      <c r="E417" s="21"/>
      <c r="F417" s="21" t="str">
        <f>IF(E417="","",VLOOKUP(E417,tipo_cuenta[#ALL],2,0))</f>
        <v/>
      </c>
    </row>
    <row r="418">
      <c r="A418" s="21"/>
      <c r="B418" s="21"/>
      <c r="C418" s="21"/>
      <c r="D418" s="21"/>
      <c r="E418" s="21"/>
      <c r="F418" s="21" t="str">
        <f>IF(E418="","",VLOOKUP(E418,tipo_cuenta[#ALL],2,0))</f>
        <v/>
      </c>
    </row>
    <row r="419">
      <c r="A419" s="21"/>
      <c r="B419" s="21"/>
      <c r="C419" s="21"/>
      <c r="D419" s="21"/>
      <c r="E419" s="21"/>
      <c r="F419" s="21" t="str">
        <f>IF(E419="","",VLOOKUP(E419,tipo_cuenta[#ALL],2,0))</f>
        <v/>
      </c>
    </row>
    <row r="420">
      <c r="A420" s="21"/>
      <c r="B420" s="21"/>
      <c r="C420" s="21"/>
      <c r="D420" s="21"/>
      <c r="E420" s="21"/>
      <c r="F420" s="21" t="str">
        <f>IF(E420="","",VLOOKUP(E420,tipo_cuenta[#ALL],2,0))</f>
        <v/>
      </c>
    </row>
    <row r="421">
      <c r="A421" s="21"/>
      <c r="B421" s="21"/>
      <c r="C421" s="21"/>
      <c r="D421" s="21"/>
      <c r="E421" s="21"/>
      <c r="F421" s="21" t="str">
        <f>IF(E421="","",VLOOKUP(E421,tipo_cuenta[#ALL],2,0))</f>
        <v/>
      </c>
    </row>
    <row r="422">
      <c r="A422" s="21"/>
      <c r="B422" s="21"/>
      <c r="C422" s="21"/>
      <c r="D422" s="21"/>
      <c r="E422" s="21"/>
      <c r="F422" s="21" t="str">
        <f>IF(E422="","",VLOOKUP(E422,tipo_cuenta[#ALL],2,0))</f>
        <v/>
      </c>
    </row>
    <row r="423">
      <c r="A423" s="21"/>
      <c r="B423" s="21"/>
      <c r="C423" s="21"/>
      <c r="D423" s="21"/>
      <c r="E423" s="21"/>
      <c r="F423" s="21" t="str">
        <f>IF(E423="","",VLOOKUP(E423,tipo_cuenta[#ALL],2,0))</f>
        <v/>
      </c>
    </row>
    <row r="424">
      <c r="A424" s="21"/>
      <c r="B424" s="21"/>
      <c r="C424" s="21"/>
      <c r="D424" s="21"/>
      <c r="E424" s="21"/>
      <c r="F424" s="21" t="str">
        <f>IF(E424="","",VLOOKUP(E424,tipo_cuenta[#ALL],2,0))</f>
        <v/>
      </c>
    </row>
    <row r="425">
      <c r="A425" s="21"/>
      <c r="B425" s="21"/>
      <c r="C425" s="21"/>
      <c r="D425" s="21"/>
      <c r="E425" s="21"/>
      <c r="F425" s="21" t="str">
        <f>IF(E425="","",VLOOKUP(E425,tipo_cuenta[#ALL],2,0))</f>
        <v/>
      </c>
    </row>
    <row r="426">
      <c r="A426" s="21"/>
      <c r="B426" s="21"/>
      <c r="C426" s="21"/>
      <c r="D426" s="21"/>
      <c r="E426" s="21"/>
      <c r="F426" s="21" t="str">
        <f>IF(E426="","",VLOOKUP(E426,tipo_cuenta[#ALL],2,0))</f>
        <v/>
      </c>
    </row>
    <row r="427">
      <c r="A427" s="21"/>
      <c r="B427" s="21"/>
      <c r="C427" s="21"/>
      <c r="D427" s="21"/>
      <c r="E427" s="21"/>
      <c r="F427" s="21" t="str">
        <f>IF(E427="","",VLOOKUP(E427,tipo_cuenta[#ALL],2,0))</f>
        <v/>
      </c>
    </row>
    <row r="428">
      <c r="A428" s="21"/>
      <c r="B428" s="21"/>
      <c r="C428" s="21"/>
      <c r="D428" s="21"/>
      <c r="E428" s="21"/>
      <c r="F428" s="21" t="str">
        <f>IF(E428="","",VLOOKUP(E428,tipo_cuenta[#ALL],2,0))</f>
        <v/>
      </c>
    </row>
    <row r="429">
      <c r="A429" s="21"/>
      <c r="B429" s="21"/>
      <c r="C429" s="21"/>
      <c r="D429" s="21"/>
      <c r="E429" s="21"/>
      <c r="F429" s="21" t="str">
        <f>IF(E429="","",VLOOKUP(E429,tipo_cuenta[#ALL],2,0))</f>
        <v/>
      </c>
    </row>
    <row r="430">
      <c r="A430" s="21"/>
      <c r="B430" s="21"/>
      <c r="C430" s="21"/>
      <c r="D430" s="21"/>
      <c r="E430" s="21"/>
      <c r="F430" s="21" t="str">
        <f>IF(E430="","",VLOOKUP(E430,tipo_cuenta[#ALL],2,0))</f>
        <v/>
      </c>
    </row>
    <row r="431">
      <c r="A431" s="21"/>
      <c r="B431" s="21"/>
      <c r="C431" s="21"/>
      <c r="D431" s="21"/>
      <c r="E431" s="21"/>
      <c r="F431" s="21" t="str">
        <f>IF(E431="","",VLOOKUP(E431,tipo_cuenta[#ALL],2,0))</f>
        <v/>
      </c>
    </row>
    <row r="432">
      <c r="A432" s="21"/>
      <c r="B432" s="21"/>
      <c r="C432" s="21"/>
      <c r="D432" s="21"/>
      <c r="E432" s="21"/>
      <c r="F432" s="21" t="str">
        <f>IF(E432="","",VLOOKUP(E432,tipo_cuenta[#ALL],2,0))</f>
        <v/>
      </c>
    </row>
    <row r="433">
      <c r="A433" s="21"/>
      <c r="B433" s="21"/>
      <c r="C433" s="21"/>
      <c r="D433" s="21"/>
      <c r="E433" s="21"/>
      <c r="F433" s="21" t="str">
        <f>IF(E433="","",VLOOKUP(E433,tipo_cuenta[#ALL],2,0))</f>
        <v/>
      </c>
    </row>
    <row r="434">
      <c r="A434" s="21"/>
      <c r="B434" s="21"/>
      <c r="C434" s="21"/>
      <c r="D434" s="21"/>
      <c r="E434" s="21"/>
      <c r="F434" s="21" t="str">
        <f>IF(E434="","",VLOOKUP(E434,tipo_cuenta[#ALL],2,0))</f>
        <v/>
      </c>
    </row>
    <row r="435">
      <c r="A435" s="21"/>
      <c r="B435" s="21"/>
      <c r="C435" s="21"/>
      <c r="D435" s="21"/>
      <c r="E435" s="21"/>
      <c r="F435" s="21" t="str">
        <f>IF(E435="","",VLOOKUP(E435,tipo_cuenta[#ALL],2,0))</f>
        <v/>
      </c>
    </row>
    <row r="436">
      <c r="A436" s="21"/>
      <c r="B436" s="21"/>
      <c r="C436" s="21"/>
      <c r="D436" s="21"/>
      <c r="E436" s="21"/>
      <c r="F436" s="21" t="str">
        <f>IF(E436="","",VLOOKUP(E436,tipo_cuenta[#ALL],2,0))</f>
        <v/>
      </c>
    </row>
    <row r="437">
      <c r="A437" s="21"/>
      <c r="B437" s="21"/>
      <c r="C437" s="21"/>
      <c r="D437" s="21"/>
      <c r="E437" s="21"/>
      <c r="F437" s="21" t="str">
        <f>IF(E437="","",VLOOKUP(E437,tipo_cuenta[#ALL],2,0))</f>
        <v/>
      </c>
    </row>
    <row r="438">
      <c r="A438" s="21"/>
      <c r="B438" s="21"/>
      <c r="C438" s="21"/>
      <c r="D438" s="21"/>
      <c r="E438" s="21"/>
      <c r="F438" s="21" t="str">
        <f>IF(E438="","",VLOOKUP(E438,tipo_cuenta[#ALL],2,0))</f>
        <v/>
      </c>
    </row>
    <row r="439">
      <c r="A439" s="21"/>
      <c r="B439" s="21"/>
      <c r="C439" s="21"/>
      <c r="D439" s="21"/>
      <c r="E439" s="21"/>
      <c r="F439" s="21" t="str">
        <f>IF(E439="","",VLOOKUP(E439,tipo_cuenta[#ALL],2,0))</f>
        <v/>
      </c>
    </row>
    <row r="440">
      <c r="A440" s="21"/>
      <c r="B440" s="21"/>
      <c r="C440" s="21"/>
      <c r="D440" s="21"/>
      <c r="E440" s="21"/>
      <c r="F440" s="21" t="str">
        <f>IF(E440="","",VLOOKUP(E440,tipo_cuenta[#ALL],2,0))</f>
        <v/>
      </c>
    </row>
    <row r="441">
      <c r="A441" s="21"/>
      <c r="B441" s="21"/>
      <c r="C441" s="21"/>
      <c r="D441" s="21"/>
      <c r="E441" s="21"/>
      <c r="F441" s="21" t="str">
        <f>IF(E441="","",VLOOKUP(E441,tipo_cuenta[#ALL],2,0))</f>
        <v/>
      </c>
    </row>
    <row r="442">
      <c r="A442" s="21"/>
      <c r="B442" s="21"/>
      <c r="C442" s="21"/>
      <c r="D442" s="21"/>
      <c r="E442" s="21"/>
      <c r="F442" s="21" t="str">
        <f>IF(E442="","",VLOOKUP(E442,tipo_cuenta[#ALL],2,0))</f>
        <v/>
      </c>
    </row>
    <row r="443">
      <c r="A443" s="21"/>
      <c r="B443" s="21"/>
      <c r="C443" s="21"/>
      <c r="D443" s="21"/>
      <c r="E443" s="21"/>
      <c r="F443" s="21" t="str">
        <f>IF(E443="","",VLOOKUP(E443,tipo_cuenta[#ALL],2,0))</f>
        <v/>
      </c>
    </row>
    <row r="444">
      <c r="A444" s="21"/>
      <c r="B444" s="21"/>
      <c r="C444" s="21"/>
      <c r="D444" s="21"/>
      <c r="E444" s="21"/>
      <c r="F444" s="21" t="str">
        <f>IF(E444="","",VLOOKUP(E444,tipo_cuenta[#ALL],2,0))</f>
        <v/>
      </c>
    </row>
    <row r="445">
      <c r="A445" s="21"/>
      <c r="B445" s="21"/>
      <c r="C445" s="21"/>
      <c r="D445" s="21"/>
      <c r="E445" s="21"/>
      <c r="F445" s="21" t="str">
        <f>IF(E445="","",VLOOKUP(E445,tipo_cuenta[#ALL],2,0))</f>
        <v/>
      </c>
    </row>
    <row r="446">
      <c r="A446" s="21"/>
      <c r="B446" s="21"/>
      <c r="C446" s="21"/>
      <c r="D446" s="21"/>
      <c r="E446" s="21"/>
      <c r="F446" s="21" t="str">
        <f>IF(E446="","",VLOOKUP(E446,tipo_cuenta[#ALL],2,0))</f>
        <v/>
      </c>
    </row>
    <row r="447">
      <c r="A447" s="21"/>
      <c r="B447" s="21"/>
      <c r="C447" s="21"/>
      <c r="D447" s="21"/>
      <c r="E447" s="21"/>
      <c r="F447" s="21" t="str">
        <f>IF(E447="","",VLOOKUP(E447,tipo_cuenta[#ALL],2,0))</f>
        <v/>
      </c>
    </row>
    <row r="448">
      <c r="A448" s="21"/>
      <c r="B448" s="21"/>
      <c r="C448" s="21"/>
      <c r="D448" s="21"/>
      <c r="E448" s="21"/>
      <c r="F448" s="21" t="str">
        <f>IF(E448="","",VLOOKUP(E448,tipo_cuenta[#ALL],2,0))</f>
        <v/>
      </c>
    </row>
    <row r="449">
      <c r="A449" s="21"/>
      <c r="B449" s="21"/>
      <c r="C449" s="21"/>
      <c r="D449" s="21"/>
      <c r="E449" s="21"/>
      <c r="F449" s="21" t="str">
        <f>IF(E449="","",VLOOKUP(E449,tipo_cuenta[#ALL],2,0))</f>
        <v/>
      </c>
    </row>
    <row r="450">
      <c r="A450" s="21"/>
      <c r="B450" s="21"/>
      <c r="C450" s="21"/>
      <c r="D450" s="21"/>
      <c r="E450" s="21"/>
      <c r="F450" s="21" t="str">
        <f>IF(E450="","",VLOOKUP(E450,tipo_cuenta[#ALL],2,0))</f>
        <v/>
      </c>
    </row>
    <row r="451">
      <c r="A451" s="21"/>
      <c r="B451" s="21"/>
      <c r="C451" s="21"/>
      <c r="D451" s="21"/>
      <c r="E451" s="21"/>
      <c r="F451" s="21" t="str">
        <f>IF(E451="","",VLOOKUP(E451,tipo_cuenta[#ALL],2,0))</f>
        <v/>
      </c>
    </row>
    <row r="452">
      <c r="A452" s="21"/>
      <c r="B452" s="21"/>
      <c r="C452" s="21"/>
      <c r="D452" s="21"/>
      <c r="E452" s="21"/>
      <c r="F452" s="21" t="str">
        <f>IF(E452="","",VLOOKUP(E452,tipo_cuenta[#ALL],2,0))</f>
        <v/>
      </c>
    </row>
    <row r="453">
      <c r="A453" s="21"/>
      <c r="B453" s="21"/>
      <c r="C453" s="21"/>
      <c r="D453" s="21"/>
      <c r="E453" s="21"/>
      <c r="F453" s="21" t="str">
        <f>IF(E453="","",VLOOKUP(E453,tipo_cuenta[#ALL],2,0))</f>
        <v/>
      </c>
    </row>
    <row r="454">
      <c r="A454" s="21"/>
      <c r="B454" s="21"/>
      <c r="C454" s="21"/>
      <c r="D454" s="21"/>
      <c r="E454" s="21"/>
      <c r="F454" s="21" t="str">
        <f>IF(E454="","",VLOOKUP(E454,tipo_cuenta[#ALL],2,0))</f>
        <v/>
      </c>
    </row>
    <row r="455">
      <c r="A455" s="21"/>
      <c r="B455" s="21"/>
      <c r="C455" s="21"/>
      <c r="D455" s="21"/>
      <c r="E455" s="21"/>
      <c r="F455" s="21" t="str">
        <f>IF(E455="","",VLOOKUP(E455,tipo_cuenta[#ALL],2,0))</f>
        <v/>
      </c>
    </row>
    <row r="456">
      <c r="A456" s="21"/>
      <c r="B456" s="21"/>
      <c r="C456" s="21"/>
      <c r="D456" s="21"/>
      <c r="E456" s="21"/>
      <c r="F456" s="21" t="str">
        <f>IF(E456="","",VLOOKUP(E456,tipo_cuenta[#ALL],2,0))</f>
        <v/>
      </c>
    </row>
    <row r="457">
      <c r="A457" s="21"/>
      <c r="B457" s="21"/>
      <c r="C457" s="21"/>
      <c r="D457" s="21"/>
      <c r="E457" s="21"/>
      <c r="F457" s="21" t="str">
        <f>IF(E457="","",VLOOKUP(E457,tipo_cuenta[#ALL],2,0))</f>
        <v/>
      </c>
    </row>
    <row r="458">
      <c r="A458" s="21"/>
      <c r="B458" s="21"/>
      <c r="C458" s="21"/>
      <c r="D458" s="21"/>
      <c r="E458" s="21"/>
      <c r="F458" s="21" t="str">
        <f>IF(E458="","",VLOOKUP(E458,tipo_cuenta[#ALL],2,0))</f>
        <v/>
      </c>
    </row>
    <row r="459">
      <c r="A459" s="21"/>
      <c r="B459" s="21"/>
      <c r="C459" s="21"/>
      <c r="D459" s="21"/>
      <c r="E459" s="21"/>
      <c r="F459" s="21" t="str">
        <f>IF(E459="","",VLOOKUP(E459,tipo_cuenta[#ALL],2,0))</f>
        <v/>
      </c>
    </row>
    <row r="460">
      <c r="A460" s="21"/>
      <c r="B460" s="21"/>
      <c r="C460" s="21"/>
      <c r="D460" s="21"/>
      <c r="E460" s="21"/>
      <c r="F460" s="21" t="str">
        <f>IF(E460="","",VLOOKUP(E460,tipo_cuenta[#ALL],2,0))</f>
        <v/>
      </c>
    </row>
    <row r="461">
      <c r="A461" s="21"/>
      <c r="B461" s="21"/>
      <c r="C461" s="21"/>
      <c r="D461" s="21"/>
      <c r="E461" s="21"/>
      <c r="F461" s="21" t="str">
        <f>IF(E461="","",VLOOKUP(E461,tipo_cuenta[#ALL],2,0))</f>
        <v/>
      </c>
    </row>
    <row r="462">
      <c r="A462" s="21"/>
      <c r="B462" s="21"/>
      <c r="C462" s="21"/>
      <c r="D462" s="21"/>
      <c r="E462" s="21"/>
      <c r="F462" s="21" t="str">
        <f>IF(E462="","",VLOOKUP(E462,tipo_cuenta[#ALL],2,0))</f>
        <v/>
      </c>
    </row>
    <row r="463">
      <c r="A463" s="21"/>
      <c r="B463" s="21"/>
      <c r="C463" s="21"/>
      <c r="D463" s="21"/>
      <c r="E463" s="21"/>
      <c r="F463" s="21" t="str">
        <f>IF(E463="","",VLOOKUP(E463,tipo_cuenta[#ALL],2,0))</f>
        <v/>
      </c>
    </row>
    <row r="464">
      <c r="A464" s="21"/>
      <c r="B464" s="21"/>
      <c r="C464" s="21"/>
      <c r="D464" s="21"/>
      <c r="E464" s="21"/>
      <c r="F464" s="21" t="str">
        <f>IF(E464="","",VLOOKUP(E464,tipo_cuenta[#ALL],2,0))</f>
        <v/>
      </c>
    </row>
    <row r="465">
      <c r="A465" s="21"/>
      <c r="B465" s="21"/>
      <c r="C465" s="21"/>
      <c r="D465" s="21"/>
      <c r="E465" s="21"/>
      <c r="F465" s="21" t="str">
        <f>IF(E465="","",VLOOKUP(E465,tipo_cuenta[#ALL],2,0))</f>
        <v/>
      </c>
    </row>
    <row r="466">
      <c r="A466" s="21"/>
      <c r="B466" s="21"/>
      <c r="C466" s="21"/>
      <c r="D466" s="21"/>
      <c r="E466" s="21"/>
      <c r="F466" s="21" t="str">
        <f>IF(E466="","",VLOOKUP(E466,tipo_cuenta[#ALL],2,0))</f>
        <v/>
      </c>
    </row>
    <row r="467">
      <c r="A467" s="21"/>
      <c r="B467" s="21"/>
      <c r="C467" s="21"/>
      <c r="D467" s="21"/>
      <c r="E467" s="21"/>
      <c r="F467" s="21" t="str">
        <f>IF(E467="","",VLOOKUP(E467,tipo_cuenta[#ALL],2,0))</f>
        <v/>
      </c>
    </row>
    <row r="468">
      <c r="A468" s="21"/>
      <c r="B468" s="21"/>
      <c r="C468" s="21"/>
      <c r="D468" s="21"/>
      <c r="E468" s="21"/>
      <c r="F468" s="21" t="str">
        <f>IF(E468="","",VLOOKUP(E468,tipo_cuenta[#ALL],2,0))</f>
        <v/>
      </c>
    </row>
    <row r="469">
      <c r="A469" s="21"/>
      <c r="B469" s="21"/>
      <c r="C469" s="21"/>
      <c r="D469" s="21"/>
      <c r="E469" s="21"/>
      <c r="F469" s="21" t="str">
        <f>IF(E469="","",VLOOKUP(E469,tipo_cuenta[#ALL],2,0))</f>
        <v/>
      </c>
    </row>
    <row r="470">
      <c r="A470" s="21"/>
      <c r="B470" s="21"/>
      <c r="C470" s="21"/>
      <c r="D470" s="21"/>
      <c r="E470" s="21"/>
      <c r="F470" s="21" t="str">
        <f>IF(E470="","",VLOOKUP(E470,tipo_cuenta[#ALL],2,0))</f>
        <v/>
      </c>
    </row>
    <row r="471">
      <c r="A471" s="21"/>
      <c r="B471" s="21"/>
      <c r="C471" s="21"/>
      <c r="D471" s="21"/>
      <c r="E471" s="21"/>
      <c r="F471" s="21" t="str">
        <f>IF(E471="","",VLOOKUP(E471,tipo_cuenta[#ALL],2,0))</f>
        <v/>
      </c>
    </row>
    <row r="472">
      <c r="A472" s="21"/>
      <c r="B472" s="21"/>
      <c r="C472" s="21"/>
      <c r="D472" s="21"/>
      <c r="E472" s="21"/>
      <c r="F472" s="21" t="str">
        <f>IF(E472="","",VLOOKUP(E472,tipo_cuenta[#ALL],2,0))</f>
        <v/>
      </c>
    </row>
    <row r="473">
      <c r="A473" s="21"/>
      <c r="B473" s="21"/>
      <c r="C473" s="21"/>
      <c r="D473" s="21"/>
      <c r="E473" s="21"/>
      <c r="F473" s="21" t="str">
        <f>IF(E473="","",VLOOKUP(E473,tipo_cuenta[#ALL],2,0))</f>
        <v/>
      </c>
    </row>
    <row r="474">
      <c r="A474" s="21"/>
      <c r="B474" s="21"/>
      <c r="C474" s="21"/>
      <c r="D474" s="21"/>
      <c r="E474" s="21"/>
      <c r="F474" s="21" t="str">
        <f>IF(E474="","",VLOOKUP(E474,tipo_cuenta[#ALL],2,0))</f>
        <v/>
      </c>
    </row>
    <row r="475">
      <c r="A475" s="21"/>
      <c r="B475" s="21"/>
      <c r="C475" s="21"/>
      <c r="D475" s="21"/>
      <c r="E475" s="21"/>
      <c r="F475" s="21" t="str">
        <f>IF(E475="","",VLOOKUP(E475,tipo_cuenta[#ALL],2,0))</f>
        <v/>
      </c>
    </row>
    <row r="476">
      <c r="A476" s="21"/>
      <c r="B476" s="21"/>
      <c r="C476" s="21"/>
      <c r="D476" s="21"/>
      <c r="E476" s="21"/>
      <c r="F476" s="21" t="str">
        <f>IF(E476="","",VLOOKUP(E476,tipo_cuenta[#ALL],2,0))</f>
        <v/>
      </c>
    </row>
    <row r="477">
      <c r="A477" s="21"/>
      <c r="B477" s="21"/>
      <c r="C477" s="21"/>
      <c r="D477" s="21"/>
      <c r="E477" s="21"/>
      <c r="F477" s="21" t="str">
        <f>IF(E477="","",VLOOKUP(E477,tipo_cuenta[#ALL],2,0))</f>
        <v/>
      </c>
    </row>
    <row r="478">
      <c r="A478" s="21"/>
      <c r="B478" s="21"/>
      <c r="C478" s="21"/>
      <c r="D478" s="21"/>
      <c r="E478" s="21"/>
      <c r="F478" s="21" t="str">
        <f>IF(E478="","",VLOOKUP(E478,tipo_cuenta[#ALL],2,0))</f>
        <v/>
      </c>
    </row>
    <row r="479">
      <c r="A479" s="21"/>
      <c r="B479" s="21"/>
      <c r="C479" s="21"/>
      <c r="D479" s="21"/>
      <c r="E479" s="21"/>
      <c r="F479" s="21" t="str">
        <f>IF(E479="","",VLOOKUP(E479,tipo_cuenta[#ALL],2,0))</f>
        <v/>
      </c>
    </row>
    <row r="480">
      <c r="A480" s="21"/>
      <c r="B480" s="21"/>
      <c r="C480" s="21"/>
      <c r="D480" s="21"/>
      <c r="E480" s="21"/>
      <c r="F480" s="21" t="str">
        <f>IF(E480="","",VLOOKUP(E480,tipo_cuenta[#ALL],2,0))</f>
        <v/>
      </c>
    </row>
    <row r="481">
      <c r="A481" s="21"/>
      <c r="B481" s="21"/>
      <c r="C481" s="21"/>
      <c r="D481" s="21"/>
      <c r="E481" s="21"/>
      <c r="F481" s="21" t="str">
        <f>IF(E481="","",VLOOKUP(E481,tipo_cuenta[#ALL],2,0))</f>
        <v/>
      </c>
    </row>
    <row r="482">
      <c r="A482" s="21"/>
      <c r="B482" s="21"/>
      <c r="C482" s="21"/>
      <c r="D482" s="21"/>
      <c r="E482" s="21"/>
      <c r="F482" s="21" t="str">
        <f>IF(E482="","",VLOOKUP(E482,tipo_cuenta[#ALL],2,0))</f>
        <v/>
      </c>
    </row>
    <row r="483">
      <c r="A483" s="21"/>
      <c r="B483" s="21"/>
      <c r="C483" s="21"/>
      <c r="D483" s="21"/>
      <c r="E483" s="21"/>
      <c r="F483" s="21" t="str">
        <f>IF(E483="","",VLOOKUP(E483,tipo_cuenta[#ALL],2,0))</f>
        <v/>
      </c>
    </row>
    <row r="484">
      <c r="A484" s="21"/>
      <c r="B484" s="21"/>
      <c r="C484" s="21"/>
      <c r="D484" s="21"/>
      <c r="E484" s="21"/>
      <c r="F484" s="21" t="str">
        <f>IF(E484="","",VLOOKUP(E484,tipo_cuenta[#ALL],2,0))</f>
        <v/>
      </c>
    </row>
    <row r="485">
      <c r="A485" s="21"/>
      <c r="B485" s="21"/>
      <c r="C485" s="21"/>
      <c r="D485" s="21"/>
      <c r="E485" s="21"/>
      <c r="F485" s="21" t="str">
        <f>IF(E485="","",VLOOKUP(E485,tipo_cuenta[#ALL],2,0))</f>
        <v/>
      </c>
    </row>
    <row r="486">
      <c r="A486" s="21"/>
      <c r="B486" s="21"/>
      <c r="C486" s="21"/>
      <c r="D486" s="21"/>
      <c r="E486" s="21"/>
      <c r="F486" s="21" t="str">
        <f>IF(E486="","",VLOOKUP(E486,tipo_cuenta[#ALL],2,0))</f>
        <v/>
      </c>
    </row>
    <row r="487">
      <c r="A487" s="21"/>
      <c r="B487" s="21"/>
      <c r="C487" s="21"/>
      <c r="D487" s="21"/>
      <c r="E487" s="21"/>
      <c r="F487" s="21" t="str">
        <f>IF(E487="","",VLOOKUP(E487,tipo_cuenta[#ALL],2,0))</f>
        <v/>
      </c>
    </row>
    <row r="488">
      <c r="A488" s="21"/>
      <c r="B488" s="21"/>
      <c r="C488" s="21"/>
      <c r="D488" s="21"/>
      <c r="E488" s="21"/>
      <c r="F488" s="21" t="str">
        <f>IF(E488="","",VLOOKUP(E488,tipo_cuenta[#ALL],2,0))</f>
        <v/>
      </c>
    </row>
    <row r="489">
      <c r="A489" s="21"/>
      <c r="B489" s="21"/>
      <c r="C489" s="21"/>
      <c r="D489" s="21"/>
      <c r="E489" s="21"/>
      <c r="F489" s="21" t="str">
        <f>IF(E489="","",VLOOKUP(E489,tipo_cuenta[#ALL],2,0))</f>
        <v/>
      </c>
    </row>
    <row r="490">
      <c r="A490" s="21"/>
      <c r="B490" s="21"/>
      <c r="C490" s="21"/>
      <c r="D490" s="21"/>
      <c r="E490" s="21"/>
      <c r="F490" s="21" t="str">
        <f>IF(E490="","",VLOOKUP(E490,tipo_cuenta[#ALL],2,0))</f>
        <v/>
      </c>
    </row>
    <row r="491">
      <c r="A491" s="21"/>
      <c r="B491" s="21"/>
      <c r="C491" s="21"/>
      <c r="D491" s="21"/>
      <c r="E491" s="21"/>
      <c r="F491" s="21" t="str">
        <f>IF(E491="","",VLOOKUP(E491,tipo_cuenta[#ALL],2,0))</f>
        <v/>
      </c>
    </row>
    <row r="492">
      <c r="A492" s="21"/>
      <c r="B492" s="21"/>
      <c r="C492" s="21"/>
      <c r="D492" s="21"/>
      <c r="E492" s="21"/>
      <c r="F492" s="21" t="str">
        <f>IF(E492="","",VLOOKUP(E492,tipo_cuenta[#ALL],2,0))</f>
        <v/>
      </c>
    </row>
    <row r="493">
      <c r="A493" s="21"/>
      <c r="B493" s="21"/>
      <c r="C493" s="21"/>
      <c r="D493" s="21"/>
      <c r="E493" s="21"/>
      <c r="F493" s="21" t="str">
        <f>IF(E493="","",VLOOKUP(E493,tipo_cuenta[#ALL],2,0))</f>
        <v/>
      </c>
    </row>
    <row r="494">
      <c r="A494" s="21"/>
      <c r="B494" s="21"/>
      <c r="C494" s="21"/>
      <c r="D494" s="21"/>
      <c r="E494" s="21"/>
      <c r="F494" s="21" t="str">
        <f>IF(E494="","",VLOOKUP(E494,tipo_cuenta[#ALL],2,0))</f>
        <v/>
      </c>
    </row>
    <row r="495">
      <c r="A495" s="21"/>
      <c r="B495" s="21"/>
      <c r="C495" s="21"/>
      <c r="D495" s="21"/>
      <c r="E495" s="21"/>
      <c r="F495" s="21" t="str">
        <f>IF(E495="","",VLOOKUP(E495,tipo_cuenta[#ALL],2,0))</f>
        <v/>
      </c>
    </row>
    <row r="496">
      <c r="A496" s="21"/>
      <c r="B496" s="21"/>
      <c r="C496" s="21"/>
      <c r="D496" s="21"/>
      <c r="E496" s="21"/>
      <c r="F496" s="21" t="str">
        <f>IF(E496="","",VLOOKUP(E496,tipo_cuenta[#ALL],2,0))</f>
        <v/>
      </c>
    </row>
    <row r="497">
      <c r="A497" s="21"/>
      <c r="B497" s="21"/>
      <c r="C497" s="21"/>
      <c r="D497" s="21"/>
      <c r="E497" s="21"/>
      <c r="F497" s="21" t="str">
        <f>IF(E497="","",VLOOKUP(E497,tipo_cuenta[#ALL],2,0))</f>
        <v/>
      </c>
    </row>
    <row r="498">
      <c r="A498" s="21"/>
      <c r="B498" s="21"/>
      <c r="C498" s="21"/>
      <c r="D498" s="21"/>
      <c r="E498" s="21"/>
      <c r="F498" s="21" t="str">
        <f>IF(E498="","",VLOOKUP(E498,tipo_cuenta[#ALL],2,0))</f>
        <v/>
      </c>
    </row>
    <row r="499">
      <c r="A499" s="21"/>
      <c r="B499" s="21"/>
      <c r="C499" s="21"/>
      <c r="D499" s="21"/>
      <c r="E499" s="21"/>
      <c r="F499" s="21" t="str">
        <f>IF(E499="","",VLOOKUP(E499,tipo_cuenta[#ALL],2,0))</f>
        <v/>
      </c>
    </row>
    <row r="500">
      <c r="A500" s="21"/>
      <c r="B500" s="21"/>
      <c r="C500" s="21"/>
      <c r="D500" s="21"/>
      <c r="E500" s="21"/>
      <c r="F500" s="21" t="str">
        <f>IF(E500="","",VLOOKUP(E500,tipo_cuenta[#ALL],2,0))</f>
        <v/>
      </c>
    </row>
    <row r="501">
      <c r="A501" s="21"/>
      <c r="B501" s="21"/>
      <c r="C501" s="21"/>
      <c r="D501" s="21"/>
      <c r="E501" s="21"/>
      <c r="F501" s="21" t="str">
        <f>IF(E501="","",VLOOKUP(E501,tipo_cuenta[#ALL],2,0))</f>
        <v/>
      </c>
    </row>
    <row r="502">
      <c r="A502" s="21"/>
      <c r="B502" s="21"/>
      <c r="C502" s="21"/>
      <c r="D502" s="21"/>
      <c r="E502" s="21"/>
      <c r="F502" s="21" t="str">
        <f>IF(E502="","",VLOOKUP(E502,tipo_cuenta[#ALL],2,0))</f>
        <v/>
      </c>
    </row>
    <row r="503">
      <c r="A503" s="21"/>
      <c r="B503" s="21"/>
      <c r="C503" s="21"/>
      <c r="D503" s="21"/>
      <c r="E503" s="21"/>
      <c r="F503" s="21" t="str">
        <f>IF(E503="","",VLOOKUP(E503,tipo_cuenta[#ALL],2,0))</f>
        <v/>
      </c>
    </row>
    <row r="504">
      <c r="A504" s="21"/>
      <c r="B504" s="21"/>
      <c r="C504" s="21"/>
      <c r="D504" s="21"/>
      <c r="E504" s="21"/>
      <c r="F504" s="21" t="str">
        <f>IF(E504="","",VLOOKUP(E504,tipo_cuenta[#ALL],2,0))</f>
        <v/>
      </c>
    </row>
    <row r="505">
      <c r="A505" s="21"/>
      <c r="B505" s="21"/>
      <c r="C505" s="21"/>
      <c r="D505" s="21"/>
      <c r="E505" s="21"/>
      <c r="F505" s="21" t="str">
        <f>IF(E505="","",VLOOKUP(E505,tipo_cuenta[#ALL],2,0))</f>
        <v/>
      </c>
    </row>
    <row r="506">
      <c r="A506" s="21"/>
      <c r="B506" s="21"/>
      <c r="C506" s="21"/>
      <c r="D506" s="21"/>
      <c r="E506" s="21"/>
      <c r="F506" s="21" t="str">
        <f>IF(E506="","",VLOOKUP(E506,tipo_cuenta[#ALL],2,0))</f>
        <v/>
      </c>
    </row>
    <row r="507">
      <c r="A507" s="21"/>
      <c r="B507" s="21"/>
      <c r="C507" s="21"/>
      <c r="D507" s="21"/>
      <c r="E507" s="21"/>
      <c r="F507" s="21" t="str">
        <f>IF(E507="","",VLOOKUP(E507,tipo_cuenta[#ALL],2,0))</f>
        <v/>
      </c>
    </row>
    <row r="508">
      <c r="A508" s="21"/>
      <c r="B508" s="21"/>
      <c r="C508" s="21"/>
      <c r="D508" s="21"/>
      <c r="E508" s="21"/>
      <c r="F508" s="21" t="str">
        <f>IF(E508="","",VLOOKUP(E508,tipo_cuenta[#ALL],2,0))</f>
        <v/>
      </c>
    </row>
    <row r="509">
      <c r="A509" s="21"/>
      <c r="B509" s="21"/>
      <c r="C509" s="21"/>
      <c r="D509" s="21"/>
      <c r="E509" s="21"/>
      <c r="F509" s="21" t="str">
        <f>IF(E509="","",VLOOKUP(E509,tipo_cuenta[#ALL],2,0))</f>
        <v/>
      </c>
    </row>
    <row r="510">
      <c r="A510" s="21"/>
      <c r="B510" s="21"/>
      <c r="C510" s="21"/>
      <c r="D510" s="21"/>
      <c r="E510" s="21"/>
      <c r="F510" s="21" t="str">
        <f>IF(E510="","",VLOOKUP(E510,tipo_cuenta[#ALL],2,0))</f>
        <v/>
      </c>
    </row>
    <row r="511">
      <c r="A511" s="21"/>
      <c r="B511" s="21"/>
      <c r="C511" s="21"/>
      <c r="D511" s="21"/>
      <c r="E511" s="21"/>
      <c r="F511" s="21" t="str">
        <f>IF(E511="","",VLOOKUP(E511,tipo_cuenta[#ALL],2,0))</f>
        <v/>
      </c>
    </row>
    <row r="512">
      <c r="A512" s="21"/>
      <c r="B512" s="21"/>
      <c r="C512" s="21"/>
      <c r="D512" s="21"/>
      <c r="E512" s="21"/>
      <c r="F512" s="21" t="str">
        <f>IF(E512="","",VLOOKUP(E512,tipo_cuenta[#ALL],2,0))</f>
        <v/>
      </c>
    </row>
    <row r="513">
      <c r="A513" s="21"/>
      <c r="B513" s="21"/>
      <c r="C513" s="21"/>
      <c r="D513" s="21"/>
      <c r="E513" s="21"/>
      <c r="F513" s="21" t="str">
        <f>IF(E513="","",VLOOKUP(E513,tipo_cuenta[#ALL],2,0))</f>
        <v/>
      </c>
    </row>
    <row r="514">
      <c r="A514" s="21"/>
      <c r="B514" s="21"/>
      <c r="C514" s="21"/>
      <c r="D514" s="21"/>
      <c r="E514" s="21"/>
      <c r="F514" s="21" t="str">
        <f>IF(E514="","",VLOOKUP(E514,tipo_cuenta[#ALL],2,0))</f>
        <v/>
      </c>
    </row>
    <row r="515">
      <c r="A515" s="21"/>
      <c r="B515" s="21"/>
      <c r="C515" s="21"/>
      <c r="D515" s="21"/>
      <c r="E515" s="21"/>
      <c r="F515" s="21" t="str">
        <f>IF(E515="","",VLOOKUP(E515,tipo_cuenta[#ALL],2,0))</f>
        <v/>
      </c>
    </row>
    <row r="516">
      <c r="A516" s="21"/>
      <c r="B516" s="21"/>
      <c r="C516" s="21"/>
      <c r="D516" s="21"/>
      <c r="E516" s="21"/>
      <c r="F516" s="21" t="str">
        <f>IF(E516="","",VLOOKUP(E516,tipo_cuenta[#ALL],2,0))</f>
        <v/>
      </c>
    </row>
    <row r="517">
      <c r="A517" s="21"/>
      <c r="B517" s="21"/>
      <c r="C517" s="21"/>
      <c r="D517" s="21"/>
      <c r="E517" s="21"/>
      <c r="F517" s="21" t="str">
        <f>IF(E517="","",VLOOKUP(E517,tipo_cuenta[#ALL],2,0))</f>
        <v/>
      </c>
    </row>
    <row r="518">
      <c r="A518" s="21"/>
      <c r="B518" s="21"/>
      <c r="C518" s="21"/>
      <c r="D518" s="21"/>
      <c r="E518" s="21"/>
      <c r="F518" s="21" t="str">
        <f>IF(E518="","",VLOOKUP(E518,tipo_cuenta[#ALL],2,0))</f>
        <v/>
      </c>
    </row>
    <row r="519">
      <c r="A519" s="21"/>
      <c r="B519" s="21"/>
      <c r="C519" s="21"/>
      <c r="D519" s="21"/>
      <c r="E519" s="21"/>
      <c r="F519" s="21" t="str">
        <f>IF(E519="","",VLOOKUP(E519,tipo_cuenta[#ALL],2,0))</f>
        <v/>
      </c>
    </row>
    <row r="520">
      <c r="A520" s="21"/>
      <c r="B520" s="21"/>
      <c r="C520" s="21"/>
      <c r="D520" s="21"/>
      <c r="E520" s="21"/>
      <c r="F520" s="21" t="str">
        <f>IF(E520="","",VLOOKUP(E520,tipo_cuenta[#ALL],2,0))</f>
        <v/>
      </c>
    </row>
    <row r="521">
      <c r="A521" s="21"/>
      <c r="B521" s="21"/>
      <c r="C521" s="21"/>
      <c r="D521" s="21"/>
      <c r="E521" s="21"/>
      <c r="F521" s="21" t="str">
        <f>IF(E521="","",VLOOKUP(E521,tipo_cuenta[#ALL],2,0))</f>
        <v/>
      </c>
    </row>
    <row r="522">
      <c r="A522" s="21"/>
      <c r="B522" s="21"/>
      <c r="C522" s="21"/>
      <c r="D522" s="21"/>
      <c r="E522" s="21"/>
      <c r="F522" s="21" t="str">
        <f>IF(E522="","",VLOOKUP(E522,tipo_cuenta[#ALL],2,0))</f>
        <v/>
      </c>
    </row>
    <row r="523">
      <c r="A523" s="21"/>
      <c r="B523" s="21"/>
      <c r="C523" s="21"/>
      <c r="D523" s="21"/>
      <c r="E523" s="21"/>
      <c r="F523" s="21" t="str">
        <f>IF(E523="","",VLOOKUP(E523,tipo_cuenta[#ALL],2,0))</f>
        <v/>
      </c>
    </row>
    <row r="524">
      <c r="A524" s="21"/>
      <c r="B524" s="21"/>
      <c r="C524" s="21"/>
      <c r="D524" s="21"/>
      <c r="E524" s="21"/>
      <c r="F524" s="21" t="str">
        <f>IF(E524="","",VLOOKUP(E524,tipo_cuenta[#ALL],2,0))</f>
        <v/>
      </c>
    </row>
    <row r="525">
      <c r="A525" s="21"/>
      <c r="B525" s="21"/>
      <c r="C525" s="21"/>
      <c r="D525" s="21"/>
      <c r="E525" s="21"/>
      <c r="F525" s="21" t="str">
        <f>IF(E525="","",VLOOKUP(E525,tipo_cuenta[#ALL],2,0))</f>
        <v/>
      </c>
    </row>
    <row r="526">
      <c r="A526" s="21"/>
      <c r="B526" s="21"/>
      <c r="C526" s="21"/>
      <c r="D526" s="21"/>
      <c r="E526" s="21"/>
      <c r="F526" s="21" t="str">
        <f>IF(E526="","",VLOOKUP(E526,tipo_cuenta[#ALL],2,0))</f>
        <v/>
      </c>
    </row>
    <row r="527">
      <c r="A527" s="21"/>
      <c r="B527" s="21"/>
      <c r="C527" s="21"/>
      <c r="D527" s="21"/>
      <c r="E527" s="21"/>
      <c r="F527" s="21" t="str">
        <f>IF(E527="","",VLOOKUP(E527,tipo_cuenta[#ALL],2,0))</f>
        <v/>
      </c>
    </row>
    <row r="528">
      <c r="A528" s="21"/>
      <c r="B528" s="21"/>
      <c r="C528" s="21"/>
      <c r="D528" s="21"/>
      <c r="E528" s="21"/>
      <c r="F528" s="21" t="str">
        <f>IF(E528="","",VLOOKUP(E528,tipo_cuenta[#ALL],2,0))</f>
        <v/>
      </c>
    </row>
    <row r="529">
      <c r="A529" s="21"/>
      <c r="B529" s="21"/>
      <c r="C529" s="21"/>
      <c r="D529" s="21"/>
      <c r="E529" s="21"/>
      <c r="F529" s="21" t="str">
        <f>IF(E529="","",VLOOKUP(E529,tipo_cuenta[#ALL],2,0))</f>
        <v/>
      </c>
    </row>
    <row r="530">
      <c r="A530" s="21"/>
      <c r="B530" s="21"/>
      <c r="C530" s="21"/>
      <c r="D530" s="21"/>
      <c r="E530" s="21"/>
      <c r="F530" s="21" t="str">
        <f>IF(E530="","",VLOOKUP(E530,tipo_cuenta[#ALL],2,0))</f>
        <v/>
      </c>
    </row>
    <row r="531">
      <c r="A531" s="21"/>
      <c r="B531" s="21"/>
      <c r="C531" s="21"/>
      <c r="D531" s="21"/>
      <c r="E531" s="21"/>
      <c r="F531" s="21" t="str">
        <f>IF(E531="","",VLOOKUP(E531,tipo_cuenta[#ALL],2,0))</f>
        <v/>
      </c>
    </row>
    <row r="532">
      <c r="A532" s="21"/>
      <c r="B532" s="21"/>
      <c r="C532" s="21"/>
      <c r="D532" s="21"/>
      <c r="E532" s="21"/>
      <c r="F532" s="21" t="str">
        <f>IF(E532="","",VLOOKUP(E532,tipo_cuenta[#ALL],2,0))</f>
        <v/>
      </c>
    </row>
    <row r="533">
      <c r="A533" s="21"/>
      <c r="B533" s="21"/>
      <c r="C533" s="21"/>
      <c r="D533" s="21"/>
      <c r="E533" s="21"/>
      <c r="F533" s="21" t="str">
        <f>IF(E533="","",VLOOKUP(E533,tipo_cuenta[#ALL],2,0))</f>
        <v/>
      </c>
    </row>
    <row r="534">
      <c r="A534" s="21"/>
      <c r="B534" s="21"/>
      <c r="C534" s="21"/>
      <c r="D534" s="21"/>
      <c r="E534" s="21"/>
      <c r="F534" s="21" t="str">
        <f>IF(E534="","",VLOOKUP(E534,tipo_cuenta[#ALL],2,0))</f>
        <v/>
      </c>
    </row>
    <row r="535">
      <c r="A535" s="21"/>
      <c r="B535" s="21"/>
      <c r="C535" s="21"/>
      <c r="D535" s="21"/>
      <c r="E535" s="21"/>
      <c r="F535" s="21" t="str">
        <f>IF(E535="","",VLOOKUP(E535,tipo_cuenta[#ALL],2,0))</f>
        <v/>
      </c>
    </row>
    <row r="536">
      <c r="A536" s="21"/>
      <c r="B536" s="21"/>
      <c r="C536" s="21"/>
      <c r="D536" s="21"/>
      <c r="E536" s="21"/>
      <c r="F536" s="21" t="str">
        <f>IF(E536="","",VLOOKUP(E536,tipo_cuenta[#ALL],2,0))</f>
        <v/>
      </c>
    </row>
    <row r="537">
      <c r="A537" s="21"/>
      <c r="B537" s="21"/>
      <c r="C537" s="21"/>
      <c r="D537" s="21"/>
      <c r="E537" s="21"/>
      <c r="F537" s="21" t="str">
        <f>IF(E537="","",VLOOKUP(E537,tipo_cuenta[#ALL],2,0))</f>
        <v/>
      </c>
    </row>
    <row r="538">
      <c r="A538" s="21"/>
      <c r="B538" s="21"/>
      <c r="C538" s="21"/>
      <c r="D538" s="21"/>
      <c r="E538" s="21"/>
      <c r="F538" s="21" t="str">
        <f>IF(E538="","",VLOOKUP(E538,tipo_cuenta[#ALL],2,0))</f>
        <v/>
      </c>
    </row>
    <row r="539">
      <c r="A539" s="21"/>
      <c r="B539" s="21"/>
      <c r="C539" s="21"/>
      <c r="D539" s="21"/>
      <c r="E539" s="21"/>
      <c r="F539" s="21" t="str">
        <f>IF(E539="","",VLOOKUP(E539,tipo_cuenta[#ALL],2,0))</f>
        <v/>
      </c>
    </row>
    <row r="540">
      <c r="A540" s="21"/>
      <c r="B540" s="21"/>
      <c r="C540" s="21"/>
      <c r="D540" s="21"/>
      <c r="E540" s="21"/>
      <c r="F540" s="21" t="str">
        <f>IF(E540="","",VLOOKUP(E540,tipo_cuenta[#ALL],2,0))</f>
        <v/>
      </c>
    </row>
    <row r="541">
      <c r="A541" s="21"/>
      <c r="B541" s="21"/>
      <c r="C541" s="21"/>
      <c r="D541" s="21"/>
      <c r="E541" s="21"/>
      <c r="F541" s="21" t="str">
        <f>IF(E541="","",VLOOKUP(E541,tipo_cuenta[#ALL],2,0))</f>
        <v/>
      </c>
    </row>
    <row r="542">
      <c r="A542" s="21"/>
      <c r="B542" s="21"/>
      <c r="C542" s="21"/>
      <c r="D542" s="21"/>
      <c r="E542" s="21"/>
      <c r="F542" s="21" t="str">
        <f>IF(E542="","",VLOOKUP(E542,tipo_cuenta[#ALL],2,0))</f>
        <v/>
      </c>
    </row>
    <row r="543">
      <c r="A543" s="21"/>
      <c r="B543" s="21"/>
      <c r="C543" s="21"/>
      <c r="D543" s="21"/>
      <c r="E543" s="21"/>
      <c r="F543" s="21" t="str">
        <f>IF(E543="","",VLOOKUP(E543,tipo_cuenta[#ALL],2,0))</f>
        <v/>
      </c>
    </row>
    <row r="544">
      <c r="A544" s="21"/>
      <c r="B544" s="21"/>
      <c r="C544" s="21"/>
      <c r="D544" s="21"/>
      <c r="E544" s="21"/>
      <c r="F544" s="21" t="str">
        <f>IF(E544="","",VLOOKUP(E544,tipo_cuenta[#ALL],2,0))</f>
        <v/>
      </c>
    </row>
    <row r="545">
      <c r="A545" s="21"/>
      <c r="B545" s="21"/>
      <c r="C545" s="21"/>
      <c r="D545" s="21"/>
      <c r="E545" s="21"/>
      <c r="F545" s="21" t="str">
        <f>IF(E545="","",VLOOKUP(E545,tipo_cuenta[#ALL],2,0))</f>
        <v/>
      </c>
    </row>
    <row r="546">
      <c r="A546" s="21"/>
      <c r="B546" s="21"/>
      <c r="C546" s="21"/>
      <c r="D546" s="21"/>
      <c r="E546" s="21"/>
      <c r="F546" s="21" t="str">
        <f>IF(E546="","",VLOOKUP(E546,tipo_cuenta[#ALL],2,0))</f>
        <v/>
      </c>
    </row>
    <row r="547">
      <c r="A547" s="21"/>
      <c r="B547" s="21"/>
      <c r="C547" s="21"/>
      <c r="D547" s="21"/>
      <c r="E547" s="21"/>
      <c r="F547" s="21" t="str">
        <f>IF(E547="","",VLOOKUP(E547,tipo_cuenta[#ALL],2,0))</f>
        <v/>
      </c>
    </row>
    <row r="548">
      <c r="A548" s="21"/>
      <c r="B548" s="21"/>
      <c r="C548" s="21"/>
      <c r="D548" s="21"/>
      <c r="E548" s="21"/>
      <c r="F548" s="21" t="str">
        <f>IF(E548="","",VLOOKUP(E548,tipo_cuenta[#ALL],2,0))</f>
        <v/>
      </c>
    </row>
    <row r="549">
      <c r="A549" s="21"/>
      <c r="B549" s="21"/>
      <c r="C549" s="21"/>
      <c r="D549" s="21"/>
      <c r="E549" s="21"/>
      <c r="F549" s="21" t="str">
        <f>IF(E549="","",VLOOKUP(E549,tipo_cuenta[#ALL],2,0))</f>
        <v/>
      </c>
    </row>
    <row r="550">
      <c r="A550" s="21"/>
      <c r="B550" s="21"/>
      <c r="C550" s="21"/>
      <c r="D550" s="21"/>
      <c r="E550" s="21"/>
      <c r="F550" s="21" t="str">
        <f>IF(E550="","",VLOOKUP(E550,tipo_cuenta[#ALL],2,0))</f>
        <v/>
      </c>
    </row>
    <row r="551">
      <c r="A551" s="21"/>
      <c r="B551" s="21"/>
      <c r="C551" s="21"/>
      <c r="D551" s="21"/>
      <c r="E551" s="21"/>
      <c r="F551" s="21" t="str">
        <f>IF(E551="","",VLOOKUP(E551,tipo_cuenta[#ALL],2,0))</f>
        <v/>
      </c>
    </row>
    <row r="552">
      <c r="A552" s="21"/>
      <c r="B552" s="21"/>
      <c r="C552" s="21"/>
      <c r="D552" s="21"/>
      <c r="E552" s="21"/>
      <c r="F552" s="21" t="str">
        <f>IF(E552="","",VLOOKUP(E552,tipo_cuenta[#ALL],2,0))</f>
        <v/>
      </c>
    </row>
    <row r="553">
      <c r="A553" s="21"/>
      <c r="B553" s="21"/>
      <c r="C553" s="21"/>
      <c r="D553" s="21"/>
      <c r="E553" s="21"/>
      <c r="F553" s="21" t="str">
        <f>IF(E553="","",VLOOKUP(E553,tipo_cuenta[#ALL],2,0))</f>
        <v/>
      </c>
    </row>
    <row r="554">
      <c r="A554" s="21"/>
      <c r="B554" s="21"/>
      <c r="C554" s="21"/>
      <c r="D554" s="21"/>
      <c r="E554" s="21"/>
      <c r="F554" s="21" t="str">
        <f>IF(E554="","",VLOOKUP(E554,tipo_cuenta[#ALL],2,0))</f>
        <v/>
      </c>
    </row>
    <row r="555">
      <c r="A555" s="21"/>
      <c r="B555" s="21"/>
      <c r="C555" s="21"/>
      <c r="D555" s="21"/>
      <c r="E555" s="21"/>
      <c r="F555" s="21" t="str">
        <f>IF(E555="","",VLOOKUP(E555,tipo_cuenta[#ALL],2,0))</f>
        <v/>
      </c>
    </row>
    <row r="556">
      <c r="A556" s="21"/>
      <c r="B556" s="21"/>
      <c r="C556" s="21"/>
      <c r="D556" s="21"/>
      <c r="E556" s="21"/>
      <c r="F556" s="21" t="str">
        <f>IF(E556="","",VLOOKUP(E556,tipo_cuenta[#ALL],2,0))</f>
        <v/>
      </c>
    </row>
    <row r="557">
      <c r="A557" s="21"/>
      <c r="B557" s="21"/>
      <c r="C557" s="21"/>
      <c r="D557" s="21"/>
      <c r="E557" s="21"/>
      <c r="F557" s="21" t="str">
        <f>IF(E557="","",VLOOKUP(E557,tipo_cuenta[#ALL],2,0))</f>
        <v/>
      </c>
    </row>
    <row r="558">
      <c r="A558" s="21"/>
      <c r="B558" s="21"/>
      <c r="C558" s="21"/>
      <c r="D558" s="21"/>
      <c r="E558" s="21"/>
      <c r="F558" s="21" t="str">
        <f>IF(E558="","",VLOOKUP(E558,tipo_cuenta[#ALL],2,0))</f>
        <v/>
      </c>
    </row>
    <row r="559">
      <c r="A559" s="21"/>
      <c r="B559" s="21"/>
      <c r="C559" s="21"/>
      <c r="D559" s="21"/>
      <c r="E559" s="21"/>
      <c r="F559" s="21" t="str">
        <f>IF(E559="","",VLOOKUP(E559,tipo_cuenta[#ALL],2,0))</f>
        <v/>
      </c>
    </row>
    <row r="560">
      <c r="A560" s="21"/>
      <c r="B560" s="21"/>
      <c r="C560" s="21"/>
      <c r="D560" s="21"/>
      <c r="E560" s="21"/>
      <c r="F560" s="21" t="str">
        <f>IF(E560="","",VLOOKUP(E560,tipo_cuenta[#ALL],2,0))</f>
        <v/>
      </c>
    </row>
    <row r="561">
      <c r="A561" s="21"/>
      <c r="B561" s="21"/>
      <c r="C561" s="21"/>
      <c r="D561" s="21"/>
      <c r="E561" s="21"/>
      <c r="F561" s="21" t="str">
        <f>IF(E561="","",VLOOKUP(E561,tipo_cuenta[#ALL],2,0))</f>
        <v/>
      </c>
    </row>
    <row r="562">
      <c r="A562" s="21"/>
      <c r="B562" s="21"/>
      <c r="C562" s="21"/>
      <c r="D562" s="21"/>
      <c r="E562" s="21"/>
      <c r="F562" s="21" t="str">
        <f>IF(E562="","",VLOOKUP(E562,tipo_cuenta[#ALL],2,0))</f>
        <v/>
      </c>
    </row>
    <row r="563">
      <c r="A563" s="21"/>
      <c r="B563" s="21"/>
      <c r="C563" s="21"/>
      <c r="D563" s="21"/>
      <c r="E563" s="21"/>
      <c r="F563" s="21" t="str">
        <f>IF(E563="","",VLOOKUP(E563,tipo_cuenta[#ALL],2,0))</f>
        <v/>
      </c>
    </row>
    <row r="564">
      <c r="A564" s="21"/>
      <c r="B564" s="21"/>
      <c r="C564" s="21"/>
      <c r="D564" s="21"/>
      <c r="E564" s="21"/>
      <c r="F564" s="21" t="str">
        <f>IF(E564="","",VLOOKUP(E564,tipo_cuenta[#ALL],2,0))</f>
        <v/>
      </c>
    </row>
    <row r="565">
      <c r="A565" s="21"/>
      <c r="B565" s="21"/>
      <c r="C565" s="21"/>
      <c r="D565" s="21"/>
      <c r="E565" s="21"/>
      <c r="F565" s="21" t="str">
        <f>IF(E565="","",VLOOKUP(E565,tipo_cuenta[#ALL],2,0))</f>
        <v/>
      </c>
    </row>
    <row r="566">
      <c r="A566" s="21"/>
      <c r="B566" s="21"/>
      <c r="C566" s="21"/>
      <c r="D566" s="21"/>
      <c r="E566" s="21"/>
      <c r="F566" s="21" t="str">
        <f>IF(E566="","",VLOOKUP(E566,tipo_cuenta[#ALL],2,0))</f>
        <v/>
      </c>
    </row>
    <row r="567">
      <c r="A567" s="21"/>
      <c r="B567" s="21"/>
      <c r="C567" s="21"/>
      <c r="D567" s="21"/>
      <c r="E567" s="21"/>
      <c r="F567" s="21" t="str">
        <f>IF(E567="","",VLOOKUP(E567,tipo_cuenta[#ALL],2,0))</f>
        <v/>
      </c>
    </row>
    <row r="568">
      <c r="A568" s="21"/>
      <c r="B568" s="21"/>
      <c r="C568" s="21"/>
      <c r="D568" s="21"/>
      <c r="E568" s="21"/>
      <c r="F568" s="21" t="str">
        <f>IF(E568="","",VLOOKUP(E568,tipo_cuenta[#ALL],2,0))</f>
        <v/>
      </c>
    </row>
    <row r="569">
      <c r="A569" s="21"/>
      <c r="B569" s="21"/>
      <c r="C569" s="21"/>
      <c r="D569" s="21"/>
      <c r="E569" s="21"/>
      <c r="F569" s="21" t="str">
        <f>IF(E569="","",VLOOKUP(E569,tipo_cuenta[#ALL],2,0))</f>
        <v/>
      </c>
    </row>
    <row r="570">
      <c r="A570" s="21"/>
      <c r="B570" s="21"/>
      <c r="C570" s="21"/>
      <c r="D570" s="21"/>
      <c r="E570" s="21"/>
      <c r="F570" s="21" t="str">
        <f>IF(E570="","",VLOOKUP(E570,tipo_cuenta[#ALL],2,0))</f>
        <v/>
      </c>
    </row>
    <row r="571">
      <c r="A571" s="21"/>
      <c r="B571" s="21"/>
      <c r="C571" s="21"/>
      <c r="D571" s="21"/>
      <c r="E571" s="21"/>
      <c r="F571" s="21" t="str">
        <f>IF(E571="","",VLOOKUP(E571,tipo_cuenta[#ALL],2,0))</f>
        <v/>
      </c>
    </row>
    <row r="572">
      <c r="A572" s="21"/>
      <c r="B572" s="21"/>
      <c r="C572" s="21"/>
      <c r="D572" s="21"/>
      <c r="E572" s="21"/>
      <c r="F572" s="21" t="str">
        <f>IF(E572="","",VLOOKUP(E572,tipo_cuenta[#ALL],2,0))</f>
        <v/>
      </c>
    </row>
    <row r="573">
      <c r="A573" s="21"/>
      <c r="B573" s="21"/>
      <c r="C573" s="21"/>
      <c r="D573" s="21"/>
      <c r="E573" s="21"/>
      <c r="F573" s="21" t="str">
        <f>IF(E573="","",VLOOKUP(E573,tipo_cuenta[#ALL],2,0))</f>
        <v/>
      </c>
    </row>
    <row r="574">
      <c r="A574" s="21"/>
      <c r="B574" s="21"/>
      <c r="C574" s="21"/>
      <c r="D574" s="21"/>
      <c r="E574" s="21"/>
      <c r="F574" s="21" t="str">
        <f>IF(E574="","",VLOOKUP(E574,tipo_cuenta[#ALL],2,0))</f>
        <v/>
      </c>
    </row>
    <row r="575">
      <c r="A575" s="21"/>
      <c r="B575" s="21"/>
      <c r="C575" s="21"/>
      <c r="D575" s="21"/>
      <c r="E575" s="21"/>
      <c r="F575" s="21" t="str">
        <f>IF(E575="","",VLOOKUP(E575,tipo_cuenta[#ALL],2,0))</f>
        <v/>
      </c>
    </row>
    <row r="576">
      <c r="A576" s="21"/>
      <c r="B576" s="21"/>
      <c r="C576" s="21"/>
      <c r="D576" s="21"/>
      <c r="E576" s="21"/>
      <c r="F576" s="21" t="str">
        <f>IF(E576="","",VLOOKUP(E576,tipo_cuenta[#ALL],2,0))</f>
        <v/>
      </c>
    </row>
    <row r="577">
      <c r="A577" s="21"/>
      <c r="B577" s="21"/>
      <c r="C577" s="21"/>
      <c r="D577" s="21"/>
      <c r="E577" s="21"/>
      <c r="F577" s="21" t="str">
        <f>IF(E577="","",VLOOKUP(E577,tipo_cuenta[#ALL],2,0))</f>
        <v/>
      </c>
    </row>
    <row r="578">
      <c r="A578" s="21"/>
      <c r="B578" s="21"/>
      <c r="C578" s="21"/>
      <c r="D578" s="21"/>
      <c r="E578" s="21"/>
      <c r="F578" s="21" t="str">
        <f>IF(E578="","",VLOOKUP(E578,tipo_cuenta[#ALL],2,0))</f>
        <v/>
      </c>
    </row>
    <row r="579">
      <c r="A579" s="21"/>
      <c r="B579" s="21"/>
      <c r="C579" s="21"/>
      <c r="D579" s="21"/>
      <c r="E579" s="21"/>
      <c r="F579" s="21" t="str">
        <f>IF(E579="","",VLOOKUP(E579,tipo_cuenta[#ALL],2,0))</f>
        <v/>
      </c>
    </row>
    <row r="580">
      <c r="A580" s="21"/>
      <c r="B580" s="21"/>
      <c r="C580" s="21"/>
      <c r="D580" s="21"/>
      <c r="E580" s="21"/>
      <c r="F580" s="21" t="str">
        <f>IF(E580="","",VLOOKUP(E580,tipo_cuenta[#ALL],2,0))</f>
        <v/>
      </c>
    </row>
    <row r="581">
      <c r="A581" s="21"/>
      <c r="B581" s="21"/>
      <c r="C581" s="21"/>
      <c r="D581" s="21"/>
      <c r="E581" s="21"/>
      <c r="F581" s="21" t="str">
        <f>IF(E581="","",VLOOKUP(E581,tipo_cuenta[#ALL],2,0))</f>
        <v/>
      </c>
    </row>
    <row r="582">
      <c r="A582" s="21"/>
      <c r="B582" s="21"/>
      <c r="C582" s="21"/>
      <c r="D582" s="21"/>
      <c r="E582" s="21"/>
      <c r="F582" s="21" t="str">
        <f>IF(E582="","",VLOOKUP(E582,tipo_cuenta[#ALL],2,0))</f>
        <v/>
      </c>
    </row>
    <row r="583">
      <c r="A583" s="21"/>
      <c r="B583" s="21"/>
      <c r="C583" s="21"/>
      <c r="D583" s="21"/>
      <c r="E583" s="21"/>
      <c r="F583" s="21" t="str">
        <f>IF(E583="","",VLOOKUP(E583,tipo_cuenta[#ALL],2,0))</f>
        <v/>
      </c>
    </row>
    <row r="584">
      <c r="A584" s="21"/>
      <c r="B584" s="21"/>
      <c r="C584" s="21"/>
      <c r="D584" s="21"/>
      <c r="E584" s="21"/>
      <c r="F584" s="21" t="str">
        <f>IF(E584="","",VLOOKUP(E584,tipo_cuenta[#ALL],2,0))</f>
        <v/>
      </c>
    </row>
    <row r="585">
      <c r="A585" s="21"/>
      <c r="B585" s="21"/>
      <c r="C585" s="21"/>
      <c r="D585" s="21"/>
      <c r="E585" s="21"/>
      <c r="F585" s="21" t="str">
        <f>IF(E585="","",VLOOKUP(E585,tipo_cuenta[#ALL],2,0))</f>
        <v/>
      </c>
    </row>
    <row r="586">
      <c r="A586" s="21"/>
      <c r="B586" s="21"/>
      <c r="C586" s="21"/>
      <c r="D586" s="21"/>
      <c r="E586" s="21"/>
      <c r="F586" s="21" t="str">
        <f>IF(E586="","",VLOOKUP(E586,tipo_cuenta[#ALL],2,0))</f>
        <v/>
      </c>
    </row>
    <row r="587">
      <c r="A587" s="21"/>
      <c r="B587" s="21"/>
      <c r="C587" s="21"/>
      <c r="D587" s="21"/>
      <c r="E587" s="21"/>
      <c r="F587" s="21" t="str">
        <f>IF(E587="","",VLOOKUP(E587,tipo_cuenta[#ALL],2,0))</f>
        <v/>
      </c>
    </row>
    <row r="588">
      <c r="A588" s="21"/>
      <c r="B588" s="21"/>
      <c r="C588" s="21"/>
      <c r="D588" s="21"/>
      <c r="E588" s="21"/>
      <c r="F588" s="21" t="str">
        <f>IF(E588="","",VLOOKUP(E588,tipo_cuenta[#ALL],2,0))</f>
        <v/>
      </c>
    </row>
    <row r="589">
      <c r="A589" s="21"/>
      <c r="B589" s="21"/>
      <c r="C589" s="21"/>
      <c r="D589" s="21"/>
      <c r="E589" s="21"/>
      <c r="F589" s="21" t="str">
        <f>IF(E589="","",VLOOKUP(E589,tipo_cuenta[#ALL],2,0))</f>
        <v/>
      </c>
    </row>
    <row r="590">
      <c r="A590" s="21"/>
      <c r="B590" s="21"/>
      <c r="C590" s="21"/>
      <c r="D590" s="21"/>
      <c r="E590" s="21"/>
      <c r="F590" s="21" t="str">
        <f>IF(E590="","",VLOOKUP(E590,tipo_cuenta[#ALL],2,0))</f>
        <v/>
      </c>
    </row>
    <row r="591">
      <c r="A591" s="21"/>
      <c r="B591" s="21"/>
      <c r="C591" s="21"/>
      <c r="D591" s="21"/>
      <c r="E591" s="21"/>
      <c r="F591" s="21" t="str">
        <f>IF(E591="","",VLOOKUP(E591,tipo_cuenta[#ALL],2,0))</f>
        <v/>
      </c>
    </row>
    <row r="592">
      <c r="A592" s="21"/>
      <c r="B592" s="21"/>
      <c r="C592" s="21"/>
      <c r="D592" s="21"/>
      <c r="E592" s="21"/>
      <c r="F592" s="21" t="str">
        <f>IF(E592="","",VLOOKUP(E592,tipo_cuenta[#ALL],2,0))</f>
        <v/>
      </c>
    </row>
    <row r="593">
      <c r="A593" s="21"/>
      <c r="B593" s="21"/>
      <c r="C593" s="21"/>
      <c r="D593" s="21"/>
      <c r="E593" s="21"/>
      <c r="F593" s="21" t="str">
        <f>IF(E593="","",VLOOKUP(E593,tipo_cuenta[#ALL],2,0))</f>
        <v/>
      </c>
    </row>
    <row r="594">
      <c r="A594" s="21"/>
      <c r="B594" s="21"/>
      <c r="C594" s="21"/>
      <c r="D594" s="21"/>
      <c r="E594" s="21"/>
      <c r="F594" s="21" t="str">
        <f>IF(E594="","",VLOOKUP(E594,tipo_cuenta[#ALL],2,0))</f>
        <v/>
      </c>
    </row>
    <row r="595">
      <c r="A595" s="21"/>
      <c r="B595" s="21"/>
      <c r="C595" s="21"/>
      <c r="D595" s="21"/>
      <c r="E595" s="21"/>
      <c r="F595" s="21" t="str">
        <f>IF(E595="","",VLOOKUP(E595,tipo_cuenta[#ALL],2,0))</f>
        <v/>
      </c>
    </row>
    <row r="596">
      <c r="A596" s="21"/>
      <c r="B596" s="21"/>
      <c r="C596" s="21"/>
      <c r="D596" s="21"/>
      <c r="E596" s="21"/>
      <c r="F596" s="21" t="str">
        <f>IF(E596="","",VLOOKUP(E596,tipo_cuenta[#ALL],2,0))</f>
        <v/>
      </c>
    </row>
    <row r="597">
      <c r="A597" s="21"/>
      <c r="B597" s="21"/>
      <c r="C597" s="21"/>
      <c r="D597" s="21"/>
      <c r="E597" s="21"/>
      <c r="F597" s="21" t="str">
        <f>IF(E597="","",VLOOKUP(E597,tipo_cuenta[#ALL],2,0))</f>
        <v/>
      </c>
    </row>
    <row r="598">
      <c r="A598" s="21"/>
      <c r="B598" s="21"/>
      <c r="C598" s="21"/>
      <c r="D598" s="21"/>
      <c r="E598" s="21"/>
      <c r="F598" s="21" t="str">
        <f>IF(E598="","",VLOOKUP(E598,tipo_cuenta[#ALL],2,0))</f>
        <v/>
      </c>
    </row>
    <row r="599">
      <c r="A599" s="21"/>
      <c r="B599" s="21"/>
      <c r="C599" s="21"/>
      <c r="D599" s="21"/>
      <c r="E599" s="21"/>
      <c r="F599" s="21" t="str">
        <f>IF(E599="","",VLOOKUP(E599,tipo_cuenta[#ALL],2,0))</f>
        <v/>
      </c>
    </row>
    <row r="600">
      <c r="A600" s="21"/>
      <c r="B600" s="21"/>
      <c r="C600" s="21"/>
      <c r="D600" s="21"/>
      <c r="E600" s="21"/>
      <c r="F600" s="21" t="str">
        <f>IF(E600="","",VLOOKUP(E600,tipo_cuenta[#ALL],2,0))</f>
        <v/>
      </c>
    </row>
    <row r="601">
      <c r="A601" s="21"/>
      <c r="B601" s="21"/>
      <c r="C601" s="21"/>
      <c r="D601" s="21"/>
      <c r="E601" s="21"/>
      <c r="F601" s="21" t="str">
        <f>IF(E601="","",VLOOKUP(E601,tipo_cuenta[#ALL],2,0))</f>
        <v/>
      </c>
    </row>
    <row r="602">
      <c r="A602" s="21"/>
      <c r="B602" s="21"/>
      <c r="C602" s="21"/>
      <c r="D602" s="21"/>
      <c r="E602" s="21"/>
      <c r="F602" s="21" t="str">
        <f>IF(E602="","",VLOOKUP(E602,tipo_cuenta[#ALL],2,0))</f>
        <v/>
      </c>
    </row>
    <row r="603">
      <c r="A603" s="21"/>
      <c r="B603" s="21"/>
      <c r="C603" s="21"/>
      <c r="D603" s="21"/>
      <c r="E603" s="21"/>
      <c r="F603" s="21" t="str">
        <f>IF(E603="","",VLOOKUP(E603,tipo_cuenta[#ALL],2,0))</f>
        <v/>
      </c>
    </row>
    <row r="604">
      <c r="A604" s="21"/>
      <c r="B604" s="21"/>
      <c r="C604" s="21"/>
      <c r="D604" s="21"/>
      <c r="E604" s="21"/>
      <c r="F604" s="21" t="str">
        <f>IF(E604="","",VLOOKUP(E604,tipo_cuenta[#ALL],2,0))</f>
        <v/>
      </c>
    </row>
    <row r="605">
      <c r="A605" s="21"/>
      <c r="B605" s="21"/>
      <c r="C605" s="21"/>
      <c r="D605" s="21"/>
      <c r="E605" s="21"/>
      <c r="F605" s="21" t="str">
        <f>IF(E605="","",VLOOKUP(E605,tipo_cuenta[#ALL],2,0))</f>
        <v/>
      </c>
    </row>
    <row r="606">
      <c r="A606" s="21"/>
      <c r="B606" s="21"/>
      <c r="C606" s="21"/>
      <c r="D606" s="21"/>
      <c r="E606" s="21"/>
      <c r="F606" s="21" t="str">
        <f>IF(E606="","",VLOOKUP(E606,tipo_cuenta[#ALL],2,0))</f>
        <v/>
      </c>
    </row>
    <row r="607">
      <c r="A607" s="21"/>
      <c r="B607" s="21"/>
      <c r="C607" s="21"/>
      <c r="D607" s="21"/>
      <c r="E607" s="21"/>
      <c r="F607" s="21" t="str">
        <f>IF(E607="","",VLOOKUP(E607,tipo_cuenta[#ALL],2,0))</f>
        <v/>
      </c>
    </row>
    <row r="608">
      <c r="A608" s="21"/>
      <c r="B608" s="21"/>
      <c r="C608" s="21"/>
      <c r="D608" s="21"/>
      <c r="E608" s="21"/>
      <c r="F608" s="21" t="str">
        <f>IF(E608="","",VLOOKUP(E608,tipo_cuenta[#ALL],2,0))</f>
        <v/>
      </c>
    </row>
    <row r="609">
      <c r="A609" s="21"/>
      <c r="B609" s="21"/>
      <c r="C609" s="21"/>
      <c r="D609" s="21"/>
      <c r="E609" s="21"/>
      <c r="F609" s="21" t="str">
        <f>IF(E609="","",VLOOKUP(E609,tipo_cuenta[#ALL],2,0))</f>
        <v/>
      </c>
    </row>
    <row r="610">
      <c r="A610" s="21"/>
      <c r="B610" s="21"/>
      <c r="C610" s="21"/>
      <c r="D610" s="21"/>
      <c r="E610" s="21"/>
      <c r="F610" s="21" t="str">
        <f>IF(E610="","",VLOOKUP(E610,tipo_cuenta[#ALL],2,0))</f>
        <v/>
      </c>
    </row>
    <row r="611">
      <c r="A611" s="21"/>
      <c r="B611" s="21"/>
      <c r="C611" s="21"/>
      <c r="D611" s="21"/>
      <c r="E611" s="21"/>
      <c r="F611" s="21" t="str">
        <f>IF(E611="","",VLOOKUP(E611,tipo_cuenta[#ALL],2,0))</f>
        <v/>
      </c>
    </row>
    <row r="612">
      <c r="A612" s="21"/>
      <c r="B612" s="21"/>
      <c r="C612" s="21"/>
      <c r="D612" s="21"/>
      <c r="E612" s="21"/>
      <c r="F612" s="21" t="str">
        <f>IF(E612="","",VLOOKUP(E612,tipo_cuenta[#ALL],2,0))</f>
        <v/>
      </c>
    </row>
    <row r="613">
      <c r="A613" s="21"/>
      <c r="B613" s="21"/>
      <c r="C613" s="21"/>
      <c r="D613" s="21"/>
      <c r="E613" s="21"/>
      <c r="F613" s="21" t="str">
        <f>IF(E613="","",VLOOKUP(E613,tipo_cuenta[#ALL],2,0))</f>
        <v/>
      </c>
    </row>
    <row r="614">
      <c r="A614" s="21"/>
      <c r="B614" s="21"/>
      <c r="C614" s="21"/>
      <c r="D614" s="21"/>
      <c r="E614" s="21"/>
      <c r="F614" s="21" t="str">
        <f>IF(E614="","",VLOOKUP(E614,tipo_cuenta[#ALL],2,0))</f>
        <v/>
      </c>
    </row>
    <row r="615">
      <c r="A615" s="21"/>
      <c r="B615" s="21"/>
      <c r="C615" s="21"/>
      <c r="D615" s="21"/>
      <c r="E615" s="21"/>
      <c r="F615" s="21" t="str">
        <f>IF(E615="","",VLOOKUP(E615,tipo_cuenta[#ALL],2,0))</f>
        <v/>
      </c>
    </row>
    <row r="616">
      <c r="A616" s="21"/>
      <c r="B616" s="21"/>
      <c r="C616" s="21"/>
      <c r="D616" s="21"/>
      <c r="E616" s="21"/>
      <c r="F616" s="21" t="str">
        <f>IF(E616="","",VLOOKUP(E616,tipo_cuenta[#ALL],2,0))</f>
        <v/>
      </c>
    </row>
    <row r="617">
      <c r="A617" s="21"/>
      <c r="B617" s="21"/>
      <c r="C617" s="21"/>
      <c r="D617" s="21"/>
      <c r="E617" s="21"/>
      <c r="F617" s="21" t="str">
        <f>IF(E617="","",VLOOKUP(E617,tipo_cuenta[#ALL],2,0))</f>
        <v/>
      </c>
    </row>
    <row r="618">
      <c r="A618" s="21"/>
      <c r="B618" s="21"/>
      <c r="C618" s="21"/>
      <c r="D618" s="21"/>
      <c r="E618" s="21"/>
      <c r="F618" s="21" t="str">
        <f>IF(E618="","",VLOOKUP(E618,tipo_cuenta[#ALL],2,0))</f>
        <v/>
      </c>
    </row>
    <row r="619">
      <c r="A619" s="21"/>
      <c r="B619" s="21"/>
      <c r="C619" s="21"/>
      <c r="D619" s="21"/>
      <c r="E619" s="21"/>
      <c r="F619" s="21" t="str">
        <f>IF(E619="","",VLOOKUP(E619,tipo_cuenta[#ALL],2,0))</f>
        <v/>
      </c>
    </row>
    <row r="620">
      <c r="A620" s="21"/>
      <c r="B620" s="21"/>
      <c r="C620" s="21"/>
      <c r="D620" s="21"/>
      <c r="E620" s="21"/>
      <c r="F620" s="21" t="str">
        <f>IF(E620="","",VLOOKUP(E620,tipo_cuenta[#ALL],2,0))</f>
        <v/>
      </c>
    </row>
    <row r="621">
      <c r="A621" s="21"/>
      <c r="B621" s="21"/>
      <c r="C621" s="21"/>
      <c r="D621" s="21"/>
      <c r="E621" s="21"/>
      <c r="F621" s="21" t="str">
        <f>IF(E621="","",VLOOKUP(E621,tipo_cuenta[#ALL],2,0))</f>
        <v/>
      </c>
    </row>
    <row r="622">
      <c r="A622" s="21"/>
      <c r="B622" s="21"/>
      <c r="C622" s="21"/>
      <c r="D622" s="21"/>
      <c r="E622" s="21"/>
      <c r="F622" s="21" t="str">
        <f>IF(E622="","",VLOOKUP(E622,tipo_cuenta[#ALL],2,0))</f>
        <v/>
      </c>
    </row>
    <row r="623">
      <c r="A623" s="21"/>
      <c r="B623" s="21"/>
      <c r="C623" s="21"/>
      <c r="D623" s="21"/>
      <c r="E623" s="21"/>
      <c r="F623" s="21" t="str">
        <f>IF(E623="","",VLOOKUP(E623,tipo_cuenta[#ALL],2,0))</f>
        <v/>
      </c>
    </row>
    <row r="624">
      <c r="A624" s="21"/>
      <c r="B624" s="21"/>
      <c r="C624" s="21"/>
      <c r="D624" s="21"/>
      <c r="E624" s="21"/>
      <c r="F624" s="21" t="str">
        <f>IF(E624="","",VLOOKUP(E624,tipo_cuenta[#ALL],2,0))</f>
        <v/>
      </c>
    </row>
    <row r="625">
      <c r="A625" s="21"/>
      <c r="B625" s="21"/>
      <c r="C625" s="21"/>
      <c r="D625" s="21"/>
      <c r="E625" s="21"/>
      <c r="F625" s="21" t="str">
        <f>IF(E625="","",VLOOKUP(E625,tipo_cuenta[#ALL],2,0))</f>
        <v/>
      </c>
    </row>
    <row r="626">
      <c r="A626" s="21"/>
      <c r="B626" s="21"/>
      <c r="C626" s="21"/>
      <c r="D626" s="21"/>
      <c r="E626" s="21"/>
      <c r="F626" s="21" t="str">
        <f>IF(E626="","",VLOOKUP(E626,tipo_cuenta[#ALL],2,0))</f>
        <v/>
      </c>
    </row>
    <row r="627">
      <c r="A627" s="21"/>
      <c r="B627" s="21"/>
      <c r="C627" s="21"/>
      <c r="D627" s="21"/>
      <c r="E627" s="21"/>
      <c r="F627" s="21" t="str">
        <f>IF(E627="","",VLOOKUP(E627,tipo_cuenta[#ALL],2,0))</f>
        <v/>
      </c>
    </row>
    <row r="628">
      <c r="A628" s="21"/>
      <c r="B628" s="21"/>
      <c r="C628" s="21"/>
      <c r="D628" s="21"/>
      <c r="E628" s="21"/>
      <c r="F628" s="21" t="str">
        <f>IF(E628="","",VLOOKUP(E628,tipo_cuenta[#ALL],2,0))</f>
        <v/>
      </c>
    </row>
    <row r="629">
      <c r="A629" s="21"/>
      <c r="B629" s="21"/>
      <c r="C629" s="21"/>
      <c r="D629" s="21"/>
      <c r="E629" s="21"/>
      <c r="F629" s="21" t="str">
        <f>IF(E629="","",VLOOKUP(E629,tipo_cuenta[#ALL],2,0))</f>
        <v/>
      </c>
    </row>
    <row r="630">
      <c r="A630" s="21"/>
      <c r="B630" s="21"/>
      <c r="C630" s="21"/>
      <c r="D630" s="21"/>
      <c r="E630" s="21"/>
      <c r="F630" s="21" t="str">
        <f>IF(E630="","",VLOOKUP(E630,tipo_cuenta[#ALL],2,0))</f>
        <v/>
      </c>
    </row>
    <row r="631">
      <c r="A631" s="21"/>
      <c r="B631" s="21"/>
      <c r="C631" s="21"/>
      <c r="D631" s="21"/>
      <c r="E631" s="21"/>
      <c r="F631" s="21" t="str">
        <f>IF(E631="","",VLOOKUP(E631,tipo_cuenta[#ALL],2,0))</f>
        <v/>
      </c>
    </row>
    <row r="632">
      <c r="A632" s="21"/>
      <c r="B632" s="21"/>
      <c r="C632" s="21"/>
      <c r="D632" s="21"/>
      <c r="E632" s="21"/>
      <c r="F632" s="21" t="str">
        <f>IF(E632="","",VLOOKUP(E632,tipo_cuenta[#ALL],2,0))</f>
        <v/>
      </c>
    </row>
    <row r="633">
      <c r="A633" s="21"/>
      <c r="B633" s="21"/>
      <c r="C633" s="21"/>
      <c r="D633" s="21"/>
      <c r="E633" s="21"/>
      <c r="F633" s="21" t="str">
        <f>IF(E633="","",VLOOKUP(E633,tipo_cuenta[#ALL],2,0))</f>
        <v/>
      </c>
    </row>
    <row r="634">
      <c r="A634" s="21"/>
      <c r="B634" s="21"/>
      <c r="C634" s="21"/>
      <c r="D634" s="21"/>
      <c r="E634" s="21"/>
      <c r="F634" s="21" t="str">
        <f>IF(E634="","",VLOOKUP(E634,tipo_cuenta[#ALL],2,0))</f>
        <v/>
      </c>
    </row>
    <row r="635">
      <c r="A635" s="21"/>
      <c r="B635" s="21"/>
      <c r="C635" s="21"/>
      <c r="D635" s="21"/>
      <c r="E635" s="21"/>
      <c r="F635" s="21" t="str">
        <f>IF(E635="","",VLOOKUP(E635,tipo_cuenta[#ALL],2,0))</f>
        <v/>
      </c>
    </row>
    <row r="636">
      <c r="A636" s="21"/>
      <c r="B636" s="21"/>
      <c r="C636" s="21"/>
      <c r="D636" s="21"/>
      <c r="E636" s="21"/>
      <c r="F636" s="21" t="str">
        <f>IF(E636="","",VLOOKUP(E636,tipo_cuenta[#ALL],2,0))</f>
        <v/>
      </c>
    </row>
    <row r="637">
      <c r="A637" s="21"/>
      <c r="B637" s="21"/>
      <c r="C637" s="21"/>
      <c r="D637" s="21"/>
      <c r="E637" s="21"/>
      <c r="F637" s="21" t="str">
        <f>IF(E637="","",VLOOKUP(E637,tipo_cuenta[#ALL],2,0))</f>
        <v/>
      </c>
    </row>
    <row r="638">
      <c r="A638" s="21"/>
      <c r="B638" s="21"/>
      <c r="C638" s="21"/>
      <c r="D638" s="21"/>
      <c r="E638" s="21"/>
      <c r="F638" s="21" t="str">
        <f>IF(E638="","",VLOOKUP(E638,tipo_cuenta[#ALL],2,0))</f>
        <v/>
      </c>
    </row>
    <row r="639">
      <c r="A639" s="21"/>
      <c r="B639" s="21"/>
      <c r="C639" s="21"/>
      <c r="D639" s="21"/>
      <c r="E639" s="21"/>
      <c r="F639" s="21" t="str">
        <f>IF(E639="","",VLOOKUP(E639,tipo_cuenta[#ALL],2,0))</f>
        <v/>
      </c>
    </row>
    <row r="640">
      <c r="A640" s="21"/>
      <c r="B640" s="21"/>
      <c r="C640" s="21"/>
      <c r="D640" s="21"/>
      <c r="E640" s="21"/>
      <c r="F640" s="21" t="str">
        <f>IF(E640="","",VLOOKUP(E640,tipo_cuenta[#ALL],2,0))</f>
        <v/>
      </c>
    </row>
    <row r="641">
      <c r="A641" s="21"/>
      <c r="B641" s="21"/>
      <c r="C641" s="21"/>
      <c r="D641" s="21"/>
      <c r="E641" s="21"/>
      <c r="F641" s="21" t="str">
        <f>IF(E641="","",VLOOKUP(E641,tipo_cuenta[#ALL],2,0))</f>
        <v/>
      </c>
    </row>
    <row r="642">
      <c r="A642" s="21"/>
      <c r="B642" s="21"/>
      <c r="C642" s="21"/>
      <c r="D642" s="21"/>
      <c r="E642" s="21"/>
      <c r="F642" s="21" t="str">
        <f>IF(E642="","",VLOOKUP(E642,tipo_cuenta[#ALL],2,0))</f>
        <v/>
      </c>
    </row>
    <row r="643">
      <c r="A643" s="21"/>
      <c r="B643" s="21"/>
      <c r="C643" s="21"/>
      <c r="D643" s="21"/>
      <c r="E643" s="21"/>
      <c r="F643" s="21" t="str">
        <f>IF(E643="","",VLOOKUP(E643,tipo_cuenta[#ALL],2,0))</f>
        <v/>
      </c>
    </row>
    <row r="644">
      <c r="A644" s="21"/>
      <c r="B644" s="21"/>
      <c r="C644" s="21"/>
      <c r="D644" s="21"/>
      <c r="E644" s="21"/>
      <c r="F644" s="21" t="str">
        <f>IF(E644="","",VLOOKUP(E644,tipo_cuenta[#ALL],2,0))</f>
        <v/>
      </c>
    </row>
    <row r="645">
      <c r="A645" s="21"/>
      <c r="B645" s="21"/>
      <c r="C645" s="21"/>
      <c r="D645" s="21"/>
      <c r="E645" s="21"/>
      <c r="F645" s="21" t="str">
        <f>IF(E645="","",VLOOKUP(E645,tipo_cuenta[#ALL],2,0))</f>
        <v/>
      </c>
    </row>
    <row r="646">
      <c r="A646" s="21"/>
      <c r="B646" s="21"/>
      <c r="C646" s="21"/>
      <c r="D646" s="21"/>
      <c r="E646" s="21"/>
      <c r="F646" s="21" t="str">
        <f>IF(E646="","",VLOOKUP(E646,tipo_cuenta[#ALL],2,0))</f>
        <v/>
      </c>
    </row>
    <row r="647">
      <c r="A647" s="21"/>
      <c r="B647" s="21"/>
      <c r="C647" s="21"/>
      <c r="D647" s="21"/>
      <c r="E647" s="21"/>
      <c r="F647" s="21" t="str">
        <f>IF(E647="","",VLOOKUP(E647,tipo_cuenta[#ALL],2,0))</f>
        <v/>
      </c>
    </row>
    <row r="648">
      <c r="A648" s="21"/>
      <c r="B648" s="21"/>
      <c r="C648" s="21"/>
      <c r="D648" s="21"/>
      <c r="E648" s="21"/>
      <c r="F648" s="21" t="str">
        <f>IF(E648="","",VLOOKUP(E648,tipo_cuenta[#ALL],2,0))</f>
        <v/>
      </c>
    </row>
    <row r="649">
      <c r="A649" s="21"/>
      <c r="B649" s="21"/>
      <c r="C649" s="21"/>
      <c r="D649" s="21"/>
      <c r="E649" s="21"/>
      <c r="F649" s="21" t="str">
        <f>IF(E649="","",VLOOKUP(E649,tipo_cuenta[#ALL],2,0))</f>
        <v/>
      </c>
    </row>
    <row r="650">
      <c r="A650" s="21"/>
      <c r="B650" s="21"/>
      <c r="C650" s="21"/>
      <c r="D650" s="21"/>
      <c r="E650" s="21"/>
      <c r="F650" s="21" t="str">
        <f>IF(E650="","",VLOOKUP(E650,tipo_cuenta[#ALL],2,0))</f>
        <v/>
      </c>
    </row>
    <row r="651">
      <c r="A651" s="21"/>
      <c r="B651" s="21"/>
      <c r="C651" s="21"/>
      <c r="D651" s="21"/>
      <c r="E651" s="21"/>
      <c r="F651" s="21" t="str">
        <f>IF(E651="","",VLOOKUP(E651,tipo_cuenta[#ALL],2,0))</f>
        <v/>
      </c>
    </row>
    <row r="652">
      <c r="A652" s="21"/>
      <c r="B652" s="21"/>
      <c r="C652" s="21"/>
      <c r="D652" s="21"/>
      <c r="E652" s="21"/>
      <c r="F652" s="21" t="str">
        <f>IF(E652="","",VLOOKUP(E652,tipo_cuenta[#ALL],2,0))</f>
        <v/>
      </c>
    </row>
    <row r="653">
      <c r="A653" s="21"/>
      <c r="B653" s="21"/>
      <c r="C653" s="21"/>
      <c r="D653" s="21"/>
      <c r="E653" s="21"/>
      <c r="F653" s="21" t="str">
        <f>IF(E653="","",VLOOKUP(E653,tipo_cuenta[#ALL],2,0))</f>
        <v/>
      </c>
    </row>
    <row r="654">
      <c r="A654" s="21"/>
      <c r="B654" s="21"/>
      <c r="C654" s="21"/>
      <c r="D654" s="21"/>
      <c r="E654" s="21"/>
      <c r="F654" s="21" t="str">
        <f>IF(E654="","",VLOOKUP(E654,tipo_cuenta[#ALL],2,0))</f>
        <v/>
      </c>
    </row>
    <row r="655">
      <c r="A655" s="21"/>
      <c r="B655" s="21"/>
      <c r="C655" s="21"/>
      <c r="D655" s="21"/>
      <c r="E655" s="21"/>
      <c r="F655" s="21" t="str">
        <f>IF(E655="","",VLOOKUP(E655,tipo_cuenta[#ALL],2,0))</f>
        <v/>
      </c>
    </row>
    <row r="656">
      <c r="A656" s="21"/>
      <c r="B656" s="21"/>
      <c r="C656" s="21"/>
      <c r="D656" s="21"/>
      <c r="E656" s="21"/>
      <c r="F656" s="21" t="str">
        <f>IF(E656="","",VLOOKUP(E656,tipo_cuenta[#ALL],2,0))</f>
        <v/>
      </c>
    </row>
    <row r="657">
      <c r="A657" s="21"/>
      <c r="B657" s="21"/>
      <c r="C657" s="21"/>
      <c r="D657" s="21"/>
      <c r="E657" s="21"/>
      <c r="F657" s="21" t="str">
        <f>IF(E657="","",VLOOKUP(E657,tipo_cuenta[#ALL],2,0))</f>
        <v/>
      </c>
    </row>
    <row r="658">
      <c r="A658" s="21"/>
      <c r="B658" s="21"/>
      <c r="C658" s="21"/>
      <c r="D658" s="21"/>
      <c r="E658" s="21"/>
      <c r="F658" s="21" t="str">
        <f>IF(E658="","",VLOOKUP(E658,tipo_cuenta[#ALL],2,0))</f>
        <v/>
      </c>
    </row>
    <row r="659">
      <c r="A659" s="21"/>
      <c r="B659" s="21"/>
      <c r="C659" s="21"/>
      <c r="D659" s="21"/>
      <c r="E659" s="21"/>
      <c r="F659" s="21" t="str">
        <f>IF(E659="","",VLOOKUP(E659,tipo_cuenta[#ALL],2,0))</f>
        <v/>
      </c>
    </row>
    <row r="660">
      <c r="A660" s="21"/>
      <c r="B660" s="21"/>
      <c r="C660" s="21"/>
      <c r="D660" s="21"/>
      <c r="E660" s="21"/>
      <c r="F660" s="21" t="str">
        <f>IF(E660="","",VLOOKUP(E660,tipo_cuenta[#ALL],2,0))</f>
        <v/>
      </c>
    </row>
    <row r="661">
      <c r="A661" s="21"/>
      <c r="B661" s="21"/>
      <c r="C661" s="21"/>
      <c r="D661" s="21"/>
      <c r="E661" s="21"/>
      <c r="F661" s="21" t="str">
        <f>IF(E661="","",VLOOKUP(E661,tipo_cuenta[#ALL],2,0))</f>
        <v/>
      </c>
    </row>
    <row r="662">
      <c r="A662" s="21"/>
      <c r="B662" s="21"/>
      <c r="C662" s="21"/>
      <c r="D662" s="21"/>
      <c r="E662" s="21"/>
      <c r="F662" s="21" t="str">
        <f>IF(E662="","",VLOOKUP(E662,tipo_cuenta[#ALL],2,0))</f>
        <v/>
      </c>
    </row>
    <row r="663">
      <c r="A663" s="21"/>
      <c r="B663" s="21"/>
      <c r="C663" s="21"/>
      <c r="D663" s="21"/>
      <c r="E663" s="21"/>
      <c r="F663" s="21" t="str">
        <f>IF(E663="","",VLOOKUP(E663,tipo_cuenta[#ALL],2,0))</f>
        <v/>
      </c>
    </row>
    <row r="664">
      <c r="A664" s="21"/>
      <c r="B664" s="21"/>
      <c r="C664" s="21"/>
      <c r="D664" s="21"/>
      <c r="E664" s="21"/>
      <c r="F664" s="21" t="str">
        <f>IF(E664="","",VLOOKUP(E664,tipo_cuenta[#ALL],2,0))</f>
        <v/>
      </c>
    </row>
    <row r="665">
      <c r="A665" s="21"/>
      <c r="B665" s="21"/>
      <c r="C665" s="21"/>
      <c r="D665" s="21"/>
      <c r="E665" s="21"/>
      <c r="F665" s="21" t="str">
        <f>IF(E665="","",VLOOKUP(E665,tipo_cuenta[#ALL],2,0))</f>
        <v/>
      </c>
    </row>
    <row r="666">
      <c r="A666" s="21"/>
      <c r="B666" s="21"/>
      <c r="C666" s="21"/>
      <c r="D666" s="21"/>
      <c r="E666" s="21"/>
      <c r="F666" s="21" t="str">
        <f>IF(E666="","",VLOOKUP(E666,tipo_cuenta[#ALL],2,0))</f>
        <v/>
      </c>
    </row>
    <row r="667">
      <c r="A667" s="21"/>
      <c r="B667" s="21"/>
      <c r="C667" s="21"/>
      <c r="D667" s="21"/>
      <c r="E667" s="21"/>
      <c r="F667" s="21" t="str">
        <f>IF(E667="","",VLOOKUP(E667,tipo_cuenta[#ALL],2,0))</f>
        <v/>
      </c>
    </row>
    <row r="668">
      <c r="A668" s="21"/>
      <c r="B668" s="21"/>
      <c r="C668" s="21"/>
      <c r="D668" s="21"/>
      <c r="E668" s="21"/>
      <c r="F668" s="21" t="str">
        <f>IF(E668="","",VLOOKUP(E668,tipo_cuenta[#ALL],2,0))</f>
        <v/>
      </c>
    </row>
    <row r="669">
      <c r="A669" s="21"/>
      <c r="B669" s="21"/>
      <c r="C669" s="21"/>
      <c r="D669" s="21"/>
      <c r="E669" s="21"/>
      <c r="F669" s="21" t="str">
        <f>IF(E669="","",VLOOKUP(E669,tipo_cuenta[#ALL],2,0))</f>
        <v/>
      </c>
    </row>
    <row r="670">
      <c r="A670" s="21"/>
      <c r="B670" s="21"/>
      <c r="C670" s="21"/>
      <c r="D670" s="21"/>
      <c r="E670" s="21"/>
      <c r="F670" s="21" t="str">
        <f>IF(E670="","",VLOOKUP(E670,tipo_cuenta[#ALL],2,0))</f>
        <v/>
      </c>
    </row>
    <row r="671">
      <c r="A671" s="21"/>
      <c r="B671" s="21"/>
      <c r="C671" s="21"/>
      <c r="D671" s="21"/>
      <c r="E671" s="21"/>
      <c r="F671" s="21" t="str">
        <f>IF(E671="","",VLOOKUP(E671,tipo_cuenta[#ALL],2,0))</f>
        <v/>
      </c>
    </row>
    <row r="672">
      <c r="A672" s="21"/>
      <c r="B672" s="21"/>
      <c r="C672" s="21"/>
      <c r="D672" s="21"/>
      <c r="E672" s="21"/>
      <c r="F672" s="21" t="str">
        <f>IF(E672="","",VLOOKUP(E672,tipo_cuenta[#ALL],2,0))</f>
        <v/>
      </c>
    </row>
    <row r="673">
      <c r="A673" s="21"/>
      <c r="B673" s="21"/>
      <c r="C673" s="21"/>
      <c r="D673" s="21"/>
      <c r="E673" s="21"/>
      <c r="F673" s="21" t="str">
        <f>IF(E673="","",VLOOKUP(E673,tipo_cuenta[#ALL],2,0))</f>
        <v/>
      </c>
    </row>
    <row r="674">
      <c r="A674" s="21"/>
      <c r="B674" s="21"/>
      <c r="C674" s="21"/>
      <c r="D674" s="21"/>
      <c r="E674" s="21"/>
      <c r="F674" s="21" t="str">
        <f>IF(E674="","",VLOOKUP(E674,tipo_cuenta[#ALL],2,0))</f>
        <v/>
      </c>
    </row>
    <row r="675">
      <c r="A675" s="21"/>
      <c r="B675" s="21"/>
      <c r="C675" s="21"/>
      <c r="D675" s="21"/>
      <c r="E675" s="21"/>
      <c r="F675" s="21" t="str">
        <f>IF(E675="","",VLOOKUP(E675,tipo_cuenta[#ALL],2,0))</f>
        <v/>
      </c>
    </row>
    <row r="676">
      <c r="A676" s="21"/>
      <c r="B676" s="21"/>
      <c r="C676" s="21"/>
      <c r="D676" s="21"/>
      <c r="E676" s="21"/>
      <c r="F676" s="21" t="str">
        <f>IF(E676="","",VLOOKUP(E676,tipo_cuenta[#ALL],2,0))</f>
        <v/>
      </c>
    </row>
    <row r="677">
      <c r="A677" s="21"/>
      <c r="B677" s="21"/>
      <c r="C677" s="21"/>
      <c r="D677" s="21"/>
      <c r="E677" s="21"/>
      <c r="F677" s="21" t="str">
        <f>IF(E677="","",VLOOKUP(E677,tipo_cuenta[#ALL],2,0))</f>
        <v/>
      </c>
    </row>
    <row r="678">
      <c r="A678" s="21"/>
      <c r="B678" s="21"/>
      <c r="C678" s="21"/>
      <c r="D678" s="21"/>
      <c r="E678" s="21"/>
      <c r="F678" s="21" t="str">
        <f>IF(E678="","",VLOOKUP(E678,tipo_cuenta[#ALL],2,0))</f>
        <v/>
      </c>
    </row>
    <row r="679">
      <c r="A679" s="21"/>
      <c r="B679" s="21"/>
      <c r="C679" s="21"/>
      <c r="D679" s="21"/>
      <c r="E679" s="21"/>
      <c r="F679" s="21" t="str">
        <f>IF(E679="","",VLOOKUP(E679,tipo_cuenta[#ALL],2,0))</f>
        <v/>
      </c>
    </row>
    <row r="680">
      <c r="A680" s="21"/>
      <c r="B680" s="21"/>
      <c r="C680" s="21"/>
      <c r="D680" s="21"/>
      <c r="E680" s="21"/>
      <c r="F680" s="21" t="str">
        <f>IF(E680="","",VLOOKUP(E680,tipo_cuenta[#ALL],2,0))</f>
        <v/>
      </c>
    </row>
    <row r="681">
      <c r="A681" s="21"/>
      <c r="B681" s="21"/>
      <c r="C681" s="21"/>
      <c r="D681" s="21"/>
      <c r="E681" s="21"/>
      <c r="F681" s="21" t="str">
        <f>IF(E681="","",VLOOKUP(E681,tipo_cuenta[#ALL],2,0))</f>
        <v/>
      </c>
    </row>
    <row r="682">
      <c r="A682" s="21"/>
      <c r="B682" s="21"/>
      <c r="C682" s="21"/>
      <c r="D682" s="21"/>
      <c r="E682" s="21"/>
      <c r="F682" s="21" t="str">
        <f>IF(E682="","",VLOOKUP(E682,tipo_cuenta[#ALL],2,0))</f>
        <v/>
      </c>
    </row>
    <row r="683">
      <c r="A683" s="21"/>
      <c r="B683" s="21"/>
      <c r="C683" s="21"/>
      <c r="D683" s="21"/>
      <c r="E683" s="21"/>
      <c r="F683" s="21" t="str">
        <f>IF(E683="","",VLOOKUP(E683,tipo_cuenta[#ALL],2,0))</f>
        <v/>
      </c>
    </row>
    <row r="684">
      <c r="A684" s="21"/>
      <c r="B684" s="21"/>
      <c r="C684" s="21"/>
      <c r="D684" s="21"/>
      <c r="E684" s="21"/>
      <c r="F684" s="21" t="str">
        <f>IF(E684="","",VLOOKUP(E684,tipo_cuenta[#ALL],2,0))</f>
        <v/>
      </c>
    </row>
    <row r="685">
      <c r="A685" s="21"/>
      <c r="B685" s="21"/>
      <c r="C685" s="21"/>
      <c r="D685" s="21"/>
      <c r="E685" s="21"/>
      <c r="F685" s="21" t="str">
        <f>IF(E685="","",VLOOKUP(E685,tipo_cuenta[#ALL],2,0))</f>
        <v/>
      </c>
    </row>
    <row r="686">
      <c r="A686" s="21"/>
      <c r="B686" s="21"/>
      <c r="C686" s="21"/>
      <c r="D686" s="21"/>
      <c r="E686" s="21"/>
      <c r="F686" s="21" t="str">
        <f>IF(E686="","",VLOOKUP(E686,tipo_cuenta[#ALL],2,0))</f>
        <v/>
      </c>
    </row>
    <row r="687">
      <c r="A687" s="21"/>
      <c r="B687" s="21"/>
      <c r="C687" s="21"/>
      <c r="D687" s="21"/>
      <c r="E687" s="21"/>
      <c r="F687" s="21" t="str">
        <f>IF(E687="","",VLOOKUP(E687,tipo_cuenta[#ALL],2,0))</f>
        <v/>
      </c>
    </row>
    <row r="688">
      <c r="A688" s="21"/>
      <c r="B688" s="21"/>
      <c r="C688" s="21"/>
      <c r="D688" s="21"/>
      <c r="E688" s="21"/>
      <c r="F688" s="21" t="str">
        <f>IF(E688="","",VLOOKUP(E688,tipo_cuenta[#ALL],2,0))</f>
        <v/>
      </c>
    </row>
    <row r="689">
      <c r="A689" s="21"/>
      <c r="B689" s="21"/>
      <c r="C689" s="21"/>
      <c r="D689" s="21"/>
      <c r="E689" s="21"/>
      <c r="F689" s="21" t="str">
        <f>IF(E689="","",VLOOKUP(E689,tipo_cuenta[#ALL],2,0))</f>
        <v/>
      </c>
    </row>
    <row r="690">
      <c r="A690" s="21"/>
      <c r="B690" s="21"/>
      <c r="C690" s="21"/>
      <c r="D690" s="21"/>
      <c r="E690" s="21"/>
      <c r="F690" s="21" t="str">
        <f>IF(E690="","",VLOOKUP(E690,tipo_cuenta[#ALL],2,0))</f>
        <v/>
      </c>
    </row>
    <row r="691">
      <c r="A691" s="21"/>
      <c r="B691" s="21"/>
      <c r="C691" s="21"/>
      <c r="D691" s="21"/>
      <c r="E691" s="21"/>
      <c r="F691" s="21" t="str">
        <f>IF(E691="","",VLOOKUP(E691,tipo_cuenta[#ALL],2,0))</f>
        <v/>
      </c>
    </row>
    <row r="692">
      <c r="A692" s="21"/>
      <c r="B692" s="21"/>
      <c r="C692" s="21"/>
      <c r="D692" s="21"/>
      <c r="E692" s="21"/>
      <c r="F692" s="21" t="str">
        <f>IF(E692="","",VLOOKUP(E692,tipo_cuenta[#ALL],2,0))</f>
        <v/>
      </c>
    </row>
    <row r="693">
      <c r="A693" s="21"/>
      <c r="B693" s="21"/>
      <c r="C693" s="21"/>
      <c r="D693" s="21"/>
      <c r="E693" s="21"/>
      <c r="F693" s="21" t="str">
        <f>IF(E693="","",VLOOKUP(E693,tipo_cuenta[#ALL],2,0))</f>
        <v/>
      </c>
    </row>
    <row r="694">
      <c r="A694" s="21"/>
      <c r="B694" s="21"/>
      <c r="C694" s="21"/>
      <c r="D694" s="21"/>
      <c r="E694" s="21"/>
      <c r="F694" s="21" t="str">
        <f>IF(E694="","",VLOOKUP(E694,tipo_cuenta[#ALL],2,0))</f>
        <v/>
      </c>
    </row>
    <row r="695">
      <c r="A695" s="21"/>
      <c r="B695" s="21"/>
      <c r="C695" s="21"/>
      <c r="D695" s="21"/>
      <c r="E695" s="21"/>
      <c r="F695" s="21" t="str">
        <f>IF(E695="","",VLOOKUP(E695,tipo_cuenta[#ALL],2,0))</f>
        <v/>
      </c>
    </row>
    <row r="696">
      <c r="A696" s="21"/>
      <c r="B696" s="21"/>
      <c r="C696" s="21"/>
      <c r="D696" s="21"/>
      <c r="E696" s="21"/>
      <c r="F696" s="21" t="str">
        <f>IF(E696="","",VLOOKUP(E696,tipo_cuenta[#ALL],2,0))</f>
        <v/>
      </c>
    </row>
    <row r="697">
      <c r="A697" s="21"/>
      <c r="B697" s="21"/>
      <c r="C697" s="21"/>
      <c r="D697" s="21"/>
      <c r="E697" s="21"/>
      <c r="F697" s="21" t="str">
        <f>IF(E697="","",VLOOKUP(E697,tipo_cuenta[#ALL],2,0))</f>
        <v/>
      </c>
    </row>
    <row r="698">
      <c r="A698" s="21"/>
      <c r="B698" s="21"/>
      <c r="C698" s="21"/>
      <c r="D698" s="21"/>
      <c r="E698" s="21"/>
      <c r="F698" s="21" t="str">
        <f>IF(E698="","",VLOOKUP(E698,tipo_cuenta[#ALL],2,0))</f>
        <v/>
      </c>
    </row>
    <row r="699">
      <c r="A699" s="21"/>
      <c r="B699" s="21"/>
      <c r="C699" s="21"/>
      <c r="D699" s="21"/>
      <c r="E699" s="21"/>
      <c r="F699" s="21" t="str">
        <f>IF(E699="","",VLOOKUP(E699,tipo_cuenta[#ALL],2,0))</f>
        <v/>
      </c>
    </row>
    <row r="700">
      <c r="A700" s="21"/>
      <c r="B700" s="21"/>
      <c r="C700" s="21"/>
      <c r="D700" s="21"/>
      <c r="E700" s="21"/>
      <c r="F700" s="21" t="str">
        <f>IF(E700="","",VLOOKUP(E700,tipo_cuenta[#ALL],2,0))</f>
        <v/>
      </c>
    </row>
    <row r="701">
      <c r="A701" s="21"/>
      <c r="B701" s="21"/>
      <c r="C701" s="21"/>
      <c r="D701" s="21"/>
      <c r="E701" s="21"/>
      <c r="F701" s="21" t="str">
        <f>IF(E701="","",VLOOKUP(E701,tipo_cuenta[#ALL],2,0))</f>
        <v/>
      </c>
    </row>
    <row r="702">
      <c r="A702" s="21"/>
      <c r="B702" s="21"/>
      <c r="C702" s="21"/>
      <c r="D702" s="21"/>
      <c r="E702" s="21"/>
      <c r="F702" s="21" t="str">
        <f>IF(E702="","",VLOOKUP(E702,tipo_cuenta[#ALL],2,0))</f>
        <v/>
      </c>
    </row>
    <row r="703">
      <c r="A703" s="21"/>
      <c r="B703" s="21"/>
      <c r="C703" s="21"/>
      <c r="D703" s="21"/>
      <c r="E703" s="21"/>
      <c r="F703" s="21" t="str">
        <f>IF(E703="","",VLOOKUP(E703,tipo_cuenta[#ALL],2,0))</f>
        <v/>
      </c>
    </row>
    <row r="704">
      <c r="A704" s="21"/>
      <c r="B704" s="21"/>
      <c r="C704" s="21"/>
      <c r="D704" s="21"/>
      <c r="E704" s="21"/>
      <c r="F704" s="21" t="str">
        <f>IF(E704="","",VLOOKUP(E704,tipo_cuenta[#ALL],2,0))</f>
        <v/>
      </c>
    </row>
    <row r="705">
      <c r="A705" s="21"/>
      <c r="B705" s="21"/>
      <c r="C705" s="21"/>
      <c r="D705" s="21"/>
      <c r="E705" s="21"/>
      <c r="F705" s="21" t="str">
        <f>IF(E705="","",VLOOKUP(E705,tipo_cuenta[#ALL],2,0))</f>
        <v/>
      </c>
    </row>
    <row r="706">
      <c r="A706" s="21"/>
      <c r="B706" s="21"/>
      <c r="C706" s="21"/>
      <c r="D706" s="21"/>
      <c r="E706" s="21"/>
      <c r="F706" s="21" t="str">
        <f>IF(E706="","",VLOOKUP(E706,tipo_cuenta[#ALL],2,0))</f>
        <v/>
      </c>
    </row>
    <row r="707">
      <c r="A707" s="21"/>
      <c r="B707" s="21"/>
      <c r="C707" s="21"/>
      <c r="D707" s="21"/>
      <c r="E707" s="21"/>
      <c r="F707" s="21" t="str">
        <f>IF(E707="","",VLOOKUP(E707,tipo_cuenta[#ALL],2,0))</f>
        <v/>
      </c>
    </row>
    <row r="708">
      <c r="A708" s="21"/>
      <c r="B708" s="21"/>
      <c r="C708" s="21"/>
      <c r="D708" s="21"/>
      <c r="E708" s="21"/>
      <c r="F708" s="21" t="str">
        <f>IF(E708="","",VLOOKUP(E708,tipo_cuenta[#ALL],2,0))</f>
        <v/>
      </c>
    </row>
    <row r="709">
      <c r="A709" s="21"/>
      <c r="B709" s="21"/>
      <c r="C709" s="21"/>
      <c r="D709" s="21"/>
      <c r="E709" s="21"/>
      <c r="F709" s="21" t="str">
        <f>IF(E709="","",VLOOKUP(E709,tipo_cuenta[#ALL],2,0))</f>
        <v/>
      </c>
    </row>
    <row r="710">
      <c r="A710" s="21"/>
      <c r="B710" s="21"/>
      <c r="C710" s="21"/>
      <c r="D710" s="21"/>
      <c r="E710" s="21"/>
      <c r="F710" s="21" t="str">
        <f>IF(E710="","",VLOOKUP(E710,tipo_cuenta[#ALL],2,0))</f>
        <v/>
      </c>
    </row>
    <row r="711">
      <c r="A711" s="21"/>
      <c r="B711" s="21"/>
      <c r="C711" s="21"/>
      <c r="D711" s="21"/>
      <c r="E711" s="21"/>
      <c r="F711" s="21" t="str">
        <f>IF(E711="","",VLOOKUP(E711,tipo_cuenta[#ALL],2,0))</f>
        <v/>
      </c>
    </row>
    <row r="712">
      <c r="A712" s="21"/>
      <c r="B712" s="21"/>
      <c r="C712" s="21"/>
      <c r="D712" s="21"/>
      <c r="E712" s="21"/>
      <c r="F712" s="21" t="str">
        <f>IF(E712="","",VLOOKUP(E712,tipo_cuenta[#ALL],2,0))</f>
        <v/>
      </c>
    </row>
    <row r="713">
      <c r="A713" s="21"/>
      <c r="B713" s="21"/>
      <c r="C713" s="21"/>
      <c r="D713" s="21"/>
      <c r="E713" s="21"/>
      <c r="F713" s="21" t="str">
        <f>IF(E713="","",VLOOKUP(E713,tipo_cuenta[#ALL],2,0))</f>
        <v/>
      </c>
    </row>
    <row r="714">
      <c r="A714" s="21"/>
      <c r="B714" s="21"/>
      <c r="C714" s="21"/>
      <c r="D714" s="21"/>
      <c r="E714" s="21"/>
      <c r="F714" s="21" t="str">
        <f>IF(E714="","",VLOOKUP(E714,tipo_cuenta[#ALL],2,0))</f>
        <v/>
      </c>
    </row>
    <row r="715">
      <c r="A715" s="21"/>
      <c r="B715" s="21"/>
      <c r="C715" s="21"/>
      <c r="D715" s="21"/>
      <c r="E715" s="21"/>
      <c r="F715" s="21" t="str">
        <f>IF(E715="","",VLOOKUP(E715,tipo_cuenta[#ALL],2,0))</f>
        <v/>
      </c>
    </row>
    <row r="716">
      <c r="A716" s="21"/>
      <c r="B716" s="21"/>
      <c r="C716" s="21"/>
      <c r="D716" s="21"/>
      <c r="E716" s="21"/>
      <c r="F716" s="21" t="str">
        <f>IF(E716="","",VLOOKUP(E716,tipo_cuenta[#ALL],2,0))</f>
        <v/>
      </c>
    </row>
    <row r="717">
      <c r="A717" s="21"/>
      <c r="B717" s="21"/>
      <c r="C717" s="21"/>
      <c r="D717" s="21"/>
      <c r="E717" s="21"/>
      <c r="F717" s="21" t="str">
        <f>IF(E717="","",VLOOKUP(E717,tipo_cuenta[#ALL],2,0))</f>
        <v/>
      </c>
    </row>
    <row r="718">
      <c r="A718" s="21"/>
      <c r="B718" s="21"/>
      <c r="C718" s="21"/>
      <c r="D718" s="21"/>
      <c r="E718" s="21"/>
      <c r="F718" s="21" t="str">
        <f>IF(E718="","",VLOOKUP(E718,tipo_cuenta[#ALL],2,0))</f>
        <v/>
      </c>
    </row>
    <row r="719">
      <c r="A719" s="21"/>
      <c r="B719" s="21"/>
      <c r="C719" s="21"/>
      <c r="D719" s="21"/>
      <c r="E719" s="21"/>
      <c r="F719" s="21" t="str">
        <f>IF(E719="","",VLOOKUP(E719,tipo_cuenta[#ALL],2,0))</f>
        <v/>
      </c>
    </row>
    <row r="720">
      <c r="A720" s="21"/>
      <c r="B720" s="21"/>
      <c r="C720" s="21"/>
      <c r="D720" s="21"/>
      <c r="E720" s="21"/>
      <c r="F720" s="21" t="str">
        <f>IF(E720="","",VLOOKUP(E720,tipo_cuenta[#ALL],2,0))</f>
        <v/>
      </c>
    </row>
    <row r="721">
      <c r="A721" s="21"/>
      <c r="B721" s="21"/>
      <c r="C721" s="21"/>
      <c r="D721" s="21"/>
      <c r="E721" s="21"/>
      <c r="F721" s="21" t="str">
        <f>IF(E721="","",VLOOKUP(E721,tipo_cuenta[#ALL],2,0))</f>
        <v/>
      </c>
    </row>
    <row r="722">
      <c r="A722" s="21"/>
      <c r="B722" s="21"/>
      <c r="C722" s="21"/>
      <c r="D722" s="21"/>
      <c r="E722" s="21"/>
      <c r="F722" s="21" t="str">
        <f>IF(E722="","",VLOOKUP(E722,tipo_cuenta[#ALL],2,0))</f>
        <v/>
      </c>
    </row>
    <row r="723">
      <c r="A723" s="21"/>
      <c r="B723" s="21"/>
      <c r="C723" s="21"/>
      <c r="D723" s="21"/>
      <c r="E723" s="21"/>
      <c r="F723" s="21" t="str">
        <f>IF(E723="","",VLOOKUP(E723,tipo_cuenta[#ALL],2,0))</f>
        <v/>
      </c>
    </row>
    <row r="724">
      <c r="A724" s="21"/>
      <c r="B724" s="21"/>
      <c r="C724" s="21"/>
      <c r="D724" s="21"/>
      <c r="E724" s="21"/>
      <c r="F724" s="21" t="str">
        <f>IF(E724="","",VLOOKUP(E724,tipo_cuenta[#ALL],2,0))</f>
        <v/>
      </c>
    </row>
    <row r="725">
      <c r="A725" s="21"/>
      <c r="B725" s="21"/>
      <c r="C725" s="21"/>
      <c r="D725" s="21"/>
      <c r="E725" s="21"/>
      <c r="F725" s="21" t="str">
        <f>IF(E725="","",VLOOKUP(E725,tipo_cuenta[#ALL],2,0))</f>
        <v/>
      </c>
    </row>
    <row r="726">
      <c r="A726" s="21"/>
      <c r="B726" s="21"/>
      <c r="C726" s="21"/>
      <c r="D726" s="21"/>
      <c r="E726" s="21"/>
      <c r="F726" s="21" t="str">
        <f>IF(E726="","",VLOOKUP(E726,tipo_cuenta[#ALL],2,0))</f>
        <v/>
      </c>
    </row>
    <row r="727">
      <c r="A727" s="21"/>
      <c r="B727" s="21"/>
      <c r="C727" s="21"/>
      <c r="D727" s="21"/>
      <c r="E727" s="21"/>
      <c r="F727" s="21" t="str">
        <f>IF(E727="","",VLOOKUP(E727,tipo_cuenta[#ALL],2,0))</f>
        <v/>
      </c>
    </row>
    <row r="728">
      <c r="A728" s="21"/>
      <c r="B728" s="21"/>
      <c r="C728" s="21"/>
      <c r="D728" s="21"/>
      <c r="E728" s="21"/>
      <c r="F728" s="21" t="str">
        <f>IF(E728="","",VLOOKUP(E728,tipo_cuenta[#ALL],2,0))</f>
        <v/>
      </c>
    </row>
    <row r="729">
      <c r="A729" s="21"/>
      <c r="B729" s="21"/>
      <c r="C729" s="21"/>
      <c r="D729" s="21"/>
      <c r="E729" s="21"/>
      <c r="F729" s="21" t="str">
        <f>IF(E729="","",VLOOKUP(E729,tipo_cuenta[#ALL],2,0))</f>
        <v/>
      </c>
    </row>
    <row r="730">
      <c r="A730" s="21"/>
      <c r="B730" s="21"/>
      <c r="C730" s="21"/>
      <c r="D730" s="21"/>
      <c r="E730" s="21"/>
      <c r="F730" s="21" t="str">
        <f>IF(E730="","",VLOOKUP(E730,tipo_cuenta[#ALL],2,0))</f>
        <v/>
      </c>
    </row>
    <row r="731">
      <c r="A731" s="21"/>
      <c r="B731" s="21"/>
      <c r="C731" s="21"/>
      <c r="D731" s="21"/>
      <c r="E731" s="21"/>
      <c r="F731" s="21" t="str">
        <f>IF(E731="","",VLOOKUP(E731,tipo_cuenta[#ALL],2,0))</f>
        <v/>
      </c>
    </row>
    <row r="732">
      <c r="A732" s="21"/>
      <c r="B732" s="21"/>
      <c r="C732" s="21"/>
      <c r="D732" s="21"/>
      <c r="E732" s="21"/>
      <c r="F732" s="21" t="str">
        <f>IF(E732="","",VLOOKUP(E732,tipo_cuenta[#ALL],2,0))</f>
        <v/>
      </c>
    </row>
    <row r="733">
      <c r="A733" s="21"/>
      <c r="B733" s="21"/>
      <c r="C733" s="21"/>
      <c r="D733" s="21"/>
      <c r="E733" s="21"/>
      <c r="F733" s="21" t="str">
        <f>IF(E733="","",VLOOKUP(E733,tipo_cuenta[#ALL],2,0))</f>
        <v/>
      </c>
    </row>
    <row r="734">
      <c r="A734" s="21"/>
      <c r="B734" s="21"/>
      <c r="C734" s="21"/>
      <c r="D734" s="21"/>
      <c r="E734" s="21"/>
      <c r="F734" s="21" t="str">
        <f>IF(E734="","",VLOOKUP(E734,tipo_cuenta[#ALL],2,0))</f>
        <v/>
      </c>
    </row>
    <row r="735">
      <c r="A735" s="21"/>
      <c r="B735" s="21"/>
      <c r="C735" s="21"/>
      <c r="D735" s="21"/>
      <c r="E735" s="21"/>
      <c r="F735" s="21" t="str">
        <f>IF(E735="","",VLOOKUP(E735,tipo_cuenta[#ALL],2,0))</f>
        <v/>
      </c>
    </row>
    <row r="736">
      <c r="A736" s="21"/>
      <c r="B736" s="21"/>
      <c r="C736" s="21"/>
      <c r="D736" s="21"/>
      <c r="E736" s="21"/>
      <c r="F736" s="21" t="str">
        <f>IF(E736="","",VLOOKUP(E736,tipo_cuenta[#ALL],2,0))</f>
        <v/>
      </c>
    </row>
    <row r="737">
      <c r="A737" s="21"/>
      <c r="B737" s="21"/>
      <c r="C737" s="21"/>
      <c r="D737" s="21"/>
      <c r="E737" s="21"/>
      <c r="F737" s="21" t="str">
        <f>IF(E737="","",VLOOKUP(E737,tipo_cuenta[#ALL],2,0))</f>
        <v/>
      </c>
    </row>
    <row r="738">
      <c r="A738" s="21"/>
      <c r="B738" s="21"/>
      <c r="C738" s="21"/>
      <c r="D738" s="21"/>
      <c r="E738" s="21"/>
      <c r="F738" s="21" t="str">
        <f>IF(E738="","",VLOOKUP(E738,tipo_cuenta[#ALL],2,0))</f>
        <v/>
      </c>
    </row>
    <row r="739">
      <c r="A739" s="21"/>
      <c r="B739" s="21"/>
      <c r="C739" s="21"/>
      <c r="D739" s="21"/>
      <c r="E739" s="21"/>
      <c r="F739" s="21" t="str">
        <f>IF(E739="","",VLOOKUP(E739,tipo_cuenta[#ALL],2,0))</f>
        <v/>
      </c>
    </row>
    <row r="740">
      <c r="A740" s="21"/>
      <c r="B740" s="21"/>
      <c r="C740" s="21"/>
      <c r="D740" s="21"/>
      <c r="E740" s="21"/>
      <c r="F740" s="21" t="str">
        <f>IF(E740="","",VLOOKUP(E740,tipo_cuenta[#ALL],2,0))</f>
        <v/>
      </c>
    </row>
    <row r="741">
      <c r="A741" s="21"/>
      <c r="B741" s="21"/>
      <c r="C741" s="21"/>
      <c r="D741" s="21"/>
      <c r="E741" s="21"/>
      <c r="F741" s="21" t="str">
        <f>IF(E741="","",VLOOKUP(E741,tipo_cuenta[#ALL],2,0))</f>
        <v/>
      </c>
    </row>
    <row r="742">
      <c r="A742" s="21"/>
      <c r="B742" s="21"/>
      <c r="C742" s="21"/>
      <c r="D742" s="21"/>
      <c r="E742" s="21"/>
      <c r="F742" s="21" t="str">
        <f>IF(E742="","",VLOOKUP(E742,tipo_cuenta[#ALL],2,0))</f>
        <v/>
      </c>
    </row>
    <row r="743">
      <c r="A743" s="21"/>
      <c r="B743" s="21"/>
      <c r="C743" s="21"/>
      <c r="D743" s="21"/>
      <c r="E743" s="21"/>
      <c r="F743" s="21" t="str">
        <f>IF(E743="","",VLOOKUP(E743,tipo_cuenta[#ALL],2,0))</f>
        <v/>
      </c>
    </row>
    <row r="744">
      <c r="A744" s="21"/>
      <c r="B744" s="21"/>
      <c r="C744" s="21"/>
      <c r="D744" s="21"/>
      <c r="E744" s="21"/>
      <c r="F744" s="21" t="str">
        <f>IF(E744="","",VLOOKUP(E744,tipo_cuenta[#ALL],2,0))</f>
        <v/>
      </c>
    </row>
    <row r="745">
      <c r="A745" s="21"/>
      <c r="B745" s="21"/>
      <c r="C745" s="21"/>
      <c r="D745" s="21"/>
      <c r="E745" s="21"/>
      <c r="F745" s="21" t="str">
        <f>IF(E745="","",VLOOKUP(E745,tipo_cuenta[#ALL],2,0))</f>
        <v/>
      </c>
    </row>
    <row r="746">
      <c r="A746" s="21"/>
      <c r="B746" s="21"/>
      <c r="C746" s="21"/>
      <c r="D746" s="21"/>
      <c r="E746" s="21"/>
      <c r="F746" s="21" t="str">
        <f>IF(E746="","",VLOOKUP(E746,tipo_cuenta[#ALL],2,0))</f>
        <v/>
      </c>
    </row>
    <row r="747">
      <c r="A747" s="21"/>
      <c r="B747" s="21"/>
      <c r="C747" s="21"/>
      <c r="D747" s="21"/>
      <c r="E747" s="21"/>
      <c r="F747" s="21" t="str">
        <f>IF(E747="","",VLOOKUP(E747,tipo_cuenta[#ALL],2,0))</f>
        <v/>
      </c>
    </row>
    <row r="748">
      <c r="A748" s="21"/>
      <c r="B748" s="21"/>
      <c r="C748" s="21"/>
      <c r="D748" s="21"/>
      <c r="E748" s="21"/>
      <c r="F748" s="21" t="str">
        <f>IF(E748="","",VLOOKUP(E748,tipo_cuenta[#ALL],2,0))</f>
        <v/>
      </c>
    </row>
    <row r="749">
      <c r="A749" s="21"/>
      <c r="B749" s="21"/>
      <c r="C749" s="21"/>
      <c r="D749" s="21"/>
      <c r="E749" s="21"/>
      <c r="F749" s="21" t="str">
        <f>IF(E749="","",VLOOKUP(E749,tipo_cuenta[#ALL],2,0))</f>
        <v/>
      </c>
    </row>
    <row r="750">
      <c r="A750" s="21"/>
      <c r="B750" s="21"/>
      <c r="C750" s="21"/>
      <c r="D750" s="21"/>
      <c r="E750" s="21"/>
      <c r="F750" s="21" t="str">
        <f>IF(E750="","",VLOOKUP(E750,tipo_cuenta[#ALL],2,0))</f>
        <v/>
      </c>
    </row>
    <row r="751">
      <c r="A751" s="21"/>
      <c r="B751" s="21"/>
      <c r="C751" s="21"/>
      <c r="D751" s="21"/>
      <c r="E751" s="21"/>
      <c r="F751" s="21" t="str">
        <f>IF(E751="","",VLOOKUP(E751,tipo_cuenta[#ALL],2,0))</f>
        <v/>
      </c>
    </row>
    <row r="752">
      <c r="A752" s="21"/>
      <c r="B752" s="21"/>
      <c r="C752" s="21"/>
      <c r="D752" s="21"/>
      <c r="E752" s="21"/>
      <c r="F752" s="21" t="str">
        <f>IF(E752="","",VLOOKUP(E752,tipo_cuenta[#ALL],2,0))</f>
        <v/>
      </c>
    </row>
    <row r="753">
      <c r="A753" s="21"/>
      <c r="B753" s="21"/>
      <c r="C753" s="21"/>
      <c r="D753" s="21"/>
      <c r="E753" s="21"/>
      <c r="F753" s="21" t="str">
        <f>IF(E753="","",VLOOKUP(E753,tipo_cuenta[#ALL],2,0))</f>
        <v/>
      </c>
    </row>
    <row r="754">
      <c r="A754" s="21"/>
      <c r="B754" s="21"/>
      <c r="C754" s="21"/>
      <c r="D754" s="21"/>
      <c r="E754" s="21"/>
      <c r="F754" s="21" t="str">
        <f>IF(E754="","",VLOOKUP(E754,tipo_cuenta[#ALL],2,0))</f>
        <v/>
      </c>
    </row>
    <row r="755">
      <c r="A755" s="21"/>
      <c r="B755" s="21"/>
      <c r="C755" s="21"/>
      <c r="D755" s="21"/>
      <c r="E755" s="21"/>
      <c r="F755" s="21" t="str">
        <f>IF(E755="","",VLOOKUP(E755,tipo_cuenta[#ALL],2,0))</f>
        <v/>
      </c>
    </row>
    <row r="756">
      <c r="A756" s="21"/>
      <c r="B756" s="21"/>
      <c r="C756" s="21"/>
      <c r="D756" s="21"/>
      <c r="E756" s="21"/>
      <c r="F756" s="21" t="str">
        <f>IF(E756="","",VLOOKUP(E756,tipo_cuenta[#ALL],2,0))</f>
        <v/>
      </c>
    </row>
    <row r="757">
      <c r="A757" s="21"/>
      <c r="B757" s="21"/>
      <c r="C757" s="21"/>
      <c r="D757" s="21"/>
      <c r="E757" s="21"/>
      <c r="F757" s="21" t="str">
        <f>IF(E757="","",VLOOKUP(E757,tipo_cuenta[#ALL],2,0))</f>
        <v/>
      </c>
    </row>
    <row r="758">
      <c r="A758" s="21"/>
      <c r="B758" s="21"/>
      <c r="C758" s="21"/>
      <c r="D758" s="21"/>
      <c r="E758" s="21"/>
      <c r="F758" s="21" t="str">
        <f>IF(E758="","",VLOOKUP(E758,tipo_cuenta[#ALL],2,0))</f>
        <v/>
      </c>
    </row>
    <row r="759">
      <c r="A759" s="21"/>
      <c r="B759" s="21"/>
      <c r="C759" s="21"/>
      <c r="D759" s="21"/>
      <c r="E759" s="21"/>
      <c r="F759" s="21" t="str">
        <f>IF(E759="","",VLOOKUP(E759,tipo_cuenta[#ALL],2,0))</f>
        <v/>
      </c>
    </row>
    <row r="760">
      <c r="A760" s="21"/>
      <c r="B760" s="21"/>
      <c r="C760" s="21"/>
      <c r="D760" s="21"/>
      <c r="E760" s="21"/>
      <c r="F760" s="21" t="str">
        <f>IF(E760="","",VLOOKUP(E760,tipo_cuenta[#ALL],2,0))</f>
        <v/>
      </c>
    </row>
    <row r="761">
      <c r="A761" s="21"/>
      <c r="B761" s="21"/>
      <c r="C761" s="21"/>
      <c r="D761" s="21"/>
      <c r="E761" s="21"/>
      <c r="F761" s="21" t="str">
        <f>IF(E761="","",VLOOKUP(E761,tipo_cuenta[#ALL],2,0))</f>
        <v/>
      </c>
    </row>
    <row r="762">
      <c r="A762" s="21"/>
      <c r="B762" s="21"/>
      <c r="C762" s="21"/>
      <c r="D762" s="21"/>
      <c r="E762" s="21"/>
      <c r="F762" s="21" t="str">
        <f>IF(E762="","",VLOOKUP(E762,tipo_cuenta[#ALL],2,0))</f>
        <v/>
      </c>
    </row>
    <row r="763">
      <c r="A763" s="21"/>
      <c r="B763" s="21"/>
      <c r="C763" s="21"/>
      <c r="D763" s="21"/>
      <c r="E763" s="21"/>
      <c r="F763" s="21" t="str">
        <f>IF(E763="","",VLOOKUP(E763,tipo_cuenta[#ALL],2,0))</f>
        <v/>
      </c>
    </row>
    <row r="764">
      <c r="A764" s="21"/>
      <c r="B764" s="21"/>
      <c r="C764" s="21"/>
      <c r="D764" s="21"/>
      <c r="E764" s="21"/>
      <c r="F764" s="21" t="str">
        <f>IF(E764="","",VLOOKUP(E764,tipo_cuenta[#ALL],2,0))</f>
        <v/>
      </c>
    </row>
    <row r="765">
      <c r="A765" s="21"/>
      <c r="B765" s="21"/>
      <c r="C765" s="21"/>
      <c r="D765" s="21"/>
      <c r="E765" s="21"/>
      <c r="F765" s="21" t="str">
        <f>IF(E765="","",VLOOKUP(E765,tipo_cuenta[#ALL],2,0))</f>
        <v/>
      </c>
    </row>
    <row r="766">
      <c r="A766" s="21"/>
      <c r="B766" s="21"/>
      <c r="C766" s="21"/>
      <c r="D766" s="21"/>
      <c r="E766" s="21"/>
      <c r="F766" s="21" t="str">
        <f>IF(E766="","",VLOOKUP(E766,tipo_cuenta[#ALL],2,0))</f>
        <v/>
      </c>
    </row>
    <row r="767">
      <c r="A767" s="21"/>
      <c r="B767" s="21"/>
      <c r="C767" s="21"/>
      <c r="D767" s="21"/>
      <c r="E767" s="21"/>
      <c r="F767" s="21" t="str">
        <f>IF(E767="","",VLOOKUP(E767,tipo_cuenta[#ALL],2,0))</f>
        <v/>
      </c>
    </row>
    <row r="768">
      <c r="A768" s="21"/>
      <c r="B768" s="21"/>
      <c r="C768" s="21"/>
      <c r="D768" s="21"/>
      <c r="E768" s="21"/>
      <c r="F768" s="21" t="str">
        <f>IF(E768="","",VLOOKUP(E768,tipo_cuenta[#ALL],2,0))</f>
        <v/>
      </c>
    </row>
    <row r="769">
      <c r="A769" s="21"/>
      <c r="B769" s="21"/>
      <c r="C769" s="21"/>
      <c r="D769" s="21"/>
      <c r="E769" s="21"/>
      <c r="F769" s="21" t="str">
        <f>IF(E769="","",VLOOKUP(E769,tipo_cuenta[#ALL],2,0))</f>
        <v/>
      </c>
    </row>
    <row r="770">
      <c r="A770" s="21"/>
      <c r="B770" s="21"/>
      <c r="C770" s="21"/>
      <c r="D770" s="21"/>
      <c r="E770" s="21"/>
      <c r="F770" s="21" t="str">
        <f>IF(E770="","",VLOOKUP(E770,tipo_cuenta[#ALL],2,0))</f>
        <v/>
      </c>
    </row>
    <row r="771">
      <c r="A771" s="21"/>
      <c r="B771" s="21"/>
      <c r="C771" s="21"/>
      <c r="D771" s="21"/>
      <c r="E771" s="21"/>
      <c r="F771" s="21" t="str">
        <f>IF(E771="","",VLOOKUP(E771,tipo_cuenta[#ALL],2,0))</f>
        <v/>
      </c>
    </row>
    <row r="772">
      <c r="A772" s="21"/>
      <c r="B772" s="21"/>
      <c r="C772" s="21"/>
      <c r="D772" s="21"/>
      <c r="E772" s="21"/>
      <c r="F772" s="21" t="str">
        <f>IF(E772="","",VLOOKUP(E772,tipo_cuenta[#ALL],2,0))</f>
        <v/>
      </c>
    </row>
    <row r="773">
      <c r="A773" s="21"/>
      <c r="B773" s="21"/>
      <c r="C773" s="21"/>
      <c r="D773" s="21"/>
      <c r="E773" s="21"/>
      <c r="F773" s="21" t="str">
        <f>IF(E773="","",VLOOKUP(E773,tipo_cuenta[#ALL],2,0))</f>
        <v/>
      </c>
    </row>
    <row r="774">
      <c r="A774" s="21"/>
      <c r="B774" s="21"/>
      <c r="C774" s="21"/>
      <c r="D774" s="21"/>
      <c r="E774" s="21"/>
      <c r="F774" s="21" t="str">
        <f>IF(E774="","",VLOOKUP(E774,tipo_cuenta[#ALL],2,0))</f>
        <v/>
      </c>
    </row>
    <row r="775">
      <c r="A775" s="21"/>
      <c r="B775" s="21"/>
      <c r="C775" s="21"/>
      <c r="D775" s="21"/>
      <c r="E775" s="21"/>
      <c r="F775" s="21" t="str">
        <f>IF(E775="","",VLOOKUP(E775,tipo_cuenta[#ALL],2,0))</f>
        <v/>
      </c>
    </row>
    <row r="776">
      <c r="A776" s="21"/>
      <c r="B776" s="21"/>
      <c r="C776" s="21"/>
      <c r="D776" s="21"/>
      <c r="E776" s="21"/>
      <c r="F776" s="21" t="str">
        <f>IF(E776="","",VLOOKUP(E776,tipo_cuenta[#ALL],2,0))</f>
        <v/>
      </c>
    </row>
    <row r="777">
      <c r="A777" s="21"/>
      <c r="B777" s="21"/>
      <c r="C777" s="21"/>
      <c r="D777" s="21"/>
      <c r="E777" s="21"/>
      <c r="F777" s="21" t="str">
        <f>IF(E777="","",VLOOKUP(E777,tipo_cuenta[#ALL],2,0))</f>
        <v/>
      </c>
    </row>
    <row r="778">
      <c r="A778" s="21"/>
      <c r="B778" s="21"/>
      <c r="C778" s="21"/>
      <c r="D778" s="21"/>
      <c r="E778" s="21"/>
      <c r="F778" s="21" t="str">
        <f>IF(E778="","",VLOOKUP(E778,tipo_cuenta[#ALL],2,0))</f>
        <v/>
      </c>
    </row>
    <row r="779">
      <c r="A779" s="21"/>
      <c r="B779" s="21"/>
      <c r="C779" s="21"/>
      <c r="D779" s="21"/>
      <c r="E779" s="21"/>
      <c r="F779" s="21" t="str">
        <f>IF(E779="","",VLOOKUP(E779,tipo_cuenta[#ALL],2,0))</f>
        <v/>
      </c>
    </row>
    <row r="780">
      <c r="A780" s="21"/>
      <c r="B780" s="21"/>
      <c r="C780" s="21"/>
      <c r="D780" s="21"/>
      <c r="E780" s="21"/>
      <c r="F780" s="21" t="str">
        <f>IF(E780="","",VLOOKUP(E780,tipo_cuenta[#ALL],2,0))</f>
        <v/>
      </c>
    </row>
    <row r="781">
      <c r="A781" s="21"/>
      <c r="B781" s="21"/>
      <c r="C781" s="21"/>
      <c r="D781" s="21"/>
      <c r="E781" s="21"/>
      <c r="F781" s="21" t="str">
        <f>IF(E781="","",VLOOKUP(E781,tipo_cuenta[#ALL],2,0))</f>
        <v/>
      </c>
    </row>
    <row r="782">
      <c r="A782" s="21"/>
      <c r="B782" s="21"/>
      <c r="C782" s="21"/>
      <c r="D782" s="21"/>
      <c r="E782" s="21"/>
      <c r="F782" s="21" t="str">
        <f>IF(E782="","",VLOOKUP(E782,tipo_cuenta[#ALL],2,0))</f>
        <v/>
      </c>
    </row>
    <row r="783">
      <c r="A783" s="21"/>
      <c r="B783" s="21"/>
      <c r="C783" s="21"/>
      <c r="D783" s="21"/>
      <c r="E783" s="21"/>
      <c r="F783" s="21" t="str">
        <f>IF(E783="","",VLOOKUP(E783,tipo_cuenta[#ALL],2,0))</f>
        <v/>
      </c>
    </row>
    <row r="784">
      <c r="A784" s="21"/>
      <c r="B784" s="21"/>
      <c r="C784" s="21"/>
      <c r="D784" s="21"/>
      <c r="E784" s="21"/>
      <c r="F784" s="21" t="str">
        <f>IF(E784="","",VLOOKUP(E784,tipo_cuenta[#ALL],2,0))</f>
        <v/>
      </c>
    </row>
    <row r="785">
      <c r="A785" s="21"/>
      <c r="B785" s="21"/>
      <c r="C785" s="21"/>
      <c r="D785" s="21"/>
      <c r="E785" s="21"/>
      <c r="F785" s="21" t="str">
        <f>IF(E785="","",VLOOKUP(E785,tipo_cuenta[#ALL],2,0))</f>
        <v/>
      </c>
    </row>
    <row r="786">
      <c r="A786" s="21"/>
      <c r="B786" s="21"/>
      <c r="C786" s="21"/>
      <c r="D786" s="21"/>
      <c r="E786" s="21"/>
      <c r="F786" s="21" t="str">
        <f>IF(E786="","",VLOOKUP(E786,tipo_cuenta[#ALL],2,0))</f>
        <v/>
      </c>
    </row>
    <row r="787">
      <c r="A787" s="21"/>
      <c r="B787" s="21"/>
      <c r="C787" s="21"/>
      <c r="D787" s="21"/>
      <c r="E787" s="21"/>
      <c r="F787" s="21" t="str">
        <f>IF(E787="","",VLOOKUP(E787,tipo_cuenta[#ALL],2,0))</f>
        <v/>
      </c>
    </row>
    <row r="788">
      <c r="A788" s="21"/>
      <c r="B788" s="21"/>
      <c r="C788" s="21"/>
      <c r="D788" s="21"/>
      <c r="E788" s="21"/>
      <c r="F788" s="21" t="str">
        <f>IF(E788="","",VLOOKUP(E788,tipo_cuenta[#ALL],2,0))</f>
        <v/>
      </c>
    </row>
    <row r="789">
      <c r="A789" s="21"/>
      <c r="B789" s="21"/>
      <c r="C789" s="21"/>
      <c r="D789" s="21"/>
      <c r="E789" s="21"/>
      <c r="F789" s="21" t="str">
        <f>IF(E789="","",VLOOKUP(E789,tipo_cuenta[#ALL],2,0))</f>
        <v/>
      </c>
    </row>
    <row r="790">
      <c r="A790" s="21"/>
      <c r="B790" s="21"/>
      <c r="C790" s="21"/>
      <c r="D790" s="21"/>
      <c r="E790" s="21"/>
      <c r="F790" s="21" t="str">
        <f>IF(E790="","",VLOOKUP(E790,tipo_cuenta[#ALL],2,0))</f>
        <v/>
      </c>
    </row>
    <row r="791">
      <c r="A791" s="21"/>
      <c r="B791" s="21"/>
      <c r="C791" s="21"/>
      <c r="D791" s="21"/>
      <c r="E791" s="21"/>
      <c r="F791" s="21" t="str">
        <f>IF(E791="","",VLOOKUP(E791,tipo_cuenta[#ALL],2,0))</f>
        <v/>
      </c>
    </row>
    <row r="792">
      <c r="A792" s="21"/>
      <c r="B792" s="21"/>
      <c r="C792" s="21"/>
      <c r="D792" s="21"/>
      <c r="E792" s="21"/>
      <c r="F792" s="21" t="str">
        <f>IF(E792="","",VLOOKUP(E792,tipo_cuenta[#ALL],2,0))</f>
        <v/>
      </c>
    </row>
    <row r="793">
      <c r="A793" s="21"/>
      <c r="B793" s="21"/>
      <c r="C793" s="21"/>
      <c r="D793" s="21"/>
      <c r="E793" s="21"/>
      <c r="F793" s="21" t="str">
        <f>IF(E793="","",VLOOKUP(E793,tipo_cuenta[#ALL],2,0))</f>
        <v/>
      </c>
    </row>
    <row r="794">
      <c r="A794" s="21"/>
      <c r="B794" s="21"/>
      <c r="C794" s="21"/>
      <c r="D794" s="21"/>
      <c r="E794" s="21"/>
      <c r="F794" s="21" t="str">
        <f>IF(E794="","",VLOOKUP(E794,tipo_cuenta[#ALL],2,0))</f>
        <v/>
      </c>
    </row>
    <row r="795">
      <c r="A795" s="21"/>
      <c r="B795" s="21"/>
      <c r="C795" s="21"/>
      <c r="D795" s="21"/>
      <c r="E795" s="21"/>
      <c r="F795" s="21" t="str">
        <f>IF(E795="","",VLOOKUP(E795,tipo_cuenta[#ALL],2,0))</f>
        <v/>
      </c>
    </row>
    <row r="796">
      <c r="A796" s="21"/>
      <c r="B796" s="21"/>
      <c r="C796" s="21"/>
      <c r="D796" s="21"/>
      <c r="E796" s="21"/>
      <c r="F796" s="21" t="str">
        <f>IF(E796="","",VLOOKUP(E796,tipo_cuenta[#ALL],2,0))</f>
        <v/>
      </c>
    </row>
    <row r="797">
      <c r="A797" s="21"/>
      <c r="B797" s="21"/>
      <c r="C797" s="21"/>
      <c r="D797" s="21"/>
      <c r="E797" s="21"/>
      <c r="F797" s="21" t="str">
        <f>IF(E797="","",VLOOKUP(E797,tipo_cuenta[#ALL],2,0))</f>
        <v/>
      </c>
    </row>
    <row r="798">
      <c r="A798" s="21"/>
      <c r="B798" s="21"/>
      <c r="C798" s="21"/>
      <c r="D798" s="21"/>
      <c r="E798" s="21"/>
      <c r="F798" s="21" t="str">
        <f>IF(E798="","",VLOOKUP(E798,tipo_cuenta[#ALL],2,0))</f>
        <v/>
      </c>
    </row>
    <row r="799">
      <c r="A799" s="21"/>
      <c r="B799" s="21"/>
      <c r="C799" s="21"/>
      <c r="D799" s="21"/>
      <c r="E799" s="21"/>
      <c r="F799" s="21" t="str">
        <f>IF(E799="","",VLOOKUP(E799,tipo_cuenta[#ALL],2,0))</f>
        <v/>
      </c>
    </row>
    <row r="800">
      <c r="A800" s="21"/>
      <c r="B800" s="21"/>
      <c r="C800" s="21"/>
      <c r="D800" s="21"/>
      <c r="E800" s="21"/>
      <c r="F800" s="21" t="str">
        <f>IF(E800="","",VLOOKUP(E800,tipo_cuenta[#ALL],2,0))</f>
        <v/>
      </c>
    </row>
    <row r="801">
      <c r="A801" s="21"/>
      <c r="B801" s="21"/>
      <c r="C801" s="21"/>
      <c r="D801" s="21"/>
      <c r="E801" s="21"/>
      <c r="F801" s="21" t="str">
        <f>IF(E801="","",VLOOKUP(E801,tipo_cuenta[#ALL],2,0))</f>
        <v/>
      </c>
    </row>
    <row r="802">
      <c r="A802" s="21"/>
      <c r="B802" s="21"/>
      <c r="C802" s="21"/>
      <c r="D802" s="21"/>
      <c r="E802" s="21"/>
      <c r="F802" s="21" t="str">
        <f>IF(E802="","",VLOOKUP(E802,tipo_cuenta[#ALL],2,0))</f>
        <v/>
      </c>
    </row>
    <row r="803">
      <c r="A803" s="21"/>
      <c r="B803" s="21"/>
      <c r="C803" s="21"/>
      <c r="D803" s="21"/>
      <c r="E803" s="21"/>
      <c r="F803" s="21" t="str">
        <f>IF(E803="","",VLOOKUP(E803,tipo_cuenta[#ALL],2,0))</f>
        <v/>
      </c>
    </row>
    <row r="804">
      <c r="A804" s="21"/>
      <c r="B804" s="21"/>
      <c r="C804" s="21"/>
      <c r="D804" s="21"/>
      <c r="E804" s="21"/>
      <c r="F804" s="21" t="str">
        <f>IF(E804="","",VLOOKUP(E804,tipo_cuenta[#ALL],2,0))</f>
        <v/>
      </c>
    </row>
    <row r="805">
      <c r="A805" s="21"/>
      <c r="B805" s="21"/>
      <c r="C805" s="21"/>
      <c r="D805" s="21"/>
      <c r="E805" s="21"/>
      <c r="F805" s="21" t="str">
        <f>IF(E805="","",VLOOKUP(E805,tipo_cuenta[#ALL],2,0))</f>
        <v/>
      </c>
    </row>
    <row r="806">
      <c r="A806" s="21"/>
      <c r="B806" s="21"/>
      <c r="C806" s="21"/>
      <c r="D806" s="21"/>
      <c r="E806" s="21"/>
      <c r="F806" s="21" t="str">
        <f>IF(E806="","",VLOOKUP(E806,tipo_cuenta[#ALL],2,0))</f>
        <v/>
      </c>
    </row>
    <row r="807">
      <c r="A807" s="21"/>
      <c r="B807" s="21"/>
      <c r="C807" s="21"/>
      <c r="D807" s="21"/>
      <c r="E807" s="21"/>
      <c r="F807" s="21" t="str">
        <f>IF(E807="","",VLOOKUP(E807,tipo_cuenta[#ALL],2,0))</f>
        <v/>
      </c>
    </row>
    <row r="808">
      <c r="A808" s="21"/>
      <c r="B808" s="21"/>
      <c r="C808" s="21"/>
      <c r="D808" s="21"/>
      <c r="E808" s="21"/>
      <c r="F808" s="21" t="str">
        <f>IF(E808="","",VLOOKUP(E808,tipo_cuenta[#ALL],2,0))</f>
        <v/>
      </c>
    </row>
    <row r="809">
      <c r="A809" s="21"/>
      <c r="B809" s="21"/>
      <c r="C809" s="21"/>
      <c r="D809" s="21"/>
      <c r="E809" s="21"/>
      <c r="F809" s="21" t="str">
        <f>IF(E809="","",VLOOKUP(E809,tipo_cuenta[#ALL],2,0))</f>
        <v/>
      </c>
    </row>
    <row r="810">
      <c r="A810" s="21"/>
      <c r="B810" s="21"/>
      <c r="C810" s="21"/>
      <c r="D810" s="21"/>
      <c r="E810" s="21"/>
      <c r="F810" s="21" t="str">
        <f>IF(E810="","",VLOOKUP(E810,tipo_cuenta[#ALL],2,0))</f>
        <v/>
      </c>
    </row>
    <row r="811">
      <c r="A811" s="21"/>
      <c r="B811" s="21"/>
      <c r="C811" s="21"/>
      <c r="D811" s="21"/>
      <c r="E811" s="21"/>
      <c r="F811" s="21" t="str">
        <f>IF(E811="","",VLOOKUP(E811,tipo_cuenta[#ALL],2,0))</f>
        <v/>
      </c>
    </row>
    <row r="812">
      <c r="A812" s="21"/>
      <c r="B812" s="21"/>
      <c r="C812" s="21"/>
      <c r="D812" s="21"/>
      <c r="E812" s="21"/>
      <c r="F812" s="21" t="str">
        <f>IF(E812="","",VLOOKUP(E812,tipo_cuenta[#ALL],2,0))</f>
        <v/>
      </c>
    </row>
    <row r="813">
      <c r="A813" s="21"/>
      <c r="B813" s="21"/>
      <c r="C813" s="21"/>
      <c r="D813" s="21"/>
      <c r="E813" s="21"/>
      <c r="F813" s="21" t="str">
        <f>IF(E813="","",VLOOKUP(E813,tipo_cuenta[#ALL],2,0))</f>
        <v/>
      </c>
    </row>
    <row r="814">
      <c r="A814" s="21"/>
      <c r="B814" s="21"/>
      <c r="C814" s="21"/>
      <c r="D814" s="21"/>
      <c r="E814" s="21"/>
      <c r="F814" s="21" t="str">
        <f>IF(E814="","",VLOOKUP(E814,tipo_cuenta[#ALL],2,0))</f>
        <v/>
      </c>
    </row>
    <row r="815">
      <c r="A815" s="21"/>
      <c r="B815" s="21"/>
      <c r="C815" s="21"/>
      <c r="D815" s="21"/>
      <c r="E815" s="21"/>
      <c r="F815" s="21" t="str">
        <f>IF(E815="","",VLOOKUP(E815,tipo_cuenta[#ALL],2,0))</f>
        <v/>
      </c>
    </row>
    <row r="816">
      <c r="A816" s="21"/>
      <c r="B816" s="21"/>
      <c r="C816" s="21"/>
      <c r="D816" s="21"/>
      <c r="E816" s="21"/>
      <c r="F816" s="21" t="str">
        <f>IF(E816="","",VLOOKUP(E816,tipo_cuenta[#ALL],2,0))</f>
        <v/>
      </c>
    </row>
    <row r="817">
      <c r="A817" s="21"/>
      <c r="B817" s="21"/>
      <c r="C817" s="21"/>
      <c r="D817" s="21"/>
      <c r="E817" s="21"/>
      <c r="F817" s="21" t="str">
        <f>IF(E817="","",VLOOKUP(E817,tipo_cuenta[#ALL],2,0))</f>
        <v/>
      </c>
    </row>
    <row r="818">
      <c r="A818" s="21"/>
      <c r="B818" s="21"/>
      <c r="C818" s="21"/>
      <c r="D818" s="21"/>
      <c r="E818" s="21"/>
      <c r="F818" s="21" t="str">
        <f>IF(E818="","",VLOOKUP(E818,tipo_cuenta[#ALL],2,0))</f>
        <v/>
      </c>
    </row>
    <row r="819">
      <c r="A819" s="21"/>
      <c r="B819" s="21"/>
      <c r="C819" s="21"/>
      <c r="D819" s="21"/>
      <c r="E819" s="21"/>
      <c r="F819" s="21" t="str">
        <f>IF(E819="","",VLOOKUP(E819,tipo_cuenta[#ALL],2,0))</f>
        <v/>
      </c>
    </row>
    <row r="820">
      <c r="A820" s="21"/>
      <c r="B820" s="21"/>
      <c r="C820" s="21"/>
      <c r="D820" s="21"/>
      <c r="E820" s="21"/>
      <c r="F820" s="21" t="str">
        <f>IF(E820="","",VLOOKUP(E820,tipo_cuenta[#ALL],2,0))</f>
        <v/>
      </c>
    </row>
    <row r="821">
      <c r="A821" s="21"/>
      <c r="B821" s="21"/>
      <c r="C821" s="21"/>
      <c r="D821" s="21"/>
      <c r="E821" s="21"/>
      <c r="F821" s="21" t="str">
        <f>IF(E821="","",VLOOKUP(E821,tipo_cuenta[#ALL],2,0))</f>
        <v/>
      </c>
    </row>
    <row r="822">
      <c r="A822" s="21"/>
      <c r="B822" s="21"/>
      <c r="C822" s="21"/>
      <c r="D822" s="21"/>
      <c r="E822" s="21"/>
      <c r="F822" s="21" t="str">
        <f>IF(E822="","",VLOOKUP(E822,tipo_cuenta[#ALL],2,0))</f>
        <v/>
      </c>
    </row>
    <row r="823">
      <c r="A823" s="21"/>
      <c r="B823" s="21"/>
      <c r="C823" s="21"/>
      <c r="D823" s="21"/>
      <c r="E823" s="21"/>
      <c r="F823" s="21" t="str">
        <f>IF(E823="","",VLOOKUP(E823,tipo_cuenta[#ALL],2,0))</f>
        <v/>
      </c>
    </row>
    <row r="824">
      <c r="A824" s="21"/>
      <c r="B824" s="21"/>
      <c r="C824" s="21"/>
      <c r="D824" s="21"/>
      <c r="E824" s="21"/>
      <c r="F824" s="21" t="str">
        <f>IF(E824="","",VLOOKUP(E824,tipo_cuenta[#ALL],2,0))</f>
        <v/>
      </c>
    </row>
    <row r="825">
      <c r="A825" s="21"/>
      <c r="B825" s="21"/>
      <c r="C825" s="21"/>
      <c r="D825" s="21"/>
      <c r="E825" s="21"/>
      <c r="F825" s="21" t="str">
        <f>IF(E825="","",VLOOKUP(E825,tipo_cuenta[#ALL],2,0))</f>
        <v/>
      </c>
    </row>
    <row r="826">
      <c r="A826" s="21"/>
      <c r="B826" s="21"/>
      <c r="C826" s="21"/>
      <c r="D826" s="21"/>
      <c r="E826" s="21"/>
      <c r="F826" s="21" t="str">
        <f>IF(E826="","",VLOOKUP(E826,tipo_cuenta[#ALL],2,0))</f>
        <v/>
      </c>
    </row>
    <row r="827">
      <c r="A827" s="21"/>
      <c r="B827" s="21"/>
      <c r="C827" s="21"/>
      <c r="D827" s="21"/>
      <c r="E827" s="21"/>
      <c r="F827" s="21" t="str">
        <f>IF(E827="","",VLOOKUP(E827,tipo_cuenta[#ALL],2,0))</f>
        <v/>
      </c>
    </row>
    <row r="828">
      <c r="A828" s="21"/>
      <c r="B828" s="21"/>
      <c r="C828" s="21"/>
      <c r="D828" s="21"/>
      <c r="E828" s="21"/>
      <c r="F828" s="21" t="str">
        <f>IF(E828="","",VLOOKUP(E828,tipo_cuenta[#ALL],2,0))</f>
        <v/>
      </c>
    </row>
    <row r="829">
      <c r="A829" s="21"/>
      <c r="B829" s="21"/>
      <c r="C829" s="21"/>
      <c r="D829" s="21"/>
      <c r="E829" s="21"/>
      <c r="F829" s="21" t="str">
        <f>IF(E829="","",VLOOKUP(E829,tipo_cuenta[#ALL],2,0))</f>
        <v/>
      </c>
    </row>
    <row r="830">
      <c r="A830" s="21"/>
      <c r="B830" s="21"/>
      <c r="C830" s="21"/>
      <c r="D830" s="21"/>
      <c r="E830" s="21"/>
      <c r="F830" s="21" t="str">
        <f>IF(E830="","",VLOOKUP(E830,tipo_cuenta[#ALL],2,0))</f>
        <v/>
      </c>
    </row>
    <row r="831">
      <c r="A831" s="21"/>
      <c r="B831" s="21"/>
      <c r="C831" s="21"/>
      <c r="D831" s="21"/>
      <c r="E831" s="21"/>
      <c r="F831" s="21" t="str">
        <f>IF(E831="","",VLOOKUP(E831,tipo_cuenta[#ALL],2,0))</f>
        <v/>
      </c>
    </row>
    <row r="832">
      <c r="A832" s="21"/>
      <c r="B832" s="21"/>
      <c r="C832" s="21"/>
      <c r="D832" s="21"/>
      <c r="E832" s="21"/>
      <c r="F832" s="21" t="str">
        <f>IF(E832="","",VLOOKUP(E832,tipo_cuenta[#ALL],2,0))</f>
        <v/>
      </c>
    </row>
    <row r="833">
      <c r="A833" s="21"/>
      <c r="B833" s="21"/>
      <c r="C833" s="21"/>
      <c r="D833" s="21"/>
      <c r="E833" s="21"/>
      <c r="F833" s="21" t="str">
        <f>IF(E833="","",VLOOKUP(E833,tipo_cuenta[#ALL],2,0))</f>
        <v/>
      </c>
    </row>
    <row r="834">
      <c r="A834" s="21"/>
      <c r="B834" s="21"/>
      <c r="C834" s="21"/>
      <c r="D834" s="21"/>
      <c r="E834" s="21"/>
      <c r="F834" s="21" t="str">
        <f>IF(E834="","",VLOOKUP(E834,tipo_cuenta[#ALL],2,0))</f>
        <v/>
      </c>
    </row>
    <row r="835">
      <c r="A835" s="21"/>
      <c r="B835" s="21"/>
      <c r="C835" s="21"/>
      <c r="D835" s="21"/>
      <c r="E835" s="21"/>
      <c r="F835" s="21" t="str">
        <f>IF(E835="","",VLOOKUP(E835,tipo_cuenta[#ALL],2,0))</f>
        <v/>
      </c>
    </row>
    <row r="836">
      <c r="A836" s="21"/>
      <c r="B836" s="21"/>
      <c r="C836" s="21"/>
      <c r="D836" s="21"/>
      <c r="E836" s="21"/>
      <c r="F836" s="21" t="str">
        <f>IF(E836="","",VLOOKUP(E836,tipo_cuenta[#ALL],2,0))</f>
        <v/>
      </c>
    </row>
    <row r="837">
      <c r="A837" s="21"/>
      <c r="B837" s="21"/>
      <c r="C837" s="21"/>
      <c r="D837" s="21"/>
      <c r="E837" s="21"/>
      <c r="F837" s="21" t="str">
        <f>IF(E837="","",VLOOKUP(E837,tipo_cuenta[#ALL],2,0))</f>
        <v/>
      </c>
    </row>
    <row r="838">
      <c r="A838" s="21"/>
      <c r="B838" s="21"/>
      <c r="C838" s="21"/>
      <c r="D838" s="21"/>
      <c r="E838" s="21"/>
      <c r="F838" s="21" t="str">
        <f>IF(E838="","",VLOOKUP(E838,tipo_cuenta[#ALL],2,0))</f>
        <v/>
      </c>
    </row>
    <row r="839">
      <c r="A839" s="21"/>
      <c r="B839" s="21"/>
      <c r="C839" s="21"/>
      <c r="D839" s="21"/>
      <c r="E839" s="21"/>
      <c r="F839" s="21" t="str">
        <f>IF(E839="","",VLOOKUP(E839,tipo_cuenta[#ALL],2,0))</f>
        <v/>
      </c>
    </row>
    <row r="840">
      <c r="A840" s="21"/>
      <c r="B840" s="21"/>
      <c r="C840" s="21"/>
      <c r="D840" s="21"/>
      <c r="E840" s="21"/>
      <c r="F840" s="21" t="str">
        <f>IF(E840="","",VLOOKUP(E840,tipo_cuenta[#ALL],2,0))</f>
        <v/>
      </c>
    </row>
    <row r="841">
      <c r="A841" s="21"/>
      <c r="B841" s="21"/>
      <c r="C841" s="21"/>
      <c r="D841" s="21"/>
      <c r="E841" s="21"/>
      <c r="F841" s="21" t="str">
        <f>IF(E841="","",VLOOKUP(E841,tipo_cuenta[#ALL],2,0))</f>
        <v/>
      </c>
    </row>
    <row r="842">
      <c r="A842" s="21"/>
      <c r="B842" s="21"/>
      <c r="C842" s="21"/>
      <c r="D842" s="21"/>
      <c r="E842" s="21"/>
      <c r="F842" s="21" t="str">
        <f>IF(E842="","",VLOOKUP(E842,tipo_cuenta[#ALL],2,0))</f>
        <v/>
      </c>
    </row>
    <row r="843">
      <c r="A843" s="21"/>
      <c r="B843" s="21"/>
      <c r="C843" s="21"/>
      <c r="D843" s="21"/>
      <c r="E843" s="21"/>
      <c r="F843" s="21" t="str">
        <f>IF(E843="","",VLOOKUP(E843,tipo_cuenta[#ALL],2,0))</f>
        <v/>
      </c>
    </row>
    <row r="844">
      <c r="A844" s="21"/>
      <c r="B844" s="21"/>
      <c r="C844" s="21"/>
      <c r="D844" s="21"/>
      <c r="E844" s="21"/>
      <c r="F844" s="21" t="str">
        <f>IF(E844="","",VLOOKUP(E844,tipo_cuenta[#ALL],2,0))</f>
        <v/>
      </c>
    </row>
    <row r="845">
      <c r="A845" s="21"/>
      <c r="B845" s="21"/>
      <c r="C845" s="21"/>
      <c r="D845" s="21"/>
      <c r="E845" s="21"/>
      <c r="F845" s="21" t="str">
        <f>IF(E845="","",VLOOKUP(E845,tipo_cuenta[#ALL],2,0))</f>
        <v/>
      </c>
    </row>
    <row r="846">
      <c r="A846" s="21"/>
      <c r="B846" s="21"/>
      <c r="C846" s="21"/>
      <c r="D846" s="21"/>
      <c r="E846" s="21"/>
      <c r="F846" s="21" t="str">
        <f>IF(E846="","",VLOOKUP(E846,tipo_cuenta[#ALL],2,0))</f>
        <v/>
      </c>
    </row>
    <row r="847">
      <c r="A847" s="21"/>
      <c r="B847" s="21"/>
      <c r="C847" s="21"/>
      <c r="D847" s="21"/>
      <c r="E847" s="21"/>
      <c r="F847" s="21" t="str">
        <f>IF(E847="","",VLOOKUP(E847,tipo_cuenta[#ALL],2,0))</f>
        <v/>
      </c>
    </row>
    <row r="848">
      <c r="A848" s="21"/>
      <c r="B848" s="21"/>
      <c r="C848" s="21"/>
      <c r="D848" s="21"/>
      <c r="E848" s="21"/>
      <c r="F848" s="21" t="str">
        <f>IF(E848="","",VLOOKUP(E848,tipo_cuenta[#ALL],2,0))</f>
        <v/>
      </c>
    </row>
    <row r="849">
      <c r="A849" s="21"/>
      <c r="B849" s="21"/>
      <c r="C849" s="21"/>
      <c r="D849" s="21"/>
      <c r="E849" s="21"/>
      <c r="F849" s="21" t="str">
        <f>IF(E849="","",VLOOKUP(E849,tipo_cuenta[#ALL],2,0))</f>
        <v/>
      </c>
    </row>
    <row r="850">
      <c r="A850" s="21"/>
      <c r="B850" s="21"/>
      <c r="C850" s="21"/>
      <c r="D850" s="21"/>
      <c r="E850" s="21"/>
      <c r="F850" s="21" t="str">
        <f>IF(E850="","",VLOOKUP(E850,tipo_cuenta[#ALL],2,0))</f>
        <v/>
      </c>
    </row>
    <row r="851">
      <c r="A851" s="21"/>
      <c r="B851" s="21"/>
      <c r="C851" s="21"/>
      <c r="D851" s="21"/>
      <c r="E851" s="21"/>
      <c r="F851" s="21" t="str">
        <f>IF(E851="","",VLOOKUP(E851,tipo_cuenta[#ALL],2,0))</f>
        <v/>
      </c>
    </row>
    <row r="852">
      <c r="A852" s="21"/>
      <c r="B852" s="21"/>
      <c r="C852" s="21"/>
      <c r="D852" s="21"/>
      <c r="E852" s="21"/>
      <c r="F852" s="21" t="str">
        <f>IF(E852="","",VLOOKUP(E852,tipo_cuenta[#ALL],2,0))</f>
        <v/>
      </c>
    </row>
    <row r="853">
      <c r="A853" s="21"/>
      <c r="B853" s="21"/>
      <c r="C853" s="21"/>
      <c r="D853" s="21"/>
      <c r="E853" s="21"/>
      <c r="F853" s="21" t="str">
        <f>IF(E853="","",VLOOKUP(E853,tipo_cuenta[#ALL],2,0))</f>
        <v/>
      </c>
    </row>
    <row r="854">
      <c r="A854" s="21"/>
      <c r="B854" s="21"/>
      <c r="C854" s="21"/>
      <c r="D854" s="21"/>
      <c r="E854" s="21"/>
      <c r="F854" s="21" t="str">
        <f>IF(E854="","",VLOOKUP(E854,tipo_cuenta[#ALL],2,0))</f>
        <v/>
      </c>
    </row>
    <row r="855">
      <c r="A855" s="21"/>
      <c r="B855" s="21"/>
      <c r="C855" s="21"/>
      <c r="D855" s="21"/>
      <c r="E855" s="21"/>
      <c r="F855" s="21" t="str">
        <f>IF(E855="","",VLOOKUP(E855,tipo_cuenta[#ALL],2,0))</f>
        <v/>
      </c>
    </row>
    <row r="856">
      <c r="A856" s="21"/>
      <c r="B856" s="21"/>
      <c r="C856" s="21"/>
      <c r="D856" s="21"/>
      <c r="E856" s="21"/>
      <c r="F856" s="21" t="str">
        <f>IF(E856="","",VLOOKUP(E856,tipo_cuenta[#ALL],2,0))</f>
        <v/>
      </c>
    </row>
    <row r="857">
      <c r="A857" s="21"/>
      <c r="B857" s="21"/>
      <c r="C857" s="21"/>
      <c r="D857" s="21"/>
      <c r="E857" s="21"/>
      <c r="F857" s="21" t="str">
        <f>IF(E857="","",VLOOKUP(E857,tipo_cuenta[#ALL],2,0))</f>
        <v/>
      </c>
    </row>
    <row r="858">
      <c r="A858" s="21"/>
      <c r="B858" s="21"/>
      <c r="C858" s="21"/>
      <c r="D858" s="21"/>
      <c r="E858" s="21"/>
      <c r="F858" s="21" t="str">
        <f>IF(E858="","",VLOOKUP(E858,tipo_cuenta[#ALL],2,0))</f>
        <v/>
      </c>
    </row>
    <row r="859">
      <c r="A859" s="21"/>
      <c r="B859" s="21"/>
      <c r="C859" s="21"/>
      <c r="D859" s="21"/>
      <c r="E859" s="21"/>
      <c r="F859" s="21" t="str">
        <f>IF(E859="","",VLOOKUP(E859,tipo_cuenta[#ALL],2,0))</f>
        <v/>
      </c>
    </row>
    <row r="860">
      <c r="A860" s="21"/>
      <c r="B860" s="21"/>
      <c r="C860" s="21"/>
      <c r="D860" s="21"/>
      <c r="E860" s="21"/>
      <c r="F860" s="21" t="str">
        <f>IF(E860="","",VLOOKUP(E860,tipo_cuenta[#ALL],2,0))</f>
        <v/>
      </c>
    </row>
    <row r="861">
      <c r="A861" s="21"/>
      <c r="B861" s="21"/>
      <c r="C861" s="21"/>
      <c r="D861" s="21"/>
      <c r="E861" s="21"/>
      <c r="F861" s="21" t="str">
        <f>IF(E861="","",VLOOKUP(E861,tipo_cuenta[#ALL],2,0))</f>
        <v/>
      </c>
    </row>
    <row r="862">
      <c r="A862" s="21"/>
      <c r="B862" s="21"/>
      <c r="C862" s="21"/>
      <c r="D862" s="21"/>
      <c r="E862" s="21"/>
      <c r="F862" s="21" t="str">
        <f>IF(E862="","",VLOOKUP(E862,tipo_cuenta[#ALL],2,0))</f>
        <v/>
      </c>
    </row>
    <row r="863">
      <c r="A863" s="21"/>
      <c r="B863" s="21"/>
      <c r="C863" s="21"/>
      <c r="D863" s="21"/>
      <c r="E863" s="21"/>
      <c r="F863" s="21" t="str">
        <f>IF(E863="","",VLOOKUP(E863,tipo_cuenta[#ALL],2,0))</f>
        <v/>
      </c>
    </row>
    <row r="864">
      <c r="A864" s="21"/>
      <c r="B864" s="21"/>
      <c r="C864" s="21"/>
      <c r="D864" s="21"/>
      <c r="E864" s="21"/>
      <c r="F864" s="21" t="str">
        <f>IF(E864="","",VLOOKUP(E864,tipo_cuenta[#ALL],2,0))</f>
        <v/>
      </c>
    </row>
    <row r="865">
      <c r="A865" s="21"/>
      <c r="B865" s="21"/>
      <c r="C865" s="21"/>
      <c r="D865" s="21"/>
      <c r="E865" s="21"/>
      <c r="F865" s="21" t="str">
        <f>IF(E865="","",VLOOKUP(E865,tipo_cuenta[#ALL],2,0))</f>
        <v/>
      </c>
    </row>
    <row r="866">
      <c r="A866" s="21"/>
      <c r="B866" s="21"/>
      <c r="C866" s="21"/>
      <c r="D866" s="21"/>
      <c r="E866" s="21"/>
      <c r="F866" s="21" t="str">
        <f>IF(E866="","",VLOOKUP(E866,tipo_cuenta[#ALL],2,0))</f>
        <v/>
      </c>
    </row>
    <row r="867">
      <c r="A867" s="21"/>
      <c r="B867" s="21"/>
      <c r="C867" s="21"/>
      <c r="D867" s="21"/>
      <c r="E867" s="21"/>
      <c r="F867" s="21" t="str">
        <f>IF(E867="","",VLOOKUP(E867,tipo_cuenta[#ALL],2,0))</f>
        <v/>
      </c>
    </row>
    <row r="868">
      <c r="A868" s="21"/>
      <c r="B868" s="21"/>
      <c r="C868" s="21"/>
      <c r="D868" s="21"/>
      <c r="E868" s="21"/>
      <c r="F868" s="21" t="str">
        <f>IF(E868="","",VLOOKUP(E868,tipo_cuenta[#ALL],2,0))</f>
        <v/>
      </c>
    </row>
    <row r="869">
      <c r="A869" s="21"/>
      <c r="B869" s="21"/>
      <c r="C869" s="21"/>
      <c r="D869" s="21"/>
      <c r="E869" s="21"/>
      <c r="F869" s="21" t="str">
        <f>IF(E869="","",VLOOKUP(E869,tipo_cuenta[#ALL],2,0))</f>
        <v/>
      </c>
    </row>
    <row r="870">
      <c r="A870" s="21"/>
      <c r="B870" s="21"/>
      <c r="C870" s="21"/>
      <c r="D870" s="21"/>
      <c r="E870" s="21"/>
      <c r="F870" s="21" t="str">
        <f>IF(E870="","",VLOOKUP(E870,tipo_cuenta[#ALL],2,0))</f>
        <v/>
      </c>
    </row>
    <row r="871">
      <c r="A871" s="21"/>
      <c r="B871" s="21"/>
      <c r="C871" s="21"/>
      <c r="D871" s="21"/>
      <c r="E871" s="21"/>
      <c r="F871" s="21" t="str">
        <f>IF(E871="","",VLOOKUP(E871,tipo_cuenta[#ALL],2,0))</f>
        <v/>
      </c>
    </row>
    <row r="872">
      <c r="A872" s="21"/>
      <c r="B872" s="21"/>
      <c r="C872" s="21"/>
      <c r="D872" s="21"/>
      <c r="E872" s="21"/>
      <c r="F872" s="21" t="str">
        <f>IF(E872="","",VLOOKUP(E872,tipo_cuenta[#ALL],2,0))</f>
        <v/>
      </c>
    </row>
    <row r="873">
      <c r="A873" s="21"/>
      <c r="B873" s="21"/>
      <c r="C873" s="21"/>
      <c r="D873" s="21"/>
      <c r="E873" s="21"/>
      <c r="F873" s="21" t="str">
        <f>IF(E873="","",VLOOKUP(E873,tipo_cuenta[#ALL],2,0))</f>
        <v/>
      </c>
    </row>
    <row r="874">
      <c r="A874" s="21"/>
      <c r="B874" s="21"/>
      <c r="C874" s="21"/>
      <c r="D874" s="21"/>
      <c r="E874" s="21"/>
      <c r="F874" s="21" t="str">
        <f>IF(E874="","",VLOOKUP(E874,tipo_cuenta[#ALL],2,0))</f>
        <v/>
      </c>
    </row>
    <row r="875">
      <c r="A875" s="21"/>
      <c r="B875" s="21"/>
      <c r="C875" s="21"/>
      <c r="D875" s="21"/>
      <c r="E875" s="21"/>
      <c r="F875" s="21" t="str">
        <f>IF(E875="","",VLOOKUP(E875,tipo_cuenta[#ALL],2,0))</f>
        <v/>
      </c>
    </row>
    <row r="876">
      <c r="A876" s="21"/>
      <c r="B876" s="21"/>
      <c r="C876" s="21"/>
      <c r="D876" s="21"/>
      <c r="E876" s="21"/>
      <c r="F876" s="21" t="str">
        <f>IF(E876="","",VLOOKUP(E876,tipo_cuenta[#ALL],2,0))</f>
        <v/>
      </c>
    </row>
    <row r="877">
      <c r="A877" s="21"/>
      <c r="B877" s="21"/>
      <c r="C877" s="21"/>
      <c r="D877" s="21"/>
      <c r="E877" s="21"/>
      <c r="F877" s="21" t="str">
        <f>IF(E877="","",VLOOKUP(E877,tipo_cuenta[#ALL],2,0))</f>
        <v/>
      </c>
    </row>
    <row r="878">
      <c r="A878" s="21"/>
      <c r="B878" s="21"/>
      <c r="C878" s="21"/>
      <c r="D878" s="21"/>
      <c r="E878" s="21"/>
      <c r="F878" s="21" t="str">
        <f>IF(E878="","",VLOOKUP(E878,tipo_cuenta[#ALL],2,0))</f>
        <v/>
      </c>
    </row>
    <row r="879">
      <c r="A879" s="21"/>
      <c r="B879" s="21"/>
      <c r="C879" s="21"/>
      <c r="D879" s="21"/>
      <c r="E879" s="21"/>
      <c r="F879" s="21" t="str">
        <f>IF(E879="","",VLOOKUP(E879,tipo_cuenta[#ALL],2,0))</f>
        <v/>
      </c>
    </row>
    <row r="880">
      <c r="A880" s="21"/>
      <c r="B880" s="21"/>
      <c r="C880" s="21"/>
      <c r="D880" s="21"/>
      <c r="E880" s="21"/>
      <c r="F880" s="21" t="str">
        <f>IF(E880="","",VLOOKUP(E880,tipo_cuenta[#ALL],2,0))</f>
        <v/>
      </c>
    </row>
    <row r="881">
      <c r="A881" s="21"/>
      <c r="B881" s="21"/>
      <c r="C881" s="21"/>
      <c r="D881" s="21"/>
      <c r="E881" s="21"/>
      <c r="F881" s="21" t="str">
        <f>IF(E881="","",VLOOKUP(E881,tipo_cuenta[#ALL],2,0))</f>
        <v/>
      </c>
    </row>
    <row r="882">
      <c r="A882" s="21"/>
      <c r="B882" s="21"/>
      <c r="C882" s="21"/>
      <c r="D882" s="21"/>
      <c r="E882" s="21"/>
      <c r="F882" s="21" t="str">
        <f>IF(E882="","",VLOOKUP(E882,tipo_cuenta[#ALL],2,0))</f>
        <v/>
      </c>
    </row>
    <row r="883">
      <c r="A883" s="21"/>
      <c r="B883" s="21"/>
      <c r="C883" s="21"/>
      <c r="D883" s="21"/>
      <c r="E883" s="21"/>
      <c r="F883" s="21" t="str">
        <f>IF(E883="","",VLOOKUP(E883,tipo_cuenta[#ALL],2,0))</f>
        <v/>
      </c>
    </row>
    <row r="884">
      <c r="A884" s="21"/>
      <c r="B884" s="21"/>
      <c r="C884" s="21"/>
      <c r="D884" s="21"/>
      <c r="E884" s="21"/>
      <c r="F884" s="21" t="str">
        <f>IF(E884="","",VLOOKUP(E884,tipo_cuenta[#ALL],2,0))</f>
        <v/>
      </c>
    </row>
    <row r="885">
      <c r="A885" s="21"/>
      <c r="B885" s="21"/>
      <c r="C885" s="21"/>
      <c r="D885" s="21"/>
      <c r="E885" s="21"/>
      <c r="F885" s="21" t="str">
        <f>IF(E885="","",VLOOKUP(E885,tipo_cuenta[#ALL],2,0))</f>
        <v/>
      </c>
    </row>
    <row r="886">
      <c r="A886" s="21"/>
      <c r="B886" s="21"/>
      <c r="C886" s="21"/>
      <c r="D886" s="21"/>
      <c r="E886" s="21"/>
      <c r="F886" s="21" t="str">
        <f>IF(E886="","",VLOOKUP(E886,tipo_cuenta[#ALL],2,0))</f>
        <v/>
      </c>
    </row>
    <row r="887">
      <c r="A887" s="21"/>
      <c r="B887" s="21"/>
      <c r="C887" s="21"/>
      <c r="D887" s="21"/>
      <c r="E887" s="21"/>
      <c r="F887" s="21" t="str">
        <f>IF(E887="","",VLOOKUP(E887,tipo_cuenta[#ALL],2,0))</f>
        <v/>
      </c>
    </row>
    <row r="888">
      <c r="A888" s="21"/>
      <c r="B888" s="21"/>
      <c r="C888" s="21"/>
      <c r="D888" s="21"/>
      <c r="E888" s="21"/>
      <c r="F888" s="21" t="str">
        <f>IF(E888="","",VLOOKUP(E888,tipo_cuenta[#ALL],2,0))</f>
        <v/>
      </c>
    </row>
    <row r="889">
      <c r="A889" s="21"/>
      <c r="B889" s="21"/>
      <c r="C889" s="21"/>
      <c r="D889" s="21"/>
      <c r="E889" s="21"/>
      <c r="F889" s="21" t="str">
        <f>IF(E889="","",VLOOKUP(E889,tipo_cuenta[#ALL],2,0))</f>
        <v/>
      </c>
    </row>
    <row r="890">
      <c r="A890" s="21"/>
      <c r="B890" s="21"/>
      <c r="C890" s="21"/>
      <c r="D890" s="21"/>
      <c r="E890" s="21"/>
      <c r="F890" s="21" t="str">
        <f>IF(E890="","",VLOOKUP(E890,tipo_cuenta[#ALL],2,0))</f>
        <v/>
      </c>
    </row>
    <row r="891">
      <c r="A891" s="21"/>
      <c r="B891" s="21"/>
      <c r="C891" s="21"/>
      <c r="D891" s="21"/>
      <c r="E891" s="21"/>
      <c r="F891" s="21" t="str">
        <f>IF(E891="","",VLOOKUP(E891,tipo_cuenta[#ALL],2,0))</f>
        <v/>
      </c>
    </row>
    <row r="892">
      <c r="A892" s="21"/>
      <c r="B892" s="21"/>
      <c r="C892" s="21"/>
      <c r="D892" s="21"/>
      <c r="E892" s="21"/>
      <c r="F892" s="21" t="str">
        <f>IF(E892="","",VLOOKUP(E892,tipo_cuenta[#ALL],2,0))</f>
        <v/>
      </c>
    </row>
    <row r="893">
      <c r="A893" s="21"/>
      <c r="B893" s="21"/>
      <c r="C893" s="21"/>
      <c r="D893" s="21"/>
      <c r="E893" s="21"/>
      <c r="F893" s="21" t="str">
        <f>IF(E893="","",VLOOKUP(E893,tipo_cuenta[#ALL],2,0))</f>
        <v/>
      </c>
    </row>
    <row r="894">
      <c r="A894" s="21"/>
      <c r="B894" s="21"/>
      <c r="C894" s="21"/>
      <c r="D894" s="21"/>
      <c r="E894" s="21"/>
      <c r="F894" s="21" t="str">
        <f>IF(E894="","",VLOOKUP(E894,tipo_cuenta[#ALL],2,0))</f>
        <v/>
      </c>
    </row>
    <row r="895">
      <c r="A895" s="21"/>
      <c r="B895" s="21"/>
      <c r="C895" s="21"/>
      <c r="D895" s="21"/>
      <c r="E895" s="21"/>
      <c r="F895" s="21" t="str">
        <f>IF(E895="","",VLOOKUP(E895,tipo_cuenta[#ALL],2,0))</f>
        <v/>
      </c>
    </row>
    <row r="896">
      <c r="A896" s="21"/>
      <c r="B896" s="21"/>
      <c r="C896" s="21"/>
      <c r="D896" s="21"/>
      <c r="E896" s="21"/>
      <c r="F896" s="21" t="str">
        <f>IF(E896="","",VLOOKUP(E896,tipo_cuenta[#ALL],2,0))</f>
        <v/>
      </c>
    </row>
    <row r="897">
      <c r="A897" s="21"/>
      <c r="B897" s="21"/>
      <c r="C897" s="21"/>
      <c r="D897" s="21"/>
      <c r="E897" s="21"/>
      <c r="F897" s="21" t="str">
        <f>IF(E897="","",VLOOKUP(E897,tipo_cuenta[#ALL],2,0))</f>
        <v/>
      </c>
    </row>
    <row r="898">
      <c r="A898" s="21"/>
      <c r="B898" s="21"/>
      <c r="C898" s="21"/>
      <c r="D898" s="21"/>
      <c r="E898" s="21"/>
      <c r="F898" s="21" t="str">
        <f>IF(E898="","",VLOOKUP(E898,tipo_cuenta[#ALL],2,0))</f>
        <v/>
      </c>
    </row>
    <row r="899">
      <c r="A899" s="21"/>
      <c r="B899" s="21"/>
      <c r="C899" s="21"/>
      <c r="D899" s="21"/>
      <c r="E899" s="21"/>
      <c r="F899" s="21" t="str">
        <f>IF(E899="","",VLOOKUP(E899,tipo_cuenta[#ALL],2,0))</f>
        <v/>
      </c>
    </row>
    <row r="900">
      <c r="A900" s="21"/>
      <c r="B900" s="21"/>
      <c r="C900" s="21"/>
      <c r="D900" s="21"/>
      <c r="E900" s="21"/>
      <c r="F900" s="21" t="str">
        <f>IF(E900="","",VLOOKUP(E900,tipo_cuenta[#ALL],2,0))</f>
        <v/>
      </c>
    </row>
    <row r="901">
      <c r="A901" s="21"/>
      <c r="B901" s="21"/>
      <c r="C901" s="21"/>
      <c r="D901" s="21"/>
      <c r="E901" s="21"/>
      <c r="F901" s="21" t="str">
        <f>IF(E901="","",VLOOKUP(E901,tipo_cuenta[#ALL],2,0))</f>
        <v/>
      </c>
    </row>
    <row r="902">
      <c r="A902" s="21"/>
      <c r="B902" s="21"/>
      <c r="C902" s="21"/>
      <c r="D902" s="21"/>
      <c r="E902" s="21"/>
      <c r="F902" s="21" t="str">
        <f>IF(E902="","",VLOOKUP(E902,tipo_cuenta[#ALL],2,0))</f>
        <v/>
      </c>
    </row>
    <row r="903">
      <c r="A903" s="21"/>
      <c r="B903" s="21"/>
      <c r="C903" s="21"/>
      <c r="D903" s="21"/>
      <c r="E903" s="21"/>
      <c r="F903" s="21" t="str">
        <f>IF(E903="","",VLOOKUP(E903,tipo_cuenta[#ALL],2,0))</f>
        <v/>
      </c>
    </row>
    <row r="904">
      <c r="A904" s="21"/>
      <c r="B904" s="21"/>
      <c r="C904" s="21"/>
      <c r="D904" s="21"/>
      <c r="E904" s="21"/>
      <c r="F904" s="21" t="str">
        <f>IF(E904="","",VLOOKUP(E904,tipo_cuenta[#ALL],2,0))</f>
        <v/>
      </c>
    </row>
    <row r="905">
      <c r="A905" s="21"/>
      <c r="B905" s="21"/>
      <c r="C905" s="21"/>
      <c r="D905" s="21"/>
      <c r="E905" s="21"/>
      <c r="F905" s="21" t="str">
        <f>IF(E905="","",VLOOKUP(E905,tipo_cuenta[#ALL],2,0))</f>
        <v/>
      </c>
    </row>
    <row r="906">
      <c r="A906" s="21"/>
      <c r="B906" s="21"/>
      <c r="C906" s="21"/>
      <c r="D906" s="21"/>
      <c r="E906" s="21"/>
      <c r="F906" s="21" t="str">
        <f>IF(E906="","",VLOOKUP(E906,tipo_cuenta[#ALL],2,0))</f>
        <v/>
      </c>
    </row>
    <row r="907">
      <c r="A907" s="21"/>
      <c r="B907" s="21"/>
      <c r="C907" s="21"/>
      <c r="D907" s="21"/>
      <c r="E907" s="21"/>
      <c r="F907" s="21" t="str">
        <f>IF(E907="","",VLOOKUP(E907,tipo_cuenta[#ALL],2,0))</f>
        <v/>
      </c>
    </row>
    <row r="908">
      <c r="A908" s="21"/>
      <c r="B908" s="21"/>
      <c r="C908" s="21"/>
      <c r="D908" s="21"/>
      <c r="E908" s="21"/>
      <c r="F908" s="21" t="str">
        <f>IF(E908="","",VLOOKUP(E908,tipo_cuenta[#ALL],2,0))</f>
        <v/>
      </c>
    </row>
    <row r="909">
      <c r="A909" s="21"/>
      <c r="B909" s="21"/>
      <c r="C909" s="21"/>
      <c r="D909" s="21"/>
      <c r="E909" s="21"/>
      <c r="F909" s="21" t="str">
        <f>IF(E909="","",VLOOKUP(E909,tipo_cuenta[#ALL],2,0))</f>
        <v/>
      </c>
    </row>
    <row r="910">
      <c r="A910" s="21"/>
      <c r="B910" s="21"/>
      <c r="C910" s="21"/>
      <c r="D910" s="21"/>
      <c r="E910" s="21"/>
      <c r="F910" s="21" t="str">
        <f>IF(E910="","",VLOOKUP(E910,tipo_cuenta[#ALL],2,0))</f>
        <v/>
      </c>
    </row>
    <row r="911">
      <c r="A911" s="21"/>
      <c r="B911" s="21"/>
      <c r="C911" s="21"/>
      <c r="D911" s="21"/>
      <c r="E911" s="21"/>
      <c r="F911" s="21" t="str">
        <f>IF(E911="","",VLOOKUP(E911,tipo_cuenta[#ALL],2,0))</f>
        <v/>
      </c>
    </row>
    <row r="912">
      <c r="A912" s="21"/>
      <c r="B912" s="21"/>
      <c r="C912" s="21"/>
      <c r="D912" s="21"/>
      <c r="E912" s="21"/>
      <c r="F912" s="21" t="str">
        <f>IF(E912="","",VLOOKUP(E912,tipo_cuenta[#ALL],2,0))</f>
        <v/>
      </c>
    </row>
    <row r="913">
      <c r="A913" s="21"/>
      <c r="B913" s="21"/>
      <c r="C913" s="21"/>
      <c r="D913" s="21"/>
      <c r="E913" s="21"/>
      <c r="F913" s="21" t="str">
        <f>IF(E913="","",VLOOKUP(E913,tipo_cuenta[#ALL],2,0))</f>
        <v/>
      </c>
    </row>
    <row r="914">
      <c r="A914" s="21"/>
      <c r="B914" s="21"/>
      <c r="C914" s="21"/>
      <c r="D914" s="21"/>
      <c r="E914" s="21"/>
      <c r="F914" s="21" t="str">
        <f>IF(E914="","",VLOOKUP(E914,tipo_cuenta[#ALL],2,0))</f>
        <v/>
      </c>
    </row>
    <row r="915">
      <c r="A915" s="21"/>
      <c r="B915" s="21"/>
      <c r="C915" s="21"/>
      <c r="D915" s="21"/>
      <c r="E915" s="21"/>
      <c r="F915" s="21" t="str">
        <f>IF(E915="","",VLOOKUP(E915,tipo_cuenta[#ALL],2,0))</f>
        <v/>
      </c>
    </row>
    <row r="916">
      <c r="A916" s="21"/>
      <c r="B916" s="21"/>
      <c r="C916" s="21"/>
      <c r="D916" s="21"/>
      <c r="E916" s="21"/>
      <c r="F916" s="21" t="str">
        <f>IF(E916="","",VLOOKUP(E916,tipo_cuenta[#ALL],2,0))</f>
        <v/>
      </c>
    </row>
    <row r="917">
      <c r="A917" s="21"/>
      <c r="B917" s="21"/>
      <c r="C917" s="21"/>
      <c r="D917" s="21"/>
      <c r="E917" s="21"/>
      <c r="F917" s="21" t="str">
        <f>IF(E917="","",VLOOKUP(E917,tipo_cuenta[#ALL],2,0))</f>
        <v/>
      </c>
    </row>
    <row r="918">
      <c r="A918" s="21"/>
      <c r="B918" s="21"/>
      <c r="C918" s="21"/>
      <c r="D918" s="21"/>
      <c r="E918" s="21"/>
      <c r="F918" s="21" t="str">
        <f>IF(E918="","",VLOOKUP(E918,tipo_cuenta[#ALL],2,0))</f>
        <v/>
      </c>
    </row>
    <row r="919">
      <c r="A919" s="21"/>
      <c r="B919" s="21"/>
      <c r="C919" s="21"/>
      <c r="D919" s="21"/>
      <c r="E919" s="21"/>
      <c r="F919" s="21" t="str">
        <f>IF(E919="","",VLOOKUP(E919,tipo_cuenta[#ALL],2,0))</f>
        <v/>
      </c>
    </row>
    <row r="920">
      <c r="A920" s="21"/>
      <c r="B920" s="21"/>
      <c r="C920" s="21"/>
      <c r="D920" s="21"/>
      <c r="E920" s="21"/>
      <c r="F920" s="21" t="str">
        <f>IF(E920="","",VLOOKUP(E920,tipo_cuenta[#ALL],2,0))</f>
        <v/>
      </c>
    </row>
    <row r="921">
      <c r="A921" s="21"/>
      <c r="B921" s="21"/>
      <c r="C921" s="21"/>
      <c r="D921" s="21"/>
      <c r="E921" s="21"/>
      <c r="F921" s="21" t="str">
        <f>IF(E921="","",VLOOKUP(E921,tipo_cuenta[#ALL],2,0))</f>
        <v/>
      </c>
    </row>
    <row r="922">
      <c r="A922" s="21"/>
      <c r="B922" s="21"/>
      <c r="C922" s="21"/>
      <c r="D922" s="21"/>
      <c r="E922" s="21"/>
      <c r="F922" s="21" t="str">
        <f>IF(E922="","",VLOOKUP(E922,tipo_cuenta[#ALL],2,0))</f>
        <v/>
      </c>
    </row>
    <row r="923">
      <c r="A923" s="21"/>
      <c r="B923" s="21"/>
      <c r="C923" s="21"/>
      <c r="D923" s="21"/>
      <c r="E923" s="21"/>
      <c r="F923" s="21" t="str">
        <f>IF(E923="","",VLOOKUP(E923,tipo_cuenta[#ALL],2,0))</f>
        <v/>
      </c>
    </row>
    <row r="924">
      <c r="A924" s="21"/>
      <c r="B924" s="21"/>
      <c r="C924" s="21"/>
      <c r="D924" s="21"/>
      <c r="E924" s="21"/>
      <c r="F924" s="21" t="str">
        <f>IF(E924="","",VLOOKUP(E924,tipo_cuenta[#ALL],2,0))</f>
        <v/>
      </c>
    </row>
    <row r="925">
      <c r="A925" s="21"/>
      <c r="B925" s="21"/>
      <c r="C925" s="21"/>
      <c r="D925" s="21"/>
      <c r="E925" s="21"/>
      <c r="F925" s="21" t="str">
        <f>IF(E925="","",VLOOKUP(E925,tipo_cuenta[#ALL],2,0))</f>
        <v/>
      </c>
    </row>
    <row r="926">
      <c r="A926" s="21"/>
      <c r="B926" s="21"/>
      <c r="C926" s="21"/>
      <c r="D926" s="21"/>
      <c r="E926" s="21"/>
      <c r="F926" s="21" t="str">
        <f>IF(E926="","",VLOOKUP(E926,tipo_cuenta[#ALL],2,0))</f>
        <v/>
      </c>
    </row>
    <row r="927">
      <c r="A927" s="21"/>
      <c r="B927" s="21"/>
      <c r="C927" s="21"/>
      <c r="D927" s="21"/>
      <c r="E927" s="21"/>
      <c r="F927" s="21" t="str">
        <f>IF(E927="","",VLOOKUP(E927,tipo_cuenta[#ALL],2,0))</f>
        <v/>
      </c>
    </row>
    <row r="928">
      <c r="A928" s="21"/>
      <c r="B928" s="21"/>
      <c r="C928" s="21"/>
      <c r="D928" s="21"/>
      <c r="E928" s="21"/>
      <c r="F928" s="21" t="str">
        <f>IF(E928="","",VLOOKUP(E928,tipo_cuenta[#ALL],2,0))</f>
        <v/>
      </c>
    </row>
    <row r="929">
      <c r="A929" s="21"/>
      <c r="B929" s="21"/>
      <c r="C929" s="21"/>
      <c r="D929" s="21"/>
      <c r="E929" s="21"/>
      <c r="F929" s="21" t="str">
        <f>IF(E929="","",VLOOKUP(E929,tipo_cuenta[#ALL],2,0))</f>
        <v/>
      </c>
    </row>
    <row r="930">
      <c r="A930" s="21"/>
      <c r="B930" s="21"/>
      <c r="C930" s="21"/>
      <c r="D930" s="21"/>
      <c r="E930" s="21"/>
      <c r="F930" s="21" t="str">
        <f>IF(E930="","",VLOOKUP(E930,tipo_cuenta[#ALL],2,0))</f>
        <v/>
      </c>
    </row>
    <row r="931">
      <c r="A931" s="21"/>
      <c r="B931" s="21"/>
      <c r="C931" s="21"/>
      <c r="D931" s="21"/>
      <c r="E931" s="21"/>
      <c r="F931" s="21" t="str">
        <f>IF(E931="","",VLOOKUP(E931,tipo_cuenta[#ALL],2,0))</f>
        <v/>
      </c>
    </row>
    <row r="932">
      <c r="A932" s="21"/>
      <c r="B932" s="21"/>
      <c r="C932" s="21"/>
      <c r="D932" s="21"/>
      <c r="E932" s="21"/>
      <c r="F932" s="21" t="str">
        <f>IF(E932="","",VLOOKUP(E932,tipo_cuenta[#ALL],2,0))</f>
        <v/>
      </c>
    </row>
    <row r="933">
      <c r="A933" s="21"/>
      <c r="B933" s="21"/>
      <c r="C933" s="21"/>
      <c r="D933" s="21"/>
      <c r="E933" s="21"/>
      <c r="F933" s="21" t="str">
        <f>IF(E933="","",VLOOKUP(E933,tipo_cuenta[#ALL],2,0))</f>
        <v/>
      </c>
    </row>
    <row r="934">
      <c r="A934" s="21"/>
      <c r="B934" s="21"/>
      <c r="C934" s="21"/>
      <c r="D934" s="21"/>
      <c r="E934" s="21"/>
      <c r="F934" s="21" t="str">
        <f>IF(E934="","",VLOOKUP(E934,tipo_cuenta[#ALL],2,0))</f>
        <v/>
      </c>
    </row>
    <row r="935">
      <c r="A935" s="21"/>
      <c r="B935" s="21"/>
      <c r="C935" s="21"/>
      <c r="D935" s="21"/>
      <c r="E935" s="21"/>
      <c r="F935" s="21" t="str">
        <f>IF(E935="","",VLOOKUP(E935,tipo_cuenta[#ALL],2,0))</f>
        <v/>
      </c>
    </row>
    <row r="936">
      <c r="A936" s="21"/>
      <c r="B936" s="21"/>
      <c r="C936" s="21"/>
      <c r="D936" s="21"/>
      <c r="E936" s="21"/>
      <c r="F936" s="21" t="str">
        <f>IF(E936="","",VLOOKUP(E936,tipo_cuenta[#ALL],2,0))</f>
        <v/>
      </c>
    </row>
    <row r="937">
      <c r="A937" s="21"/>
      <c r="B937" s="21"/>
      <c r="C937" s="21"/>
      <c r="D937" s="21"/>
      <c r="E937" s="21"/>
      <c r="F937" s="21" t="str">
        <f>IF(E937="","",VLOOKUP(E937,tipo_cuenta[#ALL],2,0))</f>
        <v/>
      </c>
    </row>
    <row r="938">
      <c r="A938" s="21"/>
      <c r="B938" s="21"/>
      <c r="C938" s="21"/>
      <c r="D938" s="21"/>
      <c r="E938" s="21"/>
      <c r="F938" s="21" t="str">
        <f>IF(E938="","",VLOOKUP(E938,tipo_cuenta[#ALL],2,0))</f>
        <v/>
      </c>
    </row>
    <row r="939">
      <c r="A939" s="21"/>
      <c r="B939" s="21"/>
      <c r="C939" s="21"/>
      <c r="D939" s="21"/>
      <c r="E939" s="21"/>
      <c r="F939" s="21" t="str">
        <f>IF(E939="","",VLOOKUP(E939,tipo_cuenta[#ALL],2,0))</f>
        <v/>
      </c>
    </row>
    <row r="940">
      <c r="A940" s="21"/>
      <c r="B940" s="21"/>
      <c r="C940" s="21"/>
      <c r="D940" s="21"/>
      <c r="E940" s="21"/>
      <c r="F940" s="21" t="str">
        <f>IF(E940="","",VLOOKUP(E940,tipo_cuenta[#ALL],2,0))</f>
        <v/>
      </c>
    </row>
    <row r="941">
      <c r="A941" s="21"/>
      <c r="B941" s="21"/>
      <c r="C941" s="21"/>
      <c r="D941" s="21"/>
      <c r="E941" s="21"/>
      <c r="F941" s="21" t="str">
        <f>IF(E941="","",VLOOKUP(E941,tipo_cuenta[#ALL],2,0))</f>
        <v/>
      </c>
    </row>
    <row r="942">
      <c r="A942" s="21"/>
      <c r="B942" s="21"/>
      <c r="C942" s="21"/>
      <c r="D942" s="21"/>
      <c r="E942" s="21"/>
      <c r="F942" s="21" t="str">
        <f>IF(E942="","",VLOOKUP(E942,tipo_cuenta[#ALL],2,0))</f>
        <v/>
      </c>
    </row>
    <row r="943">
      <c r="A943" s="21"/>
      <c r="B943" s="21"/>
      <c r="C943" s="21"/>
      <c r="D943" s="21"/>
      <c r="E943" s="21"/>
      <c r="F943" s="21" t="str">
        <f>IF(E943="","",VLOOKUP(E943,tipo_cuenta[#ALL],2,0))</f>
        <v/>
      </c>
    </row>
    <row r="944">
      <c r="A944" s="21"/>
      <c r="B944" s="21"/>
      <c r="C944" s="21"/>
      <c r="D944" s="21"/>
      <c r="E944" s="21"/>
      <c r="F944" s="21" t="str">
        <f>IF(E944="","",VLOOKUP(E944,tipo_cuenta[#ALL],2,0))</f>
        <v/>
      </c>
    </row>
    <row r="945">
      <c r="A945" s="21"/>
      <c r="B945" s="21"/>
      <c r="C945" s="21"/>
      <c r="D945" s="21"/>
      <c r="E945" s="21"/>
      <c r="F945" s="21" t="str">
        <f>IF(E945="","",VLOOKUP(E945,tipo_cuenta[#ALL],2,0))</f>
        <v/>
      </c>
    </row>
    <row r="946">
      <c r="A946" s="21"/>
      <c r="B946" s="21"/>
      <c r="C946" s="21"/>
      <c r="D946" s="21"/>
      <c r="E946" s="21"/>
      <c r="F946" s="21" t="str">
        <f>IF(E946="","",VLOOKUP(E946,tipo_cuenta[#ALL],2,0))</f>
        <v/>
      </c>
    </row>
    <row r="947">
      <c r="A947" s="21"/>
      <c r="B947" s="21"/>
      <c r="C947" s="21"/>
      <c r="D947" s="21"/>
      <c r="E947" s="21"/>
      <c r="F947" s="21" t="str">
        <f>IF(E947="","",VLOOKUP(E947,tipo_cuenta[#ALL],2,0))</f>
        <v/>
      </c>
    </row>
    <row r="948">
      <c r="A948" s="21"/>
      <c r="B948" s="21"/>
      <c r="C948" s="21"/>
      <c r="D948" s="21"/>
      <c r="E948" s="21"/>
      <c r="F948" s="21" t="str">
        <f>IF(E948="","",VLOOKUP(E948,tipo_cuenta[#ALL],2,0))</f>
        <v/>
      </c>
    </row>
    <row r="949">
      <c r="A949" s="21"/>
      <c r="B949" s="21"/>
      <c r="C949" s="21"/>
      <c r="D949" s="21"/>
      <c r="E949" s="21"/>
      <c r="F949" s="21" t="str">
        <f>IF(E949="","",VLOOKUP(E949,tipo_cuenta[#ALL],2,0))</f>
        <v/>
      </c>
    </row>
    <row r="950">
      <c r="A950" s="21"/>
      <c r="B950" s="21"/>
      <c r="C950" s="21"/>
      <c r="D950" s="21"/>
      <c r="E950" s="21"/>
      <c r="F950" s="21" t="str">
        <f>IF(E950="","",VLOOKUP(E950,tipo_cuenta[#ALL],2,0))</f>
        <v/>
      </c>
    </row>
    <row r="951">
      <c r="A951" s="21"/>
      <c r="B951" s="21"/>
      <c r="C951" s="21"/>
      <c r="D951" s="21"/>
      <c r="E951" s="21"/>
      <c r="F951" s="21" t="str">
        <f>IF(E951="","",VLOOKUP(E951,tipo_cuenta[#ALL],2,0))</f>
        <v/>
      </c>
    </row>
    <row r="952">
      <c r="A952" s="21"/>
      <c r="B952" s="21"/>
      <c r="C952" s="21"/>
      <c r="D952" s="21"/>
      <c r="E952" s="21"/>
      <c r="F952" s="21" t="str">
        <f>IF(E952="","",VLOOKUP(E952,tipo_cuenta[#ALL],2,0))</f>
        <v/>
      </c>
    </row>
    <row r="953">
      <c r="A953" s="21"/>
      <c r="B953" s="21"/>
      <c r="C953" s="21"/>
      <c r="D953" s="21"/>
      <c r="E953" s="21"/>
      <c r="F953" s="21" t="str">
        <f>IF(E953="","",VLOOKUP(E953,tipo_cuenta[#ALL],2,0))</f>
        <v/>
      </c>
    </row>
    <row r="954">
      <c r="A954" s="21"/>
      <c r="B954" s="21"/>
      <c r="C954" s="21"/>
      <c r="D954" s="21"/>
      <c r="E954" s="21"/>
      <c r="F954" s="21" t="str">
        <f>IF(E954="","",VLOOKUP(E954,tipo_cuenta[#ALL],2,0))</f>
        <v/>
      </c>
    </row>
    <row r="955">
      <c r="A955" s="21"/>
      <c r="B955" s="21"/>
      <c r="C955" s="21"/>
      <c r="D955" s="21"/>
      <c r="E955" s="21"/>
      <c r="F955" s="21" t="str">
        <f>IF(E955="","",VLOOKUP(E955,tipo_cuenta[#ALL],2,0))</f>
        <v/>
      </c>
    </row>
    <row r="956">
      <c r="A956" s="21"/>
      <c r="B956" s="21"/>
      <c r="C956" s="21"/>
      <c r="D956" s="21"/>
      <c r="E956" s="21"/>
      <c r="F956" s="21" t="str">
        <f>IF(E956="","",VLOOKUP(E956,tipo_cuenta[#ALL],2,0))</f>
        <v/>
      </c>
    </row>
    <row r="957">
      <c r="A957" s="21"/>
      <c r="B957" s="21"/>
      <c r="C957" s="21"/>
      <c r="D957" s="21"/>
      <c r="E957" s="21"/>
      <c r="F957" s="21" t="str">
        <f>IF(E957="","",VLOOKUP(E957,tipo_cuenta[#ALL],2,0))</f>
        <v/>
      </c>
    </row>
    <row r="958">
      <c r="A958" s="21"/>
      <c r="B958" s="21"/>
      <c r="C958" s="21"/>
      <c r="D958" s="21"/>
      <c r="E958" s="21"/>
      <c r="F958" s="21" t="str">
        <f>IF(E958="","",VLOOKUP(E958,tipo_cuenta[#ALL],2,0))</f>
        <v/>
      </c>
    </row>
    <row r="959">
      <c r="A959" s="21"/>
      <c r="B959" s="21"/>
      <c r="C959" s="21"/>
      <c r="D959" s="21"/>
      <c r="E959" s="21"/>
      <c r="F959" s="21" t="str">
        <f>IF(E959="","",VLOOKUP(E959,tipo_cuenta[#ALL],2,0))</f>
        <v/>
      </c>
    </row>
    <row r="960">
      <c r="A960" s="21"/>
      <c r="B960" s="21"/>
      <c r="C960" s="21"/>
      <c r="D960" s="21"/>
      <c r="E960" s="21"/>
      <c r="F960" s="21" t="str">
        <f>IF(E960="","",VLOOKUP(E960,tipo_cuenta[#ALL],2,0))</f>
        <v/>
      </c>
    </row>
    <row r="961">
      <c r="A961" s="21"/>
      <c r="B961" s="21"/>
      <c r="C961" s="21"/>
      <c r="D961" s="21"/>
      <c r="E961" s="21"/>
      <c r="F961" s="21" t="str">
        <f>IF(E961="","",VLOOKUP(E961,tipo_cuenta[#ALL],2,0))</f>
        <v/>
      </c>
    </row>
    <row r="962">
      <c r="A962" s="21"/>
      <c r="B962" s="21"/>
      <c r="C962" s="21"/>
      <c r="D962" s="21"/>
      <c r="E962" s="21"/>
      <c r="F962" s="21" t="str">
        <f>IF(E962="","",VLOOKUP(E962,tipo_cuenta[#ALL],2,0))</f>
        <v/>
      </c>
    </row>
    <row r="963">
      <c r="A963" s="21"/>
      <c r="B963" s="21"/>
      <c r="C963" s="21"/>
      <c r="D963" s="21"/>
      <c r="E963" s="21"/>
      <c r="F963" s="21" t="str">
        <f>IF(E963="","",VLOOKUP(E963,tipo_cuenta[#ALL],2,0))</f>
        <v/>
      </c>
    </row>
    <row r="964">
      <c r="A964" s="21"/>
      <c r="B964" s="21"/>
      <c r="C964" s="21"/>
      <c r="D964" s="21"/>
      <c r="E964" s="21"/>
      <c r="F964" s="21" t="str">
        <f>IF(E964="","",VLOOKUP(E964,tipo_cuenta[#ALL],2,0))</f>
        <v/>
      </c>
    </row>
    <row r="965">
      <c r="A965" s="21"/>
      <c r="B965" s="21"/>
      <c r="C965" s="21"/>
      <c r="D965" s="21"/>
      <c r="E965" s="21"/>
      <c r="F965" s="21" t="str">
        <f>IF(E965="","",VLOOKUP(E965,tipo_cuenta[#ALL],2,0))</f>
        <v/>
      </c>
    </row>
    <row r="966">
      <c r="A966" s="21"/>
      <c r="B966" s="21"/>
      <c r="C966" s="21"/>
      <c r="D966" s="21"/>
      <c r="E966" s="21"/>
      <c r="F966" s="21" t="str">
        <f>IF(E966="","",VLOOKUP(E966,tipo_cuenta[#ALL],2,0))</f>
        <v/>
      </c>
    </row>
    <row r="967">
      <c r="A967" s="21"/>
      <c r="B967" s="21"/>
      <c r="C967" s="21"/>
      <c r="D967" s="21"/>
      <c r="E967" s="21"/>
      <c r="F967" s="21" t="str">
        <f>IF(E967="","",VLOOKUP(E967,tipo_cuenta[#ALL],2,0))</f>
        <v/>
      </c>
    </row>
    <row r="968">
      <c r="A968" s="21"/>
      <c r="B968" s="21"/>
      <c r="C968" s="21"/>
      <c r="D968" s="21"/>
      <c r="E968" s="21"/>
      <c r="F968" s="21" t="str">
        <f>IF(E968="","",VLOOKUP(E968,tipo_cuenta[#ALL],2,0))</f>
        <v/>
      </c>
    </row>
    <row r="969">
      <c r="A969" s="21"/>
      <c r="B969" s="21"/>
      <c r="C969" s="21"/>
      <c r="D969" s="21"/>
      <c r="E969" s="21"/>
      <c r="F969" s="21" t="str">
        <f>IF(E969="","",VLOOKUP(E969,tipo_cuenta[#ALL],2,0))</f>
        <v/>
      </c>
    </row>
    <row r="970">
      <c r="A970" s="21"/>
      <c r="B970" s="21"/>
      <c r="C970" s="21"/>
      <c r="D970" s="21"/>
      <c r="E970" s="21"/>
      <c r="F970" s="21" t="str">
        <f>IF(E970="","",VLOOKUP(E970,tipo_cuenta[#ALL],2,0))</f>
        <v/>
      </c>
    </row>
    <row r="971">
      <c r="A971" s="21"/>
      <c r="B971" s="21"/>
      <c r="C971" s="21"/>
      <c r="D971" s="21"/>
      <c r="E971" s="21"/>
      <c r="F971" s="21" t="str">
        <f>IF(E971="","",VLOOKUP(E971,tipo_cuenta[#ALL],2,0))</f>
        <v/>
      </c>
    </row>
    <row r="972">
      <c r="A972" s="21"/>
      <c r="B972" s="21"/>
      <c r="C972" s="21"/>
      <c r="D972" s="21"/>
      <c r="E972" s="21"/>
      <c r="F972" s="21" t="str">
        <f>IF(E972="","",VLOOKUP(E972,tipo_cuenta[#ALL],2,0))</f>
        <v/>
      </c>
    </row>
    <row r="973">
      <c r="A973" s="21"/>
      <c r="B973" s="21"/>
      <c r="C973" s="21"/>
      <c r="D973" s="21"/>
      <c r="E973" s="21"/>
      <c r="F973" s="21" t="str">
        <f>IF(E973="","",VLOOKUP(E973,tipo_cuenta[#ALL],2,0))</f>
        <v/>
      </c>
    </row>
    <row r="974">
      <c r="A974" s="21"/>
      <c r="B974" s="21"/>
      <c r="C974" s="21"/>
      <c r="D974" s="21"/>
      <c r="E974" s="21"/>
      <c r="F974" s="21" t="str">
        <f>IF(E974="","",VLOOKUP(E974,tipo_cuenta[#ALL],2,0))</f>
        <v/>
      </c>
    </row>
    <row r="975">
      <c r="A975" s="21"/>
      <c r="B975" s="21"/>
      <c r="C975" s="21"/>
      <c r="D975" s="21"/>
      <c r="E975" s="21"/>
      <c r="F975" s="21" t="str">
        <f>IF(E975="","",VLOOKUP(E975,tipo_cuenta[#ALL],2,0))</f>
        <v/>
      </c>
    </row>
    <row r="976">
      <c r="A976" s="21"/>
      <c r="B976" s="21"/>
      <c r="C976" s="21"/>
      <c r="D976" s="21"/>
      <c r="E976" s="21"/>
      <c r="F976" s="21" t="str">
        <f>IF(E976="","",VLOOKUP(E976,tipo_cuenta[#ALL],2,0))</f>
        <v/>
      </c>
    </row>
    <row r="977">
      <c r="A977" s="21"/>
      <c r="B977" s="21"/>
      <c r="C977" s="21"/>
      <c r="D977" s="21"/>
      <c r="E977" s="21"/>
      <c r="F977" s="21" t="str">
        <f>IF(E977="","",VLOOKUP(E977,tipo_cuenta[#ALL],2,0))</f>
        <v/>
      </c>
    </row>
    <row r="978">
      <c r="A978" s="21"/>
      <c r="B978" s="21"/>
      <c r="C978" s="21"/>
      <c r="D978" s="21"/>
      <c r="E978" s="21"/>
      <c r="F978" s="21" t="str">
        <f>IF(E978="","",VLOOKUP(E978,tipo_cuenta[#ALL],2,0))</f>
        <v/>
      </c>
    </row>
    <row r="979">
      <c r="A979" s="21"/>
      <c r="B979" s="21"/>
      <c r="C979" s="21"/>
      <c r="D979" s="21"/>
      <c r="E979" s="21"/>
      <c r="F979" s="21" t="str">
        <f>IF(E979="","",VLOOKUP(E979,tipo_cuenta[#ALL],2,0))</f>
        <v/>
      </c>
    </row>
    <row r="980">
      <c r="A980" s="21"/>
      <c r="B980" s="21"/>
      <c r="C980" s="21"/>
      <c r="D980" s="21"/>
      <c r="E980" s="21"/>
      <c r="F980" s="21" t="str">
        <f>IF(E980="","",VLOOKUP(E980,tipo_cuenta[#ALL],2,0))</f>
        <v/>
      </c>
    </row>
    <row r="981">
      <c r="A981" s="21"/>
      <c r="B981" s="21"/>
      <c r="C981" s="21"/>
      <c r="D981" s="21"/>
      <c r="E981" s="21"/>
      <c r="F981" s="21" t="str">
        <f>IF(E981="","",VLOOKUP(E981,tipo_cuenta[#ALL],2,0))</f>
        <v/>
      </c>
    </row>
    <row r="982">
      <c r="A982" s="21"/>
      <c r="B982" s="21"/>
      <c r="C982" s="21"/>
      <c r="D982" s="21"/>
      <c r="E982" s="21"/>
      <c r="F982" s="21" t="str">
        <f>IF(E982="","",VLOOKUP(E982,tipo_cuenta[#ALL],2,0))</f>
        <v/>
      </c>
    </row>
    <row r="983">
      <c r="A983" s="21"/>
      <c r="B983" s="21"/>
      <c r="C983" s="21"/>
      <c r="D983" s="21"/>
      <c r="E983" s="21"/>
      <c r="F983" s="21" t="str">
        <f>IF(E983="","",VLOOKUP(E983,tipo_cuenta[#ALL],2,0))</f>
        <v/>
      </c>
    </row>
    <row r="984">
      <c r="A984" s="21"/>
      <c r="B984" s="21"/>
      <c r="C984" s="21"/>
      <c r="D984" s="21"/>
      <c r="E984" s="21"/>
      <c r="F984" s="21" t="str">
        <f>IF(E984="","",VLOOKUP(E984,tipo_cuenta[#ALL],2,0))</f>
        <v/>
      </c>
    </row>
    <row r="985">
      <c r="A985" s="21"/>
      <c r="B985" s="21"/>
      <c r="C985" s="21"/>
      <c r="D985" s="21"/>
      <c r="E985" s="21"/>
      <c r="F985" s="21" t="str">
        <f>IF(E985="","",VLOOKUP(E985,tipo_cuenta[#ALL],2,0))</f>
        <v/>
      </c>
    </row>
    <row r="986">
      <c r="A986" s="21"/>
      <c r="B986" s="21"/>
      <c r="C986" s="21"/>
      <c r="D986" s="21"/>
      <c r="E986" s="21"/>
      <c r="F986" s="21" t="str">
        <f>IF(E986="","",VLOOKUP(E986,tipo_cuenta[#ALL],2,0))</f>
        <v/>
      </c>
    </row>
    <row r="987">
      <c r="A987" s="21"/>
      <c r="B987" s="21"/>
      <c r="C987" s="21"/>
      <c r="D987" s="21"/>
      <c r="E987" s="21"/>
      <c r="F987" s="21" t="str">
        <f>IF(E987="","",VLOOKUP(E987,tipo_cuenta[#ALL],2,0))</f>
        <v/>
      </c>
    </row>
    <row r="988">
      <c r="A988" s="21"/>
      <c r="B988" s="21"/>
      <c r="C988" s="21"/>
      <c r="D988" s="21"/>
      <c r="E988" s="21"/>
      <c r="F988" s="21" t="str">
        <f>IF(E988="","",VLOOKUP(E988,tipo_cuenta[#ALL],2,0))</f>
        <v/>
      </c>
    </row>
    <row r="989">
      <c r="A989" s="21"/>
      <c r="B989" s="21"/>
      <c r="C989" s="21"/>
      <c r="D989" s="21"/>
      <c r="E989" s="21"/>
      <c r="F989" s="21" t="str">
        <f>IF(E989="","",VLOOKUP(E989,tipo_cuenta[#ALL],2,0))</f>
        <v/>
      </c>
    </row>
    <row r="990">
      <c r="A990" s="21"/>
      <c r="B990" s="21"/>
      <c r="C990" s="21"/>
      <c r="D990" s="21"/>
      <c r="E990" s="21"/>
      <c r="F990" s="21" t="str">
        <f>IF(E990="","",VLOOKUP(E990,tipo_cuenta[#ALL],2,0))</f>
        <v/>
      </c>
    </row>
    <row r="991">
      <c r="A991" s="21"/>
      <c r="B991" s="21"/>
      <c r="C991" s="21"/>
      <c r="D991" s="21"/>
      <c r="E991" s="21"/>
      <c r="F991" s="21" t="str">
        <f>IF(E991="","",VLOOKUP(E991,tipo_cuenta[#ALL],2,0))</f>
        <v/>
      </c>
    </row>
    <row r="992">
      <c r="A992" s="21"/>
      <c r="B992" s="21"/>
      <c r="C992" s="21"/>
      <c r="D992" s="21"/>
      <c r="E992" s="21"/>
      <c r="F992" s="21" t="str">
        <f>IF(E992="","",VLOOKUP(E992,tipo_cuenta[#ALL],2,0))</f>
        <v/>
      </c>
    </row>
    <row r="993">
      <c r="A993" s="21"/>
      <c r="B993" s="21"/>
      <c r="C993" s="21"/>
      <c r="D993" s="21"/>
      <c r="E993" s="21"/>
      <c r="F993" s="21" t="str">
        <f>IF(E993="","",VLOOKUP(E993,tipo_cuenta[#ALL],2,0))</f>
        <v/>
      </c>
    </row>
    <row r="994">
      <c r="A994" s="21"/>
      <c r="B994" s="21"/>
      <c r="C994" s="21"/>
      <c r="D994" s="21"/>
      <c r="E994" s="21"/>
      <c r="F994" s="21" t="str">
        <f>IF(E994="","",VLOOKUP(E994,tipo_cuenta[#ALL],2,0))</f>
        <v/>
      </c>
    </row>
    <row r="995">
      <c r="A995" s="21"/>
      <c r="B995" s="21"/>
      <c r="C995" s="21"/>
      <c r="D995" s="21"/>
      <c r="E995" s="21"/>
      <c r="F995" s="21" t="str">
        <f>IF(E995="","",VLOOKUP(E995,tipo_cuenta[#ALL],2,0))</f>
        <v/>
      </c>
    </row>
    <row r="996">
      <c r="A996" s="21"/>
      <c r="B996" s="21"/>
      <c r="C996" s="21"/>
      <c r="D996" s="21"/>
      <c r="E996" s="21"/>
      <c r="F996" s="21" t="str">
        <f>IF(E996="","",VLOOKUP(E996,tipo_cuenta[#ALL],2,0))</f>
        <v/>
      </c>
    </row>
    <row r="997">
      <c r="A997" s="21"/>
      <c r="B997" s="21"/>
      <c r="C997" s="21"/>
      <c r="D997" s="21"/>
      <c r="E997" s="21"/>
      <c r="F997" s="21" t="str">
        <f>IF(E997="","",VLOOKUP(E997,tipo_cuenta[#ALL],2,0))</f>
        <v/>
      </c>
    </row>
    <row r="998">
      <c r="A998" s="21"/>
      <c r="B998" s="21"/>
      <c r="C998" s="21"/>
      <c r="D998" s="21"/>
      <c r="E998" s="21"/>
      <c r="F998" s="21" t="str">
        <f>IF(E998="","",VLOOKUP(E998,tipo_cuenta[#ALL],2,0))</f>
        <v/>
      </c>
    </row>
    <row r="999">
      <c r="A999" s="21"/>
      <c r="B999" s="21"/>
      <c r="C999" s="21"/>
      <c r="D999" s="21"/>
      <c r="E999" s="21"/>
      <c r="F999" s="21" t="str">
        <f>IF(E999="","",VLOOKUP(E999,tipo_cuenta[#ALL],2,0))</f>
        <v/>
      </c>
    </row>
    <row r="1000">
      <c r="A1000" s="21"/>
      <c r="B1000" s="21"/>
      <c r="C1000" s="21"/>
      <c r="D1000" s="21"/>
      <c r="E1000" s="21"/>
      <c r="F1000" s="21" t="str">
        <f>IF(E1000="","",VLOOKUP(E1000,tipo_cuenta[#ALL],2,0))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tr">
        <f>IFERROR(__xludf.DUMMYFUNCTION("IMPORTRANGE(""1EmUqVBUcr7NLL1JTZAbAisj-MrqKi3tXobQyMMKEV4Q"",""Detalle Proveedor!A:F"")"),"id_detalle_p")</f>
        <v>id_detalle_p</v>
      </c>
      <c r="B1" s="21" t="str">
        <f>IFERROR(__xludf.DUMMYFUNCTION("""COMPUTED_VALUE"""),"id_org")</f>
        <v>id_org</v>
      </c>
      <c r="C1" s="21" t="str">
        <f>IFERROR(__xludf.DUMMYFUNCTION("""COMPUTED_VALUE"""),"id_categoria")</f>
        <v>id_categoria</v>
      </c>
      <c r="D1" s="21" t="str">
        <f>IFERROR(__xludf.DUMMYFUNCTION("""COMPUTED_VALUE"""),"ciudad")</f>
        <v>ciudad</v>
      </c>
      <c r="E1" s="21" t="str">
        <f>IFERROR(__xludf.DUMMYFUNCTION("""COMPUTED_VALUE"""),"cod_prov")</f>
        <v>cod_prov</v>
      </c>
      <c r="F1" s="21" t="str">
        <f>IFERROR(__xludf.DUMMYFUNCTION("""COMPUTED_VALUE"""),"provincia")</f>
        <v>provincia</v>
      </c>
      <c r="G1" s="22" t="s">
        <v>734</v>
      </c>
    </row>
    <row r="2">
      <c r="A2" s="21" t="str">
        <f>IFERROR(__xludf.DUMMYFUNCTION("""COMPUTED_VALUE"""),"1")</f>
        <v>1</v>
      </c>
      <c r="B2" s="21" t="str">
        <f>IFERROR(__xludf.DUMMYFUNCTION("""COMPUTED_VALUE"""),"1")</f>
        <v>1</v>
      </c>
      <c r="C2" s="21" t="str">
        <f>IFERROR(__xludf.DUMMYFUNCTION("""COMPUTED_VALUE"""),"1")</f>
        <v>1</v>
      </c>
      <c r="D2" s="21" t="str">
        <f>IFERROR(__xludf.DUMMYFUNCTION("""COMPUTED_VALUE"""),"Buenos Aires")</f>
        <v>Buenos Aires</v>
      </c>
      <c r="E2" s="21" t="str">
        <f>IFERROR(__xludf.DUMMYFUNCTION("""COMPUTED_VALUE"""),"AR-B")</f>
        <v>AR-B</v>
      </c>
      <c r="F2" s="21" t="str">
        <f>IFERROR(__xludf.DUMMYFUNCTION("""COMPUTED_VALUE"""),"Buenos Aires")</f>
        <v>Buenos Aires</v>
      </c>
      <c r="G2" s="21" t="str">
        <f>IF(C2="","",VLOOKUP(C2,categoria_proveedor[#ALL],2,0))</f>
        <v>Servicios</v>
      </c>
    </row>
    <row r="3">
      <c r="A3" s="21" t="str">
        <f>IFERROR(__xludf.DUMMYFUNCTION("""COMPUTED_VALUE"""),"2")</f>
        <v>2</v>
      </c>
      <c r="B3" s="21" t="str">
        <f>IFERROR(__xludf.DUMMYFUNCTION("""COMPUTED_VALUE"""),"2")</f>
        <v>2</v>
      </c>
      <c r="C3" s="21" t="str">
        <f>IFERROR(__xludf.DUMMYFUNCTION("""COMPUTED_VALUE"""),"1")</f>
        <v>1</v>
      </c>
      <c r="D3" s="21" t="str">
        <f>IFERROR(__xludf.DUMMYFUNCTION("""COMPUTED_VALUE"""),"Cordoba")</f>
        <v>Cordoba</v>
      </c>
      <c r="E3" s="21" t="str">
        <f>IFERROR(__xludf.DUMMYFUNCTION("""COMPUTED_VALUE"""),"AR-X")</f>
        <v>AR-X</v>
      </c>
      <c r="F3" s="21" t="str">
        <f>IFERROR(__xludf.DUMMYFUNCTION("""COMPUTED_VALUE"""),"Cordoba")</f>
        <v>Cordoba</v>
      </c>
      <c r="G3" s="21" t="str">
        <f>IF(C3="","",VLOOKUP(C3,categoria_proveedor[#ALL],2,0))</f>
        <v>Servicios</v>
      </c>
    </row>
    <row r="4">
      <c r="A4" s="21" t="str">
        <f>IFERROR(__xludf.DUMMYFUNCTION("""COMPUTED_VALUE"""),"3")</f>
        <v>3</v>
      </c>
      <c r="B4" s="21" t="str">
        <f>IFERROR(__xludf.DUMMYFUNCTION("""COMPUTED_VALUE"""),"3")</f>
        <v>3</v>
      </c>
      <c r="C4" s="21" t="str">
        <f>IFERROR(__xludf.DUMMYFUNCTION("""COMPUTED_VALUE"""),"2")</f>
        <v>2</v>
      </c>
      <c r="D4" s="21" t="str">
        <f>IFERROR(__xludf.DUMMYFUNCTION("""COMPUTED_VALUE"""),"Rosario")</f>
        <v>Rosario</v>
      </c>
      <c r="E4" s="21" t="str">
        <f>IFERROR(__xludf.DUMMYFUNCTION("""COMPUTED_VALUE"""),"AR-S")</f>
        <v>AR-S</v>
      </c>
      <c r="F4" s="21" t="str">
        <f>IFERROR(__xludf.DUMMYFUNCTION("""COMPUTED_VALUE"""),"Santa Fe")</f>
        <v>Santa Fe</v>
      </c>
      <c r="G4" s="21" t="str">
        <f>IF(C4="","",VLOOKUP(C4,categoria_proveedor[#ALL],2,0))</f>
        <v>Materiales</v>
      </c>
    </row>
    <row r="5">
      <c r="A5" s="21" t="str">
        <f>IFERROR(__xludf.DUMMYFUNCTION("""COMPUTED_VALUE"""),"4")</f>
        <v>4</v>
      </c>
      <c r="B5" s="21" t="str">
        <f>IFERROR(__xludf.DUMMYFUNCTION("""COMPUTED_VALUE"""),"4")</f>
        <v>4</v>
      </c>
      <c r="C5" s="21" t="str">
        <f>IFERROR(__xludf.DUMMYFUNCTION("""COMPUTED_VALUE"""),"3")</f>
        <v>3</v>
      </c>
      <c r="D5" s="21" t="str">
        <f>IFERROR(__xludf.DUMMYFUNCTION("""COMPUTED_VALUE"""),"Mendoza")</f>
        <v>Mendoza</v>
      </c>
      <c r="E5" s="21" t="str">
        <f>IFERROR(__xludf.DUMMYFUNCTION("""COMPUTED_VALUE"""),"AR-M")</f>
        <v>AR-M</v>
      </c>
      <c r="F5" s="21" t="str">
        <f>IFERROR(__xludf.DUMMYFUNCTION("""COMPUTED_VALUE"""),"Mendoza")</f>
        <v>Mendoza</v>
      </c>
      <c r="G5" s="21" t="str">
        <f>IF(C5="","",VLOOKUP(C5,categoria_proveedor[#ALL],2,0))</f>
        <v>Agente Impositivo</v>
      </c>
    </row>
    <row r="6">
      <c r="A6" s="21" t="str">
        <f>IFERROR(__xludf.DUMMYFUNCTION("""COMPUTED_VALUE"""),"5")</f>
        <v>5</v>
      </c>
      <c r="B6" s="21" t="str">
        <f>IFERROR(__xludf.DUMMYFUNCTION("""COMPUTED_VALUE"""),"5")</f>
        <v>5</v>
      </c>
      <c r="C6" s="21" t="str">
        <f>IFERROR(__xludf.DUMMYFUNCTION("""COMPUTED_VALUE"""),"1")</f>
        <v>1</v>
      </c>
      <c r="D6" s="21" t="str">
        <f>IFERROR(__xludf.DUMMYFUNCTION("""COMPUTED_VALUE"""),"Buenos Aires")</f>
        <v>Buenos Aires</v>
      </c>
      <c r="E6" s="21" t="str">
        <f>IFERROR(__xludf.DUMMYFUNCTION("""COMPUTED_VALUE"""),"AR-B")</f>
        <v>AR-B</v>
      </c>
      <c r="F6" s="21" t="str">
        <f>IFERROR(__xludf.DUMMYFUNCTION("""COMPUTED_VALUE"""),"Buenos Aires")</f>
        <v>Buenos Aires</v>
      </c>
      <c r="G6" s="21" t="str">
        <f>IF(C6="","",VLOOKUP(C6,categoria_proveedor[#ALL],2,0))</f>
        <v>Servicios</v>
      </c>
    </row>
    <row r="7">
      <c r="A7" s="21" t="str">
        <f>IFERROR(__xludf.DUMMYFUNCTION("""COMPUTED_VALUE"""),"6")</f>
        <v>6</v>
      </c>
      <c r="B7" s="21" t="str">
        <f>IFERROR(__xludf.DUMMYFUNCTION("""COMPUTED_VALUE"""),"6")</f>
        <v>6</v>
      </c>
      <c r="C7" s="21" t="str">
        <f>IFERROR(__xludf.DUMMYFUNCTION("""COMPUTED_VALUE"""),"1")</f>
        <v>1</v>
      </c>
      <c r="D7" s="21" t="str">
        <f>IFERROR(__xludf.DUMMYFUNCTION("""COMPUTED_VALUE"""),"San Miguel de Tucuman")</f>
        <v>San Miguel de Tucuman</v>
      </c>
      <c r="E7" s="21" t="str">
        <f>IFERROR(__xludf.DUMMYFUNCTION("""COMPUTED_VALUE"""),"AR-T")</f>
        <v>AR-T</v>
      </c>
      <c r="F7" s="21" t="str">
        <f>IFERROR(__xludf.DUMMYFUNCTION("""COMPUTED_VALUE"""),"Tucuman")</f>
        <v>Tucuman</v>
      </c>
      <c r="G7" s="21" t="str">
        <f>IF(C7="","",VLOOKUP(C7,categoria_proveedor[#ALL],2,0))</f>
        <v>Servicios</v>
      </c>
    </row>
    <row r="8">
      <c r="A8" s="21" t="str">
        <f>IFERROR(__xludf.DUMMYFUNCTION("""COMPUTED_VALUE"""),"7")</f>
        <v>7</v>
      </c>
      <c r="B8" s="21" t="str">
        <f>IFERROR(__xludf.DUMMYFUNCTION("""COMPUTED_VALUE"""),"7")</f>
        <v>7</v>
      </c>
      <c r="C8" s="21" t="str">
        <f>IFERROR(__xludf.DUMMYFUNCTION("""COMPUTED_VALUE"""),"1")</f>
        <v>1</v>
      </c>
      <c r="D8" s="21" t="str">
        <f>IFERROR(__xludf.DUMMYFUNCTION("""COMPUTED_VALUE"""),"Mar del Plata")</f>
        <v>Mar del Plata</v>
      </c>
      <c r="E8" s="21" t="str">
        <f>IFERROR(__xludf.DUMMYFUNCTION("""COMPUTED_VALUE"""),"AR-B")</f>
        <v>AR-B</v>
      </c>
      <c r="F8" s="21" t="str">
        <f>IFERROR(__xludf.DUMMYFUNCTION("""COMPUTED_VALUE"""),"Buenos Aires")</f>
        <v>Buenos Aires</v>
      </c>
      <c r="G8" s="21" t="str">
        <f>IF(C8="","",VLOOKUP(C8,categoria_proveedor[#ALL],2,0))</f>
        <v>Servicios</v>
      </c>
    </row>
    <row r="9">
      <c r="A9" s="21" t="str">
        <f>IFERROR(__xludf.DUMMYFUNCTION("""COMPUTED_VALUE"""),"8")</f>
        <v>8</v>
      </c>
      <c r="B9" s="21" t="str">
        <f>IFERROR(__xludf.DUMMYFUNCTION("""COMPUTED_VALUE"""),"8")</f>
        <v>8</v>
      </c>
      <c r="C9" s="21" t="str">
        <f>IFERROR(__xludf.DUMMYFUNCTION("""COMPUTED_VALUE"""),"3")</f>
        <v>3</v>
      </c>
      <c r="D9" s="21" t="str">
        <f>IFERROR(__xludf.DUMMYFUNCTION("""COMPUTED_VALUE"""),"La Plata")</f>
        <v>La Plata</v>
      </c>
      <c r="E9" s="21" t="str">
        <f>IFERROR(__xludf.DUMMYFUNCTION("""COMPUTED_VALUE"""),"AR-B")</f>
        <v>AR-B</v>
      </c>
      <c r="F9" s="21" t="str">
        <f>IFERROR(__xludf.DUMMYFUNCTION("""COMPUTED_VALUE"""),"Buenos Aires")</f>
        <v>Buenos Aires</v>
      </c>
      <c r="G9" s="21" t="str">
        <f>IF(C9="","",VLOOKUP(C9,categoria_proveedor[#ALL],2,0))</f>
        <v>Agente Impositivo</v>
      </c>
    </row>
    <row r="10">
      <c r="A10" s="21" t="str">
        <f>IFERROR(__xludf.DUMMYFUNCTION("""COMPUTED_VALUE"""),"9")</f>
        <v>9</v>
      </c>
      <c r="B10" s="21" t="str">
        <f>IFERROR(__xludf.DUMMYFUNCTION("""COMPUTED_VALUE"""),"9")</f>
        <v>9</v>
      </c>
      <c r="C10" s="21" t="str">
        <f>IFERROR(__xludf.DUMMYFUNCTION("""COMPUTED_VALUE"""),"2")</f>
        <v>2</v>
      </c>
      <c r="D10" s="21" t="str">
        <f>IFERROR(__xludf.DUMMYFUNCTION("""COMPUTED_VALUE"""),"Mendoza")</f>
        <v>Mendoza</v>
      </c>
      <c r="E10" s="21" t="str">
        <f>IFERROR(__xludf.DUMMYFUNCTION("""COMPUTED_VALUE"""),"AR-M")</f>
        <v>AR-M</v>
      </c>
      <c r="F10" s="21" t="str">
        <f>IFERROR(__xludf.DUMMYFUNCTION("""COMPUTED_VALUE"""),"Mendoza")</f>
        <v>Mendoza</v>
      </c>
      <c r="G10" s="21" t="str">
        <f>IF(C10="","",VLOOKUP(C10,categoria_proveedor[#ALL],2,0))</f>
        <v>Materiales</v>
      </c>
    </row>
    <row r="11">
      <c r="A11" s="21" t="str">
        <f>IFERROR(__xludf.DUMMYFUNCTION("""COMPUTED_VALUE"""),"10")</f>
        <v>10</v>
      </c>
      <c r="B11" s="21" t="str">
        <f>IFERROR(__xludf.DUMMYFUNCTION("""COMPUTED_VALUE"""),"10")</f>
        <v>10</v>
      </c>
      <c r="C11" s="21" t="str">
        <f>IFERROR(__xludf.DUMMYFUNCTION("""COMPUTED_VALUE"""),"1")</f>
        <v>1</v>
      </c>
      <c r="D11" s="21" t="str">
        <f>IFERROR(__xludf.DUMMYFUNCTION("""COMPUTED_VALUE"""),"Mar del Plata")</f>
        <v>Mar del Plata</v>
      </c>
      <c r="E11" s="21" t="str">
        <f>IFERROR(__xludf.DUMMYFUNCTION("""COMPUTED_VALUE"""),"AR-B")</f>
        <v>AR-B</v>
      </c>
      <c r="F11" s="21" t="str">
        <f>IFERROR(__xludf.DUMMYFUNCTION("""COMPUTED_VALUE"""),"Buenos Aires")</f>
        <v>Buenos Aires</v>
      </c>
      <c r="G11" s="21" t="str">
        <f>IF(C11="","",VLOOKUP(C11,categoria_proveedor[#ALL],2,0))</f>
        <v>Servicios</v>
      </c>
    </row>
    <row r="12">
      <c r="A12" s="21" t="str">
        <f>IFERROR(__xludf.DUMMYFUNCTION("""COMPUTED_VALUE"""),"11")</f>
        <v>11</v>
      </c>
      <c r="B12" s="21" t="str">
        <f>IFERROR(__xludf.DUMMYFUNCTION("""COMPUTED_VALUE"""),"11")</f>
        <v>11</v>
      </c>
      <c r="C12" s="21" t="str">
        <f>IFERROR(__xludf.DUMMYFUNCTION("""COMPUTED_VALUE"""),"3")</f>
        <v>3</v>
      </c>
      <c r="D12" s="21" t="str">
        <f>IFERROR(__xludf.DUMMYFUNCTION("""COMPUTED_VALUE"""),"Mar del Plata")</f>
        <v>Mar del Plata</v>
      </c>
      <c r="E12" s="21" t="str">
        <f>IFERROR(__xludf.DUMMYFUNCTION("""COMPUTED_VALUE"""),"AR-B")</f>
        <v>AR-B</v>
      </c>
      <c r="F12" s="21" t="str">
        <f>IFERROR(__xludf.DUMMYFUNCTION("""COMPUTED_VALUE"""),"Buenos Aires")</f>
        <v>Buenos Aires</v>
      </c>
      <c r="G12" s="21" t="str">
        <f>IF(C12="","",VLOOKUP(C12,categoria_proveedor[#ALL],2,0))</f>
        <v>Agente Impositivo</v>
      </c>
    </row>
    <row r="13">
      <c r="A13" s="21" t="str">
        <f>IFERROR(__xludf.DUMMYFUNCTION("""COMPUTED_VALUE"""),"12")</f>
        <v>12</v>
      </c>
      <c r="B13" s="21" t="str">
        <f>IFERROR(__xludf.DUMMYFUNCTION("""COMPUTED_VALUE"""),"12")</f>
        <v>12</v>
      </c>
      <c r="C13" s="21" t="str">
        <f>IFERROR(__xludf.DUMMYFUNCTION("""COMPUTED_VALUE"""),"1")</f>
        <v>1</v>
      </c>
      <c r="D13" s="21" t="str">
        <f>IFERROR(__xludf.DUMMYFUNCTION("""COMPUTED_VALUE"""),"Salta")</f>
        <v>Salta</v>
      </c>
      <c r="E13" s="21" t="str">
        <f>IFERROR(__xludf.DUMMYFUNCTION("""COMPUTED_VALUE"""),"AR-A")</f>
        <v>AR-A</v>
      </c>
      <c r="F13" s="21" t="str">
        <f>IFERROR(__xludf.DUMMYFUNCTION("""COMPUTED_VALUE"""),"Salta")</f>
        <v>Salta</v>
      </c>
      <c r="G13" s="21" t="str">
        <f>IF(C13="","",VLOOKUP(C13,categoria_proveedor[#ALL],2,0))</f>
        <v>Servicios</v>
      </c>
    </row>
    <row r="14">
      <c r="A14" s="21" t="str">
        <f>IFERROR(__xludf.DUMMYFUNCTION("""COMPUTED_VALUE"""),"13")</f>
        <v>13</v>
      </c>
      <c r="B14" s="21" t="str">
        <f>IFERROR(__xludf.DUMMYFUNCTION("""COMPUTED_VALUE"""),"13")</f>
        <v>13</v>
      </c>
      <c r="C14" s="21" t="str">
        <f>IFERROR(__xludf.DUMMYFUNCTION("""COMPUTED_VALUE"""),"1")</f>
        <v>1</v>
      </c>
      <c r="D14" s="21" t="str">
        <f>IFERROR(__xludf.DUMMYFUNCTION("""COMPUTED_VALUE"""),"Santa Fe")</f>
        <v>Santa Fe</v>
      </c>
      <c r="E14" s="21" t="str">
        <f>IFERROR(__xludf.DUMMYFUNCTION("""COMPUTED_VALUE"""),"AR-S")</f>
        <v>AR-S</v>
      </c>
      <c r="F14" s="21" t="str">
        <f>IFERROR(__xludf.DUMMYFUNCTION("""COMPUTED_VALUE"""),"Santa Fe")</f>
        <v>Santa Fe</v>
      </c>
      <c r="G14" s="21" t="str">
        <f>IF(C14="","",VLOOKUP(C14,categoria_proveedor[#ALL],2,0))</f>
        <v>Servicios</v>
      </c>
    </row>
    <row r="15">
      <c r="A15" s="21" t="str">
        <f>IFERROR(__xludf.DUMMYFUNCTION("""COMPUTED_VALUE"""),"14")</f>
        <v>14</v>
      </c>
      <c r="B15" s="21" t="str">
        <f>IFERROR(__xludf.DUMMYFUNCTION("""COMPUTED_VALUE"""),"14")</f>
        <v>14</v>
      </c>
      <c r="C15" s="21" t="str">
        <f>IFERROR(__xludf.DUMMYFUNCTION("""COMPUTED_VALUE"""),"2")</f>
        <v>2</v>
      </c>
      <c r="D15" s="21" t="str">
        <f>IFERROR(__xludf.DUMMYFUNCTION("""COMPUTED_VALUE"""),"San Juan")</f>
        <v>San Juan</v>
      </c>
      <c r="E15" s="21" t="str">
        <f>IFERROR(__xludf.DUMMYFUNCTION("""COMPUTED_VALUE"""),"AR-J")</f>
        <v>AR-J</v>
      </c>
      <c r="F15" s="21" t="str">
        <f>IFERROR(__xludf.DUMMYFUNCTION("""COMPUTED_VALUE"""),"San Juan")</f>
        <v>San Juan</v>
      </c>
      <c r="G15" s="21" t="str">
        <f>IF(C15="","",VLOOKUP(C15,categoria_proveedor[#ALL],2,0))</f>
        <v>Materiales</v>
      </c>
    </row>
    <row r="16">
      <c r="A16" s="21" t="str">
        <f>IFERROR(__xludf.DUMMYFUNCTION("""COMPUTED_VALUE"""),"15")</f>
        <v>15</v>
      </c>
      <c r="B16" s="21" t="str">
        <f>IFERROR(__xludf.DUMMYFUNCTION("""COMPUTED_VALUE"""),"15")</f>
        <v>15</v>
      </c>
      <c r="C16" s="21" t="str">
        <f>IFERROR(__xludf.DUMMYFUNCTION("""COMPUTED_VALUE"""),"3")</f>
        <v>3</v>
      </c>
      <c r="D16" s="21" t="str">
        <f>IFERROR(__xludf.DUMMYFUNCTION("""COMPUTED_VALUE"""),"Buenos Aires")</f>
        <v>Buenos Aires</v>
      </c>
      <c r="E16" s="21" t="str">
        <f>IFERROR(__xludf.DUMMYFUNCTION("""COMPUTED_VALUE"""),"AR-B")</f>
        <v>AR-B</v>
      </c>
      <c r="F16" s="21" t="str">
        <f>IFERROR(__xludf.DUMMYFUNCTION("""COMPUTED_VALUE"""),"Buenos Aires")</f>
        <v>Buenos Aires</v>
      </c>
      <c r="G16" s="21" t="str">
        <f>IF(C16="","",VLOOKUP(C16,categoria_proveedor[#ALL],2,0))</f>
        <v>Agente Impositivo</v>
      </c>
    </row>
    <row r="17">
      <c r="A17" s="21" t="str">
        <f>IFERROR(__xludf.DUMMYFUNCTION("""COMPUTED_VALUE"""),"16")</f>
        <v>16</v>
      </c>
      <c r="B17" s="21" t="str">
        <f>IFERROR(__xludf.DUMMYFUNCTION("""COMPUTED_VALUE"""),"16")</f>
        <v>16</v>
      </c>
      <c r="C17" s="21" t="str">
        <f>IFERROR(__xludf.DUMMYFUNCTION("""COMPUTED_VALUE"""),"1")</f>
        <v>1</v>
      </c>
      <c r="D17" s="21" t="str">
        <f>IFERROR(__xludf.DUMMYFUNCTION("""COMPUTED_VALUE"""),"Neuquen")</f>
        <v>Neuquen</v>
      </c>
      <c r="E17" s="21" t="str">
        <f>IFERROR(__xludf.DUMMYFUNCTION("""COMPUTED_VALUE"""),"AR-Q")</f>
        <v>AR-Q</v>
      </c>
      <c r="F17" s="21" t="str">
        <f>IFERROR(__xludf.DUMMYFUNCTION("""COMPUTED_VALUE"""),"Neuquen")</f>
        <v>Neuquen</v>
      </c>
      <c r="G17" s="21" t="str">
        <f>IF(C17="","",VLOOKUP(C17,categoria_proveedor[#ALL],2,0))</f>
        <v>Servicios</v>
      </c>
    </row>
    <row r="18">
      <c r="A18" s="21" t="str">
        <f>IFERROR(__xludf.DUMMYFUNCTION("""COMPUTED_VALUE"""),"17")</f>
        <v>17</v>
      </c>
      <c r="B18" s="21" t="str">
        <f>IFERROR(__xludf.DUMMYFUNCTION("""COMPUTED_VALUE"""),"17")</f>
        <v>17</v>
      </c>
      <c r="C18" s="21" t="str">
        <f>IFERROR(__xludf.DUMMYFUNCTION("""COMPUTED_VALUE"""),"2")</f>
        <v>2</v>
      </c>
      <c r="D18" s="21" t="str">
        <f>IFERROR(__xludf.DUMMYFUNCTION("""COMPUTED_VALUE"""),"Rio Gallegos")</f>
        <v>Rio Gallegos</v>
      </c>
      <c r="E18" s="21" t="str">
        <f>IFERROR(__xludf.DUMMYFUNCTION("""COMPUTED_VALUE"""),"AR-Z")</f>
        <v>AR-Z</v>
      </c>
      <c r="F18" s="21" t="str">
        <f>IFERROR(__xludf.DUMMYFUNCTION("""COMPUTED_VALUE"""),"Santa Cruz")</f>
        <v>Santa Cruz</v>
      </c>
      <c r="G18" s="21" t="str">
        <f>IF(C18="","",VLOOKUP(C18,categoria_proveedor[#ALL],2,0))</f>
        <v>Materiales</v>
      </c>
    </row>
    <row r="19">
      <c r="A19" s="21" t="str">
        <f>IFERROR(__xludf.DUMMYFUNCTION("""COMPUTED_VALUE"""),"18")</f>
        <v>18</v>
      </c>
      <c r="B19" s="21" t="str">
        <f>IFERROR(__xludf.DUMMYFUNCTION("""COMPUTED_VALUE"""),"18")</f>
        <v>18</v>
      </c>
      <c r="C19" s="21" t="str">
        <f>IFERROR(__xludf.DUMMYFUNCTION("""COMPUTED_VALUE"""),"1")</f>
        <v>1</v>
      </c>
      <c r="D19" s="21" t="str">
        <f>IFERROR(__xludf.DUMMYFUNCTION("""COMPUTED_VALUE"""),"San Rafael")</f>
        <v>San Rafael</v>
      </c>
      <c r="E19" s="21" t="str">
        <f>IFERROR(__xludf.DUMMYFUNCTION("""COMPUTED_VALUE"""),"AR-M")</f>
        <v>AR-M</v>
      </c>
      <c r="F19" s="21" t="str">
        <f>IFERROR(__xludf.DUMMYFUNCTION("""COMPUTED_VALUE"""),"Mendoza")</f>
        <v>Mendoza</v>
      </c>
      <c r="G19" s="21" t="str">
        <f>IF(C19="","",VLOOKUP(C19,categoria_proveedor[#ALL],2,0))</f>
        <v>Servicios</v>
      </c>
    </row>
    <row r="20">
      <c r="A20" s="21" t="str">
        <f>IFERROR(__xludf.DUMMYFUNCTION("""COMPUTED_VALUE"""),"19")</f>
        <v>19</v>
      </c>
      <c r="B20" s="21" t="str">
        <f>IFERROR(__xludf.DUMMYFUNCTION("""COMPUTED_VALUE"""),"19")</f>
        <v>19</v>
      </c>
      <c r="C20" s="21" t="str">
        <f>IFERROR(__xludf.DUMMYFUNCTION("""COMPUTED_VALUE"""),"4")</f>
        <v>4</v>
      </c>
      <c r="D20" s="21" t="str">
        <f>IFERROR(__xludf.DUMMYFUNCTION("""COMPUTED_VALUE"""),"Buenos Aires")</f>
        <v>Buenos Aires</v>
      </c>
      <c r="E20" s="21" t="str">
        <f>IFERROR(__xludf.DUMMYFUNCTION("""COMPUTED_VALUE"""),"AR-B")</f>
        <v>AR-B</v>
      </c>
      <c r="F20" s="21" t="str">
        <f>IFERROR(__xludf.DUMMYFUNCTION("""COMPUTED_VALUE"""),"Buenos Aires")</f>
        <v>Buenos Aires</v>
      </c>
      <c r="G20" s="21" t="str">
        <f>IF(C20="","",VLOOKUP(C20,categoria_proveedor[#ALL],2,0))</f>
        <v>Tecnología</v>
      </c>
    </row>
    <row r="21">
      <c r="A21" s="21" t="str">
        <f>IFERROR(__xludf.DUMMYFUNCTION("""COMPUTED_VALUE"""),"20")</f>
        <v>20</v>
      </c>
      <c r="B21" s="21" t="str">
        <f>IFERROR(__xludf.DUMMYFUNCTION("""COMPUTED_VALUE"""),"20")</f>
        <v>20</v>
      </c>
      <c r="C21" s="21" t="str">
        <f>IFERROR(__xludf.DUMMYFUNCTION("""COMPUTED_VALUE"""),"5")</f>
        <v>5</v>
      </c>
      <c r="D21" s="21" t="str">
        <f>IFERROR(__xludf.DUMMYFUNCTION("""COMPUTED_VALUE"""),"Bahia Blanca")</f>
        <v>Bahia Blanca</v>
      </c>
      <c r="E21" s="21" t="str">
        <f>IFERROR(__xludf.DUMMYFUNCTION("""COMPUTED_VALUE"""),"AR-B")</f>
        <v>AR-B</v>
      </c>
      <c r="F21" s="21" t="str">
        <f>IFERROR(__xludf.DUMMYFUNCTION("""COMPUTED_VALUE"""),"Buenos Aires")</f>
        <v>Buenos Aires</v>
      </c>
      <c r="G21" s="21" t="str">
        <f>IF(C21="","",VLOOKUP(C21,categoria_proveedor[#ALL],2,0))</f>
        <v>Consultoría</v>
      </c>
    </row>
    <row r="22">
      <c r="A22" s="21" t="str">
        <f>IFERROR(__xludf.DUMMYFUNCTION("""COMPUTED_VALUE"""),"21")</f>
        <v>21</v>
      </c>
      <c r="B22" s="21" t="str">
        <f>IFERROR(__xludf.DUMMYFUNCTION("""COMPUTED_VALUE"""),"21")</f>
        <v>21</v>
      </c>
      <c r="C22" s="21" t="str">
        <f>IFERROR(__xludf.DUMMYFUNCTION("""COMPUTED_VALUE"""),"6")</f>
        <v>6</v>
      </c>
      <c r="D22" s="21" t="str">
        <f>IFERROR(__xludf.DUMMYFUNCTION("""COMPUTED_VALUE"""),"Buenos Aires")</f>
        <v>Buenos Aires</v>
      </c>
      <c r="E22" s="21" t="str">
        <f>IFERROR(__xludf.DUMMYFUNCTION("""COMPUTED_VALUE"""),"AR-B")</f>
        <v>AR-B</v>
      </c>
      <c r="F22" s="21" t="str">
        <f>IFERROR(__xludf.DUMMYFUNCTION("""COMPUTED_VALUE"""),"Buenos Aires")</f>
        <v>Buenos Aires</v>
      </c>
      <c r="G22" s="21" t="str">
        <f>IF(C22="","",VLOOKUP(C22,categoria_proveedor[#ALL],2,0))</f>
        <v>Energía Renovable</v>
      </c>
    </row>
    <row r="23">
      <c r="A23" s="21" t="str">
        <f>IFERROR(__xludf.DUMMYFUNCTION("""COMPUTED_VALUE"""),"22")</f>
        <v>22</v>
      </c>
      <c r="B23" s="21" t="str">
        <f>IFERROR(__xludf.DUMMYFUNCTION("""COMPUTED_VALUE"""),"22")</f>
        <v>22</v>
      </c>
      <c r="C23" s="21" t="str">
        <f>IFERROR(__xludf.DUMMYFUNCTION("""COMPUTED_VALUE"""),"7")</f>
        <v>7</v>
      </c>
      <c r="D23" s="21" t="str">
        <f>IFERROR(__xludf.DUMMYFUNCTION("""COMPUTED_VALUE"""),"Buenos Aires")</f>
        <v>Buenos Aires</v>
      </c>
      <c r="E23" s="21" t="str">
        <f>IFERROR(__xludf.DUMMYFUNCTION("""COMPUTED_VALUE"""),"AR-B")</f>
        <v>AR-B</v>
      </c>
      <c r="F23" s="21" t="str">
        <f>IFERROR(__xludf.DUMMYFUNCTION("""COMPUTED_VALUE"""),"Buenos Aires")</f>
        <v>Buenos Aires</v>
      </c>
      <c r="G23" s="21" t="str">
        <f>IF(C23="","",VLOOKUP(C23,categoria_proveedor[#ALL],2,0))</f>
        <v>Transporte</v>
      </c>
    </row>
    <row r="24">
      <c r="A24" s="21" t="str">
        <f>IFERROR(__xludf.DUMMYFUNCTION("""COMPUTED_VALUE"""),"23")</f>
        <v>23</v>
      </c>
      <c r="B24" s="21" t="str">
        <f>IFERROR(__xludf.DUMMYFUNCTION("""COMPUTED_VALUE"""),"23")</f>
        <v>23</v>
      </c>
      <c r="C24" s="21" t="str">
        <f>IFERROR(__xludf.DUMMYFUNCTION("""COMPUTED_VALUE"""),"8")</f>
        <v>8</v>
      </c>
      <c r="D24" s="21" t="str">
        <f>IFERROR(__xludf.DUMMYFUNCTION("""COMPUTED_VALUE"""),"Santiago del Estero")</f>
        <v>Santiago del Estero</v>
      </c>
      <c r="E24" s="21" t="str">
        <f>IFERROR(__xludf.DUMMYFUNCTION("""COMPUTED_VALUE"""),"AR-G")</f>
        <v>AR-G</v>
      </c>
      <c r="F24" s="21" t="str">
        <f>IFERROR(__xludf.DUMMYFUNCTION("""COMPUTED_VALUE"""),"Santiago del Estero")</f>
        <v>Santiago del Estero</v>
      </c>
      <c r="G24" s="21" t="str">
        <f>IF(C24="","",VLOOKUP(C24,categoria_proveedor[#ALL],2,0))</f>
        <v>Construcción</v>
      </c>
    </row>
    <row r="25">
      <c r="A25" s="21" t="str">
        <f>IFERROR(__xludf.DUMMYFUNCTION("""COMPUTED_VALUE"""),"24")</f>
        <v>24</v>
      </c>
      <c r="B25" s="21" t="str">
        <f>IFERROR(__xludf.DUMMYFUNCTION("""COMPUTED_VALUE"""),"24")</f>
        <v>24</v>
      </c>
      <c r="C25" s="21" t="str">
        <f>IFERROR(__xludf.DUMMYFUNCTION("""COMPUTED_VALUE"""),"9")</f>
        <v>9</v>
      </c>
      <c r="D25" s="21" t="str">
        <f>IFERROR(__xludf.DUMMYFUNCTION("""COMPUTED_VALUE"""),"Rio Cuarto")</f>
        <v>Rio Cuarto</v>
      </c>
      <c r="E25" s="21" t="str">
        <f>IFERROR(__xludf.DUMMYFUNCTION("""COMPUTED_VALUE"""),"AR-X")</f>
        <v>AR-X</v>
      </c>
      <c r="F25" s="21" t="str">
        <f>IFERROR(__xludf.DUMMYFUNCTION("""COMPUTED_VALUE"""),"Cordoba")</f>
        <v>Cordoba</v>
      </c>
      <c r="G25" s="21" t="str">
        <f>IF(C25="","",VLOOKUP(C25,categoria_proveedor[#ALL],2,0))</f>
        <v>Agroindustria</v>
      </c>
    </row>
    <row r="26">
      <c r="A26" s="21" t="str">
        <f>IFERROR(__xludf.DUMMYFUNCTION("""COMPUTED_VALUE"""),"25")</f>
        <v>25</v>
      </c>
      <c r="B26" s="21" t="str">
        <f>IFERROR(__xludf.DUMMYFUNCTION("""COMPUTED_VALUE"""),"25")</f>
        <v>25</v>
      </c>
      <c r="C26" s="21" t="str">
        <f>IFERROR(__xludf.DUMMYFUNCTION("""COMPUTED_VALUE"""),"4")</f>
        <v>4</v>
      </c>
      <c r="D26" s="21" t="str">
        <f>IFERROR(__xludf.DUMMYFUNCTION("""COMPUTED_VALUE"""),"San Fernando del Valle de Catamarca")</f>
        <v>San Fernando del Valle de Catamarca</v>
      </c>
      <c r="E26" s="21" t="str">
        <f>IFERROR(__xludf.DUMMYFUNCTION("""COMPUTED_VALUE"""),"AR-K")</f>
        <v>AR-K</v>
      </c>
      <c r="F26" s="21" t="str">
        <f>IFERROR(__xludf.DUMMYFUNCTION("""COMPUTED_VALUE"""),"Catamarca")</f>
        <v>Catamarca</v>
      </c>
      <c r="G26" s="21" t="str">
        <f>IF(C26="","",VLOOKUP(C26,categoria_proveedor[#ALL],2,0))</f>
        <v>Tecnología</v>
      </c>
    </row>
    <row r="27">
      <c r="A27" s="21" t="str">
        <f>IFERROR(__xludf.DUMMYFUNCTION("""COMPUTED_VALUE"""),"26")</f>
        <v>26</v>
      </c>
      <c r="B27" s="21" t="str">
        <f>IFERROR(__xludf.DUMMYFUNCTION("""COMPUTED_VALUE"""),"26")</f>
        <v>26</v>
      </c>
      <c r="C27" s="21" t="str">
        <f>IFERROR(__xludf.DUMMYFUNCTION("""COMPUTED_VALUE"""),"6")</f>
        <v>6</v>
      </c>
      <c r="D27" s="21" t="str">
        <f>IFERROR(__xludf.DUMMYFUNCTION("""COMPUTED_VALUE"""),"Villa Maria")</f>
        <v>Villa Maria</v>
      </c>
      <c r="E27" s="21" t="str">
        <f>IFERROR(__xludf.DUMMYFUNCTION("""COMPUTED_VALUE"""),"AR-X")</f>
        <v>AR-X</v>
      </c>
      <c r="F27" s="21" t="str">
        <f>IFERROR(__xludf.DUMMYFUNCTION("""COMPUTED_VALUE"""),"Cordoba")</f>
        <v>Cordoba</v>
      </c>
      <c r="G27" s="21" t="str">
        <f>IF(C27="","",VLOOKUP(C27,categoria_proveedor[#ALL],2,0))</f>
        <v>Energía Renovable</v>
      </c>
    </row>
    <row r="28">
      <c r="A28" s="21" t="str">
        <f>IFERROR(__xludf.DUMMYFUNCTION("""COMPUTED_VALUE"""),"27")</f>
        <v>27</v>
      </c>
      <c r="B28" s="21" t="str">
        <f>IFERROR(__xludf.DUMMYFUNCTION("""COMPUTED_VALUE"""),"27")</f>
        <v>27</v>
      </c>
      <c r="C28" s="21" t="str">
        <f>IFERROR(__xludf.DUMMYFUNCTION("""COMPUTED_VALUE"""),"7")</f>
        <v>7</v>
      </c>
      <c r="D28" s="21" t="str">
        <f>IFERROR(__xludf.DUMMYFUNCTION("""COMPUTED_VALUE"""),"San Luis")</f>
        <v>San Luis</v>
      </c>
      <c r="E28" s="21" t="str">
        <f>IFERROR(__xludf.DUMMYFUNCTION("""COMPUTED_VALUE"""),"AR-D")</f>
        <v>AR-D</v>
      </c>
      <c r="F28" s="21" t="str">
        <f>IFERROR(__xludf.DUMMYFUNCTION("""COMPUTED_VALUE"""),"San Luis")</f>
        <v>San Luis</v>
      </c>
      <c r="G28" s="21" t="str">
        <f>IF(C28="","",VLOOKUP(C28,categoria_proveedor[#ALL],2,0))</f>
        <v>Transporte</v>
      </c>
    </row>
    <row r="29">
      <c r="A29" s="21" t="str">
        <f>IFERROR(__xludf.DUMMYFUNCTION("""COMPUTED_VALUE"""),"28")</f>
        <v>28</v>
      </c>
      <c r="B29" s="21" t="str">
        <f>IFERROR(__xludf.DUMMYFUNCTION("""COMPUTED_VALUE"""),"28")</f>
        <v>28</v>
      </c>
      <c r="C29" s="21" t="str">
        <f>IFERROR(__xludf.DUMMYFUNCTION("""COMPUTED_VALUE"""),"8")</f>
        <v>8</v>
      </c>
      <c r="D29" s="21" t="str">
        <f>IFERROR(__xludf.DUMMYFUNCTION("""COMPUTED_VALUE"""),"Chaco")</f>
        <v>Chaco</v>
      </c>
      <c r="E29" s="21" t="str">
        <f>IFERROR(__xludf.DUMMYFUNCTION("""COMPUTED_VALUE"""),"AR-H")</f>
        <v>AR-H</v>
      </c>
      <c r="F29" s="21" t="str">
        <f>IFERROR(__xludf.DUMMYFUNCTION("""COMPUTED_VALUE"""),"Chaco")</f>
        <v>Chaco</v>
      </c>
      <c r="G29" s="21" t="str">
        <f>IF(C29="","",VLOOKUP(C29,categoria_proveedor[#ALL],2,0))</f>
        <v>Construcción</v>
      </c>
    </row>
    <row r="30">
      <c r="A30" s="21" t="str">
        <f>IFERROR(__xludf.DUMMYFUNCTION("""COMPUTED_VALUE"""),"29")</f>
        <v>29</v>
      </c>
      <c r="B30" s="21" t="str">
        <f>IFERROR(__xludf.DUMMYFUNCTION("""COMPUTED_VALUE"""),"29")</f>
        <v>29</v>
      </c>
      <c r="C30" s="21" t="str">
        <f>IFERROR(__xludf.DUMMYFUNCTION("""COMPUTED_VALUE"""),"9")</f>
        <v>9</v>
      </c>
      <c r="D30" s="21" t="str">
        <f>IFERROR(__xludf.DUMMYFUNCTION("""COMPUTED_VALUE"""),"Buenos Aires")</f>
        <v>Buenos Aires</v>
      </c>
      <c r="E30" s="21" t="str">
        <f>IFERROR(__xludf.DUMMYFUNCTION("""COMPUTED_VALUE"""),"AR-B")</f>
        <v>AR-B</v>
      </c>
      <c r="F30" s="21" t="str">
        <f>IFERROR(__xludf.DUMMYFUNCTION("""COMPUTED_VALUE"""),"Buenos Aires")</f>
        <v>Buenos Aires</v>
      </c>
      <c r="G30" s="21" t="str">
        <f>IF(C30="","",VLOOKUP(C30,categoria_proveedor[#ALL],2,0))</f>
        <v>Agroindustria</v>
      </c>
    </row>
    <row r="31">
      <c r="A31" s="21" t="str">
        <f>IFERROR(__xludf.DUMMYFUNCTION("""COMPUTED_VALUE"""),"30")</f>
        <v>30</v>
      </c>
      <c r="B31" s="21" t="str">
        <f>IFERROR(__xludf.DUMMYFUNCTION("""COMPUTED_VALUE"""),"30")</f>
        <v>30</v>
      </c>
      <c r="C31" s="21" t="str">
        <f>IFERROR(__xludf.DUMMYFUNCTION("""COMPUTED_VALUE"""),"4")</f>
        <v>4</v>
      </c>
      <c r="D31" s="21" t="str">
        <f>IFERROR(__xludf.DUMMYFUNCTION("""COMPUTED_VALUE"""),"San Nicolas")</f>
        <v>San Nicolas</v>
      </c>
      <c r="E31" s="21" t="str">
        <f>IFERROR(__xludf.DUMMYFUNCTION("""COMPUTED_VALUE"""),"AR-B")</f>
        <v>AR-B</v>
      </c>
      <c r="F31" s="21" t="str">
        <f>IFERROR(__xludf.DUMMYFUNCTION("""COMPUTED_VALUE"""),"Buenos Aires")</f>
        <v>Buenos Aires</v>
      </c>
      <c r="G31" s="21" t="str">
        <f>IF(C31="","",VLOOKUP(C31,categoria_proveedor[#ALL],2,0))</f>
        <v>Tecnología</v>
      </c>
    </row>
    <row r="32">
      <c r="A32" s="21" t="str">
        <f>IFERROR(__xludf.DUMMYFUNCTION("""COMPUTED_VALUE"""),"31")</f>
        <v>31</v>
      </c>
      <c r="B32" s="21" t="str">
        <f>IFERROR(__xludf.DUMMYFUNCTION("""COMPUTED_VALUE"""),"31")</f>
        <v>31</v>
      </c>
      <c r="C32" s="21" t="str">
        <f>IFERROR(__xludf.DUMMYFUNCTION("""COMPUTED_VALUE"""),"6")</f>
        <v>6</v>
      </c>
      <c r="D32" s="21" t="str">
        <f>IFERROR(__xludf.DUMMYFUNCTION("""COMPUTED_VALUE"""),"Lujan")</f>
        <v>Lujan</v>
      </c>
      <c r="E32" s="21" t="str">
        <f>IFERROR(__xludf.DUMMYFUNCTION("""COMPUTED_VALUE"""),"AR-B")</f>
        <v>AR-B</v>
      </c>
      <c r="F32" s="21" t="str">
        <f>IFERROR(__xludf.DUMMYFUNCTION("""COMPUTED_VALUE"""),"Buenos Aires")</f>
        <v>Buenos Aires</v>
      </c>
      <c r="G32" s="21" t="str">
        <f>IF(C32="","",VLOOKUP(C32,categoria_proveedor[#ALL],2,0))</f>
        <v>Energía Renovable</v>
      </c>
    </row>
    <row r="33">
      <c r="A33" s="21" t="str">
        <f>IFERROR(__xludf.DUMMYFUNCTION("""COMPUTED_VALUE"""),"32")</f>
        <v>32</v>
      </c>
      <c r="B33" s="21" t="str">
        <f>IFERROR(__xludf.DUMMYFUNCTION("""COMPUTED_VALUE"""),"32")</f>
        <v>32</v>
      </c>
      <c r="C33" s="21" t="str">
        <f>IFERROR(__xludf.DUMMYFUNCTION("""COMPUTED_VALUE"""),"7")</f>
        <v>7</v>
      </c>
      <c r="D33" s="21" t="str">
        <f>IFERROR(__xludf.DUMMYFUNCTION("""COMPUTED_VALUE"""),"Jujuy")</f>
        <v>Jujuy</v>
      </c>
      <c r="E33" s="21" t="str">
        <f>IFERROR(__xludf.DUMMYFUNCTION("""COMPUTED_VALUE"""),"AR-Y")</f>
        <v>AR-Y</v>
      </c>
      <c r="F33" s="21" t="str">
        <f>IFERROR(__xludf.DUMMYFUNCTION("""COMPUTED_VALUE"""),"Jujuy")</f>
        <v>Jujuy</v>
      </c>
      <c r="G33" s="21" t="str">
        <f>IF(C33="","",VLOOKUP(C33,categoria_proveedor[#ALL],2,0))</f>
        <v>Transporte</v>
      </c>
    </row>
    <row r="34">
      <c r="A34" s="21" t="str">
        <f>IFERROR(__xludf.DUMMYFUNCTION("""COMPUTED_VALUE"""),"33")</f>
        <v>33</v>
      </c>
      <c r="B34" s="21" t="str">
        <f>IFERROR(__xludf.DUMMYFUNCTION("""COMPUTED_VALUE"""),"33")</f>
        <v>33</v>
      </c>
      <c r="C34" s="21" t="str">
        <f>IFERROR(__xludf.DUMMYFUNCTION("""COMPUTED_VALUE"""),"8")</f>
        <v>8</v>
      </c>
      <c r="D34" s="21" t="str">
        <f>IFERROR(__xludf.DUMMYFUNCTION("""COMPUTED_VALUE"""),"Buenos Aires")</f>
        <v>Buenos Aires</v>
      </c>
      <c r="E34" s="21" t="str">
        <f>IFERROR(__xludf.DUMMYFUNCTION("""COMPUTED_VALUE"""),"AR-B")</f>
        <v>AR-B</v>
      </c>
      <c r="F34" s="21" t="str">
        <f>IFERROR(__xludf.DUMMYFUNCTION("""COMPUTED_VALUE"""),"Buenos Aires")</f>
        <v>Buenos Aires</v>
      </c>
      <c r="G34" s="21" t="str">
        <f>IF(C34="","",VLOOKUP(C34,categoria_proveedor[#ALL],2,0))</f>
        <v>Construcción</v>
      </c>
    </row>
    <row r="35">
      <c r="A35" s="21" t="str">
        <f>IFERROR(__xludf.DUMMYFUNCTION("""COMPUTED_VALUE"""),"34")</f>
        <v>34</v>
      </c>
      <c r="B35" s="21" t="str">
        <f>IFERROR(__xludf.DUMMYFUNCTION("""COMPUTED_VALUE"""),"34")</f>
        <v>34</v>
      </c>
      <c r="C35" s="21" t="str">
        <f>IFERROR(__xludf.DUMMYFUNCTION("""COMPUTED_VALUE"""),"9")</f>
        <v>9</v>
      </c>
      <c r="D35" s="21" t="str">
        <f>IFERROR(__xludf.DUMMYFUNCTION("""COMPUTED_VALUE"""),"Buenos Aires")</f>
        <v>Buenos Aires</v>
      </c>
      <c r="E35" s="21" t="str">
        <f>IFERROR(__xludf.DUMMYFUNCTION("""COMPUTED_VALUE"""),"AR-B")</f>
        <v>AR-B</v>
      </c>
      <c r="F35" s="21" t="str">
        <f>IFERROR(__xludf.DUMMYFUNCTION("""COMPUTED_VALUE"""),"Buenos Aires")</f>
        <v>Buenos Aires</v>
      </c>
      <c r="G35" s="21" t="str">
        <f>IF(C35="","",VLOOKUP(C35,categoria_proveedor[#ALL],2,0))</f>
        <v>Agroindustria</v>
      </c>
    </row>
    <row r="36">
      <c r="A36" s="21" t="str">
        <f>IFERROR(__xludf.DUMMYFUNCTION("""COMPUTED_VALUE"""),"35")</f>
        <v>35</v>
      </c>
      <c r="B36" s="21" t="str">
        <f>IFERROR(__xludf.DUMMYFUNCTION("""COMPUTED_VALUE"""),"35")</f>
        <v>35</v>
      </c>
      <c r="C36" s="21" t="str">
        <f>IFERROR(__xludf.DUMMYFUNCTION("""COMPUTED_VALUE"""),"4")</f>
        <v>4</v>
      </c>
      <c r="D36" s="21" t="str">
        <f>IFERROR(__xludf.DUMMYFUNCTION("""COMPUTED_VALUE"""),"Trelew")</f>
        <v>Trelew</v>
      </c>
      <c r="E36" s="21" t="str">
        <f>IFERROR(__xludf.DUMMYFUNCTION("""COMPUTED_VALUE"""),"AR-U")</f>
        <v>AR-U</v>
      </c>
      <c r="F36" s="21" t="str">
        <f>IFERROR(__xludf.DUMMYFUNCTION("""COMPUTED_VALUE"""),"Chubut")</f>
        <v>Chubut</v>
      </c>
      <c r="G36" s="21" t="str">
        <f>IF(C36="","",VLOOKUP(C36,categoria_proveedor[#ALL],2,0))</f>
        <v>Tecnología</v>
      </c>
    </row>
    <row r="37">
      <c r="A37" s="21" t="str">
        <f>IFERROR(__xludf.DUMMYFUNCTION("""COMPUTED_VALUE"""),"36")</f>
        <v>36</v>
      </c>
      <c r="B37" s="21" t="str">
        <f>IFERROR(__xludf.DUMMYFUNCTION("""COMPUTED_VALUE"""),"36")</f>
        <v>36</v>
      </c>
      <c r="C37" s="21" t="str">
        <f>IFERROR(__xludf.DUMMYFUNCTION("""COMPUTED_VALUE"""),"6")</f>
        <v>6</v>
      </c>
      <c r="D37" s="21" t="str">
        <f>IFERROR(__xludf.DUMMYFUNCTION("""COMPUTED_VALUE"""),"Mendoza")</f>
        <v>Mendoza</v>
      </c>
      <c r="E37" s="21" t="str">
        <f>IFERROR(__xludf.DUMMYFUNCTION("""COMPUTED_VALUE"""),"AR-M")</f>
        <v>AR-M</v>
      </c>
      <c r="F37" s="21" t="str">
        <f>IFERROR(__xludf.DUMMYFUNCTION("""COMPUTED_VALUE"""),"Mendoza")</f>
        <v>Mendoza</v>
      </c>
      <c r="G37" s="21" t="str">
        <f>IF(C37="","",VLOOKUP(C37,categoria_proveedor[#ALL],2,0))</f>
        <v>Energía Renovable</v>
      </c>
    </row>
    <row r="38">
      <c r="A38" s="21" t="str">
        <f>IFERROR(__xludf.DUMMYFUNCTION("""COMPUTED_VALUE"""),"37")</f>
        <v>37</v>
      </c>
      <c r="B38" s="21" t="str">
        <f>IFERROR(__xludf.DUMMYFUNCTION("""COMPUTED_VALUE"""),"37")</f>
        <v>37</v>
      </c>
      <c r="C38" s="21" t="str">
        <f>IFERROR(__xludf.DUMMYFUNCTION("""COMPUTED_VALUE"""),"7")</f>
        <v>7</v>
      </c>
      <c r="D38" s="21" t="str">
        <f>IFERROR(__xludf.DUMMYFUNCTION("""COMPUTED_VALUE"""),"San Fernando")</f>
        <v>San Fernando</v>
      </c>
      <c r="E38" s="21" t="str">
        <f>IFERROR(__xludf.DUMMYFUNCTION("""COMPUTED_VALUE"""),"AR-B")</f>
        <v>AR-B</v>
      </c>
      <c r="F38" s="21" t="str">
        <f>IFERROR(__xludf.DUMMYFUNCTION("""COMPUTED_VALUE"""),"Buenos Aires")</f>
        <v>Buenos Aires</v>
      </c>
      <c r="G38" s="21" t="str">
        <f>IF(C38="","",VLOOKUP(C38,categoria_proveedor[#ALL],2,0))</f>
        <v>Transporte</v>
      </c>
    </row>
    <row r="39">
      <c r="A39" s="21" t="str">
        <f>IFERROR(__xludf.DUMMYFUNCTION("""COMPUTED_VALUE"""),"38")</f>
        <v>38</v>
      </c>
      <c r="B39" s="21" t="str">
        <f>IFERROR(__xludf.DUMMYFUNCTION("""COMPUTED_VALUE"""),"38")</f>
        <v>38</v>
      </c>
      <c r="C39" s="21" t="str">
        <f>IFERROR(__xludf.DUMMYFUNCTION("""COMPUTED_VALUE"""),"8")</f>
        <v>8</v>
      </c>
      <c r="D39" s="21" t="str">
        <f>IFERROR(__xludf.DUMMYFUNCTION("""COMPUTED_VALUE"""),"Merlo")</f>
        <v>Merlo</v>
      </c>
      <c r="E39" s="21" t="str">
        <f>IFERROR(__xludf.DUMMYFUNCTION("""COMPUTED_VALUE"""),"AR-B")</f>
        <v>AR-B</v>
      </c>
      <c r="F39" s="21" t="str">
        <f>IFERROR(__xludf.DUMMYFUNCTION("""COMPUTED_VALUE"""),"Buenos Aires")</f>
        <v>Buenos Aires</v>
      </c>
      <c r="G39" s="21" t="str">
        <f>IF(C39="","",VLOOKUP(C39,categoria_proveedor[#ALL],2,0))</f>
        <v>Construcción</v>
      </c>
    </row>
    <row r="40">
      <c r="A40" s="21" t="str">
        <f>IFERROR(__xludf.DUMMYFUNCTION("""COMPUTED_VALUE"""),"39")</f>
        <v>39</v>
      </c>
      <c r="B40" s="21" t="str">
        <f>IFERROR(__xludf.DUMMYFUNCTION("""COMPUTED_VALUE"""),"39")</f>
        <v>39</v>
      </c>
      <c r="C40" s="21" t="str">
        <f>IFERROR(__xludf.DUMMYFUNCTION("""COMPUTED_VALUE"""),"10")</f>
        <v>10</v>
      </c>
      <c r="D40" s="21" t="str">
        <f>IFERROR(__xludf.DUMMYFUNCTION("""COMPUTED_VALUE"""),"San Martin")</f>
        <v>San Martin</v>
      </c>
      <c r="E40" s="21" t="str">
        <f>IFERROR(__xludf.DUMMYFUNCTION("""COMPUTED_VALUE"""),"AR-B")</f>
        <v>AR-B</v>
      </c>
      <c r="F40" s="21" t="str">
        <f>IFERROR(__xludf.DUMMYFUNCTION("""COMPUTED_VALUE"""),"Buenos Aires")</f>
        <v>Buenos Aires</v>
      </c>
      <c r="G40" s="21" t="str">
        <f>IF(C40="","",VLOOKUP(C40,categoria_proveedor[#ALL],2,0))</f>
        <v>Software</v>
      </c>
    </row>
    <row r="41">
      <c r="A41" s="21" t="str">
        <f>IFERROR(__xludf.DUMMYFUNCTION("""COMPUTED_VALUE"""),"40")</f>
        <v>40</v>
      </c>
      <c r="B41" s="21" t="str">
        <f>IFERROR(__xludf.DUMMYFUNCTION("""COMPUTED_VALUE"""),"40")</f>
        <v>40</v>
      </c>
      <c r="C41" s="21" t="str">
        <f>IFERROR(__xludf.DUMMYFUNCTION("""COMPUTED_VALUE"""),"11")</f>
        <v>11</v>
      </c>
      <c r="D41" s="21" t="str">
        <f>IFERROR(__xludf.DUMMYFUNCTION("""COMPUTED_VALUE"""),"Viedma")</f>
        <v>Viedma</v>
      </c>
      <c r="E41" s="21" t="str">
        <f>IFERROR(__xludf.DUMMYFUNCTION("""COMPUTED_VALUE"""),"AR-R")</f>
        <v>AR-R</v>
      </c>
      <c r="F41" s="21" t="str">
        <f>IFERROR(__xludf.DUMMYFUNCTION("""COMPUTED_VALUE"""),"Rio Negro")</f>
        <v>Rio Negro</v>
      </c>
      <c r="G41" s="21" t="str">
        <f>IF(C41="","",VLOOKUP(C41,categoria_proveedor[#ALL],2,0))</f>
        <v>Consultoría IT</v>
      </c>
    </row>
    <row r="42">
      <c r="A42" s="21" t="str">
        <f>IFERROR(__xludf.DUMMYFUNCTION("""COMPUTED_VALUE"""),"41")</f>
        <v>41</v>
      </c>
      <c r="B42" s="21" t="str">
        <f>IFERROR(__xludf.DUMMYFUNCTION("""COMPUTED_VALUE"""),"41")</f>
        <v>41</v>
      </c>
      <c r="C42" s="21" t="str">
        <f>IFERROR(__xludf.DUMMYFUNCTION("""COMPUTED_VALUE"""),"12")</f>
        <v>12</v>
      </c>
      <c r="D42" s="21" t="str">
        <f>IFERROR(__xludf.DUMMYFUNCTION("""COMPUTED_VALUE"""),"Rawson")</f>
        <v>Rawson</v>
      </c>
      <c r="E42" s="21" t="str">
        <f>IFERROR(__xludf.DUMMYFUNCTION("""COMPUTED_VALUE"""),"AR-U")</f>
        <v>AR-U</v>
      </c>
      <c r="F42" s="21" t="str">
        <f>IFERROR(__xludf.DUMMYFUNCTION("""COMPUTED_VALUE"""),"Chubut")</f>
        <v>Chubut</v>
      </c>
      <c r="G42" s="21" t="str">
        <f>IF(C42="","",VLOOKUP(C42,categoria_proveedor[#ALL],2,0))</f>
        <v>Energía Eólica</v>
      </c>
    </row>
    <row r="43">
      <c r="A43" s="21" t="str">
        <f>IFERROR(__xludf.DUMMYFUNCTION("""COMPUTED_VALUE"""),"42")</f>
        <v>42</v>
      </c>
      <c r="B43" s="21" t="str">
        <f>IFERROR(__xludf.DUMMYFUNCTION("""COMPUTED_VALUE"""),"42")</f>
        <v>42</v>
      </c>
      <c r="C43" s="21" t="str">
        <f>IFERROR(__xludf.DUMMYFUNCTION("""COMPUTED_VALUE"""),"8")</f>
        <v>8</v>
      </c>
      <c r="D43" s="21" t="str">
        <f>IFERROR(__xludf.DUMMYFUNCTION("""COMPUTED_VALUE"""),"Obera")</f>
        <v>Obera</v>
      </c>
      <c r="E43" s="21" t="str">
        <f>IFERROR(__xludf.DUMMYFUNCTION("""COMPUTED_VALUE"""),"AR-N")</f>
        <v>AR-N</v>
      </c>
      <c r="F43" s="21" t="str">
        <f>IFERROR(__xludf.DUMMYFUNCTION("""COMPUTED_VALUE"""),"Misiones")</f>
        <v>Misiones</v>
      </c>
      <c r="G43" s="21" t="str">
        <f>IF(C43="","",VLOOKUP(C43,categoria_proveedor[#ALL],2,0))</f>
        <v>Construcción</v>
      </c>
    </row>
    <row r="44">
      <c r="A44" s="21" t="str">
        <f>IFERROR(__xludf.DUMMYFUNCTION("""COMPUTED_VALUE"""),"43")</f>
        <v>43</v>
      </c>
      <c r="B44" s="21" t="str">
        <f>IFERROR(__xludf.DUMMYFUNCTION("""COMPUTED_VALUE"""),"43")</f>
        <v>43</v>
      </c>
      <c r="C44" s="21" t="str">
        <f>IFERROR(__xludf.DUMMYFUNCTION("""COMPUTED_VALUE"""),"9")</f>
        <v>9</v>
      </c>
      <c r="D44" s="21" t="str">
        <f>IFERROR(__xludf.DUMMYFUNCTION("""COMPUTED_VALUE"""),"Calafate")</f>
        <v>Calafate</v>
      </c>
      <c r="E44" s="21" t="str">
        <f>IFERROR(__xludf.DUMMYFUNCTION("""COMPUTED_VALUE"""),"AR-Z")</f>
        <v>AR-Z</v>
      </c>
      <c r="F44" s="21" t="str">
        <f>IFERROR(__xludf.DUMMYFUNCTION("""COMPUTED_VALUE"""),"Santa Cruz")</f>
        <v>Santa Cruz</v>
      </c>
      <c r="G44" s="21" t="str">
        <f>IF(C44="","",VLOOKUP(C44,categoria_proveedor[#ALL],2,0))</f>
        <v>Agroindustria</v>
      </c>
    </row>
    <row r="45">
      <c r="A45" s="21" t="str">
        <f>IFERROR(__xludf.DUMMYFUNCTION("""COMPUTED_VALUE"""),"44")</f>
        <v>44</v>
      </c>
      <c r="B45" s="21" t="str">
        <f>IFERROR(__xludf.DUMMYFUNCTION("""COMPUTED_VALUE"""),"44")</f>
        <v>44</v>
      </c>
      <c r="C45" s="21" t="str">
        <f>IFERROR(__xludf.DUMMYFUNCTION("""COMPUTED_VALUE"""),"4")</f>
        <v>4</v>
      </c>
      <c r="D45" s="21" t="str">
        <f>IFERROR(__xludf.DUMMYFUNCTION("""COMPUTED_VALUE"""),"Gualeguaychu")</f>
        <v>Gualeguaychu</v>
      </c>
      <c r="E45" s="21" t="str">
        <f>IFERROR(__xludf.DUMMYFUNCTION("""COMPUTED_VALUE"""),"AR-E")</f>
        <v>AR-E</v>
      </c>
      <c r="F45" s="21" t="str">
        <f>IFERROR(__xludf.DUMMYFUNCTION("""COMPUTED_VALUE"""),"Entre Rios")</f>
        <v>Entre Rios</v>
      </c>
      <c r="G45" s="21" t="str">
        <f>IF(C45="","",VLOOKUP(C45,categoria_proveedor[#ALL],2,0))</f>
        <v>Tecnología</v>
      </c>
    </row>
    <row r="46">
      <c r="A46" s="21" t="str">
        <f>IFERROR(__xludf.DUMMYFUNCTION("""COMPUTED_VALUE"""),"45")</f>
        <v>45</v>
      </c>
      <c r="B46" s="21" t="str">
        <f>IFERROR(__xludf.DUMMYFUNCTION("""COMPUTED_VALUE"""),"45")</f>
        <v>45</v>
      </c>
      <c r="C46" s="21" t="str">
        <f>IFERROR(__xludf.DUMMYFUNCTION("""COMPUTED_VALUE"""),"13")</f>
        <v>13</v>
      </c>
      <c r="D46" s="21" t="str">
        <f>IFERROR(__xludf.DUMMYFUNCTION("""COMPUTED_VALUE"""),"Rio Grande")</f>
        <v>Rio Grande</v>
      </c>
      <c r="E46" s="21" t="str">
        <f>IFERROR(__xludf.DUMMYFUNCTION("""COMPUTED_VALUE"""),"AR-V")</f>
        <v>AR-V</v>
      </c>
      <c r="F46" s="21" t="str">
        <f>IFERROR(__xludf.DUMMYFUNCTION("""COMPUTED_VALUE"""),"Tierra del Fuego, Antartida e Islas del Atlantico Sur")</f>
        <v>Tierra del Fuego, Antartida e Islas del Atlantico Sur</v>
      </c>
      <c r="G46" s="21" t="str">
        <f>IF(C46="","",VLOOKUP(C46,categoria_proveedor[#ALL],2,0))</f>
        <v>Energía Solar</v>
      </c>
    </row>
    <row r="47">
      <c r="A47" s="21" t="str">
        <f>IFERROR(__xludf.DUMMYFUNCTION("""COMPUTED_VALUE"""),"46")</f>
        <v>46</v>
      </c>
      <c r="B47" s="21" t="str">
        <f>IFERROR(__xludf.DUMMYFUNCTION("""COMPUTED_VALUE"""),"46")</f>
        <v>46</v>
      </c>
      <c r="C47" s="21" t="str">
        <f>IFERROR(__xludf.DUMMYFUNCTION("""COMPUTED_VALUE"""),"7")</f>
        <v>7</v>
      </c>
      <c r="D47" s="21" t="str">
        <f>IFERROR(__xludf.DUMMYFUNCTION("""COMPUTED_VALUE"""),"Buenos Aires")</f>
        <v>Buenos Aires</v>
      </c>
      <c r="E47" s="21" t="str">
        <f>IFERROR(__xludf.DUMMYFUNCTION("""COMPUTED_VALUE"""),"AR-B")</f>
        <v>AR-B</v>
      </c>
      <c r="F47" s="21" t="str">
        <f>IFERROR(__xludf.DUMMYFUNCTION("""COMPUTED_VALUE"""),"Buenos Aires")</f>
        <v>Buenos Aires</v>
      </c>
      <c r="G47" s="21" t="str">
        <f>IF(C47="","",VLOOKUP(C47,categoria_proveedor[#ALL],2,0))</f>
        <v>Transporte</v>
      </c>
    </row>
    <row r="48">
      <c r="A48" s="21" t="str">
        <f>IFERROR(__xludf.DUMMYFUNCTION("""COMPUTED_VALUE"""),"47")</f>
        <v>47</v>
      </c>
      <c r="B48" s="21" t="str">
        <f>IFERROR(__xludf.DUMMYFUNCTION("""COMPUTED_VALUE"""),"47")</f>
        <v>47</v>
      </c>
      <c r="C48" s="21" t="str">
        <f>IFERROR(__xludf.DUMMYFUNCTION("""COMPUTED_VALUE"""),"8")</f>
        <v>8</v>
      </c>
      <c r="D48" s="21" t="str">
        <f>IFERROR(__xludf.DUMMYFUNCTION("""COMPUTED_VALUE"""),"Villa Carlos Paz")</f>
        <v>Villa Carlos Paz</v>
      </c>
      <c r="E48" s="21" t="str">
        <f>IFERROR(__xludf.DUMMYFUNCTION("""COMPUTED_VALUE"""),"AR-X")</f>
        <v>AR-X</v>
      </c>
      <c r="F48" s="21" t="str">
        <f>IFERROR(__xludf.DUMMYFUNCTION("""COMPUTED_VALUE"""),"Cordoba")</f>
        <v>Cordoba</v>
      </c>
      <c r="G48" s="21" t="str">
        <f>IF(C48="","",VLOOKUP(C48,categoria_proveedor[#ALL],2,0))</f>
        <v>Construcción</v>
      </c>
    </row>
    <row r="49">
      <c r="A49" s="21" t="str">
        <f>IFERROR(__xludf.DUMMYFUNCTION("""COMPUTED_VALUE"""),"48")</f>
        <v>48</v>
      </c>
      <c r="B49" s="21" t="str">
        <f>IFERROR(__xludf.DUMMYFUNCTION("""COMPUTED_VALUE"""),"48")</f>
        <v>48</v>
      </c>
      <c r="C49" s="21" t="str">
        <f>IFERROR(__xludf.DUMMYFUNCTION("""COMPUTED_VALUE"""),"9")</f>
        <v>9</v>
      </c>
      <c r="D49" s="21" t="str">
        <f>IFERROR(__xludf.DUMMYFUNCTION("""COMPUTED_VALUE"""),"Villa Allende")</f>
        <v>Villa Allende</v>
      </c>
      <c r="E49" s="21" t="str">
        <f>IFERROR(__xludf.DUMMYFUNCTION("""COMPUTED_VALUE"""),"AR-X")</f>
        <v>AR-X</v>
      </c>
      <c r="F49" s="21" t="str">
        <f>IFERROR(__xludf.DUMMYFUNCTION("""COMPUTED_VALUE"""),"Cordoba")</f>
        <v>Cordoba</v>
      </c>
      <c r="G49" s="21" t="str">
        <f>IF(C49="","",VLOOKUP(C49,categoria_proveedor[#ALL],2,0))</f>
        <v>Agroindustria</v>
      </c>
    </row>
    <row r="50">
      <c r="A50" s="21" t="str">
        <f>IFERROR(__xludf.DUMMYFUNCTION("""COMPUTED_VALUE"""),"49")</f>
        <v>49</v>
      </c>
      <c r="B50" s="21" t="str">
        <f>IFERROR(__xludf.DUMMYFUNCTION("""COMPUTED_VALUE"""),"49")</f>
        <v>49</v>
      </c>
      <c r="C50" s="21" t="str">
        <f>IFERROR(__xludf.DUMMYFUNCTION("""COMPUTED_VALUE"""),"5")</f>
        <v>5</v>
      </c>
      <c r="D50" s="21" t="str">
        <f>IFERROR(__xludf.DUMMYFUNCTION("""COMPUTED_VALUE"""),"San Pedro")</f>
        <v>San Pedro</v>
      </c>
      <c r="E50" s="21" t="str">
        <f>IFERROR(__xludf.DUMMYFUNCTION("""COMPUTED_VALUE"""),"AR-B")</f>
        <v>AR-B</v>
      </c>
      <c r="F50" s="21" t="str">
        <f>IFERROR(__xludf.DUMMYFUNCTION("""COMPUTED_VALUE"""),"Buenos Aires")</f>
        <v>Buenos Aires</v>
      </c>
      <c r="G50" s="21" t="str">
        <f>IF(C50="","",VLOOKUP(C50,categoria_proveedor[#ALL],2,0))</f>
        <v>Consultoría</v>
      </c>
    </row>
    <row r="51">
      <c r="A51" s="21" t="str">
        <f>IFERROR(__xludf.DUMMYFUNCTION("""COMPUTED_VALUE"""),"50")</f>
        <v>50</v>
      </c>
      <c r="B51" s="21" t="str">
        <f>IFERROR(__xludf.DUMMYFUNCTION("""COMPUTED_VALUE"""),"50")</f>
        <v>50</v>
      </c>
      <c r="C51" s="21" t="str">
        <f>IFERROR(__xludf.DUMMYFUNCTION("""COMPUTED_VALUE"""),"4")</f>
        <v>4</v>
      </c>
      <c r="D51" s="21" t="str">
        <f>IFERROR(__xludf.DUMMYFUNCTION("""COMPUTED_VALUE"""),"General Roca")</f>
        <v>General Roca</v>
      </c>
      <c r="E51" s="21" t="str">
        <f>IFERROR(__xludf.DUMMYFUNCTION("""COMPUTED_VALUE"""),"AR-R")</f>
        <v>AR-R</v>
      </c>
      <c r="F51" s="21" t="str">
        <f>IFERROR(__xludf.DUMMYFUNCTION("""COMPUTED_VALUE"""),"Rio Negro")</f>
        <v>Rio Negro</v>
      </c>
      <c r="G51" s="21" t="str">
        <f>IF(C51="","",VLOOKUP(C51,categoria_proveedor[#ALL],2,0))</f>
        <v>Tecnología</v>
      </c>
    </row>
    <row r="52">
      <c r="A52" s="21" t="str">
        <f>IFERROR(__xludf.DUMMYFUNCTION("""COMPUTED_VALUE"""),"51")</f>
        <v>51</v>
      </c>
      <c r="B52" s="21" t="str">
        <f>IFERROR(__xludf.DUMMYFUNCTION("""COMPUTED_VALUE"""),"51")</f>
        <v>51</v>
      </c>
      <c r="C52" s="21" t="str">
        <f>IFERROR(__xludf.DUMMYFUNCTION("""COMPUTED_VALUE"""),"12")</f>
        <v>12</v>
      </c>
      <c r="D52" s="21" t="str">
        <f>IFERROR(__xludf.DUMMYFUNCTION("""COMPUTED_VALUE"""),"Junin")</f>
        <v>Junin</v>
      </c>
      <c r="E52" s="21" t="str">
        <f>IFERROR(__xludf.DUMMYFUNCTION("""COMPUTED_VALUE"""),"AR-B")</f>
        <v>AR-B</v>
      </c>
      <c r="F52" s="21" t="str">
        <f>IFERROR(__xludf.DUMMYFUNCTION("""COMPUTED_VALUE"""),"Buenos Aires")</f>
        <v>Buenos Aires</v>
      </c>
      <c r="G52" s="21" t="str">
        <f>IF(C52="","",VLOOKUP(C52,categoria_proveedor[#ALL],2,0))</f>
        <v>Energía Eólica</v>
      </c>
    </row>
    <row r="53">
      <c r="A53" s="21" t="str">
        <f>IFERROR(__xludf.DUMMYFUNCTION("""COMPUTED_VALUE"""),"52")</f>
        <v>52</v>
      </c>
      <c r="B53" s="21" t="str">
        <f>IFERROR(__xludf.DUMMYFUNCTION("""COMPUTED_VALUE"""),"52")</f>
        <v>52</v>
      </c>
      <c r="C53" s="21" t="str">
        <f>IFERROR(__xludf.DUMMYFUNCTION("""COMPUTED_VALUE"""),"8")</f>
        <v>8</v>
      </c>
      <c r="D53" s="21" t="str">
        <f>IFERROR(__xludf.DUMMYFUNCTION("""COMPUTED_VALUE"""),"Buenos Aires")</f>
        <v>Buenos Aires</v>
      </c>
      <c r="E53" s="21" t="str">
        <f>IFERROR(__xludf.DUMMYFUNCTION("""COMPUTED_VALUE"""),"AR-B")</f>
        <v>AR-B</v>
      </c>
      <c r="F53" s="21" t="str">
        <f>IFERROR(__xludf.DUMMYFUNCTION("""COMPUTED_VALUE"""),"Buenos Aires")</f>
        <v>Buenos Aires</v>
      </c>
      <c r="G53" s="21" t="str">
        <f>IF(C53="","",VLOOKUP(C53,categoria_proveedor[#ALL],2,0))</f>
        <v>Construcción</v>
      </c>
    </row>
    <row r="54">
      <c r="A54" s="21" t="str">
        <f>IFERROR(__xludf.DUMMYFUNCTION("""COMPUTED_VALUE"""),"53")</f>
        <v>53</v>
      </c>
      <c r="B54" s="21" t="str">
        <f>IFERROR(__xludf.DUMMYFUNCTION("""COMPUTED_VALUE"""),"53")</f>
        <v>53</v>
      </c>
      <c r="C54" s="21" t="str">
        <f>IFERROR(__xludf.DUMMYFUNCTION("""COMPUTED_VALUE"""),"9")</f>
        <v>9</v>
      </c>
      <c r="D54" s="21" t="str">
        <f>IFERROR(__xludf.DUMMYFUNCTION("""COMPUTED_VALUE"""),"Rafaela")</f>
        <v>Rafaela</v>
      </c>
      <c r="E54" s="21" t="str">
        <f>IFERROR(__xludf.DUMMYFUNCTION("""COMPUTED_VALUE"""),"AR-S")</f>
        <v>AR-S</v>
      </c>
      <c r="F54" s="21" t="str">
        <f>IFERROR(__xludf.DUMMYFUNCTION("""COMPUTED_VALUE"""),"Santa Fe")</f>
        <v>Santa Fe</v>
      </c>
      <c r="G54" s="21" t="str">
        <f>IF(C54="","",VLOOKUP(C54,categoria_proveedor[#ALL],2,0))</f>
        <v>Agroindustria</v>
      </c>
    </row>
    <row r="55">
      <c r="A55" s="21" t="str">
        <f>IFERROR(__xludf.DUMMYFUNCTION("""COMPUTED_VALUE"""),"54")</f>
        <v>54</v>
      </c>
      <c r="B55" s="21" t="str">
        <f>IFERROR(__xludf.DUMMYFUNCTION("""COMPUTED_VALUE"""),"54")</f>
        <v>54</v>
      </c>
      <c r="C55" s="21" t="str">
        <f>IFERROR(__xludf.DUMMYFUNCTION("""COMPUTED_VALUE"""),"4")</f>
        <v>4</v>
      </c>
      <c r="D55" s="21" t="str">
        <f>IFERROR(__xludf.DUMMYFUNCTION("""COMPUTED_VALUE"""),"Rio Gallegos")</f>
        <v>Rio Gallegos</v>
      </c>
      <c r="E55" s="21" t="str">
        <f>IFERROR(__xludf.DUMMYFUNCTION("""COMPUTED_VALUE"""),"AR-Z")</f>
        <v>AR-Z</v>
      </c>
      <c r="F55" s="21" t="str">
        <f>IFERROR(__xludf.DUMMYFUNCTION("""COMPUTED_VALUE"""),"Santa Cruz")</f>
        <v>Santa Cruz</v>
      </c>
      <c r="G55" s="21" t="str">
        <f>IF(C55="","",VLOOKUP(C55,categoria_proveedor[#ALL],2,0))</f>
        <v>Tecnología</v>
      </c>
    </row>
    <row r="56">
      <c r="A56" s="21" t="str">
        <f>IFERROR(__xludf.DUMMYFUNCTION("""COMPUTED_VALUE"""),"55")</f>
        <v>55</v>
      </c>
      <c r="B56" s="21" t="str">
        <f>IFERROR(__xludf.DUMMYFUNCTION("""COMPUTED_VALUE"""),"55")</f>
        <v>55</v>
      </c>
      <c r="C56" s="21" t="str">
        <f>IFERROR(__xludf.DUMMYFUNCTION("""COMPUTED_VALUE"""),"13")</f>
        <v>13</v>
      </c>
      <c r="D56" s="21" t="str">
        <f>IFERROR(__xludf.DUMMYFUNCTION("""COMPUTED_VALUE"""),"Buenos Aires")</f>
        <v>Buenos Aires</v>
      </c>
      <c r="E56" s="21" t="str">
        <f>IFERROR(__xludf.DUMMYFUNCTION("""COMPUTED_VALUE"""),"AR-B")</f>
        <v>AR-B</v>
      </c>
      <c r="F56" s="21" t="str">
        <f>IFERROR(__xludf.DUMMYFUNCTION("""COMPUTED_VALUE"""),"Buenos Aires")</f>
        <v>Buenos Aires</v>
      </c>
      <c r="G56" s="21" t="str">
        <f>IF(C56="","",VLOOKUP(C56,categoria_proveedor[#ALL],2,0))</f>
        <v>Energía Solar</v>
      </c>
    </row>
    <row r="57">
      <c r="A57" s="21" t="str">
        <f>IFERROR(__xludf.DUMMYFUNCTION("""COMPUTED_VALUE"""),"56")</f>
        <v>56</v>
      </c>
      <c r="B57" s="21" t="str">
        <f>IFERROR(__xludf.DUMMYFUNCTION("""COMPUTED_VALUE"""),"56")</f>
        <v>56</v>
      </c>
      <c r="C57" s="21" t="str">
        <f>IFERROR(__xludf.DUMMYFUNCTION("""COMPUTED_VALUE"""),"7")</f>
        <v>7</v>
      </c>
      <c r="D57" s="21" t="str">
        <f>IFERROR(__xludf.DUMMYFUNCTION("""COMPUTED_VALUE"""),"Mendoza")</f>
        <v>Mendoza</v>
      </c>
      <c r="E57" s="21" t="str">
        <f>IFERROR(__xludf.DUMMYFUNCTION("""COMPUTED_VALUE"""),"AR-M")</f>
        <v>AR-M</v>
      </c>
      <c r="F57" s="21" t="str">
        <f>IFERROR(__xludf.DUMMYFUNCTION("""COMPUTED_VALUE"""),"Mendoza")</f>
        <v>Mendoza</v>
      </c>
      <c r="G57" s="21" t="str">
        <f>IF(C57="","",VLOOKUP(C57,categoria_proveedor[#ALL],2,0))</f>
        <v>Transporte</v>
      </c>
    </row>
    <row r="58">
      <c r="A58" s="21" t="str">
        <f>IFERROR(__xludf.DUMMYFUNCTION("""COMPUTED_VALUE"""),"57")</f>
        <v>57</v>
      </c>
      <c r="B58" s="21" t="str">
        <f>IFERROR(__xludf.DUMMYFUNCTION("""COMPUTED_VALUE"""),"57")</f>
        <v>57</v>
      </c>
      <c r="C58" s="21" t="str">
        <f>IFERROR(__xludf.DUMMYFUNCTION("""COMPUTED_VALUE"""),"8")</f>
        <v>8</v>
      </c>
      <c r="D58" s="21" t="str">
        <f>IFERROR(__xludf.DUMMYFUNCTION("""COMPUTED_VALUE"""),"Cordoba")</f>
        <v>Cordoba</v>
      </c>
      <c r="E58" s="21" t="str">
        <f>IFERROR(__xludf.DUMMYFUNCTION("""COMPUTED_VALUE"""),"AR-X")</f>
        <v>AR-X</v>
      </c>
      <c r="F58" s="21" t="str">
        <f>IFERROR(__xludf.DUMMYFUNCTION("""COMPUTED_VALUE"""),"Cordoba")</f>
        <v>Cordoba</v>
      </c>
      <c r="G58" s="21" t="str">
        <f>IF(C58="","",VLOOKUP(C58,categoria_proveedor[#ALL],2,0))</f>
        <v>Construcción</v>
      </c>
    </row>
    <row r="59">
      <c r="A59" s="21" t="str">
        <f>IFERROR(__xludf.DUMMYFUNCTION("""COMPUTED_VALUE"""),"58")</f>
        <v>58</v>
      </c>
      <c r="B59" s="21" t="str">
        <f>IFERROR(__xludf.DUMMYFUNCTION("""COMPUTED_VALUE"""),"58")</f>
        <v>58</v>
      </c>
      <c r="C59" s="21" t="str">
        <f>IFERROR(__xludf.DUMMYFUNCTION("""COMPUTED_VALUE"""),"9")</f>
        <v>9</v>
      </c>
      <c r="D59" s="21" t="str">
        <f>IFERROR(__xludf.DUMMYFUNCTION("""COMPUTED_VALUE"""),"Rosario")</f>
        <v>Rosario</v>
      </c>
      <c r="E59" s="21" t="str">
        <f>IFERROR(__xludf.DUMMYFUNCTION("""COMPUTED_VALUE"""),"AR-S")</f>
        <v>AR-S</v>
      </c>
      <c r="F59" s="21" t="str">
        <f>IFERROR(__xludf.DUMMYFUNCTION("""COMPUTED_VALUE"""),"Santa Fe")</f>
        <v>Santa Fe</v>
      </c>
      <c r="G59" s="21" t="str">
        <f>IF(C59="","",VLOOKUP(C59,categoria_proveedor[#ALL],2,0))</f>
        <v>Agroindustria</v>
      </c>
    </row>
    <row r="60">
      <c r="A60" s="21" t="str">
        <f>IFERROR(__xludf.DUMMYFUNCTION("""COMPUTED_VALUE"""),"59")</f>
        <v>59</v>
      </c>
      <c r="B60" s="21" t="str">
        <f>IFERROR(__xludf.DUMMYFUNCTION("""COMPUTED_VALUE"""),"59")</f>
        <v>59</v>
      </c>
      <c r="C60" s="21" t="str">
        <f>IFERROR(__xludf.DUMMYFUNCTION("""COMPUTED_VALUE"""),"5")</f>
        <v>5</v>
      </c>
      <c r="D60" s="21" t="str">
        <f>IFERROR(__xludf.DUMMYFUNCTION("""COMPUTED_VALUE"""),"San Juan")</f>
        <v>San Juan</v>
      </c>
      <c r="E60" s="21" t="str">
        <f>IFERROR(__xludf.DUMMYFUNCTION("""COMPUTED_VALUE"""),"AR-J")</f>
        <v>AR-J</v>
      </c>
      <c r="F60" s="21" t="str">
        <f>IFERROR(__xludf.DUMMYFUNCTION("""COMPUTED_VALUE"""),"San Juan")</f>
        <v>San Juan</v>
      </c>
      <c r="G60" s="21" t="str">
        <f>IF(C60="","",VLOOKUP(C60,categoria_proveedor[#ALL],2,0))</f>
        <v>Consultoría</v>
      </c>
    </row>
    <row r="61">
      <c r="A61" s="21" t="str">
        <f>IFERROR(__xludf.DUMMYFUNCTION("""COMPUTED_VALUE"""),"60")</f>
        <v>60</v>
      </c>
      <c r="B61" s="21" t="str">
        <f>IFERROR(__xludf.DUMMYFUNCTION("""COMPUTED_VALUE"""),"60")</f>
        <v>60</v>
      </c>
      <c r="C61" s="21" t="str">
        <f>IFERROR(__xludf.DUMMYFUNCTION("""COMPUTED_VALUE"""),"4")</f>
        <v>4</v>
      </c>
      <c r="D61" s="21" t="str">
        <f>IFERROR(__xludf.DUMMYFUNCTION("""COMPUTED_VALUE"""),"San Rafael")</f>
        <v>San Rafael</v>
      </c>
      <c r="E61" s="21" t="str">
        <f>IFERROR(__xludf.DUMMYFUNCTION("""COMPUTED_VALUE"""),"AR-M")</f>
        <v>AR-M</v>
      </c>
      <c r="F61" s="21" t="str">
        <f>IFERROR(__xludf.DUMMYFUNCTION("""COMPUTED_VALUE"""),"Mendoza")</f>
        <v>Mendoza</v>
      </c>
      <c r="G61" s="21" t="str">
        <f>IF(C61="","",VLOOKUP(C61,categoria_proveedor[#ALL],2,0))</f>
        <v>Tecnología</v>
      </c>
    </row>
    <row r="62">
      <c r="A62" s="21" t="str">
        <f>IFERROR(__xludf.DUMMYFUNCTION("""COMPUTED_VALUE"""),"61")</f>
        <v>61</v>
      </c>
      <c r="B62" s="21" t="str">
        <f>IFERROR(__xludf.DUMMYFUNCTION("""COMPUTED_VALUE"""),"61")</f>
        <v>61</v>
      </c>
      <c r="C62" s="21" t="str">
        <f>IFERROR(__xludf.DUMMYFUNCTION("""COMPUTED_VALUE"""),"12")</f>
        <v>12</v>
      </c>
      <c r="D62" s="21" t="str">
        <f>IFERROR(__xludf.DUMMYFUNCTION("""COMPUTED_VALUE"""),"Posadas")</f>
        <v>Posadas</v>
      </c>
      <c r="E62" s="21" t="str">
        <f>IFERROR(__xludf.DUMMYFUNCTION("""COMPUTED_VALUE"""),"AR-N")</f>
        <v>AR-N</v>
      </c>
      <c r="F62" s="21" t="str">
        <f>IFERROR(__xludf.DUMMYFUNCTION("""COMPUTED_VALUE"""),"Misiones")</f>
        <v>Misiones</v>
      </c>
      <c r="G62" s="21" t="str">
        <f>IF(C62="","",VLOOKUP(C62,categoria_proveedor[#ALL],2,0))</f>
        <v>Energía Eólica</v>
      </c>
    </row>
    <row r="63">
      <c r="A63" s="21" t="str">
        <f>IFERROR(__xludf.DUMMYFUNCTION("""COMPUTED_VALUE"""),"62")</f>
        <v>62</v>
      </c>
      <c r="B63" s="21" t="str">
        <f>IFERROR(__xludf.DUMMYFUNCTION("""COMPUTED_VALUE"""),"62")</f>
        <v>62</v>
      </c>
      <c r="C63" s="21" t="str">
        <f>IFERROR(__xludf.DUMMYFUNCTION("""COMPUTED_VALUE"""),"8")</f>
        <v>8</v>
      </c>
      <c r="D63" s="21" t="str">
        <f>IFERROR(__xludf.DUMMYFUNCTION("""COMPUTED_VALUE"""),"Bahia Blanca")</f>
        <v>Bahia Blanca</v>
      </c>
      <c r="E63" s="21" t="str">
        <f>IFERROR(__xludf.DUMMYFUNCTION("""COMPUTED_VALUE"""),"AR-B")</f>
        <v>AR-B</v>
      </c>
      <c r="F63" s="21" t="str">
        <f>IFERROR(__xludf.DUMMYFUNCTION("""COMPUTED_VALUE"""),"Buenos Aires")</f>
        <v>Buenos Aires</v>
      </c>
      <c r="G63" s="21" t="str">
        <f>IF(C63="","",VLOOKUP(C63,categoria_proveedor[#ALL],2,0))</f>
        <v>Construcción</v>
      </c>
    </row>
    <row r="64">
      <c r="A64" s="21" t="str">
        <f>IFERROR(__xludf.DUMMYFUNCTION("""COMPUTED_VALUE"""),"63")</f>
        <v>63</v>
      </c>
      <c r="B64" s="21" t="str">
        <f>IFERROR(__xludf.DUMMYFUNCTION("""COMPUTED_VALUE"""),"63")</f>
        <v>63</v>
      </c>
      <c r="C64" s="21" t="str">
        <f>IFERROR(__xludf.DUMMYFUNCTION("""COMPUTED_VALUE"""),"9")</f>
        <v>9</v>
      </c>
      <c r="D64" s="21" t="str">
        <f>IFERROR(__xludf.DUMMYFUNCTION("""COMPUTED_VALUE"""),"Resistencia")</f>
        <v>Resistencia</v>
      </c>
      <c r="E64" s="21" t="str">
        <f>IFERROR(__xludf.DUMMYFUNCTION("""COMPUTED_VALUE"""),"AR-H")</f>
        <v>AR-H</v>
      </c>
      <c r="F64" s="21" t="str">
        <f>IFERROR(__xludf.DUMMYFUNCTION("""COMPUTED_VALUE"""),"Chaco")</f>
        <v>Chaco</v>
      </c>
      <c r="G64" s="21" t="str">
        <f>IF(C64="","",VLOOKUP(C64,categoria_proveedor[#ALL],2,0))</f>
        <v>Agroindustria</v>
      </c>
    </row>
    <row r="65">
      <c r="A65" s="21" t="str">
        <f>IFERROR(__xludf.DUMMYFUNCTION("""COMPUTED_VALUE"""),"64")</f>
        <v>64</v>
      </c>
      <c r="B65" s="21" t="str">
        <f>IFERROR(__xludf.DUMMYFUNCTION("""COMPUTED_VALUE"""),"64")</f>
        <v>64</v>
      </c>
      <c r="C65" s="21" t="str">
        <f>IFERROR(__xludf.DUMMYFUNCTION("""COMPUTED_VALUE"""),"4")</f>
        <v>4</v>
      </c>
      <c r="D65" s="21" t="str">
        <f>IFERROR(__xludf.DUMMYFUNCTION("""COMPUTED_VALUE"""),"Formosa")</f>
        <v>Formosa</v>
      </c>
      <c r="E65" s="21" t="str">
        <f>IFERROR(__xludf.DUMMYFUNCTION("""COMPUTED_VALUE"""),"AR-P")</f>
        <v>AR-P</v>
      </c>
      <c r="F65" s="21" t="str">
        <f>IFERROR(__xludf.DUMMYFUNCTION("""COMPUTED_VALUE"""),"Formosa")</f>
        <v>Formosa</v>
      </c>
      <c r="G65" s="21" t="str">
        <f>IF(C65="","",VLOOKUP(C65,categoria_proveedor[#ALL],2,0))</f>
        <v>Tecnología</v>
      </c>
    </row>
    <row r="66">
      <c r="A66" s="21" t="str">
        <f>IFERROR(__xludf.DUMMYFUNCTION("""COMPUTED_VALUE"""),"65")</f>
        <v>65</v>
      </c>
      <c r="B66" s="21" t="str">
        <f>IFERROR(__xludf.DUMMYFUNCTION("""COMPUTED_VALUE"""),"65")</f>
        <v>65</v>
      </c>
      <c r="C66" s="21" t="str">
        <f>IFERROR(__xludf.DUMMYFUNCTION("""COMPUTED_VALUE"""),"13")</f>
        <v>13</v>
      </c>
      <c r="D66" s="21" t="str">
        <f>IFERROR(__xludf.DUMMYFUNCTION("""COMPUTED_VALUE"""),"Santiago del Estero")</f>
        <v>Santiago del Estero</v>
      </c>
      <c r="E66" s="21" t="str">
        <f>IFERROR(__xludf.DUMMYFUNCTION("""COMPUTED_VALUE"""),"AR-G")</f>
        <v>AR-G</v>
      </c>
      <c r="F66" s="21" t="str">
        <f>IFERROR(__xludf.DUMMYFUNCTION("""COMPUTED_VALUE"""),"Santiago del Estero")</f>
        <v>Santiago del Estero</v>
      </c>
      <c r="G66" s="21" t="str">
        <f>IF(C66="","",VLOOKUP(C66,categoria_proveedor[#ALL],2,0))</f>
        <v>Energía Solar</v>
      </c>
    </row>
    <row r="67">
      <c r="A67" s="21" t="str">
        <f>IFERROR(__xludf.DUMMYFUNCTION("""COMPUTED_VALUE"""),"66")</f>
        <v>66</v>
      </c>
      <c r="B67" s="21" t="str">
        <f>IFERROR(__xludf.DUMMYFUNCTION("""COMPUTED_VALUE"""),"66")</f>
        <v>66</v>
      </c>
      <c r="C67" s="21" t="str">
        <f>IFERROR(__xludf.DUMMYFUNCTION("""COMPUTED_VALUE"""),"7")</f>
        <v>7</v>
      </c>
      <c r="D67" s="21" t="str">
        <f>IFERROR(__xludf.DUMMYFUNCTION("""COMPUTED_VALUE"""),"Rio Cuarto")</f>
        <v>Rio Cuarto</v>
      </c>
      <c r="E67" s="21" t="str">
        <f>IFERROR(__xludf.DUMMYFUNCTION("""COMPUTED_VALUE"""),"AR-X")</f>
        <v>AR-X</v>
      </c>
      <c r="F67" s="21" t="str">
        <f>IFERROR(__xludf.DUMMYFUNCTION("""COMPUTED_VALUE"""),"Cordoba")</f>
        <v>Cordoba</v>
      </c>
      <c r="G67" s="21" t="str">
        <f>IF(C67="","",VLOOKUP(C67,categoria_proveedor[#ALL],2,0))</f>
        <v>Transporte</v>
      </c>
    </row>
    <row r="68">
      <c r="A68" s="21" t="str">
        <f>IFERROR(__xludf.DUMMYFUNCTION("""COMPUTED_VALUE"""),"67")</f>
        <v>67</v>
      </c>
      <c r="B68" s="21" t="str">
        <f>IFERROR(__xludf.DUMMYFUNCTION("""COMPUTED_VALUE"""),"67")</f>
        <v>67</v>
      </c>
      <c r="C68" s="21" t="str">
        <f>IFERROR(__xludf.DUMMYFUNCTION("""COMPUTED_VALUE"""),"8")</f>
        <v>8</v>
      </c>
      <c r="D68" s="21" t="str">
        <f>IFERROR(__xludf.DUMMYFUNCTION("""COMPUTED_VALUE"""),"Buenos Aires")</f>
        <v>Buenos Aires</v>
      </c>
      <c r="E68" s="21" t="str">
        <f>IFERROR(__xludf.DUMMYFUNCTION("""COMPUTED_VALUE"""),"AR-B")</f>
        <v>AR-B</v>
      </c>
      <c r="F68" s="21" t="str">
        <f>IFERROR(__xludf.DUMMYFUNCTION("""COMPUTED_VALUE"""),"Buenos Aires")</f>
        <v>Buenos Aires</v>
      </c>
      <c r="G68" s="21" t="str">
        <f>IF(C68="","",VLOOKUP(C68,categoria_proveedor[#ALL],2,0))</f>
        <v>Construcción</v>
      </c>
    </row>
    <row r="69">
      <c r="A69" s="21" t="str">
        <f>IFERROR(__xludf.DUMMYFUNCTION("""COMPUTED_VALUE"""),"68")</f>
        <v>68</v>
      </c>
      <c r="B69" s="21" t="str">
        <f>IFERROR(__xludf.DUMMYFUNCTION("""COMPUTED_VALUE"""),"68")</f>
        <v>68</v>
      </c>
      <c r="C69" s="21" t="str">
        <f>IFERROR(__xludf.DUMMYFUNCTION("""COMPUTED_VALUE"""),"9")</f>
        <v>9</v>
      </c>
      <c r="D69" s="21" t="str">
        <f>IFERROR(__xludf.DUMMYFUNCTION("""COMPUTED_VALUE"""),"Villa Maria")</f>
        <v>Villa Maria</v>
      </c>
      <c r="E69" s="21" t="str">
        <f>IFERROR(__xludf.DUMMYFUNCTION("""COMPUTED_VALUE"""),"AR-X")</f>
        <v>AR-X</v>
      </c>
      <c r="F69" s="21" t="str">
        <f>IFERROR(__xludf.DUMMYFUNCTION("""COMPUTED_VALUE"""),"Cordoba")</f>
        <v>Cordoba</v>
      </c>
      <c r="G69" s="21" t="str">
        <f>IF(C69="","",VLOOKUP(C69,categoria_proveedor[#ALL],2,0))</f>
        <v>Agroindustria</v>
      </c>
    </row>
    <row r="70">
      <c r="A70" s="21"/>
      <c r="B70" s="21"/>
      <c r="C70" s="21"/>
      <c r="D70" s="21"/>
      <c r="E70" s="21"/>
      <c r="F70" s="21"/>
      <c r="G70" s="21" t="str">
        <f>IF(C70="","",VLOOKUP(C70,categoria_proveedor[#ALL],2,0))</f>
        <v/>
      </c>
    </row>
    <row r="71">
      <c r="A71" s="21"/>
      <c r="B71" s="21"/>
      <c r="C71" s="21"/>
      <c r="D71" s="21"/>
      <c r="E71" s="21"/>
      <c r="F71" s="21"/>
      <c r="G71" s="21" t="str">
        <f>IF(C71="","",VLOOKUP(C71,categoria_proveedor[#ALL],2,0))</f>
        <v/>
      </c>
    </row>
    <row r="72">
      <c r="A72" s="21"/>
      <c r="B72" s="21"/>
      <c r="C72" s="21"/>
      <c r="D72" s="21"/>
      <c r="E72" s="21"/>
      <c r="F72" s="21"/>
      <c r="G72" s="21" t="str">
        <f>IF(C72="","",VLOOKUP(C72,categoria_proveedor[#ALL],2,0))</f>
        <v/>
      </c>
    </row>
    <row r="73">
      <c r="A73" s="21"/>
      <c r="B73" s="21"/>
      <c r="C73" s="21"/>
      <c r="D73" s="21"/>
      <c r="E73" s="21"/>
      <c r="F73" s="21"/>
      <c r="G73" s="21" t="str">
        <f>IF(C73="","",VLOOKUP(C73,categoria_proveedor[#ALL],2,0))</f>
        <v/>
      </c>
    </row>
    <row r="74">
      <c r="A74" s="21"/>
      <c r="B74" s="21"/>
      <c r="C74" s="21"/>
      <c r="D74" s="21"/>
      <c r="E74" s="21"/>
      <c r="F74" s="21"/>
      <c r="G74" s="21" t="str">
        <f>IF(C74="","",VLOOKUP(C74,categoria_proveedor[#ALL],2,0))</f>
        <v/>
      </c>
    </row>
    <row r="75">
      <c r="A75" s="21"/>
      <c r="B75" s="21"/>
      <c r="C75" s="21"/>
      <c r="D75" s="21"/>
      <c r="E75" s="21"/>
      <c r="F75" s="21"/>
      <c r="G75" s="21" t="str">
        <f>IF(C75="","",VLOOKUP(C75,categoria_proveedor[#ALL],2,0))</f>
        <v/>
      </c>
    </row>
    <row r="76">
      <c r="A76" s="21"/>
      <c r="B76" s="21"/>
      <c r="C76" s="21"/>
      <c r="D76" s="21"/>
      <c r="E76" s="21"/>
      <c r="F76" s="21"/>
      <c r="G76" s="21" t="str">
        <f>IF(C76="","",VLOOKUP(C76,categoria_proveedor[#ALL],2,0))</f>
        <v/>
      </c>
    </row>
    <row r="77">
      <c r="A77" s="21"/>
      <c r="B77" s="21"/>
      <c r="C77" s="21"/>
      <c r="D77" s="21"/>
      <c r="E77" s="21"/>
      <c r="F77" s="21"/>
      <c r="G77" s="21" t="str">
        <f>IF(C77="","",VLOOKUP(C77,categoria_proveedor[#ALL],2,0))</f>
        <v/>
      </c>
    </row>
    <row r="78">
      <c r="A78" s="21"/>
      <c r="B78" s="21"/>
      <c r="C78" s="21"/>
      <c r="D78" s="21"/>
      <c r="E78" s="21"/>
      <c r="F78" s="21"/>
      <c r="G78" s="21" t="str">
        <f>IF(C78="","",VLOOKUP(C78,categoria_proveedor[#ALL],2,0))</f>
        <v/>
      </c>
    </row>
    <row r="79">
      <c r="A79" s="21"/>
      <c r="B79" s="21"/>
      <c r="C79" s="21"/>
      <c r="D79" s="21"/>
      <c r="E79" s="21"/>
      <c r="F79" s="21"/>
      <c r="G79" s="21" t="str">
        <f>IF(C79="","",VLOOKUP(C79,categoria_proveedor[#ALL],2,0))</f>
        <v/>
      </c>
    </row>
    <row r="80">
      <c r="A80" s="21"/>
      <c r="B80" s="21"/>
      <c r="C80" s="21"/>
      <c r="D80" s="21"/>
      <c r="E80" s="21"/>
      <c r="F80" s="21"/>
      <c r="G80" s="21" t="str">
        <f>IF(C80="","",VLOOKUP(C80,categoria_proveedor[#ALL],2,0))</f>
        <v/>
      </c>
    </row>
    <row r="81">
      <c r="A81" s="21"/>
      <c r="B81" s="21"/>
      <c r="C81" s="21"/>
      <c r="D81" s="21"/>
      <c r="E81" s="21"/>
      <c r="F81" s="21"/>
      <c r="G81" s="21" t="str">
        <f>IF(C81="","",VLOOKUP(C81,categoria_proveedor[#ALL],2,0))</f>
        <v/>
      </c>
    </row>
    <row r="82">
      <c r="A82" s="21"/>
      <c r="B82" s="21"/>
      <c r="C82" s="21"/>
      <c r="D82" s="21"/>
      <c r="E82" s="21"/>
      <c r="F82" s="21"/>
      <c r="G82" s="21" t="str">
        <f>IF(C82="","",VLOOKUP(C82,categoria_proveedor[#ALL],2,0))</f>
        <v/>
      </c>
    </row>
    <row r="83">
      <c r="A83" s="21"/>
      <c r="B83" s="21"/>
      <c r="C83" s="21"/>
      <c r="D83" s="21"/>
      <c r="E83" s="21"/>
      <c r="F83" s="21"/>
      <c r="G83" s="21" t="str">
        <f>IF(C83="","",VLOOKUP(C83,categoria_proveedor[#ALL],2,0))</f>
        <v/>
      </c>
    </row>
    <row r="84">
      <c r="A84" s="21"/>
      <c r="B84" s="21"/>
      <c r="C84" s="21"/>
      <c r="D84" s="21"/>
      <c r="E84" s="21"/>
      <c r="F84" s="21"/>
      <c r="G84" s="21" t="str">
        <f>IF(C84="","",VLOOKUP(C84,categoria_proveedor[#ALL],2,0))</f>
        <v/>
      </c>
    </row>
    <row r="85">
      <c r="A85" s="21"/>
      <c r="B85" s="21"/>
      <c r="C85" s="21"/>
      <c r="D85" s="21"/>
      <c r="E85" s="21"/>
      <c r="F85" s="21"/>
      <c r="G85" s="21" t="str">
        <f>IF(C85="","",VLOOKUP(C85,categoria_proveedor[#ALL],2,0))</f>
        <v/>
      </c>
    </row>
    <row r="86">
      <c r="A86" s="21"/>
      <c r="B86" s="21"/>
      <c r="C86" s="21"/>
      <c r="D86" s="21"/>
      <c r="E86" s="21"/>
      <c r="F86" s="21"/>
      <c r="G86" s="21" t="str">
        <f>IF(C86="","",VLOOKUP(C86,categoria_proveedor[#ALL],2,0))</f>
        <v/>
      </c>
    </row>
    <row r="87">
      <c r="A87" s="21"/>
      <c r="B87" s="21"/>
      <c r="C87" s="21"/>
      <c r="D87" s="21"/>
      <c r="E87" s="21"/>
      <c r="F87" s="21"/>
      <c r="G87" s="21" t="str">
        <f>IF(C87="","",VLOOKUP(C87,categoria_proveedor[#ALL],2,0))</f>
        <v/>
      </c>
    </row>
    <row r="88">
      <c r="A88" s="21"/>
      <c r="B88" s="21"/>
      <c r="C88" s="21"/>
      <c r="D88" s="21"/>
      <c r="E88" s="21"/>
      <c r="F88" s="21"/>
      <c r="G88" s="21" t="str">
        <f>IF(C88="","",VLOOKUP(C88,categoria_proveedor[#ALL],2,0))</f>
        <v/>
      </c>
    </row>
    <row r="89">
      <c r="A89" s="21"/>
      <c r="B89" s="21"/>
      <c r="C89" s="21"/>
      <c r="D89" s="21"/>
      <c r="E89" s="21"/>
      <c r="F89" s="21"/>
      <c r="G89" s="21" t="str">
        <f>IF(C89="","",VLOOKUP(C89,categoria_proveedor[#ALL],2,0))</f>
        <v/>
      </c>
    </row>
    <row r="90">
      <c r="A90" s="21"/>
      <c r="B90" s="21"/>
      <c r="C90" s="21"/>
      <c r="D90" s="21"/>
      <c r="E90" s="21"/>
      <c r="F90" s="21"/>
      <c r="G90" s="21" t="str">
        <f>IF(C90="","",VLOOKUP(C90,categoria_proveedor[#ALL],2,0))</f>
        <v/>
      </c>
    </row>
    <row r="91">
      <c r="A91" s="21"/>
      <c r="B91" s="21"/>
      <c r="C91" s="21"/>
      <c r="D91" s="21"/>
      <c r="E91" s="21"/>
      <c r="F91" s="21"/>
      <c r="G91" s="21" t="str">
        <f>IF(C91="","",VLOOKUP(C91,categoria_proveedor[#ALL],2,0))</f>
        <v/>
      </c>
    </row>
    <row r="92">
      <c r="A92" s="21"/>
      <c r="B92" s="21"/>
      <c r="C92" s="21"/>
      <c r="D92" s="21"/>
      <c r="E92" s="21"/>
      <c r="F92" s="21"/>
      <c r="G92" s="21" t="str">
        <f>IF(C92="","",VLOOKUP(C92,categoria_proveedor[#ALL],2,0))</f>
        <v/>
      </c>
    </row>
    <row r="93">
      <c r="A93" s="21"/>
      <c r="B93" s="21"/>
      <c r="C93" s="21"/>
      <c r="D93" s="21"/>
      <c r="E93" s="21"/>
      <c r="F93" s="21"/>
      <c r="G93" s="21" t="str">
        <f>IF(C93="","",VLOOKUP(C93,categoria_proveedor[#ALL],2,0))</f>
        <v/>
      </c>
    </row>
    <row r="94">
      <c r="A94" s="21"/>
      <c r="B94" s="21"/>
      <c r="C94" s="21"/>
      <c r="D94" s="21"/>
      <c r="E94" s="21"/>
      <c r="F94" s="21"/>
      <c r="G94" s="21" t="str">
        <f>IF(C94="","",VLOOKUP(C94,categoria_proveedor[#ALL],2,0))</f>
        <v/>
      </c>
    </row>
    <row r="95">
      <c r="A95" s="21"/>
      <c r="B95" s="21"/>
      <c r="C95" s="21"/>
      <c r="D95" s="21"/>
      <c r="E95" s="21"/>
      <c r="F95" s="21"/>
      <c r="G95" s="21" t="str">
        <f>IF(C95="","",VLOOKUP(C95,categoria_proveedor[#ALL],2,0))</f>
        <v/>
      </c>
    </row>
    <row r="96">
      <c r="A96" s="21"/>
      <c r="B96" s="21"/>
      <c r="C96" s="21"/>
      <c r="D96" s="21"/>
      <c r="E96" s="21"/>
      <c r="F96" s="21"/>
      <c r="G96" s="21" t="str">
        <f>IF(C96="","",VLOOKUP(C96,categoria_proveedor[#ALL],2,0))</f>
        <v/>
      </c>
    </row>
    <row r="97">
      <c r="A97" s="21"/>
      <c r="B97" s="21"/>
      <c r="C97" s="21"/>
      <c r="D97" s="21"/>
      <c r="E97" s="21"/>
      <c r="F97" s="21"/>
      <c r="G97" s="21" t="str">
        <f>IF(C97="","",VLOOKUP(C97,categoria_proveedor[#ALL],2,0))</f>
        <v/>
      </c>
    </row>
    <row r="98">
      <c r="A98" s="21"/>
      <c r="B98" s="21"/>
      <c r="C98" s="21"/>
      <c r="D98" s="21"/>
      <c r="E98" s="21"/>
      <c r="F98" s="21"/>
      <c r="G98" s="21" t="str">
        <f>IF(C98="","",VLOOKUP(C98,categoria_proveedor[#ALL],2,0))</f>
        <v/>
      </c>
    </row>
    <row r="99">
      <c r="A99" s="21"/>
      <c r="B99" s="21"/>
      <c r="C99" s="21"/>
      <c r="D99" s="21"/>
      <c r="E99" s="21"/>
      <c r="F99" s="21"/>
      <c r="G99" s="21" t="str">
        <f>IF(C99="","",VLOOKUP(C99,categoria_proveedor[#ALL],2,0))</f>
        <v/>
      </c>
    </row>
    <row r="100">
      <c r="A100" s="21"/>
      <c r="B100" s="21"/>
      <c r="C100" s="21"/>
      <c r="D100" s="21"/>
      <c r="E100" s="21"/>
      <c r="F100" s="21"/>
      <c r="G100" s="21" t="str">
        <f>IF(C100="","",VLOOKUP(C100,categoria_proveedor[#ALL],2,0))</f>
        <v/>
      </c>
    </row>
    <row r="101">
      <c r="A101" s="21"/>
      <c r="B101" s="21"/>
      <c r="C101" s="21"/>
      <c r="D101" s="21"/>
      <c r="E101" s="21"/>
      <c r="F101" s="21"/>
      <c r="G101" s="21" t="str">
        <f>IF(C101="","",VLOOKUP(C101,categoria_proveedor[#ALL],2,0))</f>
        <v/>
      </c>
    </row>
    <row r="102">
      <c r="A102" s="21"/>
      <c r="B102" s="21"/>
      <c r="C102" s="21"/>
      <c r="D102" s="21"/>
      <c r="E102" s="21"/>
      <c r="F102" s="21"/>
      <c r="G102" s="21" t="str">
        <f>IF(C102="","",VLOOKUP(C102,categoria_proveedor[#ALL],2,0))</f>
        <v/>
      </c>
    </row>
    <row r="103">
      <c r="A103" s="21"/>
      <c r="B103" s="21"/>
      <c r="C103" s="21"/>
      <c r="D103" s="21"/>
      <c r="E103" s="21"/>
      <c r="F103" s="21"/>
      <c r="G103" s="21" t="str">
        <f>IF(C103="","",VLOOKUP(C103,categoria_proveedor[#ALL],2,0))</f>
        <v/>
      </c>
    </row>
    <row r="104">
      <c r="A104" s="21"/>
      <c r="B104" s="21"/>
      <c r="C104" s="21"/>
      <c r="D104" s="21"/>
      <c r="E104" s="21"/>
      <c r="F104" s="21"/>
      <c r="G104" s="21" t="str">
        <f>IF(C104="","",VLOOKUP(C104,categoria_proveedor[#ALL],2,0))</f>
        <v/>
      </c>
    </row>
    <row r="105">
      <c r="A105" s="21"/>
      <c r="B105" s="21"/>
      <c r="C105" s="21"/>
      <c r="D105" s="21"/>
      <c r="E105" s="21"/>
      <c r="F105" s="21"/>
      <c r="G105" s="21" t="str">
        <f>IF(C105="","",VLOOKUP(C105,categoria_proveedor[#ALL],2,0))</f>
        <v/>
      </c>
    </row>
    <row r="106">
      <c r="A106" s="21"/>
      <c r="B106" s="21"/>
      <c r="C106" s="21"/>
      <c r="D106" s="21"/>
      <c r="E106" s="21"/>
      <c r="F106" s="21"/>
      <c r="G106" s="21" t="str">
        <f>IF(C106="","",VLOOKUP(C106,categoria_proveedor[#ALL],2,0))</f>
        <v/>
      </c>
    </row>
    <row r="107">
      <c r="A107" s="21"/>
      <c r="B107" s="21"/>
      <c r="C107" s="21"/>
      <c r="D107" s="21"/>
      <c r="E107" s="21"/>
      <c r="F107" s="21"/>
      <c r="G107" s="21" t="str">
        <f>IF(C107="","",VLOOKUP(C107,categoria_proveedor[#ALL],2,0))</f>
        <v/>
      </c>
    </row>
    <row r="108">
      <c r="A108" s="21"/>
      <c r="B108" s="21"/>
      <c r="C108" s="21"/>
      <c r="D108" s="21"/>
      <c r="E108" s="21"/>
      <c r="F108" s="21"/>
      <c r="G108" s="21" t="str">
        <f>IF(C108="","",VLOOKUP(C108,categoria_proveedor[#ALL],2,0))</f>
        <v/>
      </c>
    </row>
    <row r="109">
      <c r="A109" s="21"/>
      <c r="B109" s="21"/>
      <c r="C109" s="21"/>
      <c r="D109" s="21"/>
      <c r="E109" s="21"/>
      <c r="F109" s="21"/>
      <c r="G109" s="21" t="str">
        <f>IF(C109="","",VLOOKUP(C109,categoria_proveedor[#ALL],2,0))</f>
        <v/>
      </c>
    </row>
    <row r="110">
      <c r="A110" s="21"/>
      <c r="B110" s="21"/>
      <c r="C110" s="21"/>
      <c r="D110" s="21"/>
      <c r="E110" s="21"/>
      <c r="F110" s="21"/>
      <c r="G110" s="21" t="str">
        <f>IF(C110="","",VLOOKUP(C110,categoria_proveedor[#ALL],2,0))</f>
        <v/>
      </c>
    </row>
    <row r="111">
      <c r="A111" s="21"/>
      <c r="B111" s="21"/>
      <c r="C111" s="21"/>
      <c r="D111" s="21"/>
      <c r="E111" s="21"/>
      <c r="F111" s="21"/>
      <c r="G111" s="21" t="str">
        <f>IF(C111="","",VLOOKUP(C111,categoria_proveedor[#ALL],2,0))</f>
        <v/>
      </c>
    </row>
    <row r="112">
      <c r="A112" s="21"/>
      <c r="B112" s="21"/>
      <c r="C112" s="21"/>
      <c r="D112" s="21"/>
      <c r="E112" s="21"/>
      <c r="F112" s="21"/>
      <c r="G112" s="21" t="str">
        <f>IF(C112="","",VLOOKUP(C112,categoria_proveedor[#ALL],2,0))</f>
        <v/>
      </c>
    </row>
    <row r="113">
      <c r="A113" s="21"/>
      <c r="B113" s="21"/>
      <c r="C113" s="21"/>
      <c r="D113" s="21"/>
      <c r="E113" s="21"/>
      <c r="F113" s="21"/>
      <c r="G113" s="21" t="str">
        <f>IF(C113="","",VLOOKUP(C113,categoria_proveedor[#ALL],2,0))</f>
        <v/>
      </c>
    </row>
    <row r="114">
      <c r="A114" s="21"/>
      <c r="B114" s="21"/>
      <c r="C114" s="21"/>
      <c r="D114" s="21"/>
      <c r="E114" s="21"/>
      <c r="F114" s="21"/>
      <c r="G114" s="21" t="str">
        <f>IF(C114="","",VLOOKUP(C114,categoria_proveedor[#ALL],2,0))</f>
        <v/>
      </c>
    </row>
    <row r="115">
      <c r="A115" s="21"/>
      <c r="B115" s="21"/>
      <c r="C115" s="21"/>
      <c r="D115" s="21"/>
      <c r="E115" s="21"/>
      <c r="F115" s="21"/>
      <c r="G115" s="21" t="str">
        <f>IF(C115="","",VLOOKUP(C115,categoria_proveedor[#ALL],2,0))</f>
        <v/>
      </c>
    </row>
    <row r="116">
      <c r="A116" s="21"/>
      <c r="B116" s="21"/>
      <c r="C116" s="21"/>
      <c r="D116" s="21"/>
      <c r="E116" s="21"/>
      <c r="F116" s="21"/>
      <c r="G116" s="21" t="str">
        <f>IF(C116="","",VLOOKUP(C116,categoria_proveedor[#ALL],2,0))</f>
        <v/>
      </c>
    </row>
    <row r="117">
      <c r="A117" s="21"/>
      <c r="B117" s="21"/>
      <c r="C117" s="21"/>
      <c r="D117" s="21"/>
      <c r="E117" s="21"/>
      <c r="F117" s="21"/>
      <c r="G117" s="21" t="str">
        <f>IF(C117="","",VLOOKUP(C117,categoria_proveedor[#ALL],2,0))</f>
        <v/>
      </c>
    </row>
    <row r="118">
      <c r="A118" s="21"/>
      <c r="B118" s="21"/>
      <c r="C118" s="21"/>
      <c r="D118" s="21"/>
      <c r="E118" s="21"/>
      <c r="F118" s="21"/>
      <c r="G118" s="21" t="str">
        <f>IF(C118="","",VLOOKUP(C118,categoria_proveedor[#ALL],2,0))</f>
        <v/>
      </c>
    </row>
    <row r="119">
      <c r="A119" s="21"/>
      <c r="B119" s="21"/>
      <c r="C119" s="21"/>
      <c r="D119" s="21"/>
      <c r="E119" s="21"/>
      <c r="F119" s="21"/>
      <c r="G119" s="21" t="str">
        <f>IF(C119="","",VLOOKUP(C119,categoria_proveedor[#ALL],2,0))</f>
        <v/>
      </c>
    </row>
    <row r="120">
      <c r="A120" s="21"/>
      <c r="B120" s="21"/>
      <c r="C120" s="21"/>
      <c r="D120" s="21"/>
      <c r="E120" s="21"/>
      <c r="F120" s="21"/>
      <c r="G120" s="21" t="str">
        <f>IF(C120="","",VLOOKUP(C120,categoria_proveedor[#ALL],2,0))</f>
        <v/>
      </c>
    </row>
    <row r="121">
      <c r="A121" s="21"/>
      <c r="B121" s="21"/>
      <c r="C121" s="21"/>
      <c r="D121" s="21"/>
      <c r="E121" s="21"/>
      <c r="F121" s="21"/>
      <c r="G121" s="21" t="str">
        <f>IF(C121="","",VLOOKUP(C121,categoria_proveedor[#ALL],2,0))</f>
        <v/>
      </c>
    </row>
    <row r="122">
      <c r="A122" s="21"/>
      <c r="B122" s="21"/>
      <c r="C122" s="21"/>
      <c r="D122" s="21"/>
      <c r="E122" s="21"/>
      <c r="F122" s="21"/>
      <c r="G122" s="21" t="str">
        <f>IF(C122="","",VLOOKUP(C122,categoria_proveedor[#ALL],2,0))</f>
        <v/>
      </c>
    </row>
    <row r="123">
      <c r="A123" s="21"/>
      <c r="B123" s="21"/>
      <c r="C123" s="21"/>
      <c r="D123" s="21"/>
      <c r="E123" s="21"/>
      <c r="F123" s="21"/>
      <c r="G123" s="21" t="str">
        <f>IF(C123="","",VLOOKUP(C123,categoria_proveedor[#ALL],2,0))</f>
        <v/>
      </c>
    </row>
    <row r="124">
      <c r="A124" s="21"/>
      <c r="B124" s="21"/>
      <c r="C124" s="21"/>
      <c r="D124" s="21"/>
      <c r="E124" s="21"/>
      <c r="F124" s="21"/>
      <c r="G124" s="21" t="str">
        <f>IF(C124="","",VLOOKUP(C124,categoria_proveedor[#ALL],2,0))</f>
        <v/>
      </c>
    </row>
    <row r="125">
      <c r="A125" s="21"/>
      <c r="B125" s="21"/>
      <c r="C125" s="21"/>
      <c r="D125" s="21"/>
      <c r="E125" s="21"/>
      <c r="F125" s="21"/>
      <c r="G125" s="21" t="str">
        <f>IF(C125="","",VLOOKUP(C125,categoria_proveedor[#ALL],2,0))</f>
        <v/>
      </c>
    </row>
    <row r="126">
      <c r="A126" s="21"/>
      <c r="B126" s="21"/>
      <c r="C126" s="21"/>
      <c r="D126" s="21"/>
      <c r="E126" s="21"/>
      <c r="F126" s="21"/>
      <c r="G126" s="21" t="str">
        <f>IF(C126="","",VLOOKUP(C126,categoria_proveedor[#ALL],2,0))</f>
        <v/>
      </c>
    </row>
    <row r="127">
      <c r="A127" s="21"/>
      <c r="B127" s="21"/>
      <c r="C127" s="21"/>
      <c r="D127" s="21"/>
      <c r="E127" s="21"/>
      <c r="F127" s="21"/>
      <c r="G127" s="21" t="str">
        <f>IF(C127="","",VLOOKUP(C127,categoria_proveedor[#ALL],2,0))</f>
        <v/>
      </c>
    </row>
    <row r="128">
      <c r="A128" s="21"/>
      <c r="B128" s="21"/>
      <c r="C128" s="21"/>
      <c r="D128" s="21"/>
      <c r="E128" s="21"/>
      <c r="F128" s="21"/>
      <c r="G128" s="21" t="str">
        <f>IF(C128="","",VLOOKUP(C128,categoria_proveedor[#ALL],2,0))</f>
        <v/>
      </c>
    </row>
    <row r="129">
      <c r="A129" s="21"/>
      <c r="B129" s="21"/>
      <c r="C129" s="21"/>
      <c r="D129" s="21"/>
      <c r="E129" s="21"/>
      <c r="F129" s="21"/>
      <c r="G129" s="21" t="str">
        <f>IF(C129="","",VLOOKUP(C129,categoria_proveedor[#ALL],2,0))</f>
        <v/>
      </c>
    </row>
    <row r="130">
      <c r="A130" s="21"/>
      <c r="B130" s="21"/>
      <c r="C130" s="21"/>
      <c r="D130" s="21"/>
      <c r="E130" s="21"/>
      <c r="F130" s="21"/>
      <c r="G130" s="21" t="str">
        <f>IF(C130="","",VLOOKUP(C130,categoria_proveedor[#ALL],2,0))</f>
        <v/>
      </c>
    </row>
    <row r="131">
      <c r="A131" s="21"/>
      <c r="B131" s="21"/>
      <c r="C131" s="21"/>
      <c r="D131" s="21"/>
      <c r="E131" s="21"/>
      <c r="F131" s="21"/>
      <c r="G131" s="21" t="str">
        <f>IF(C131="","",VLOOKUP(C131,categoria_proveedor[#ALL],2,0))</f>
        <v/>
      </c>
    </row>
    <row r="132">
      <c r="A132" s="21"/>
      <c r="B132" s="21"/>
      <c r="C132" s="21"/>
      <c r="D132" s="21"/>
      <c r="E132" s="21"/>
      <c r="F132" s="21"/>
      <c r="G132" s="21" t="str">
        <f>IF(C132="","",VLOOKUP(C132,categoria_proveedor[#ALL],2,0))</f>
        <v/>
      </c>
    </row>
    <row r="133">
      <c r="A133" s="21"/>
      <c r="B133" s="21"/>
      <c r="C133" s="21"/>
      <c r="D133" s="21"/>
      <c r="E133" s="21"/>
      <c r="F133" s="21"/>
      <c r="G133" s="21" t="str">
        <f>IF(C133="","",VLOOKUP(C133,categoria_proveedor[#ALL],2,0))</f>
        <v/>
      </c>
    </row>
    <row r="134">
      <c r="A134" s="21"/>
      <c r="B134" s="21"/>
      <c r="C134" s="21"/>
      <c r="D134" s="21"/>
      <c r="E134" s="21"/>
      <c r="F134" s="21"/>
      <c r="G134" s="21" t="str">
        <f>IF(C134="","",VLOOKUP(C134,categoria_proveedor[#ALL],2,0))</f>
        <v/>
      </c>
    </row>
    <row r="135">
      <c r="A135" s="21"/>
      <c r="B135" s="21"/>
      <c r="C135" s="21"/>
      <c r="D135" s="21"/>
      <c r="E135" s="21"/>
      <c r="F135" s="21"/>
      <c r="G135" s="21" t="str">
        <f>IF(C135="","",VLOOKUP(C135,categoria_proveedor[#ALL],2,0))</f>
        <v/>
      </c>
    </row>
    <row r="136">
      <c r="A136" s="21"/>
      <c r="B136" s="21"/>
      <c r="C136" s="21"/>
      <c r="D136" s="21"/>
      <c r="E136" s="21"/>
      <c r="F136" s="21"/>
      <c r="G136" s="21" t="str">
        <f>IF(C136="","",VLOOKUP(C136,categoria_proveedor[#ALL],2,0))</f>
        <v/>
      </c>
    </row>
    <row r="137">
      <c r="A137" s="21"/>
      <c r="B137" s="21"/>
      <c r="C137" s="21"/>
      <c r="D137" s="21"/>
      <c r="E137" s="21"/>
      <c r="F137" s="21"/>
      <c r="G137" s="21" t="str">
        <f>IF(C137="","",VLOOKUP(C137,categoria_proveedor[#ALL],2,0))</f>
        <v/>
      </c>
    </row>
    <row r="138">
      <c r="A138" s="21"/>
      <c r="B138" s="21"/>
      <c r="C138" s="21"/>
      <c r="D138" s="21"/>
      <c r="E138" s="21"/>
      <c r="F138" s="21"/>
      <c r="G138" s="21" t="str">
        <f>IF(C138="","",VLOOKUP(C138,categoria_proveedor[#ALL],2,0))</f>
        <v/>
      </c>
    </row>
    <row r="139">
      <c r="A139" s="21"/>
      <c r="B139" s="21"/>
      <c r="C139" s="21"/>
      <c r="D139" s="21"/>
      <c r="E139" s="21"/>
      <c r="F139" s="21"/>
      <c r="G139" s="21" t="str">
        <f>IF(C139="","",VLOOKUP(C139,categoria_proveedor[#ALL],2,0))</f>
        <v/>
      </c>
    </row>
    <row r="140">
      <c r="A140" s="21"/>
      <c r="B140" s="21"/>
      <c r="C140" s="21"/>
      <c r="D140" s="21"/>
      <c r="E140" s="21"/>
      <c r="F140" s="21"/>
      <c r="G140" s="21" t="str">
        <f>IF(C140="","",VLOOKUP(C140,categoria_proveedor[#ALL],2,0))</f>
        <v/>
      </c>
    </row>
    <row r="141">
      <c r="A141" s="21"/>
      <c r="B141" s="21"/>
      <c r="C141" s="21"/>
      <c r="D141" s="21"/>
      <c r="E141" s="21"/>
      <c r="F141" s="21"/>
      <c r="G141" s="21" t="str">
        <f>IF(C141="","",VLOOKUP(C141,categoria_proveedor[#ALL],2,0))</f>
        <v/>
      </c>
    </row>
    <row r="142">
      <c r="A142" s="21"/>
      <c r="B142" s="21"/>
      <c r="C142" s="21"/>
      <c r="D142" s="21"/>
      <c r="E142" s="21"/>
      <c r="F142" s="21"/>
      <c r="G142" s="21" t="str">
        <f>IF(C142="","",VLOOKUP(C142,categoria_proveedor[#ALL],2,0))</f>
        <v/>
      </c>
    </row>
    <row r="143">
      <c r="A143" s="21"/>
      <c r="B143" s="21"/>
      <c r="C143" s="21"/>
      <c r="D143" s="21"/>
      <c r="E143" s="21"/>
      <c r="F143" s="21"/>
      <c r="G143" s="21" t="str">
        <f>IF(C143="","",VLOOKUP(C143,categoria_proveedor[#ALL],2,0))</f>
        <v/>
      </c>
    </row>
    <row r="144">
      <c r="A144" s="21"/>
      <c r="B144" s="21"/>
      <c r="C144" s="21"/>
      <c r="D144" s="21"/>
      <c r="E144" s="21"/>
      <c r="F144" s="21"/>
      <c r="G144" s="21" t="str">
        <f>IF(C144="","",VLOOKUP(C144,categoria_proveedor[#ALL],2,0))</f>
        <v/>
      </c>
    </row>
    <row r="145">
      <c r="A145" s="21"/>
      <c r="B145" s="21"/>
      <c r="C145" s="21"/>
      <c r="D145" s="21"/>
      <c r="E145" s="21"/>
      <c r="F145" s="21"/>
      <c r="G145" s="21" t="str">
        <f>IF(C145="","",VLOOKUP(C145,categoria_proveedor[#ALL],2,0))</f>
        <v/>
      </c>
    </row>
    <row r="146">
      <c r="A146" s="21"/>
      <c r="B146" s="21"/>
      <c r="C146" s="21"/>
      <c r="D146" s="21"/>
      <c r="E146" s="21"/>
      <c r="F146" s="21"/>
      <c r="G146" s="21" t="str">
        <f>IF(C146="","",VLOOKUP(C146,categoria_proveedor[#ALL],2,0))</f>
        <v/>
      </c>
    </row>
    <row r="147">
      <c r="A147" s="21"/>
      <c r="B147" s="21"/>
      <c r="C147" s="21"/>
      <c r="D147" s="21"/>
      <c r="E147" s="21"/>
      <c r="F147" s="21"/>
      <c r="G147" s="21" t="str">
        <f>IF(C147="","",VLOOKUP(C147,categoria_proveedor[#ALL],2,0))</f>
        <v/>
      </c>
    </row>
    <row r="148">
      <c r="A148" s="21"/>
      <c r="B148" s="21"/>
      <c r="C148" s="21"/>
      <c r="D148" s="21"/>
      <c r="E148" s="21"/>
      <c r="F148" s="21"/>
      <c r="G148" s="21" t="str">
        <f>IF(C148="","",VLOOKUP(C148,categoria_proveedor[#ALL],2,0))</f>
        <v/>
      </c>
    </row>
    <row r="149">
      <c r="A149" s="21"/>
      <c r="B149" s="21"/>
      <c r="C149" s="21"/>
      <c r="D149" s="21"/>
      <c r="E149" s="21"/>
      <c r="F149" s="21"/>
      <c r="G149" s="21" t="str">
        <f>IF(C149="","",VLOOKUP(C149,categoria_proveedor[#ALL],2,0))</f>
        <v/>
      </c>
    </row>
    <row r="150">
      <c r="A150" s="21"/>
      <c r="B150" s="21"/>
      <c r="C150" s="21"/>
      <c r="D150" s="21"/>
      <c r="E150" s="21"/>
      <c r="F150" s="21"/>
      <c r="G150" s="21" t="str">
        <f>IF(C150="","",VLOOKUP(C150,categoria_proveedor[#ALL],2,0))</f>
        <v/>
      </c>
    </row>
    <row r="151">
      <c r="A151" s="21"/>
      <c r="B151" s="21"/>
      <c r="C151" s="21"/>
      <c r="D151" s="21"/>
      <c r="E151" s="21"/>
      <c r="F151" s="21"/>
      <c r="G151" s="21" t="str">
        <f>IF(C151="","",VLOOKUP(C151,categoria_proveedor[#ALL],2,0))</f>
        <v/>
      </c>
    </row>
    <row r="152">
      <c r="A152" s="21"/>
      <c r="B152" s="21"/>
      <c r="C152" s="21"/>
      <c r="D152" s="21"/>
      <c r="E152" s="21"/>
      <c r="F152" s="21"/>
      <c r="G152" s="21" t="str">
        <f>IF(C152="","",VLOOKUP(C152,categoria_proveedor[#ALL],2,0))</f>
        <v/>
      </c>
    </row>
    <row r="153">
      <c r="A153" s="21"/>
      <c r="B153" s="21"/>
      <c r="C153" s="21"/>
      <c r="D153" s="21"/>
      <c r="E153" s="21"/>
      <c r="F153" s="21"/>
      <c r="G153" s="21" t="str">
        <f>IF(C153="","",VLOOKUP(C153,categoria_proveedor[#ALL],2,0))</f>
        <v/>
      </c>
    </row>
    <row r="154">
      <c r="A154" s="21"/>
      <c r="B154" s="21"/>
      <c r="C154" s="21"/>
      <c r="D154" s="21"/>
      <c r="E154" s="21"/>
      <c r="F154" s="21"/>
      <c r="G154" s="21" t="str">
        <f>IF(C154="","",VLOOKUP(C154,categoria_proveedor[#ALL],2,0))</f>
        <v/>
      </c>
    </row>
    <row r="155">
      <c r="A155" s="21"/>
      <c r="B155" s="21"/>
      <c r="C155" s="21"/>
      <c r="D155" s="21"/>
      <c r="E155" s="21"/>
      <c r="F155" s="21"/>
      <c r="G155" s="21" t="str">
        <f>IF(C155="","",VLOOKUP(C155,categoria_proveedor[#ALL],2,0))</f>
        <v/>
      </c>
    </row>
    <row r="156">
      <c r="A156" s="21"/>
      <c r="B156" s="21"/>
      <c r="C156" s="21"/>
      <c r="D156" s="21"/>
      <c r="E156" s="21"/>
      <c r="F156" s="21"/>
      <c r="G156" s="21" t="str">
        <f>IF(C156="","",VLOOKUP(C156,categoria_proveedor[#ALL],2,0))</f>
        <v/>
      </c>
    </row>
    <row r="157">
      <c r="A157" s="21"/>
      <c r="B157" s="21"/>
      <c r="C157" s="21"/>
      <c r="D157" s="21"/>
      <c r="E157" s="21"/>
      <c r="F157" s="21"/>
      <c r="G157" s="21" t="str">
        <f>IF(C157="","",VLOOKUP(C157,categoria_proveedor[#ALL],2,0))</f>
        <v/>
      </c>
    </row>
    <row r="158">
      <c r="A158" s="21"/>
      <c r="B158" s="21"/>
      <c r="C158" s="21"/>
      <c r="D158" s="21"/>
      <c r="E158" s="21"/>
      <c r="F158" s="21"/>
      <c r="G158" s="21" t="str">
        <f>IF(C158="","",VLOOKUP(C158,categoria_proveedor[#ALL],2,0))</f>
        <v/>
      </c>
    </row>
    <row r="159">
      <c r="A159" s="21"/>
      <c r="B159" s="21"/>
      <c r="C159" s="21"/>
      <c r="D159" s="21"/>
      <c r="E159" s="21"/>
      <c r="F159" s="21"/>
      <c r="G159" s="21" t="str">
        <f>IF(C159="","",VLOOKUP(C159,categoria_proveedor[#ALL],2,0))</f>
        <v/>
      </c>
    </row>
    <row r="160">
      <c r="A160" s="21"/>
      <c r="B160" s="21"/>
      <c r="C160" s="21"/>
      <c r="D160" s="21"/>
      <c r="E160" s="21"/>
      <c r="F160" s="21"/>
      <c r="G160" s="21" t="str">
        <f>IF(C160="","",VLOOKUP(C160,categoria_proveedor[#ALL],2,0))</f>
        <v/>
      </c>
    </row>
    <row r="161">
      <c r="A161" s="21"/>
      <c r="B161" s="21"/>
      <c r="C161" s="21"/>
      <c r="D161" s="21"/>
      <c r="E161" s="21"/>
      <c r="F161" s="21"/>
      <c r="G161" s="21" t="str">
        <f>IF(C161="","",VLOOKUP(C161,categoria_proveedor[#ALL],2,0))</f>
        <v/>
      </c>
    </row>
    <row r="162">
      <c r="A162" s="21"/>
      <c r="B162" s="21"/>
      <c r="C162" s="21"/>
      <c r="D162" s="21"/>
      <c r="E162" s="21"/>
      <c r="F162" s="21"/>
      <c r="G162" s="21" t="str">
        <f>IF(C162="","",VLOOKUP(C162,categoria_proveedor[#ALL],2,0))</f>
        <v/>
      </c>
    </row>
    <row r="163">
      <c r="A163" s="21"/>
      <c r="B163" s="21"/>
      <c r="C163" s="21"/>
      <c r="D163" s="21"/>
      <c r="E163" s="21"/>
      <c r="F163" s="21"/>
      <c r="G163" s="21" t="str">
        <f>IF(C163="","",VLOOKUP(C163,categoria_proveedor[#ALL],2,0))</f>
        <v/>
      </c>
    </row>
    <row r="164">
      <c r="A164" s="21"/>
      <c r="B164" s="21"/>
      <c r="C164" s="21"/>
      <c r="D164" s="21"/>
      <c r="E164" s="21"/>
      <c r="F164" s="21"/>
      <c r="G164" s="21" t="str">
        <f>IF(C164="","",VLOOKUP(C164,categoria_proveedor[#ALL],2,0))</f>
        <v/>
      </c>
    </row>
    <row r="165">
      <c r="A165" s="21"/>
      <c r="B165" s="21"/>
      <c r="C165" s="21"/>
      <c r="D165" s="21"/>
      <c r="E165" s="21"/>
      <c r="F165" s="21"/>
      <c r="G165" s="21" t="str">
        <f>IF(C165="","",VLOOKUP(C165,categoria_proveedor[#ALL],2,0))</f>
        <v/>
      </c>
    </row>
    <row r="166">
      <c r="A166" s="21"/>
      <c r="B166" s="21"/>
      <c r="C166" s="21"/>
      <c r="D166" s="21"/>
      <c r="E166" s="21"/>
      <c r="F166" s="21"/>
      <c r="G166" s="21" t="str">
        <f>IF(C166="","",VLOOKUP(C166,categoria_proveedor[#ALL],2,0))</f>
        <v/>
      </c>
    </row>
    <row r="167">
      <c r="A167" s="21"/>
      <c r="B167" s="21"/>
      <c r="C167" s="21"/>
      <c r="D167" s="21"/>
      <c r="E167" s="21"/>
      <c r="F167" s="21"/>
      <c r="G167" s="21" t="str">
        <f>IF(C167="","",VLOOKUP(C167,categoria_proveedor[#ALL],2,0))</f>
        <v/>
      </c>
    </row>
    <row r="168">
      <c r="A168" s="21"/>
      <c r="B168" s="21"/>
      <c r="C168" s="21"/>
      <c r="D168" s="21"/>
      <c r="E168" s="21"/>
      <c r="F168" s="21"/>
      <c r="G168" s="21" t="str">
        <f>IF(C168="","",VLOOKUP(C168,categoria_proveedor[#ALL],2,0))</f>
        <v/>
      </c>
    </row>
    <row r="169">
      <c r="A169" s="21"/>
      <c r="B169" s="21"/>
      <c r="C169" s="21"/>
      <c r="D169" s="21"/>
      <c r="E169" s="21"/>
      <c r="F169" s="21"/>
      <c r="G169" s="21" t="str">
        <f>IF(C169="","",VLOOKUP(C169,categoria_proveedor[#ALL],2,0))</f>
        <v/>
      </c>
    </row>
    <row r="170">
      <c r="A170" s="21"/>
      <c r="B170" s="21"/>
      <c r="C170" s="21"/>
      <c r="D170" s="21"/>
      <c r="E170" s="21"/>
      <c r="F170" s="21"/>
      <c r="G170" s="21" t="str">
        <f>IF(C170="","",VLOOKUP(C170,categoria_proveedor[#ALL],2,0))</f>
        <v/>
      </c>
    </row>
    <row r="171">
      <c r="A171" s="21"/>
      <c r="B171" s="21"/>
      <c r="C171" s="21"/>
      <c r="D171" s="21"/>
      <c r="E171" s="21"/>
      <c r="F171" s="21"/>
      <c r="G171" s="21" t="str">
        <f>IF(C171="","",VLOOKUP(C171,categoria_proveedor[#ALL],2,0))</f>
        <v/>
      </c>
    </row>
    <row r="172">
      <c r="A172" s="21"/>
      <c r="B172" s="21"/>
      <c r="C172" s="21"/>
      <c r="D172" s="21"/>
      <c r="E172" s="21"/>
      <c r="F172" s="21"/>
      <c r="G172" s="21" t="str">
        <f>IF(C172="","",VLOOKUP(C172,categoria_proveedor[#ALL],2,0))</f>
        <v/>
      </c>
    </row>
    <row r="173">
      <c r="A173" s="21"/>
      <c r="B173" s="21"/>
      <c r="C173" s="21"/>
      <c r="D173" s="21"/>
      <c r="E173" s="21"/>
      <c r="F173" s="21"/>
      <c r="G173" s="21" t="str">
        <f>IF(C173="","",VLOOKUP(C173,categoria_proveedor[#ALL],2,0))</f>
        <v/>
      </c>
    </row>
    <row r="174">
      <c r="A174" s="21"/>
      <c r="B174" s="21"/>
      <c r="C174" s="21"/>
      <c r="D174" s="21"/>
      <c r="E174" s="21"/>
      <c r="F174" s="21"/>
      <c r="G174" s="21" t="str">
        <f>IF(C174="","",VLOOKUP(C174,categoria_proveedor[#ALL],2,0))</f>
        <v/>
      </c>
    </row>
    <row r="175">
      <c r="A175" s="21"/>
      <c r="B175" s="21"/>
      <c r="C175" s="21"/>
      <c r="D175" s="21"/>
      <c r="E175" s="21"/>
      <c r="F175" s="21"/>
      <c r="G175" s="21" t="str">
        <f>IF(C175="","",VLOOKUP(C175,categoria_proveedor[#ALL],2,0))</f>
        <v/>
      </c>
    </row>
    <row r="176">
      <c r="A176" s="21"/>
      <c r="B176" s="21"/>
      <c r="C176" s="21"/>
      <c r="D176" s="21"/>
      <c r="E176" s="21"/>
      <c r="F176" s="21"/>
      <c r="G176" s="21" t="str">
        <f>IF(C176="","",VLOOKUP(C176,categoria_proveedor[#ALL],2,0))</f>
        <v/>
      </c>
    </row>
    <row r="177">
      <c r="A177" s="21"/>
      <c r="B177" s="21"/>
      <c r="C177" s="21"/>
      <c r="D177" s="21"/>
      <c r="E177" s="21"/>
      <c r="F177" s="21"/>
      <c r="G177" s="21" t="str">
        <f>IF(C177="","",VLOOKUP(C177,categoria_proveedor[#ALL],2,0))</f>
        <v/>
      </c>
    </row>
    <row r="178">
      <c r="A178" s="21"/>
      <c r="B178" s="21"/>
      <c r="C178" s="21"/>
      <c r="D178" s="21"/>
      <c r="E178" s="21"/>
      <c r="F178" s="21"/>
      <c r="G178" s="21" t="str">
        <f>IF(C178="","",VLOOKUP(C178,categoria_proveedor[#ALL],2,0))</f>
        <v/>
      </c>
    </row>
    <row r="179">
      <c r="A179" s="21"/>
      <c r="B179" s="21"/>
      <c r="C179" s="21"/>
      <c r="D179" s="21"/>
      <c r="E179" s="21"/>
      <c r="F179" s="21"/>
      <c r="G179" s="21" t="str">
        <f>IF(C179="","",VLOOKUP(C179,categoria_proveedor[#ALL],2,0))</f>
        <v/>
      </c>
    </row>
    <row r="180">
      <c r="A180" s="21"/>
      <c r="B180" s="21"/>
      <c r="C180" s="21"/>
      <c r="D180" s="21"/>
      <c r="E180" s="21"/>
      <c r="F180" s="21"/>
      <c r="G180" s="21" t="str">
        <f>IF(C180="","",VLOOKUP(C180,categoria_proveedor[#ALL],2,0))</f>
        <v/>
      </c>
    </row>
    <row r="181">
      <c r="A181" s="21"/>
      <c r="B181" s="21"/>
      <c r="C181" s="21"/>
      <c r="D181" s="21"/>
      <c r="E181" s="21"/>
      <c r="F181" s="21"/>
      <c r="G181" s="21" t="str">
        <f>IF(C181="","",VLOOKUP(C181,categoria_proveedor[#ALL],2,0))</f>
        <v/>
      </c>
    </row>
    <row r="182">
      <c r="A182" s="21"/>
      <c r="B182" s="21"/>
      <c r="C182" s="21"/>
      <c r="D182" s="21"/>
      <c r="E182" s="21"/>
      <c r="F182" s="21"/>
      <c r="G182" s="21" t="str">
        <f>IF(C182="","",VLOOKUP(C182,categoria_proveedor[#ALL],2,0))</f>
        <v/>
      </c>
    </row>
    <row r="183">
      <c r="A183" s="21"/>
      <c r="B183" s="21"/>
      <c r="C183" s="21"/>
      <c r="D183" s="21"/>
      <c r="E183" s="21"/>
      <c r="F183" s="21"/>
      <c r="G183" s="21" t="str">
        <f>IF(C183="","",VLOOKUP(C183,categoria_proveedor[#ALL],2,0))</f>
        <v/>
      </c>
    </row>
    <row r="184">
      <c r="A184" s="21"/>
      <c r="B184" s="21"/>
      <c r="C184" s="21"/>
      <c r="D184" s="21"/>
      <c r="E184" s="21"/>
      <c r="F184" s="21"/>
      <c r="G184" s="21" t="str">
        <f>IF(C184="","",VLOOKUP(C184,categoria_proveedor[#ALL],2,0))</f>
        <v/>
      </c>
    </row>
    <row r="185">
      <c r="A185" s="21"/>
      <c r="B185" s="21"/>
      <c r="C185" s="21"/>
      <c r="D185" s="21"/>
      <c r="E185" s="21"/>
      <c r="F185" s="21"/>
      <c r="G185" s="21" t="str">
        <f>IF(C185="","",VLOOKUP(C185,categoria_proveedor[#ALL],2,0))</f>
        <v/>
      </c>
    </row>
    <row r="186">
      <c r="A186" s="21"/>
      <c r="B186" s="21"/>
      <c r="C186" s="21"/>
      <c r="D186" s="21"/>
      <c r="E186" s="21"/>
      <c r="F186" s="21"/>
      <c r="G186" s="21" t="str">
        <f>IF(C186="","",VLOOKUP(C186,categoria_proveedor[#ALL],2,0))</f>
        <v/>
      </c>
    </row>
    <row r="187">
      <c r="A187" s="21"/>
      <c r="B187" s="21"/>
      <c r="C187" s="21"/>
      <c r="D187" s="21"/>
      <c r="E187" s="21"/>
      <c r="F187" s="21"/>
      <c r="G187" s="21" t="str">
        <f>IF(C187="","",VLOOKUP(C187,categoria_proveedor[#ALL],2,0))</f>
        <v/>
      </c>
    </row>
    <row r="188">
      <c r="A188" s="21"/>
      <c r="B188" s="21"/>
      <c r="C188" s="21"/>
      <c r="D188" s="21"/>
      <c r="E188" s="21"/>
      <c r="F188" s="21"/>
      <c r="G188" s="21" t="str">
        <f>IF(C188="","",VLOOKUP(C188,categoria_proveedor[#ALL],2,0))</f>
        <v/>
      </c>
    </row>
    <row r="189">
      <c r="A189" s="21"/>
      <c r="B189" s="21"/>
      <c r="C189" s="21"/>
      <c r="D189" s="21"/>
      <c r="E189" s="21"/>
      <c r="F189" s="21"/>
      <c r="G189" s="21" t="str">
        <f>IF(C189="","",VLOOKUP(C189,categoria_proveedor[#ALL],2,0))</f>
        <v/>
      </c>
    </row>
    <row r="190">
      <c r="A190" s="21"/>
      <c r="B190" s="21"/>
      <c r="C190" s="21"/>
      <c r="D190" s="21"/>
      <c r="E190" s="21"/>
      <c r="F190" s="21"/>
      <c r="G190" s="21" t="str">
        <f>IF(C190="","",VLOOKUP(C190,categoria_proveedor[#ALL],2,0))</f>
        <v/>
      </c>
    </row>
    <row r="191">
      <c r="A191" s="21"/>
      <c r="B191" s="21"/>
      <c r="C191" s="21"/>
      <c r="D191" s="21"/>
      <c r="E191" s="21"/>
      <c r="F191" s="21"/>
      <c r="G191" s="21" t="str">
        <f>IF(C191="","",VLOOKUP(C191,categoria_proveedor[#ALL],2,0))</f>
        <v/>
      </c>
    </row>
    <row r="192">
      <c r="A192" s="21"/>
      <c r="B192" s="21"/>
      <c r="C192" s="21"/>
      <c r="D192" s="21"/>
      <c r="E192" s="21"/>
      <c r="F192" s="21"/>
      <c r="G192" s="21" t="str">
        <f>IF(C192="","",VLOOKUP(C192,categoria_proveedor[#ALL],2,0))</f>
        <v/>
      </c>
    </row>
    <row r="193">
      <c r="A193" s="21"/>
      <c r="B193" s="21"/>
      <c r="C193" s="21"/>
      <c r="D193" s="21"/>
      <c r="E193" s="21"/>
      <c r="F193" s="21"/>
      <c r="G193" s="21" t="str">
        <f>IF(C193="","",VLOOKUP(C193,categoria_proveedor[#ALL],2,0))</f>
        <v/>
      </c>
    </row>
    <row r="194">
      <c r="A194" s="21"/>
      <c r="B194" s="21"/>
      <c r="C194" s="21"/>
      <c r="D194" s="21"/>
      <c r="E194" s="21"/>
      <c r="F194" s="21"/>
      <c r="G194" s="21" t="str">
        <f>IF(C194="","",VLOOKUP(C194,categoria_proveedor[#ALL],2,0))</f>
        <v/>
      </c>
    </row>
    <row r="195">
      <c r="A195" s="21"/>
      <c r="B195" s="21"/>
      <c r="C195" s="21"/>
      <c r="D195" s="21"/>
      <c r="E195" s="21"/>
      <c r="F195" s="21"/>
      <c r="G195" s="21" t="str">
        <f>IF(C195="","",VLOOKUP(C195,categoria_proveedor[#ALL],2,0))</f>
        <v/>
      </c>
    </row>
    <row r="196">
      <c r="A196" s="21"/>
      <c r="B196" s="21"/>
      <c r="C196" s="21"/>
      <c r="D196" s="21"/>
      <c r="E196" s="21"/>
      <c r="F196" s="21"/>
      <c r="G196" s="21" t="str">
        <f>IF(C196="","",VLOOKUP(C196,categoria_proveedor[#ALL],2,0))</f>
        <v/>
      </c>
    </row>
    <row r="197">
      <c r="A197" s="21"/>
      <c r="B197" s="21"/>
      <c r="C197" s="21"/>
      <c r="D197" s="21"/>
      <c r="E197" s="21"/>
      <c r="F197" s="21"/>
      <c r="G197" s="21" t="str">
        <f>IF(C197="","",VLOOKUP(C197,categoria_proveedor[#ALL],2,0))</f>
        <v/>
      </c>
    </row>
    <row r="198">
      <c r="A198" s="21"/>
      <c r="B198" s="21"/>
      <c r="C198" s="21"/>
      <c r="D198" s="21"/>
      <c r="E198" s="21"/>
      <c r="F198" s="21"/>
      <c r="G198" s="21" t="str">
        <f>IF(C198="","",VLOOKUP(C198,categoria_proveedor[#ALL],2,0))</f>
        <v/>
      </c>
    </row>
    <row r="199">
      <c r="A199" s="21"/>
      <c r="B199" s="21"/>
      <c r="C199" s="21"/>
      <c r="D199" s="21"/>
      <c r="E199" s="21"/>
      <c r="F199" s="21"/>
      <c r="G199" s="21" t="str">
        <f>IF(C199="","",VLOOKUP(C199,categoria_proveedor[#ALL],2,0))</f>
        <v/>
      </c>
    </row>
    <row r="200">
      <c r="A200" s="21"/>
      <c r="B200" s="21"/>
      <c r="C200" s="21"/>
      <c r="D200" s="21"/>
      <c r="E200" s="21"/>
      <c r="F200" s="21"/>
      <c r="G200" s="21" t="str">
        <f>IF(C200="","",VLOOKUP(C200,categoria_proveedor[#ALL],2,0))</f>
        <v/>
      </c>
    </row>
    <row r="201">
      <c r="A201" s="21"/>
      <c r="B201" s="21"/>
      <c r="C201" s="21"/>
      <c r="D201" s="21"/>
      <c r="E201" s="21"/>
      <c r="F201" s="21"/>
      <c r="G201" s="21" t="str">
        <f>IF(C201="","",VLOOKUP(C201,categoria_proveedor[#ALL],2,0))</f>
        <v/>
      </c>
    </row>
    <row r="202">
      <c r="A202" s="21"/>
      <c r="B202" s="21"/>
      <c r="C202" s="21"/>
      <c r="D202" s="21"/>
      <c r="E202" s="21"/>
      <c r="F202" s="21"/>
      <c r="G202" s="21" t="str">
        <f>IF(C202="","",VLOOKUP(C202,categoria_proveedor[#ALL],2,0))</f>
        <v/>
      </c>
    </row>
    <row r="203">
      <c r="A203" s="21"/>
      <c r="B203" s="21"/>
      <c r="C203" s="21"/>
      <c r="D203" s="21"/>
      <c r="E203" s="21"/>
      <c r="F203" s="21"/>
      <c r="G203" s="21" t="str">
        <f>IF(C203="","",VLOOKUP(C203,categoria_proveedor[#ALL],2,0))</f>
        <v/>
      </c>
    </row>
    <row r="204">
      <c r="A204" s="21"/>
      <c r="B204" s="21"/>
      <c r="C204" s="21"/>
      <c r="D204" s="21"/>
      <c r="E204" s="21"/>
      <c r="F204" s="21"/>
      <c r="G204" s="21" t="str">
        <f>IF(C204="","",VLOOKUP(C204,categoria_proveedor[#ALL],2,0))</f>
        <v/>
      </c>
    </row>
    <row r="205">
      <c r="A205" s="21"/>
      <c r="B205" s="21"/>
      <c r="C205" s="21"/>
      <c r="D205" s="21"/>
      <c r="E205" s="21"/>
      <c r="F205" s="21"/>
      <c r="G205" s="21" t="str">
        <f>IF(C205="","",VLOOKUP(C205,categoria_proveedor[#ALL],2,0))</f>
        <v/>
      </c>
    </row>
    <row r="206">
      <c r="A206" s="21"/>
      <c r="B206" s="21"/>
      <c r="C206" s="21"/>
      <c r="D206" s="21"/>
      <c r="E206" s="21"/>
      <c r="F206" s="21"/>
      <c r="G206" s="21" t="str">
        <f>IF(C206="","",VLOOKUP(C206,categoria_proveedor[#ALL],2,0))</f>
        <v/>
      </c>
    </row>
    <row r="207">
      <c r="A207" s="21"/>
      <c r="B207" s="21"/>
      <c r="C207" s="21"/>
      <c r="D207" s="21"/>
      <c r="E207" s="21"/>
      <c r="F207" s="21"/>
      <c r="G207" s="21" t="str">
        <f>IF(C207="","",VLOOKUP(C207,categoria_proveedor[#ALL],2,0))</f>
        <v/>
      </c>
    </row>
    <row r="208">
      <c r="A208" s="21"/>
      <c r="B208" s="21"/>
      <c r="C208" s="21"/>
      <c r="D208" s="21"/>
      <c r="E208" s="21"/>
      <c r="F208" s="21"/>
      <c r="G208" s="21" t="str">
        <f>IF(C208="","",VLOOKUP(C208,categoria_proveedor[#ALL],2,0))</f>
        <v/>
      </c>
    </row>
    <row r="209">
      <c r="A209" s="21"/>
      <c r="B209" s="21"/>
      <c r="C209" s="21"/>
      <c r="D209" s="21"/>
      <c r="E209" s="21"/>
      <c r="F209" s="21"/>
      <c r="G209" s="21" t="str">
        <f>IF(C209="","",VLOOKUP(C209,categoria_proveedor[#ALL],2,0))</f>
        <v/>
      </c>
    </row>
    <row r="210">
      <c r="A210" s="21"/>
      <c r="B210" s="21"/>
      <c r="C210" s="21"/>
      <c r="D210" s="21"/>
      <c r="E210" s="21"/>
      <c r="F210" s="21"/>
      <c r="G210" s="21" t="str">
        <f>IF(C210="","",VLOOKUP(C210,categoria_proveedor[#ALL],2,0))</f>
        <v/>
      </c>
    </row>
    <row r="211">
      <c r="A211" s="21"/>
      <c r="B211" s="21"/>
      <c r="C211" s="21"/>
      <c r="D211" s="21"/>
      <c r="E211" s="21"/>
      <c r="F211" s="21"/>
      <c r="G211" s="21" t="str">
        <f>IF(C211="","",VLOOKUP(C211,categoria_proveedor[#ALL],2,0))</f>
        <v/>
      </c>
    </row>
    <row r="212">
      <c r="A212" s="21"/>
      <c r="B212" s="21"/>
      <c r="C212" s="21"/>
      <c r="D212" s="21"/>
      <c r="E212" s="21"/>
      <c r="F212" s="21"/>
      <c r="G212" s="21" t="str">
        <f>IF(C212="","",VLOOKUP(C212,categoria_proveedor[#ALL],2,0))</f>
        <v/>
      </c>
    </row>
    <row r="213">
      <c r="A213" s="21"/>
      <c r="B213" s="21"/>
      <c r="C213" s="21"/>
      <c r="D213" s="21"/>
      <c r="E213" s="21"/>
      <c r="F213" s="21"/>
      <c r="G213" s="21" t="str">
        <f>IF(C213="","",VLOOKUP(C213,categoria_proveedor[#ALL],2,0))</f>
        <v/>
      </c>
    </row>
    <row r="214">
      <c r="A214" s="21"/>
      <c r="B214" s="21"/>
      <c r="C214" s="21"/>
      <c r="D214" s="21"/>
      <c r="E214" s="21"/>
      <c r="F214" s="21"/>
      <c r="G214" s="21" t="str">
        <f>IF(C214="","",VLOOKUP(C214,categoria_proveedor[#ALL],2,0))</f>
        <v/>
      </c>
    </row>
    <row r="215">
      <c r="A215" s="21"/>
      <c r="B215" s="21"/>
      <c r="C215" s="21"/>
      <c r="D215" s="21"/>
      <c r="E215" s="21"/>
      <c r="F215" s="21"/>
      <c r="G215" s="21" t="str">
        <f>IF(C215="","",VLOOKUP(C215,categoria_proveedor[#ALL],2,0))</f>
        <v/>
      </c>
    </row>
    <row r="216">
      <c r="A216" s="21"/>
      <c r="B216" s="21"/>
      <c r="C216" s="21"/>
      <c r="D216" s="21"/>
      <c r="E216" s="21"/>
      <c r="F216" s="21"/>
      <c r="G216" s="21" t="str">
        <f>IF(C216="","",VLOOKUP(C216,categoria_proveedor[#ALL],2,0))</f>
        <v/>
      </c>
    </row>
    <row r="217">
      <c r="A217" s="21"/>
      <c r="B217" s="21"/>
      <c r="C217" s="21"/>
      <c r="D217" s="21"/>
      <c r="E217" s="21"/>
      <c r="F217" s="21"/>
      <c r="G217" s="21" t="str">
        <f>IF(C217="","",VLOOKUP(C217,categoria_proveedor[#ALL],2,0))</f>
        <v/>
      </c>
    </row>
    <row r="218">
      <c r="A218" s="21"/>
      <c r="B218" s="21"/>
      <c r="C218" s="21"/>
      <c r="D218" s="21"/>
      <c r="E218" s="21"/>
      <c r="F218" s="21"/>
      <c r="G218" s="21" t="str">
        <f>IF(C218="","",VLOOKUP(C218,categoria_proveedor[#ALL],2,0))</f>
        <v/>
      </c>
    </row>
    <row r="219">
      <c r="A219" s="21"/>
      <c r="B219" s="21"/>
      <c r="C219" s="21"/>
      <c r="D219" s="21"/>
      <c r="E219" s="21"/>
      <c r="F219" s="21"/>
      <c r="G219" s="21" t="str">
        <f>IF(C219="","",VLOOKUP(C219,categoria_proveedor[#ALL],2,0))</f>
        <v/>
      </c>
    </row>
    <row r="220">
      <c r="A220" s="21"/>
      <c r="B220" s="21"/>
      <c r="C220" s="21"/>
      <c r="D220" s="21"/>
      <c r="E220" s="21"/>
      <c r="F220" s="21"/>
      <c r="G220" s="21" t="str">
        <f>IF(C220="","",VLOOKUP(C220,categoria_proveedor[#ALL],2,0))</f>
        <v/>
      </c>
    </row>
    <row r="221">
      <c r="A221" s="21"/>
      <c r="B221" s="21"/>
      <c r="C221" s="21"/>
      <c r="D221" s="21"/>
      <c r="E221" s="21"/>
      <c r="F221" s="21"/>
      <c r="G221" s="21" t="str">
        <f>IF(C221="","",VLOOKUP(C221,categoria_proveedor[#ALL],2,0))</f>
        <v/>
      </c>
    </row>
    <row r="222">
      <c r="A222" s="21"/>
      <c r="B222" s="21"/>
      <c r="C222" s="21"/>
      <c r="D222" s="21"/>
      <c r="E222" s="21"/>
      <c r="F222" s="21"/>
      <c r="G222" s="21" t="str">
        <f>IF(C222="","",VLOOKUP(C222,categoria_proveedor[#ALL],2,0))</f>
        <v/>
      </c>
    </row>
    <row r="223">
      <c r="A223" s="21"/>
      <c r="B223" s="21"/>
      <c r="C223" s="21"/>
      <c r="D223" s="21"/>
      <c r="E223" s="21"/>
      <c r="F223" s="21"/>
      <c r="G223" s="21" t="str">
        <f>IF(C223="","",VLOOKUP(C223,categoria_proveedor[#ALL],2,0))</f>
        <v/>
      </c>
    </row>
    <row r="224">
      <c r="A224" s="21"/>
      <c r="B224" s="21"/>
      <c r="C224" s="21"/>
      <c r="D224" s="21"/>
      <c r="E224" s="21"/>
      <c r="F224" s="21"/>
      <c r="G224" s="21" t="str">
        <f>IF(C224="","",VLOOKUP(C224,categoria_proveedor[#ALL],2,0))</f>
        <v/>
      </c>
    </row>
    <row r="225">
      <c r="A225" s="21"/>
      <c r="B225" s="21"/>
      <c r="C225" s="21"/>
      <c r="D225" s="21"/>
      <c r="E225" s="21"/>
      <c r="F225" s="21"/>
      <c r="G225" s="21" t="str">
        <f>IF(C225="","",VLOOKUP(C225,categoria_proveedor[#ALL],2,0))</f>
        <v/>
      </c>
    </row>
    <row r="226">
      <c r="A226" s="21"/>
      <c r="B226" s="21"/>
      <c r="C226" s="21"/>
      <c r="D226" s="21"/>
      <c r="E226" s="21"/>
      <c r="F226" s="21"/>
      <c r="G226" s="21" t="str">
        <f>IF(C226="","",VLOOKUP(C226,categoria_proveedor[#ALL],2,0))</f>
        <v/>
      </c>
    </row>
    <row r="227">
      <c r="A227" s="21"/>
      <c r="B227" s="21"/>
      <c r="C227" s="21"/>
      <c r="D227" s="21"/>
      <c r="E227" s="21"/>
      <c r="F227" s="21"/>
      <c r="G227" s="21" t="str">
        <f>IF(C227="","",VLOOKUP(C227,categoria_proveedor[#ALL],2,0))</f>
        <v/>
      </c>
    </row>
    <row r="228">
      <c r="A228" s="21"/>
      <c r="B228" s="21"/>
      <c r="C228" s="21"/>
      <c r="D228" s="21"/>
      <c r="E228" s="21"/>
      <c r="F228" s="21"/>
      <c r="G228" s="21" t="str">
        <f>IF(C228="","",VLOOKUP(C228,categoria_proveedor[#ALL],2,0))</f>
        <v/>
      </c>
    </row>
    <row r="229">
      <c r="A229" s="21"/>
      <c r="B229" s="21"/>
      <c r="C229" s="21"/>
      <c r="D229" s="21"/>
      <c r="E229" s="21"/>
      <c r="F229" s="21"/>
      <c r="G229" s="21" t="str">
        <f>IF(C229="","",VLOOKUP(C229,categoria_proveedor[#ALL],2,0))</f>
        <v/>
      </c>
    </row>
    <row r="230">
      <c r="A230" s="21"/>
      <c r="B230" s="21"/>
      <c r="C230" s="21"/>
      <c r="D230" s="21"/>
      <c r="E230" s="21"/>
      <c r="F230" s="21"/>
      <c r="G230" s="21" t="str">
        <f>IF(C230="","",VLOOKUP(C230,categoria_proveedor[#ALL],2,0))</f>
        <v/>
      </c>
    </row>
    <row r="231">
      <c r="A231" s="21"/>
      <c r="B231" s="21"/>
      <c r="C231" s="21"/>
      <c r="D231" s="21"/>
      <c r="E231" s="21"/>
      <c r="F231" s="21"/>
      <c r="G231" s="21" t="str">
        <f>IF(C231="","",VLOOKUP(C231,categoria_proveedor[#ALL],2,0))</f>
        <v/>
      </c>
    </row>
    <row r="232">
      <c r="A232" s="21"/>
      <c r="B232" s="21"/>
      <c r="C232" s="21"/>
      <c r="D232" s="21"/>
      <c r="E232" s="21"/>
      <c r="F232" s="21"/>
      <c r="G232" s="21" t="str">
        <f>IF(C232="","",VLOOKUP(C232,categoria_proveedor[#ALL],2,0))</f>
        <v/>
      </c>
    </row>
    <row r="233">
      <c r="A233" s="21"/>
      <c r="B233" s="21"/>
      <c r="C233" s="21"/>
      <c r="D233" s="21"/>
      <c r="E233" s="21"/>
      <c r="F233" s="21"/>
      <c r="G233" s="21" t="str">
        <f>IF(C233="","",VLOOKUP(C233,categoria_proveedor[#ALL],2,0))</f>
        <v/>
      </c>
    </row>
    <row r="234">
      <c r="A234" s="21"/>
      <c r="B234" s="21"/>
      <c r="C234" s="21"/>
      <c r="D234" s="21"/>
      <c r="E234" s="21"/>
      <c r="F234" s="21"/>
      <c r="G234" s="21" t="str">
        <f>IF(C234="","",VLOOKUP(C234,categoria_proveedor[#ALL],2,0))</f>
        <v/>
      </c>
    </row>
    <row r="235">
      <c r="A235" s="21"/>
      <c r="B235" s="21"/>
      <c r="C235" s="21"/>
      <c r="D235" s="21"/>
      <c r="E235" s="21"/>
      <c r="F235" s="21"/>
      <c r="G235" s="21" t="str">
        <f>IF(C235="","",VLOOKUP(C235,categoria_proveedor[#ALL],2,0))</f>
        <v/>
      </c>
    </row>
    <row r="236">
      <c r="A236" s="21"/>
      <c r="B236" s="21"/>
      <c r="C236" s="21"/>
      <c r="D236" s="21"/>
      <c r="E236" s="21"/>
      <c r="F236" s="21"/>
      <c r="G236" s="21" t="str">
        <f>IF(C236="","",VLOOKUP(C236,categoria_proveedor[#ALL],2,0))</f>
        <v/>
      </c>
    </row>
    <row r="237">
      <c r="A237" s="21"/>
      <c r="B237" s="21"/>
      <c r="C237" s="21"/>
      <c r="D237" s="21"/>
      <c r="E237" s="21"/>
      <c r="F237" s="21"/>
      <c r="G237" s="21" t="str">
        <f>IF(C237="","",VLOOKUP(C237,categoria_proveedor[#ALL],2,0))</f>
        <v/>
      </c>
    </row>
    <row r="238">
      <c r="A238" s="21"/>
      <c r="B238" s="21"/>
      <c r="C238" s="21"/>
      <c r="D238" s="21"/>
      <c r="E238" s="21"/>
      <c r="F238" s="21"/>
      <c r="G238" s="21" t="str">
        <f>IF(C238="","",VLOOKUP(C238,categoria_proveedor[#ALL],2,0))</f>
        <v/>
      </c>
    </row>
    <row r="239">
      <c r="A239" s="21"/>
      <c r="B239" s="21"/>
      <c r="C239" s="21"/>
      <c r="D239" s="21"/>
      <c r="E239" s="21"/>
      <c r="F239" s="21"/>
      <c r="G239" s="21" t="str">
        <f>IF(C239="","",VLOOKUP(C239,categoria_proveedor[#ALL],2,0))</f>
        <v/>
      </c>
    </row>
    <row r="240">
      <c r="A240" s="21"/>
      <c r="B240" s="21"/>
      <c r="C240" s="21"/>
      <c r="D240" s="21"/>
      <c r="E240" s="21"/>
      <c r="F240" s="21"/>
      <c r="G240" s="21" t="str">
        <f>IF(C240="","",VLOOKUP(C240,categoria_proveedor[#ALL],2,0))</f>
        <v/>
      </c>
    </row>
    <row r="241">
      <c r="A241" s="21"/>
      <c r="B241" s="21"/>
      <c r="C241" s="21"/>
      <c r="D241" s="21"/>
      <c r="E241" s="21"/>
      <c r="F241" s="21"/>
      <c r="G241" s="21" t="str">
        <f>IF(C241="","",VLOOKUP(C241,categoria_proveedor[#ALL],2,0))</f>
        <v/>
      </c>
    </row>
    <row r="242">
      <c r="A242" s="21"/>
      <c r="B242" s="21"/>
      <c r="C242" s="21"/>
      <c r="D242" s="21"/>
      <c r="E242" s="21"/>
      <c r="F242" s="21"/>
      <c r="G242" s="21" t="str">
        <f>IF(C242="","",VLOOKUP(C242,categoria_proveedor[#ALL],2,0))</f>
        <v/>
      </c>
    </row>
    <row r="243">
      <c r="A243" s="21"/>
      <c r="B243" s="21"/>
      <c r="C243" s="21"/>
      <c r="D243" s="21"/>
      <c r="E243" s="21"/>
      <c r="F243" s="21"/>
      <c r="G243" s="21" t="str">
        <f>IF(C243="","",VLOOKUP(C243,categoria_proveedor[#ALL],2,0))</f>
        <v/>
      </c>
    </row>
    <row r="244">
      <c r="A244" s="21"/>
      <c r="B244" s="21"/>
      <c r="C244" s="21"/>
      <c r="D244" s="21"/>
      <c r="E244" s="21"/>
      <c r="F244" s="21"/>
      <c r="G244" s="21" t="str">
        <f>IF(C244="","",VLOOKUP(C244,categoria_proveedor[#ALL],2,0))</f>
        <v/>
      </c>
    </row>
    <row r="245">
      <c r="A245" s="21"/>
      <c r="B245" s="21"/>
      <c r="C245" s="21"/>
      <c r="D245" s="21"/>
      <c r="E245" s="21"/>
      <c r="F245" s="21"/>
      <c r="G245" s="21" t="str">
        <f>IF(C245="","",VLOOKUP(C245,categoria_proveedor[#ALL],2,0))</f>
        <v/>
      </c>
    </row>
    <row r="246">
      <c r="A246" s="21"/>
      <c r="B246" s="21"/>
      <c r="C246" s="21"/>
      <c r="D246" s="21"/>
      <c r="E246" s="21"/>
      <c r="F246" s="21"/>
      <c r="G246" s="21" t="str">
        <f>IF(C246="","",VLOOKUP(C246,categoria_proveedor[#ALL],2,0))</f>
        <v/>
      </c>
    </row>
    <row r="247">
      <c r="A247" s="21"/>
      <c r="B247" s="21"/>
      <c r="C247" s="21"/>
      <c r="D247" s="21"/>
      <c r="E247" s="21"/>
      <c r="F247" s="21"/>
      <c r="G247" s="21" t="str">
        <f>IF(C247="","",VLOOKUP(C247,categoria_proveedor[#ALL],2,0))</f>
        <v/>
      </c>
    </row>
    <row r="248">
      <c r="A248" s="21"/>
      <c r="B248" s="21"/>
      <c r="C248" s="21"/>
      <c r="D248" s="21"/>
      <c r="E248" s="21"/>
      <c r="F248" s="21"/>
      <c r="G248" s="21" t="str">
        <f>IF(C248="","",VLOOKUP(C248,categoria_proveedor[#ALL],2,0))</f>
        <v/>
      </c>
    </row>
    <row r="249">
      <c r="A249" s="21"/>
      <c r="B249" s="21"/>
      <c r="C249" s="21"/>
      <c r="D249" s="21"/>
      <c r="E249" s="21"/>
      <c r="F249" s="21"/>
      <c r="G249" s="21" t="str">
        <f>IF(C249="","",VLOOKUP(C249,categoria_proveedor[#ALL],2,0))</f>
        <v/>
      </c>
    </row>
    <row r="250">
      <c r="A250" s="21"/>
      <c r="B250" s="21"/>
      <c r="C250" s="21"/>
      <c r="D250" s="21"/>
      <c r="E250" s="21"/>
      <c r="F250" s="21"/>
      <c r="G250" s="21" t="str">
        <f>IF(C250="","",VLOOKUP(C250,categoria_proveedor[#ALL],2,0))</f>
        <v/>
      </c>
    </row>
    <row r="251">
      <c r="A251" s="21"/>
      <c r="B251" s="21"/>
      <c r="C251" s="21"/>
      <c r="D251" s="21"/>
      <c r="E251" s="21"/>
      <c r="F251" s="21"/>
      <c r="G251" s="21" t="str">
        <f>IF(C251="","",VLOOKUP(C251,categoria_proveedor[#ALL],2,0))</f>
        <v/>
      </c>
    </row>
    <row r="252">
      <c r="A252" s="21"/>
      <c r="B252" s="21"/>
      <c r="C252" s="21"/>
      <c r="D252" s="21"/>
      <c r="E252" s="21"/>
      <c r="F252" s="21"/>
      <c r="G252" s="21" t="str">
        <f>IF(C252="","",VLOOKUP(C252,categoria_proveedor[#ALL],2,0))</f>
        <v/>
      </c>
    </row>
    <row r="253">
      <c r="A253" s="21"/>
      <c r="B253" s="21"/>
      <c r="C253" s="21"/>
      <c r="D253" s="21"/>
      <c r="E253" s="21"/>
      <c r="F253" s="21"/>
      <c r="G253" s="21" t="str">
        <f>IF(C253="","",VLOOKUP(C253,categoria_proveedor[#ALL],2,0))</f>
        <v/>
      </c>
    </row>
    <row r="254">
      <c r="A254" s="21"/>
      <c r="B254" s="21"/>
      <c r="C254" s="21"/>
      <c r="D254" s="21"/>
      <c r="E254" s="21"/>
      <c r="F254" s="21"/>
      <c r="G254" s="21" t="str">
        <f>IF(C254="","",VLOOKUP(C254,categoria_proveedor[#ALL],2,0))</f>
        <v/>
      </c>
    </row>
    <row r="255">
      <c r="A255" s="21"/>
      <c r="B255" s="21"/>
      <c r="C255" s="21"/>
      <c r="D255" s="21"/>
      <c r="E255" s="21"/>
      <c r="F255" s="21"/>
      <c r="G255" s="21" t="str">
        <f>IF(C255="","",VLOOKUP(C255,categoria_proveedor[#ALL],2,0))</f>
        <v/>
      </c>
    </row>
    <row r="256">
      <c r="A256" s="21"/>
      <c r="B256" s="21"/>
      <c r="C256" s="21"/>
      <c r="D256" s="21"/>
      <c r="E256" s="21"/>
      <c r="F256" s="21"/>
      <c r="G256" s="21" t="str">
        <f>IF(C256="","",VLOOKUP(C256,categoria_proveedor[#ALL],2,0))</f>
        <v/>
      </c>
    </row>
    <row r="257">
      <c r="A257" s="21"/>
      <c r="B257" s="21"/>
      <c r="C257" s="21"/>
      <c r="D257" s="21"/>
      <c r="E257" s="21"/>
      <c r="F257" s="21"/>
      <c r="G257" s="21" t="str">
        <f>IF(C257="","",VLOOKUP(C257,categoria_proveedor[#ALL],2,0))</f>
        <v/>
      </c>
    </row>
    <row r="258">
      <c r="A258" s="21"/>
      <c r="B258" s="21"/>
      <c r="C258" s="21"/>
      <c r="D258" s="21"/>
      <c r="E258" s="21"/>
      <c r="F258" s="21"/>
      <c r="G258" s="21" t="str">
        <f>IF(C258="","",VLOOKUP(C258,categoria_proveedor[#ALL],2,0))</f>
        <v/>
      </c>
    </row>
    <row r="259">
      <c r="A259" s="21"/>
      <c r="B259" s="21"/>
      <c r="C259" s="21"/>
      <c r="D259" s="21"/>
      <c r="E259" s="21"/>
      <c r="F259" s="21"/>
      <c r="G259" s="21" t="str">
        <f>IF(C259="","",VLOOKUP(C259,categoria_proveedor[#ALL],2,0))</f>
        <v/>
      </c>
    </row>
    <row r="260">
      <c r="A260" s="21"/>
      <c r="B260" s="21"/>
      <c r="C260" s="21"/>
      <c r="D260" s="21"/>
      <c r="E260" s="21"/>
      <c r="F260" s="21"/>
      <c r="G260" s="21" t="str">
        <f>IF(C260="","",VLOOKUP(C260,categoria_proveedor[#ALL],2,0))</f>
        <v/>
      </c>
    </row>
    <row r="261">
      <c r="A261" s="21"/>
      <c r="B261" s="21"/>
      <c r="C261" s="21"/>
      <c r="D261" s="21"/>
      <c r="E261" s="21"/>
      <c r="F261" s="21"/>
      <c r="G261" s="21" t="str">
        <f>IF(C261="","",VLOOKUP(C261,categoria_proveedor[#ALL],2,0))</f>
        <v/>
      </c>
    </row>
    <row r="262">
      <c r="A262" s="21"/>
      <c r="B262" s="21"/>
      <c r="C262" s="21"/>
      <c r="D262" s="21"/>
      <c r="E262" s="21"/>
      <c r="F262" s="21"/>
      <c r="G262" s="21" t="str">
        <f>IF(C262="","",VLOOKUP(C262,categoria_proveedor[#ALL],2,0))</f>
        <v/>
      </c>
    </row>
    <row r="263">
      <c r="A263" s="21"/>
      <c r="B263" s="21"/>
      <c r="C263" s="21"/>
      <c r="D263" s="21"/>
      <c r="E263" s="21"/>
      <c r="F263" s="21"/>
      <c r="G263" s="21" t="str">
        <f>IF(C263="","",VLOOKUP(C263,categoria_proveedor[#ALL],2,0))</f>
        <v/>
      </c>
    </row>
    <row r="264">
      <c r="A264" s="21"/>
      <c r="B264" s="21"/>
      <c r="C264" s="21"/>
      <c r="D264" s="21"/>
      <c r="E264" s="21"/>
      <c r="F264" s="21"/>
      <c r="G264" s="21" t="str">
        <f>IF(C264="","",VLOOKUP(C264,categoria_proveedor[#ALL],2,0))</f>
        <v/>
      </c>
    </row>
    <row r="265">
      <c r="A265" s="21"/>
      <c r="B265" s="21"/>
      <c r="C265" s="21"/>
      <c r="D265" s="21"/>
      <c r="E265" s="21"/>
      <c r="F265" s="21"/>
      <c r="G265" s="21" t="str">
        <f>IF(C265="","",VLOOKUP(C265,categoria_proveedor[#ALL],2,0))</f>
        <v/>
      </c>
    </row>
    <row r="266">
      <c r="A266" s="21"/>
      <c r="B266" s="21"/>
      <c r="C266" s="21"/>
      <c r="D266" s="21"/>
      <c r="E266" s="21"/>
      <c r="F266" s="21"/>
      <c r="G266" s="21" t="str">
        <f>IF(C266="","",VLOOKUP(C266,categoria_proveedor[#ALL],2,0))</f>
        <v/>
      </c>
    </row>
    <row r="267">
      <c r="A267" s="21"/>
      <c r="B267" s="21"/>
      <c r="C267" s="21"/>
      <c r="D267" s="21"/>
      <c r="E267" s="21"/>
      <c r="F267" s="21"/>
      <c r="G267" s="21" t="str">
        <f>IF(C267="","",VLOOKUP(C267,categoria_proveedor[#ALL],2,0))</f>
        <v/>
      </c>
    </row>
    <row r="268">
      <c r="A268" s="21"/>
      <c r="B268" s="21"/>
      <c r="C268" s="21"/>
      <c r="D268" s="21"/>
      <c r="E268" s="21"/>
      <c r="F268" s="21"/>
      <c r="G268" s="21" t="str">
        <f>IF(C268="","",VLOOKUP(C268,categoria_proveedor[#ALL],2,0))</f>
        <v/>
      </c>
    </row>
    <row r="269">
      <c r="A269" s="21"/>
      <c r="B269" s="21"/>
      <c r="C269" s="21"/>
      <c r="D269" s="21"/>
      <c r="E269" s="21"/>
      <c r="F269" s="21"/>
      <c r="G269" s="21" t="str">
        <f>IF(C269="","",VLOOKUP(C269,categoria_proveedor[#ALL],2,0))</f>
        <v/>
      </c>
    </row>
    <row r="270">
      <c r="A270" s="21"/>
      <c r="B270" s="21"/>
      <c r="C270" s="21"/>
      <c r="D270" s="21"/>
      <c r="E270" s="21"/>
      <c r="F270" s="21"/>
      <c r="G270" s="21" t="str">
        <f>IF(C270="","",VLOOKUP(C270,categoria_proveedor[#ALL],2,0))</f>
        <v/>
      </c>
    </row>
    <row r="271">
      <c r="A271" s="21"/>
      <c r="B271" s="21"/>
      <c r="C271" s="21"/>
      <c r="D271" s="21"/>
      <c r="E271" s="21"/>
      <c r="F271" s="21"/>
      <c r="G271" s="21" t="str">
        <f>IF(C271="","",VLOOKUP(C271,categoria_proveedor[#ALL],2,0))</f>
        <v/>
      </c>
    </row>
    <row r="272">
      <c r="A272" s="21"/>
      <c r="B272" s="21"/>
      <c r="C272" s="21"/>
      <c r="D272" s="21"/>
      <c r="E272" s="21"/>
      <c r="F272" s="21"/>
      <c r="G272" s="21" t="str">
        <f>IF(C272="","",VLOOKUP(C272,categoria_proveedor[#ALL],2,0))</f>
        <v/>
      </c>
    </row>
    <row r="273">
      <c r="A273" s="21"/>
      <c r="B273" s="21"/>
      <c r="C273" s="21"/>
      <c r="D273" s="21"/>
      <c r="E273" s="21"/>
      <c r="F273" s="21"/>
      <c r="G273" s="21" t="str">
        <f>IF(C273="","",VLOOKUP(C273,categoria_proveedor[#ALL],2,0))</f>
        <v/>
      </c>
    </row>
    <row r="274">
      <c r="A274" s="21"/>
      <c r="B274" s="21"/>
      <c r="C274" s="21"/>
      <c r="D274" s="21"/>
      <c r="E274" s="21"/>
      <c r="F274" s="21"/>
      <c r="G274" s="21" t="str">
        <f>IF(C274="","",VLOOKUP(C274,categoria_proveedor[#ALL],2,0))</f>
        <v/>
      </c>
    </row>
    <row r="275">
      <c r="A275" s="21"/>
      <c r="B275" s="21"/>
      <c r="C275" s="21"/>
      <c r="D275" s="21"/>
      <c r="E275" s="21"/>
      <c r="F275" s="21"/>
      <c r="G275" s="21" t="str">
        <f>IF(C275="","",VLOOKUP(C275,categoria_proveedor[#ALL],2,0))</f>
        <v/>
      </c>
    </row>
    <row r="276">
      <c r="A276" s="21"/>
      <c r="B276" s="21"/>
      <c r="C276" s="21"/>
      <c r="D276" s="21"/>
      <c r="E276" s="21"/>
      <c r="F276" s="21"/>
      <c r="G276" s="21" t="str">
        <f>IF(C276="","",VLOOKUP(C276,categoria_proveedor[#ALL],2,0))</f>
        <v/>
      </c>
    </row>
    <row r="277">
      <c r="A277" s="21"/>
      <c r="B277" s="21"/>
      <c r="C277" s="21"/>
      <c r="D277" s="21"/>
      <c r="E277" s="21"/>
      <c r="F277" s="21"/>
      <c r="G277" s="21" t="str">
        <f>IF(C277="","",VLOOKUP(C277,categoria_proveedor[#ALL],2,0))</f>
        <v/>
      </c>
    </row>
    <row r="278">
      <c r="A278" s="21"/>
      <c r="B278" s="21"/>
      <c r="C278" s="21"/>
      <c r="D278" s="21"/>
      <c r="E278" s="21"/>
      <c r="F278" s="21"/>
      <c r="G278" s="21" t="str">
        <f>IF(C278="","",VLOOKUP(C278,categoria_proveedor[#ALL],2,0))</f>
        <v/>
      </c>
    </row>
    <row r="279">
      <c r="A279" s="21"/>
      <c r="B279" s="21"/>
      <c r="C279" s="21"/>
      <c r="D279" s="21"/>
      <c r="E279" s="21"/>
      <c r="F279" s="21"/>
      <c r="G279" s="21" t="str">
        <f>IF(C279="","",VLOOKUP(C279,categoria_proveedor[#ALL],2,0))</f>
        <v/>
      </c>
    </row>
    <row r="280">
      <c r="A280" s="21"/>
      <c r="B280" s="21"/>
      <c r="C280" s="21"/>
      <c r="D280" s="21"/>
      <c r="E280" s="21"/>
      <c r="F280" s="21"/>
      <c r="G280" s="21" t="str">
        <f>IF(C280="","",VLOOKUP(C280,categoria_proveedor[#ALL],2,0))</f>
        <v/>
      </c>
    </row>
    <row r="281">
      <c r="A281" s="21"/>
      <c r="B281" s="21"/>
      <c r="C281" s="21"/>
      <c r="D281" s="21"/>
      <c r="E281" s="21"/>
      <c r="F281" s="21"/>
      <c r="G281" s="21" t="str">
        <f>IF(C281="","",VLOOKUP(C281,categoria_proveedor[#ALL],2,0))</f>
        <v/>
      </c>
    </row>
    <row r="282">
      <c r="A282" s="21"/>
      <c r="B282" s="21"/>
      <c r="C282" s="21"/>
      <c r="D282" s="21"/>
      <c r="E282" s="21"/>
      <c r="F282" s="21"/>
      <c r="G282" s="21" t="str">
        <f>IF(C282="","",VLOOKUP(C282,categoria_proveedor[#ALL],2,0))</f>
        <v/>
      </c>
    </row>
    <row r="283">
      <c r="A283" s="21"/>
      <c r="B283" s="21"/>
      <c r="C283" s="21"/>
      <c r="D283" s="21"/>
      <c r="E283" s="21"/>
      <c r="F283" s="21"/>
      <c r="G283" s="21" t="str">
        <f>IF(C283="","",VLOOKUP(C283,categoria_proveedor[#ALL],2,0))</f>
        <v/>
      </c>
    </row>
    <row r="284">
      <c r="A284" s="21"/>
      <c r="B284" s="21"/>
      <c r="C284" s="21"/>
      <c r="D284" s="21"/>
      <c r="E284" s="21"/>
      <c r="F284" s="21"/>
      <c r="G284" s="21" t="str">
        <f>IF(C284="","",VLOOKUP(C284,categoria_proveedor[#ALL],2,0))</f>
        <v/>
      </c>
    </row>
    <row r="285">
      <c r="A285" s="21"/>
      <c r="B285" s="21"/>
      <c r="C285" s="21"/>
      <c r="D285" s="21"/>
      <c r="E285" s="21"/>
      <c r="F285" s="21"/>
      <c r="G285" s="21" t="str">
        <f>IF(C285="","",VLOOKUP(C285,categoria_proveedor[#ALL],2,0))</f>
        <v/>
      </c>
    </row>
    <row r="286">
      <c r="A286" s="21"/>
      <c r="B286" s="21"/>
      <c r="C286" s="21"/>
      <c r="D286" s="21"/>
      <c r="E286" s="21"/>
      <c r="F286" s="21"/>
      <c r="G286" s="21" t="str">
        <f>IF(C286="","",VLOOKUP(C286,categoria_proveedor[#ALL],2,0))</f>
        <v/>
      </c>
    </row>
    <row r="287">
      <c r="A287" s="21"/>
      <c r="B287" s="21"/>
      <c r="C287" s="21"/>
      <c r="D287" s="21"/>
      <c r="E287" s="21"/>
      <c r="F287" s="21"/>
      <c r="G287" s="21" t="str">
        <f>IF(C287="","",VLOOKUP(C287,categoria_proveedor[#ALL],2,0))</f>
        <v/>
      </c>
    </row>
    <row r="288">
      <c r="A288" s="21"/>
      <c r="B288" s="21"/>
      <c r="C288" s="21"/>
      <c r="D288" s="21"/>
      <c r="E288" s="21"/>
      <c r="F288" s="21"/>
      <c r="G288" s="21" t="str">
        <f>IF(C288="","",VLOOKUP(C288,categoria_proveedor[#ALL],2,0))</f>
        <v/>
      </c>
    </row>
    <row r="289">
      <c r="A289" s="21"/>
      <c r="B289" s="21"/>
      <c r="C289" s="21"/>
      <c r="D289" s="21"/>
      <c r="E289" s="21"/>
      <c r="F289" s="21"/>
      <c r="G289" s="21" t="str">
        <f>IF(C289="","",VLOOKUP(C289,categoria_proveedor[#ALL],2,0))</f>
        <v/>
      </c>
    </row>
    <row r="290">
      <c r="A290" s="21"/>
      <c r="B290" s="21"/>
      <c r="C290" s="21"/>
      <c r="D290" s="21"/>
      <c r="E290" s="21"/>
      <c r="F290" s="21"/>
      <c r="G290" s="21" t="str">
        <f>IF(C290="","",VLOOKUP(C290,categoria_proveedor[#ALL],2,0))</f>
        <v/>
      </c>
    </row>
    <row r="291">
      <c r="A291" s="21"/>
      <c r="B291" s="21"/>
      <c r="C291" s="21"/>
      <c r="D291" s="21"/>
      <c r="E291" s="21"/>
      <c r="F291" s="21"/>
      <c r="G291" s="21" t="str">
        <f>IF(C291="","",VLOOKUP(C291,categoria_proveedor[#ALL],2,0))</f>
        <v/>
      </c>
    </row>
    <row r="292">
      <c r="A292" s="21"/>
      <c r="B292" s="21"/>
      <c r="C292" s="21"/>
      <c r="D292" s="21"/>
      <c r="E292" s="21"/>
      <c r="F292" s="21"/>
      <c r="G292" s="21" t="str">
        <f>IF(C292="","",VLOOKUP(C292,categoria_proveedor[#ALL],2,0))</f>
        <v/>
      </c>
    </row>
    <row r="293">
      <c r="A293" s="21"/>
      <c r="B293" s="21"/>
      <c r="C293" s="21"/>
      <c r="D293" s="21"/>
      <c r="E293" s="21"/>
      <c r="F293" s="21"/>
      <c r="G293" s="21" t="str">
        <f>IF(C293="","",VLOOKUP(C293,categoria_proveedor[#ALL],2,0))</f>
        <v/>
      </c>
    </row>
    <row r="294">
      <c r="A294" s="21"/>
      <c r="B294" s="21"/>
      <c r="C294" s="21"/>
      <c r="D294" s="21"/>
      <c r="E294" s="21"/>
      <c r="F294" s="21"/>
      <c r="G294" s="21" t="str">
        <f>IF(C294="","",VLOOKUP(C294,categoria_proveedor[#ALL],2,0))</f>
        <v/>
      </c>
    </row>
    <row r="295">
      <c r="A295" s="21"/>
      <c r="B295" s="21"/>
      <c r="C295" s="21"/>
      <c r="D295" s="21"/>
      <c r="E295" s="21"/>
      <c r="F295" s="21"/>
      <c r="G295" s="21" t="str">
        <f>IF(C295="","",VLOOKUP(C295,categoria_proveedor[#ALL],2,0))</f>
        <v/>
      </c>
    </row>
    <row r="296">
      <c r="A296" s="21"/>
      <c r="B296" s="21"/>
      <c r="C296" s="21"/>
      <c r="D296" s="21"/>
      <c r="E296" s="21"/>
      <c r="F296" s="21"/>
      <c r="G296" s="21" t="str">
        <f>IF(C296="","",VLOOKUP(C296,categoria_proveedor[#ALL],2,0))</f>
        <v/>
      </c>
    </row>
    <row r="297">
      <c r="A297" s="21"/>
      <c r="B297" s="21"/>
      <c r="C297" s="21"/>
      <c r="D297" s="21"/>
      <c r="E297" s="21"/>
      <c r="F297" s="21"/>
      <c r="G297" s="21" t="str">
        <f>IF(C297="","",VLOOKUP(C297,categoria_proveedor[#ALL],2,0))</f>
        <v/>
      </c>
    </row>
    <row r="298">
      <c r="A298" s="21"/>
      <c r="B298" s="21"/>
      <c r="C298" s="21"/>
      <c r="D298" s="21"/>
      <c r="E298" s="21"/>
      <c r="F298" s="21"/>
      <c r="G298" s="21" t="str">
        <f>IF(C298="","",VLOOKUP(C298,categoria_proveedor[#ALL],2,0))</f>
        <v/>
      </c>
    </row>
    <row r="299">
      <c r="A299" s="21"/>
      <c r="B299" s="21"/>
      <c r="C299" s="21"/>
      <c r="D299" s="21"/>
      <c r="E299" s="21"/>
      <c r="F299" s="21"/>
      <c r="G299" s="21" t="str">
        <f>IF(C299="","",VLOOKUP(C299,categoria_proveedor[#ALL],2,0))</f>
        <v/>
      </c>
    </row>
    <row r="300">
      <c r="A300" s="21"/>
      <c r="B300" s="21"/>
      <c r="C300" s="21"/>
      <c r="D300" s="21"/>
      <c r="E300" s="21"/>
      <c r="F300" s="21"/>
      <c r="G300" s="21" t="str">
        <f>IF(C300="","",VLOOKUP(C300,categoria_proveedor[#ALL],2,0))</f>
        <v/>
      </c>
    </row>
    <row r="301">
      <c r="A301" s="21"/>
      <c r="B301" s="21"/>
      <c r="C301" s="21"/>
      <c r="D301" s="21"/>
      <c r="E301" s="21"/>
      <c r="F301" s="21"/>
      <c r="G301" s="21" t="str">
        <f>IF(C301="","",VLOOKUP(C301,categoria_proveedor[#ALL],2,0))</f>
        <v/>
      </c>
    </row>
    <row r="302">
      <c r="A302" s="21"/>
      <c r="B302" s="21"/>
      <c r="C302" s="21"/>
      <c r="D302" s="21"/>
      <c r="E302" s="21"/>
      <c r="F302" s="21"/>
      <c r="G302" s="21" t="str">
        <f>IF(C302="","",VLOOKUP(C302,categoria_proveedor[#ALL],2,0))</f>
        <v/>
      </c>
    </row>
    <row r="303">
      <c r="A303" s="21"/>
      <c r="B303" s="21"/>
      <c r="C303" s="21"/>
      <c r="D303" s="21"/>
      <c r="E303" s="21"/>
      <c r="F303" s="21"/>
      <c r="G303" s="21" t="str">
        <f>IF(C303="","",VLOOKUP(C303,categoria_proveedor[#ALL],2,0))</f>
        <v/>
      </c>
    </row>
    <row r="304">
      <c r="A304" s="21"/>
      <c r="B304" s="21"/>
      <c r="C304" s="21"/>
      <c r="D304" s="21"/>
      <c r="E304" s="21"/>
      <c r="F304" s="21"/>
      <c r="G304" s="21" t="str">
        <f>IF(C304="","",VLOOKUP(C304,categoria_proveedor[#ALL],2,0))</f>
        <v/>
      </c>
    </row>
    <row r="305">
      <c r="A305" s="21"/>
      <c r="B305" s="21"/>
      <c r="C305" s="21"/>
      <c r="D305" s="21"/>
      <c r="E305" s="21"/>
      <c r="F305" s="21"/>
      <c r="G305" s="21" t="str">
        <f>IF(C305="","",VLOOKUP(C305,categoria_proveedor[#ALL],2,0))</f>
        <v/>
      </c>
    </row>
    <row r="306">
      <c r="A306" s="21"/>
      <c r="B306" s="21"/>
      <c r="C306" s="21"/>
      <c r="D306" s="21"/>
      <c r="E306" s="21"/>
      <c r="F306" s="21"/>
      <c r="G306" s="21" t="str">
        <f>IF(C306="","",VLOOKUP(C306,categoria_proveedor[#ALL],2,0))</f>
        <v/>
      </c>
    </row>
    <row r="307">
      <c r="A307" s="21"/>
      <c r="B307" s="21"/>
      <c r="C307" s="21"/>
      <c r="D307" s="21"/>
      <c r="E307" s="21"/>
      <c r="F307" s="21"/>
      <c r="G307" s="21" t="str">
        <f>IF(C307="","",VLOOKUP(C307,categoria_proveedor[#ALL],2,0))</f>
        <v/>
      </c>
    </row>
    <row r="308">
      <c r="A308" s="21"/>
      <c r="B308" s="21"/>
      <c r="C308" s="21"/>
      <c r="D308" s="21"/>
      <c r="E308" s="21"/>
      <c r="F308" s="21"/>
      <c r="G308" s="21" t="str">
        <f>IF(C308="","",VLOOKUP(C308,categoria_proveedor[#ALL],2,0))</f>
        <v/>
      </c>
    </row>
    <row r="309">
      <c r="A309" s="21"/>
      <c r="B309" s="21"/>
      <c r="C309" s="21"/>
      <c r="D309" s="21"/>
      <c r="E309" s="21"/>
      <c r="F309" s="21"/>
      <c r="G309" s="21" t="str">
        <f>IF(C309="","",VLOOKUP(C309,categoria_proveedor[#ALL],2,0))</f>
        <v/>
      </c>
    </row>
    <row r="310">
      <c r="A310" s="21"/>
      <c r="B310" s="21"/>
      <c r="C310" s="21"/>
      <c r="D310" s="21"/>
      <c r="E310" s="21"/>
      <c r="F310" s="21"/>
      <c r="G310" s="21" t="str">
        <f>IF(C310="","",VLOOKUP(C310,categoria_proveedor[#ALL],2,0))</f>
        <v/>
      </c>
    </row>
    <row r="311">
      <c r="A311" s="21"/>
      <c r="B311" s="21"/>
      <c r="C311" s="21"/>
      <c r="D311" s="21"/>
      <c r="E311" s="21"/>
      <c r="F311" s="21"/>
      <c r="G311" s="21" t="str">
        <f>IF(C311="","",VLOOKUP(C311,categoria_proveedor[#ALL],2,0))</f>
        <v/>
      </c>
    </row>
    <row r="312">
      <c r="A312" s="21"/>
      <c r="B312" s="21"/>
      <c r="C312" s="21"/>
      <c r="D312" s="21"/>
      <c r="E312" s="21"/>
      <c r="F312" s="21"/>
      <c r="G312" s="21" t="str">
        <f>IF(C312="","",VLOOKUP(C312,categoria_proveedor[#ALL],2,0))</f>
        <v/>
      </c>
    </row>
    <row r="313">
      <c r="A313" s="21"/>
      <c r="B313" s="21"/>
      <c r="C313" s="21"/>
      <c r="D313" s="21"/>
      <c r="E313" s="21"/>
      <c r="F313" s="21"/>
      <c r="G313" s="21" t="str">
        <f>IF(C313="","",VLOOKUP(C313,categoria_proveedor[#ALL],2,0))</f>
        <v/>
      </c>
    </row>
    <row r="314">
      <c r="A314" s="21"/>
      <c r="B314" s="21"/>
      <c r="C314" s="21"/>
      <c r="D314" s="21"/>
      <c r="E314" s="21"/>
      <c r="F314" s="21"/>
      <c r="G314" s="21" t="str">
        <f>IF(C314="","",VLOOKUP(C314,categoria_proveedor[#ALL],2,0))</f>
        <v/>
      </c>
    </row>
    <row r="315">
      <c r="A315" s="21"/>
      <c r="B315" s="21"/>
      <c r="C315" s="21"/>
      <c r="D315" s="21"/>
      <c r="E315" s="21"/>
      <c r="F315" s="21"/>
      <c r="G315" s="21" t="str">
        <f>IF(C315="","",VLOOKUP(C315,categoria_proveedor[#ALL],2,0))</f>
        <v/>
      </c>
    </row>
    <row r="316">
      <c r="A316" s="21"/>
      <c r="B316" s="21"/>
      <c r="C316" s="21"/>
      <c r="D316" s="21"/>
      <c r="E316" s="21"/>
      <c r="F316" s="21"/>
      <c r="G316" s="21" t="str">
        <f>IF(C316="","",VLOOKUP(C316,categoria_proveedor[#ALL],2,0))</f>
        <v/>
      </c>
    </row>
    <row r="317">
      <c r="A317" s="21"/>
      <c r="B317" s="21"/>
      <c r="C317" s="21"/>
      <c r="D317" s="21"/>
      <c r="E317" s="21"/>
      <c r="F317" s="21"/>
      <c r="G317" s="21" t="str">
        <f>IF(C317="","",VLOOKUP(C317,categoria_proveedor[#ALL],2,0))</f>
        <v/>
      </c>
    </row>
    <row r="318">
      <c r="A318" s="21"/>
      <c r="B318" s="21"/>
      <c r="C318" s="21"/>
      <c r="D318" s="21"/>
      <c r="E318" s="21"/>
      <c r="F318" s="21"/>
      <c r="G318" s="21" t="str">
        <f>IF(C318="","",VLOOKUP(C318,categoria_proveedor[#ALL],2,0))</f>
        <v/>
      </c>
    </row>
    <row r="319">
      <c r="A319" s="21"/>
      <c r="B319" s="21"/>
      <c r="C319" s="21"/>
      <c r="D319" s="21"/>
      <c r="E319" s="21"/>
      <c r="F319" s="21"/>
      <c r="G319" s="21" t="str">
        <f>IF(C319="","",VLOOKUP(C319,categoria_proveedor[#ALL],2,0))</f>
        <v/>
      </c>
    </row>
    <row r="320">
      <c r="A320" s="21"/>
      <c r="B320" s="21"/>
      <c r="C320" s="21"/>
      <c r="D320" s="21"/>
      <c r="E320" s="21"/>
      <c r="F320" s="21"/>
      <c r="G320" s="21" t="str">
        <f>IF(C320="","",VLOOKUP(C320,categoria_proveedor[#ALL],2,0))</f>
        <v/>
      </c>
    </row>
    <row r="321">
      <c r="A321" s="21"/>
      <c r="B321" s="21"/>
      <c r="C321" s="21"/>
      <c r="D321" s="21"/>
      <c r="E321" s="21"/>
      <c r="F321" s="21"/>
      <c r="G321" s="21" t="str">
        <f>IF(C321="","",VLOOKUP(C321,categoria_proveedor[#ALL],2,0))</f>
        <v/>
      </c>
    </row>
    <row r="322">
      <c r="A322" s="21"/>
      <c r="B322" s="21"/>
      <c r="C322" s="21"/>
      <c r="D322" s="21"/>
      <c r="E322" s="21"/>
      <c r="F322" s="21"/>
      <c r="G322" s="21" t="str">
        <f>IF(C322="","",VLOOKUP(C322,categoria_proveedor[#ALL],2,0))</f>
        <v/>
      </c>
    </row>
    <row r="323">
      <c r="A323" s="21"/>
      <c r="B323" s="21"/>
      <c r="C323" s="21"/>
      <c r="D323" s="21"/>
      <c r="E323" s="21"/>
      <c r="F323" s="21"/>
      <c r="G323" s="21" t="str">
        <f>IF(C323="","",VLOOKUP(C323,categoria_proveedor[#ALL],2,0))</f>
        <v/>
      </c>
    </row>
    <row r="324">
      <c r="A324" s="21"/>
      <c r="B324" s="21"/>
      <c r="C324" s="21"/>
      <c r="D324" s="21"/>
      <c r="E324" s="21"/>
      <c r="F324" s="21"/>
      <c r="G324" s="21" t="str">
        <f>IF(C324="","",VLOOKUP(C324,categoria_proveedor[#ALL],2,0))</f>
        <v/>
      </c>
    </row>
    <row r="325">
      <c r="A325" s="21"/>
      <c r="B325" s="21"/>
      <c r="C325" s="21"/>
      <c r="D325" s="21"/>
      <c r="E325" s="21"/>
      <c r="F325" s="21"/>
      <c r="G325" s="21" t="str">
        <f>IF(C325="","",VLOOKUP(C325,categoria_proveedor[#ALL],2,0))</f>
        <v/>
      </c>
    </row>
    <row r="326">
      <c r="A326" s="21"/>
      <c r="B326" s="21"/>
      <c r="C326" s="21"/>
      <c r="D326" s="21"/>
      <c r="E326" s="21"/>
      <c r="F326" s="21"/>
      <c r="G326" s="21" t="str">
        <f>IF(C326="","",VLOOKUP(C326,categoria_proveedor[#ALL],2,0))</f>
        <v/>
      </c>
    </row>
    <row r="327">
      <c r="A327" s="21"/>
      <c r="B327" s="21"/>
      <c r="C327" s="21"/>
      <c r="D327" s="21"/>
      <c r="E327" s="21"/>
      <c r="F327" s="21"/>
      <c r="G327" s="21" t="str">
        <f>IF(C327="","",VLOOKUP(C327,categoria_proveedor[#ALL],2,0))</f>
        <v/>
      </c>
    </row>
    <row r="328">
      <c r="A328" s="21"/>
      <c r="B328" s="21"/>
      <c r="C328" s="21"/>
      <c r="D328" s="21"/>
      <c r="E328" s="21"/>
      <c r="F328" s="21"/>
      <c r="G328" s="21" t="str">
        <f>IF(C328="","",VLOOKUP(C328,categoria_proveedor[#ALL],2,0))</f>
        <v/>
      </c>
    </row>
    <row r="329">
      <c r="A329" s="21"/>
      <c r="B329" s="21"/>
      <c r="C329" s="21"/>
      <c r="D329" s="21"/>
      <c r="E329" s="21"/>
      <c r="F329" s="21"/>
      <c r="G329" s="21" t="str">
        <f>IF(C329="","",VLOOKUP(C329,categoria_proveedor[#ALL],2,0))</f>
        <v/>
      </c>
    </row>
    <row r="330">
      <c r="A330" s="21"/>
      <c r="B330" s="21"/>
      <c r="C330" s="21"/>
      <c r="D330" s="21"/>
      <c r="E330" s="21"/>
      <c r="F330" s="21"/>
      <c r="G330" s="21" t="str">
        <f>IF(C330="","",VLOOKUP(C330,categoria_proveedor[#ALL],2,0))</f>
        <v/>
      </c>
    </row>
    <row r="331">
      <c r="A331" s="21"/>
      <c r="B331" s="21"/>
      <c r="C331" s="21"/>
      <c r="D331" s="21"/>
      <c r="E331" s="21"/>
      <c r="F331" s="21"/>
      <c r="G331" s="21" t="str">
        <f>IF(C331="","",VLOOKUP(C331,categoria_proveedor[#ALL],2,0))</f>
        <v/>
      </c>
    </row>
    <row r="332">
      <c r="A332" s="21"/>
      <c r="B332" s="21"/>
      <c r="C332" s="21"/>
      <c r="D332" s="21"/>
      <c r="E332" s="21"/>
      <c r="F332" s="21"/>
      <c r="G332" s="21" t="str">
        <f>IF(C332="","",VLOOKUP(C332,categoria_proveedor[#ALL],2,0))</f>
        <v/>
      </c>
    </row>
    <row r="333">
      <c r="A333" s="21"/>
      <c r="B333" s="21"/>
      <c r="C333" s="21"/>
      <c r="D333" s="21"/>
      <c r="E333" s="21"/>
      <c r="F333" s="21"/>
      <c r="G333" s="21" t="str">
        <f>IF(C333="","",VLOOKUP(C333,categoria_proveedor[#ALL],2,0))</f>
        <v/>
      </c>
    </row>
    <row r="334">
      <c r="A334" s="21"/>
      <c r="B334" s="21"/>
      <c r="C334" s="21"/>
      <c r="D334" s="21"/>
      <c r="E334" s="21"/>
      <c r="F334" s="21"/>
      <c r="G334" s="21" t="str">
        <f>IF(C334="","",VLOOKUP(C334,categoria_proveedor[#ALL],2,0))</f>
        <v/>
      </c>
    </row>
    <row r="335">
      <c r="A335" s="21"/>
      <c r="B335" s="21"/>
      <c r="C335" s="21"/>
      <c r="D335" s="21"/>
      <c r="E335" s="21"/>
      <c r="F335" s="21"/>
      <c r="G335" s="21" t="str">
        <f>IF(C335="","",VLOOKUP(C335,categoria_proveedor[#ALL],2,0))</f>
        <v/>
      </c>
    </row>
    <row r="336">
      <c r="A336" s="21"/>
      <c r="B336" s="21"/>
      <c r="C336" s="21"/>
      <c r="D336" s="21"/>
      <c r="E336" s="21"/>
      <c r="F336" s="21"/>
      <c r="G336" s="21" t="str">
        <f>IF(C336="","",VLOOKUP(C336,categoria_proveedor[#ALL],2,0))</f>
        <v/>
      </c>
    </row>
    <row r="337">
      <c r="A337" s="21"/>
      <c r="B337" s="21"/>
      <c r="C337" s="21"/>
      <c r="D337" s="21"/>
      <c r="E337" s="21"/>
      <c r="F337" s="21"/>
      <c r="G337" s="21" t="str">
        <f>IF(C337="","",VLOOKUP(C337,categoria_proveedor[#ALL],2,0))</f>
        <v/>
      </c>
    </row>
    <row r="338">
      <c r="A338" s="21"/>
      <c r="B338" s="21"/>
      <c r="C338" s="21"/>
      <c r="D338" s="21"/>
      <c r="E338" s="21"/>
      <c r="F338" s="21"/>
      <c r="G338" s="21" t="str">
        <f>IF(C338="","",VLOOKUP(C338,categoria_proveedor[#ALL],2,0))</f>
        <v/>
      </c>
    </row>
    <row r="339">
      <c r="A339" s="21"/>
      <c r="B339" s="21"/>
      <c r="C339" s="21"/>
      <c r="D339" s="21"/>
      <c r="E339" s="21"/>
      <c r="F339" s="21"/>
      <c r="G339" s="21" t="str">
        <f>IF(C339="","",VLOOKUP(C339,categoria_proveedor[#ALL],2,0))</f>
        <v/>
      </c>
    </row>
    <row r="340">
      <c r="A340" s="21"/>
      <c r="B340" s="21"/>
      <c r="C340" s="21"/>
      <c r="D340" s="21"/>
      <c r="E340" s="21"/>
      <c r="F340" s="21"/>
      <c r="G340" s="21" t="str">
        <f>IF(C340="","",VLOOKUP(C340,categoria_proveedor[#ALL],2,0))</f>
        <v/>
      </c>
    </row>
    <row r="341">
      <c r="A341" s="21"/>
      <c r="B341" s="21"/>
      <c r="C341" s="21"/>
      <c r="D341" s="21"/>
      <c r="E341" s="21"/>
      <c r="F341" s="21"/>
      <c r="G341" s="21" t="str">
        <f>IF(C341="","",VLOOKUP(C341,categoria_proveedor[#ALL],2,0))</f>
        <v/>
      </c>
    </row>
    <row r="342">
      <c r="A342" s="21"/>
      <c r="B342" s="21"/>
      <c r="C342" s="21"/>
      <c r="D342" s="21"/>
      <c r="E342" s="21"/>
      <c r="F342" s="21"/>
      <c r="G342" s="21" t="str">
        <f>IF(C342="","",VLOOKUP(C342,categoria_proveedor[#ALL],2,0))</f>
        <v/>
      </c>
    </row>
    <row r="343">
      <c r="A343" s="21"/>
      <c r="B343" s="21"/>
      <c r="C343" s="21"/>
      <c r="D343" s="21"/>
      <c r="E343" s="21"/>
      <c r="F343" s="21"/>
      <c r="G343" s="21" t="str">
        <f>IF(C343="","",VLOOKUP(C343,categoria_proveedor[#ALL],2,0))</f>
        <v/>
      </c>
    </row>
    <row r="344">
      <c r="A344" s="21"/>
      <c r="B344" s="21"/>
      <c r="C344" s="21"/>
      <c r="D344" s="21"/>
      <c r="E344" s="21"/>
      <c r="F344" s="21"/>
      <c r="G344" s="21" t="str">
        <f>IF(C344="","",VLOOKUP(C344,categoria_proveedor[#ALL],2,0))</f>
        <v/>
      </c>
    </row>
    <row r="345">
      <c r="A345" s="21"/>
      <c r="B345" s="21"/>
      <c r="C345" s="21"/>
      <c r="D345" s="21"/>
      <c r="E345" s="21"/>
      <c r="F345" s="21"/>
      <c r="G345" s="21" t="str">
        <f>IF(C345="","",VLOOKUP(C345,categoria_proveedor[#ALL],2,0))</f>
        <v/>
      </c>
    </row>
    <row r="346">
      <c r="A346" s="21"/>
      <c r="B346" s="21"/>
      <c r="C346" s="21"/>
      <c r="D346" s="21"/>
      <c r="E346" s="21"/>
      <c r="F346" s="21"/>
      <c r="G346" s="21" t="str">
        <f>IF(C346="","",VLOOKUP(C346,categoria_proveedor[#ALL],2,0))</f>
        <v/>
      </c>
    </row>
    <row r="347">
      <c r="A347" s="21"/>
      <c r="B347" s="21"/>
      <c r="C347" s="21"/>
      <c r="D347" s="21"/>
      <c r="E347" s="21"/>
      <c r="F347" s="21"/>
      <c r="G347" s="21" t="str">
        <f>IF(C347="","",VLOOKUP(C347,categoria_proveedor[#ALL],2,0))</f>
        <v/>
      </c>
    </row>
    <row r="348">
      <c r="A348" s="21"/>
      <c r="B348" s="21"/>
      <c r="C348" s="21"/>
      <c r="D348" s="21"/>
      <c r="E348" s="21"/>
      <c r="F348" s="21"/>
      <c r="G348" s="21" t="str">
        <f>IF(C348="","",VLOOKUP(C348,categoria_proveedor[#ALL],2,0))</f>
        <v/>
      </c>
    </row>
    <row r="349">
      <c r="A349" s="21"/>
      <c r="B349" s="21"/>
      <c r="C349" s="21"/>
      <c r="D349" s="21"/>
      <c r="E349" s="21"/>
      <c r="F349" s="21"/>
      <c r="G349" s="21" t="str">
        <f>IF(C349="","",VLOOKUP(C349,categoria_proveedor[#ALL],2,0))</f>
        <v/>
      </c>
    </row>
    <row r="350">
      <c r="A350" s="21"/>
      <c r="B350" s="21"/>
      <c r="C350" s="21"/>
      <c r="D350" s="21"/>
      <c r="E350" s="21"/>
      <c r="F350" s="21"/>
      <c r="G350" s="21" t="str">
        <f>IF(C350="","",VLOOKUP(C350,categoria_proveedor[#ALL],2,0))</f>
        <v/>
      </c>
    </row>
    <row r="351">
      <c r="A351" s="21"/>
      <c r="B351" s="21"/>
      <c r="C351" s="21"/>
      <c r="D351" s="21"/>
      <c r="E351" s="21"/>
      <c r="F351" s="21"/>
      <c r="G351" s="21" t="str">
        <f>IF(C351="","",VLOOKUP(C351,categoria_proveedor[#ALL],2,0))</f>
        <v/>
      </c>
    </row>
    <row r="352">
      <c r="A352" s="21"/>
      <c r="B352" s="21"/>
      <c r="C352" s="21"/>
      <c r="D352" s="21"/>
      <c r="E352" s="21"/>
      <c r="F352" s="21"/>
      <c r="G352" s="21" t="str">
        <f>IF(C352="","",VLOOKUP(C352,categoria_proveedor[#ALL],2,0))</f>
        <v/>
      </c>
    </row>
    <row r="353">
      <c r="A353" s="21"/>
      <c r="B353" s="21"/>
      <c r="C353" s="21"/>
      <c r="D353" s="21"/>
      <c r="E353" s="21"/>
      <c r="F353" s="21"/>
      <c r="G353" s="21" t="str">
        <f>IF(C353="","",VLOOKUP(C353,categoria_proveedor[#ALL],2,0))</f>
        <v/>
      </c>
    </row>
    <row r="354">
      <c r="A354" s="21"/>
      <c r="B354" s="21"/>
      <c r="C354" s="21"/>
      <c r="D354" s="21"/>
      <c r="E354" s="21"/>
      <c r="F354" s="21"/>
      <c r="G354" s="21" t="str">
        <f>IF(C354="","",VLOOKUP(C354,categoria_proveedor[#ALL],2,0))</f>
        <v/>
      </c>
    </row>
    <row r="355">
      <c r="A355" s="21"/>
      <c r="B355" s="21"/>
      <c r="C355" s="21"/>
      <c r="D355" s="21"/>
      <c r="E355" s="21"/>
      <c r="F355" s="21"/>
      <c r="G355" s="21" t="str">
        <f>IF(C355="","",VLOOKUP(C355,categoria_proveedor[#ALL],2,0))</f>
        <v/>
      </c>
    </row>
    <row r="356">
      <c r="A356" s="21"/>
      <c r="B356" s="21"/>
      <c r="C356" s="21"/>
      <c r="D356" s="21"/>
      <c r="E356" s="21"/>
      <c r="F356" s="21"/>
      <c r="G356" s="21" t="str">
        <f>IF(C356="","",VLOOKUP(C356,categoria_proveedor[#ALL],2,0))</f>
        <v/>
      </c>
    </row>
    <row r="357">
      <c r="A357" s="21"/>
      <c r="B357" s="21"/>
      <c r="C357" s="21"/>
      <c r="D357" s="21"/>
      <c r="E357" s="21"/>
      <c r="F357" s="21"/>
      <c r="G357" s="21" t="str">
        <f>IF(C357="","",VLOOKUP(C357,categoria_proveedor[#ALL],2,0))</f>
        <v/>
      </c>
    </row>
    <row r="358">
      <c r="A358" s="21"/>
      <c r="B358" s="21"/>
      <c r="C358" s="21"/>
      <c r="D358" s="21"/>
      <c r="E358" s="21"/>
      <c r="F358" s="21"/>
      <c r="G358" s="21" t="str">
        <f>IF(C358="","",VLOOKUP(C358,categoria_proveedor[#ALL],2,0))</f>
        <v/>
      </c>
    </row>
    <row r="359">
      <c r="A359" s="21"/>
      <c r="B359" s="21"/>
      <c r="C359" s="21"/>
      <c r="D359" s="21"/>
      <c r="E359" s="21"/>
      <c r="F359" s="21"/>
      <c r="G359" s="21" t="str">
        <f>IF(C359="","",VLOOKUP(C359,categoria_proveedor[#ALL],2,0))</f>
        <v/>
      </c>
    </row>
    <row r="360">
      <c r="A360" s="21"/>
      <c r="B360" s="21"/>
      <c r="C360" s="21"/>
      <c r="D360" s="21"/>
      <c r="E360" s="21"/>
      <c r="F360" s="21"/>
      <c r="G360" s="21" t="str">
        <f>IF(C360="","",VLOOKUP(C360,categoria_proveedor[#ALL],2,0))</f>
        <v/>
      </c>
    </row>
    <row r="361">
      <c r="A361" s="21"/>
      <c r="B361" s="21"/>
      <c r="C361" s="21"/>
      <c r="D361" s="21"/>
      <c r="E361" s="21"/>
      <c r="F361" s="21"/>
      <c r="G361" s="21" t="str">
        <f>IF(C361="","",VLOOKUP(C361,categoria_proveedor[#ALL],2,0))</f>
        <v/>
      </c>
    </row>
    <row r="362">
      <c r="A362" s="21"/>
      <c r="B362" s="21"/>
      <c r="C362" s="21"/>
      <c r="D362" s="21"/>
      <c r="E362" s="21"/>
      <c r="F362" s="21"/>
      <c r="G362" s="21" t="str">
        <f>IF(C362="","",VLOOKUP(C362,categoria_proveedor[#ALL],2,0))</f>
        <v/>
      </c>
    </row>
    <row r="363">
      <c r="A363" s="21"/>
      <c r="B363" s="21"/>
      <c r="C363" s="21"/>
      <c r="D363" s="21"/>
      <c r="E363" s="21"/>
      <c r="F363" s="21"/>
      <c r="G363" s="21" t="str">
        <f>IF(C363="","",VLOOKUP(C363,categoria_proveedor[#ALL],2,0))</f>
        <v/>
      </c>
    </row>
    <row r="364">
      <c r="A364" s="21"/>
      <c r="B364" s="21"/>
      <c r="C364" s="21"/>
      <c r="D364" s="21"/>
      <c r="E364" s="21"/>
      <c r="F364" s="21"/>
      <c r="G364" s="21" t="str">
        <f>IF(C364="","",VLOOKUP(C364,categoria_proveedor[#ALL],2,0))</f>
        <v/>
      </c>
    </row>
    <row r="365">
      <c r="A365" s="21"/>
      <c r="B365" s="21"/>
      <c r="C365" s="21"/>
      <c r="D365" s="21"/>
      <c r="E365" s="21"/>
      <c r="F365" s="21"/>
      <c r="G365" s="21" t="str">
        <f>IF(C365="","",VLOOKUP(C365,categoria_proveedor[#ALL],2,0))</f>
        <v/>
      </c>
    </row>
    <row r="366">
      <c r="A366" s="21"/>
      <c r="B366" s="21"/>
      <c r="C366" s="21"/>
      <c r="D366" s="21"/>
      <c r="E366" s="21"/>
      <c r="F366" s="21"/>
      <c r="G366" s="21" t="str">
        <f>IF(C366="","",VLOOKUP(C366,categoria_proveedor[#ALL],2,0))</f>
        <v/>
      </c>
    </row>
    <row r="367">
      <c r="A367" s="21"/>
      <c r="B367" s="21"/>
      <c r="C367" s="21"/>
      <c r="D367" s="21"/>
      <c r="E367" s="21"/>
      <c r="F367" s="21"/>
      <c r="G367" s="21" t="str">
        <f>IF(C367="","",VLOOKUP(C367,categoria_proveedor[#ALL],2,0))</f>
        <v/>
      </c>
    </row>
    <row r="368">
      <c r="A368" s="21"/>
      <c r="B368" s="21"/>
      <c r="C368" s="21"/>
      <c r="D368" s="21"/>
      <c r="E368" s="21"/>
      <c r="F368" s="21"/>
      <c r="G368" s="21" t="str">
        <f>IF(C368="","",VLOOKUP(C368,categoria_proveedor[#ALL],2,0))</f>
        <v/>
      </c>
    </row>
    <row r="369">
      <c r="A369" s="21"/>
      <c r="B369" s="21"/>
      <c r="C369" s="21"/>
      <c r="D369" s="21"/>
      <c r="E369" s="21"/>
      <c r="F369" s="21"/>
      <c r="G369" s="21" t="str">
        <f>IF(C369="","",VLOOKUP(C369,categoria_proveedor[#ALL],2,0))</f>
        <v/>
      </c>
    </row>
    <row r="370">
      <c r="A370" s="21"/>
      <c r="B370" s="21"/>
      <c r="C370" s="21"/>
      <c r="D370" s="21"/>
      <c r="E370" s="21"/>
      <c r="F370" s="21"/>
      <c r="G370" s="21" t="str">
        <f>IF(C370="","",VLOOKUP(C370,categoria_proveedor[#ALL],2,0))</f>
        <v/>
      </c>
    </row>
    <row r="371">
      <c r="A371" s="21"/>
      <c r="B371" s="21"/>
      <c r="C371" s="21"/>
      <c r="D371" s="21"/>
      <c r="E371" s="21"/>
      <c r="F371" s="21"/>
      <c r="G371" s="21" t="str">
        <f>IF(C371="","",VLOOKUP(C371,categoria_proveedor[#ALL],2,0))</f>
        <v/>
      </c>
    </row>
    <row r="372">
      <c r="A372" s="21"/>
      <c r="B372" s="21"/>
      <c r="C372" s="21"/>
      <c r="D372" s="21"/>
      <c r="E372" s="21"/>
      <c r="F372" s="21"/>
      <c r="G372" s="21" t="str">
        <f>IF(C372="","",VLOOKUP(C372,categoria_proveedor[#ALL],2,0))</f>
        <v/>
      </c>
    </row>
    <row r="373">
      <c r="A373" s="21"/>
      <c r="B373" s="21"/>
      <c r="C373" s="21"/>
      <c r="D373" s="21"/>
      <c r="E373" s="21"/>
      <c r="F373" s="21"/>
      <c r="G373" s="21" t="str">
        <f>IF(C373="","",VLOOKUP(C373,categoria_proveedor[#ALL],2,0))</f>
        <v/>
      </c>
    </row>
    <row r="374">
      <c r="A374" s="21"/>
      <c r="B374" s="21"/>
      <c r="C374" s="21"/>
      <c r="D374" s="21"/>
      <c r="E374" s="21"/>
      <c r="F374" s="21"/>
      <c r="G374" s="21" t="str">
        <f>IF(C374="","",VLOOKUP(C374,categoria_proveedor[#ALL],2,0))</f>
        <v/>
      </c>
    </row>
    <row r="375">
      <c r="A375" s="21"/>
      <c r="B375" s="21"/>
      <c r="C375" s="21"/>
      <c r="D375" s="21"/>
      <c r="E375" s="21"/>
      <c r="F375" s="21"/>
      <c r="G375" s="21" t="str">
        <f>IF(C375="","",VLOOKUP(C375,categoria_proveedor[#ALL],2,0))</f>
        <v/>
      </c>
    </row>
    <row r="376">
      <c r="A376" s="21"/>
      <c r="B376" s="21"/>
      <c r="C376" s="21"/>
      <c r="D376" s="21"/>
      <c r="E376" s="21"/>
      <c r="F376" s="21"/>
      <c r="G376" s="21" t="str">
        <f>IF(C376="","",VLOOKUP(C376,categoria_proveedor[#ALL],2,0))</f>
        <v/>
      </c>
    </row>
    <row r="377">
      <c r="A377" s="21"/>
      <c r="B377" s="21"/>
      <c r="C377" s="21"/>
      <c r="D377" s="21"/>
      <c r="E377" s="21"/>
      <c r="F377" s="21"/>
      <c r="G377" s="21" t="str">
        <f>IF(C377="","",VLOOKUP(C377,categoria_proveedor[#ALL],2,0))</f>
        <v/>
      </c>
    </row>
    <row r="378">
      <c r="A378" s="21"/>
      <c r="B378" s="21"/>
      <c r="C378" s="21"/>
      <c r="D378" s="21"/>
      <c r="E378" s="21"/>
      <c r="F378" s="21"/>
      <c r="G378" s="21" t="str">
        <f>IF(C378="","",VLOOKUP(C378,categoria_proveedor[#ALL],2,0))</f>
        <v/>
      </c>
    </row>
    <row r="379">
      <c r="A379" s="21"/>
      <c r="B379" s="21"/>
      <c r="C379" s="21"/>
      <c r="D379" s="21"/>
      <c r="E379" s="21"/>
      <c r="F379" s="21"/>
      <c r="G379" s="21" t="str">
        <f>IF(C379="","",VLOOKUP(C379,categoria_proveedor[#ALL],2,0))</f>
        <v/>
      </c>
    </row>
    <row r="380">
      <c r="A380" s="21"/>
      <c r="B380" s="21"/>
      <c r="C380" s="21"/>
      <c r="D380" s="21"/>
      <c r="E380" s="21"/>
      <c r="F380" s="21"/>
      <c r="G380" s="21" t="str">
        <f>IF(C380="","",VLOOKUP(C380,categoria_proveedor[#ALL],2,0))</f>
        <v/>
      </c>
    </row>
    <row r="381">
      <c r="A381" s="21"/>
      <c r="B381" s="21"/>
      <c r="C381" s="21"/>
      <c r="D381" s="21"/>
      <c r="E381" s="21"/>
      <c r="F381" s="21"/>
      <c r="G381" s="21" t="str">
        <f>IF(C381="","",VLOOKUP(C381,categoria_proveedor[#ALL],2,0))</f>
        <v/>
      </c>
    </row>
    <row r="382">
      <c r="A382" s="21"/>
      <c r="B382" s="21"/>
      <c r="C382" s="21"/>
      <c r="D382" s="21"/>
      <c r="E382" s="21"/>
      <c r="F382" s="21"/>
      <c r="G382" s="21" t="str">
        <f>IF(C382="","",VLOOKUP(C382,categoria_proveedor[#ALL],2,0))</f>
        <v/>
      </c>
    </row>
    <row r="383">
      <c r="A383" s="21"/>
      <c r="B383" s="21"/>
      <c r="C383" s="21"/>
      <c r="D383" s="21"/>
      <c r="E383" s="21"/>
      <c r="F383" s="21"/>
      <c r="G383" s="21" t="str">
        <f>IF(C383="","",VLOOKUP(C383,categoria_proveedor[#ALL],2,0))</f>
        <v/>
      </c>
    </row>
    <row r="384">
      <c r="A384" s="21"/>
      <c r="B384" s="21"/>
      <c r="C384" s="21"/>
      <c r="D384" s="21"/>
      <c r="E384" s="21"/>
      <c r="F384" s="21"/>
      <c r="G384" s="21" t="str">
        <f>IF(C384="","",VLOOKUP(C384,categoria_proveedor[#ALL],2,0))</f>
        <v/>
      </c>
    </row>
    <row r="385">
      <c r="A385" s="21"/>
      <c r="B385" s="21"/>
      <c r="C385" s="21"/>
      <c r="D385" s="21"/>
      <c r="E385" s="21"/>
      <c r="F385" s="21"/>
      <c r="G385" s="21" t="str">
        <f>IF(C385="","",VLOOKUP(C385,categoria_proveedor[#ALL],2,0))</f>
        <v/>
      </c>
    </row>
    <row r="386">
      <c r="A386" s="21"/>
      <c r="B386" s="21"/>
      <c r="C386" s="21"/>
      <c r="D386" s="21"/>
      <c r="E386" s="21"/>
      <c r="F386" s="21"/>
      <c r="G386" s="21" t="str">
        <f>IF(C386="","",VLOOKUP(C386,categoria_proveedor[#ALL],2,0))</f>
        <v/>
      </c>
    </row>
    <row r="387">
      <c r="A387" s="21"/>
      <c r="B387" s="21"/>
      <c r="C387" s="21"/>
      <c r="D387" s="21"/>
      <c r="E387" s="21"/>
      <c r="F387" s="21"/>
      <c r="G387" s="21" t="str">
        <f>IF(C387="","",VLOOKUP(C387,categoria_proveedor[#ALL],2,0))</f>
        <v/>
      </c>
    </row>
    <row r="388">
      <c r="A388" s="21"/>
      <c r="B388" s="21"/>
      <c r="C388" s="21"/>
      <c r="D388" s="21"/>
      <c r="E388" s="21"/>
      <c r="F388" s="21"/>
      <c r="G388" s="21" t="str">
        <f>IF(C388="","",VLOOKUP(C388,categoria_proveedor[#ALL],2,0))</f>
        <v/>
      </c>
    </row>
    <row r="389">
      <c r="A389" s="21"/>
      <c r="B389" s="21"/>
      <c r="C389" s="21"/>
      <c r="D389" s="21"/>
      <c r="E389" s="21"/>
      <c r="F389" s="21"/>
      <c r="G389" s="21" t="str">
        <f>IF(C389="","",VLOOKUP(C389,categoria_proveedor[#ALL],2,0))</f>
        <v/>
      </c>
    </row>
    <row r="390">
      <c r="A390" s="21"/>
      <c r="B390" s="21"/>
      <c r="C390" s="21"/>
      <c r="D390" s="21"/>
      <c r="E390" s="21"/>
      <c r="F390" s="21"/>
      <c r="G390" s="21" t="str">
        <f>IF(C390="","",VLOOKUP(C390,categoria_proveedor[#ALL],2,0))</f>
        <v/>
      </c>
    </row>
    <row r="391">
      <c r="A391" s="21"/>
      <c r="B391" s="21"/>
      <c r="C391" s="21"/>
      <c r="D391" s="21"/>
      <c r="E391" s="21"/>
      <c r="F391" s="21"/>
      <c r="G391" s="21" t="str">
        <f>IF(C391="","",VLOOKUP(C391,categoria_proveedor[#ALL],2,0))</f>
        <v/>
      </c>
    </row>
    <row r="392">
      <c r="A392" s="21"/>
      <c r="B392" s="21"/>
      <c r="C392" s="21"/>
      <c r="D392" s="21"/>
      <c r="E392" s="21"/>
      <c r="F392" s="21"/>
      <c r="G392" s="21" t="str">
        <f>IF(C392="","",VLOOKUP(C392,categoria_proveedor[#ALL],2,0))</f>
        <v/>
      </c>
    </row>
    <row r="393">
      <c r="A393" s="21"/>
      <c r="B393" s="21"/>
      <c r="C393" s="21"/>
      <c r="D393" s="21"/>
      <c r="E393" s="21"/>
      <c r="F393" s="21"/>
      <c r="G393" s="21" t="str">
        <f>IF(C393="","",VLOOKUP(C393,categoria_proveedor[#ALL],2,0))</f>
        <v/>
      </c>
    </row>
    <row r="394">
      <c r="A394" s="21"/>
      <c r="B394" s="21"/>
      <c r="C394" s="21"/>
      <c r="D394" s="21"/>
      <c r="E394" s="21"/>
      <c r="F394" s="21"/>
      <c r="G394" s="21" t="str">
        <f>IF(C394="","",VLOOKUP(C394,categoria_proveedor[#ALL],2,0))</f>
        <v/>
      </c>
    </row>
    <row r="395">
      <c r="A395" s="21"/>
      <c r="B395" s="21"/>
      <c r="C395" s="21"/>
      <c r="D395" s="21"/>
      <c r="E395" s="21"/>
      <c r="F395" s="21"/>
      <c r="G395" s="21" t="str">
        <f>IF(C395="","",VLOOKUP(C395,categoria_proveedor[#ALL],2,0))</f>
        <v/>
      </c>
    </row>
    <row r="396">
      <c r="A396" s="21"/>
      <c r="B396" s="21"/>
      <c r="C396" s="21"/>
      <c r="D396" s="21"/>
      <c r="E396" s="21"/>
      <c r="F396" s="21"/>
      <c r="G396" s="21" t="str">
        <f>IF(C396="","",VLOOKUP(C396,categoria_proveedor[#ALL],2,0))</f>
        <v/>
      </c>
    </row>
    <row r="397">
      <c r="A397" s="21"/>
      <c r="B397" s="21"/>
      <c r="C397" s="21"/>
      <c r="D397" s="21"/>
      <c r="E397" s="21"/>
      <c r="F397" s="21"/>
      <c r="G397" s="21" t="str">
        <f>IF(C397="","",VLOOKUP(C397,categoria_proveedor[#ALL],2,0))</f>
        <v/>
      </c>
    </row>
    <row r="398">
      <c r="A398" s="21"/>
      <c r="B398" s="21"/>
      <c r="C398" s="21"/>
      <c r="D398" s="21"/>
      <c r="E398" s="21"/>
      <c r="F398" s="21"/>
      <c r="G398" s="21" t="str">
        <f>IF(C398="","",VLOOKUP(C398,categoria_proveedor[#ALL],2,0))</f>
        <v/>
      </c>
    </row>
    <row r="399">
      <c r="A399" s="21"/>
      <c r="B399" s="21"/>
      <c r="C399" s="21"/>
      <c r="D399" s="21"/>
      <c r="E399" s="21"/>
      <c r="F399" s="21"/>
      <c r="G399" s="21" t="str">
        <f>IF(C399="","",VLOOKUP(C399,categoria_proveedor[#ALL],2,0))</f>
        <v/>
      </c>
    </row>
    <row r="400">
      <c r="A400" s="21"/>
      <c r="B400" s="21"/>
      <c r="C400" s="21"/>
      <c r="D400" s="21"/>
      <c r="E400" s="21"/>
      <c r="F400" s="21"/>
      <c r="G400" s="21" t="str">
        <f>IF(C400="","",VLOOKUP(C400,categoria_proveedor[#ALL],2,0))</f>
        <v/>
      </c>
    </row>
    <row r="401">
      <c r="A401" s="21"/>
      <c r="B401" s="21"/>
      <c r="C401" s="21"/>
      <c r="D401" s="21"/>
      <c r="E401" s="21"/>
      <c r="F401" s="21"/>
      <c r="G401" s="21" t="str">
        <f>IF(C401="","",VLOOKUP(C401,categoria_proveedor[#ALL],2,0))</f>
        <v/>
      </c>
    </row>
    <row r="402">
      <c r="A402" s="21"/>
      <c r="B402" s="21"/>
      <c r="C402" s="21"/>
      <c r="D402" s="21"/>
      <c r="E402" s="21"/>
      <c r="F402" s="21"/>
      <c r="G402" s="21" t="str">
        <f>IF(C402="","",VLOOKUP(C402,categoria_proveedor[#ALL],2,0))</f>
        <v/>
      </c>
    </row>
    <row r="403">
      <c r="A403" s="21"/>
      <c r="B403" s="21"/>
      <c r="C403" s="21"/>
      <c r="D403" s="21"/>
      <c r="E403" s="21"/>
      <c r="F403" s="21"/>
      <c r="G403" s="21" t="str">
        <f>IF(C403="","",VLOOKUP(C403,categoria_proveedor[#ALL],2,0))</f>
        <v/>
      </c>
    </row>
    <row r="404">
      <c r="A404" s="21"/>
      <c r="B404" s="21"/>
      <c r="C404" s="21"/>
      <c r="D404" s="21"/>
      <c r="E404" s="21"/>
      <c r="F404" s="21"/>
      <c r="G404" s="21" t="str">
        <f>IF(C404="","",VLOOKUP(C404,categoria_proveedor[#ALL],2,0))</f>
        <v/>
      </c>
    </row>
    <row r="405">
      <c r="A405" s="21"/>
      <c r="B405" s="21"/>
      <c r="C405" s="21"/>
      <c r="D405" s="21"/>
      <c r="E405" s="21"/>
      <c r="F405" s="21"/>
      <c r="G405" s="21" t="str">
        <f>IF(C405="","",VLOOKUP(C405,categoria_proveedor[#ALL],2,0))</f>
        <v/>
      </c>
    </row>
    <row r="406">
      <c r="A406" s="21"/>
      <c r="B406" s="21"/>
      <c r="C406" s="21"/>
      <c r="D406" s="21"/>
      <c r="E406" s="21"/>
      <c r="F406" s="21"/>
      <c r="G406" s="21" t="str">
        <f>IF(C406="","",VLOOKUP(C406,categoria_proveedor[#ALL],2,0))</f>
        <v/>
      </c>
    </row>
    <row r="407">
      <c r="A407" s="21"/>
      <c r="B407" s="21"/>
      <c r="C407" s="21"/>
      <c r="D407" s="21"/>
      <c r="E407" s="21"/>
      <c r="F407" s="21"/>
      <c r="G407" s="21" t="str">
        <f>IF(C407="","",VLOOKUP(C407,categoria_proveedor[#ALL],2,0))</f>
        <v/>
      </c>
    </row>
    <row r="408">
      <c r="A408" s="21"/>
      <c r="B408" s="21"/>
      <c r="C408" s="21"/>
      <c r="D408" s="21"/>
      <c r="E408" s="21"/>
      <c r="F408" s="21"/>
      <c r="G408" s="21" t="str">
        <f>IF(C408="","",VLOOKUP(C408,categoria_proveedor[#ALL],2,0))</f>
        <v/>
      </c>
    </row>
    <row r="409">
      <c r="A409" s="21"/>
      <c r="B409" s="21"/>
      <c r="C409" s="21"/>
      <c r="D409" s="21"/>
      <c r="E409" s="21"/>
      <c r="F409" s="21"/>
      <c r="G409" s="21" t="str">
        <f>IF(C409="","",VLOOKUP(C409,categoria_proveedor[#ALL],2,0))</f>
        <v/>
      </c>
    </row>
    <row r="410">
      <c r="A410" s="21"/>
      <c r="B410" s="21"/>
      <c r="C410" s="21"/>
      <c r="D410" s="21"/>
      <c r="E410" s="21"/>
      <c r="F410" s="21"/>
      <c r="G410" s="21" t="str">
        <f>IF(C410="","",VLOOKUP(C410,categoria_proveedor[#ALL],2,0))</f>
        <v/>
      </c>
    </row>
    <row r="411">
      <c r="A411" s="21"/>
      <c r="B411" s="21"/>
      <c r="C411" s="21"/>
      <c r="D411" s="21"/>
      <c r="E411" s="21"/>
      <c r="F411" s="21"/>
      <c r="G411" s="21" t="str">
        <f>IF(C411="","",VLOOKUP(C411,categoria_proveedor[#ALL],2,0))</f>
        <v/>
      </c>
    </row>
    <row r="412">
      <c r="A412" s="21"/>
      <c r="B412" s="21"/>
      <c r="C412" s="21"/>
      <c r="D412" s="21"/>
      <c r="E412" s="21"/>
      <c r="F412" s="21"/>
      <c r="G412" s="21" t="str">
        <f>IF(C412="","",VLOOKUP(C412,categoria_proveedor[#ALL],2,0))</f>
        <v/>
      </c>
    </row>
    <row r="413">
      <c r="A413" s="21"/>
      <c r="B413" s="21"/>
      <c r="C413" s="21"/>
      <c r="D413" s="21"/>
      <c r="E413" s="21"/>
      <c r="F413" s="21"/>
      <c r="G413" s="21" t="str">
        <f>IF(C413="","",VLOOKUP(C413,categoria_proveedor[#ALL],2,0))</f>
        <v/>
      </c>
    </row>
    <row r="414">
      <c r="A414" s="21"/>
      <c r="B414" s="21"/>
      <c r="C414" s="21"/>
      <c r="D414" s="21"/>
      <c r="E414" s="21"/>
      <c r="F414" s="21"/>
      <c r="G414" s="21" t="str">
        <f>IF(C414="","",VLOOKUP(C414,categoria_proveedor[#ALL],2,0))</f>
        <v/>
      </c>
    </row>
    <row r="415">
      <c r="A415" s="21"/>
      <c r="B415" s="21"/>
      <c r="C415" s="21"/>
      <c r="D415" s="21"/>
      <c r="E415" s="21"/>
      <c r="F415" s="21"/>
      <c r="G415" s="21" t="str">
        <f>IF(C415="","",VLOOKUP(C415,categoria_proveedor[#ALL],2,0))</f>
        <v/>
      </c>
    </row>
    <row r="416">
      <c r="A416" s="21"/>
      <c r="B416" s="21"/>
      <c r="C416" s="21"/>
      <c r="D416" s="21"/>
      <c r="E416" s="21"/>
      <c r="F416" s="21"/>
      <c r="G416" s="21" t="str">
        <f>IF(C416="","",VLOOKUP(C416,categoria_proveedor[#ALL],2,0))</f>
        <v/>
      </c>
    </row>
    <row r="417">
      <c r="A417" s="21"/>
      <c r="B417" s="21"/>
      <c r="C417" s="21"/>
      <c r="D417" s="21"/>
      <c r="E417" s="21"/>
      <c r="F417" s="21"/>
      <c r="G417" s="21" t="str">
        <f>IF(C417="","",VLOOKUP(C417,categoria_proveedor[#ALL],2,0))</f>
        <v/>
      </c>
    </row>
    <row r="418">
      <c r="A418" s="21"/>
      <c r="B418" s="21"/>
      <c r="C418" s="21"/>
      <c r="D418" s="21"/>
      <c r="E418" s="21"/>
      <c r="F418" s="21"/>
      <c r="G418" s="21" t="str">
        <f>IF(C418="","",VLOOKUP(C418,categoria_proveedor[#ALL],2,0))</f>
        <v/>
      </c>
    </row>
    <row r="419">
      <c r="A419" s="21"/>
      <c r="B419" s="21"/>
      <c r="C419" s="21"/>
      <c r="D419" s="21"/>
      <c r="E419" s="21"/>
      <c r="F419" s="21"/>
      <c r="G419" s="21" t="str">
        <f>IF(C419="","",VLOOKUP(C419,categoria_proveedor[#ALL],2,0))</f>
        <v/>
      </c>
    </row>
    <row r="420">
      <c r="A420" s="21"/>
      <c r="B420" s="21"/>
      <c r="C420" s="21"/>
      <c r="D420" s="21"/>
      <c r="E420" s="21"/>
      <c r="F420" s="21"/>
      <c r="G420" s="21" t="str">
        <f>IF(C420="","",VLOOKUP(C420,categoria_proveedor[#ALL],2,0))</f>
        <v/>
      </c>
    </row>
    <row r="421">
      <c r="A421" s="21"/>
      <c r="B421" s="21"/>
      <c r="C421" s="21"/>
      <c r="D421" s="21"/>
      <c r="E421" s="21"/>
      <c r="F421" s="21"/>
      <c r="G421" s="21" t="str">
        <f>IF(C421="","",VLOOKUP(C421,categoria_proveedor[#ALL],2,0))</f>
        <v/>
      </c>
    </row>
    <row r="422">
      <c r="A422" s="21"/>
      <c r="B422" s="21"/>
      <c r="C422" s="21"/>
      <c r="D422" s="21"/>
      <c r="E422" s="21"/>
      <c r="F422" s="21"/>
      <c r="G422" s="21" t="str">
        <f>IF(C422="","",VLOOKUP(C422,categoria_proveedor[#ALL],2,0))</f>
        <v/>
      </c>
    </row>
    <row r="423">
      <c r="A423" s="21"/>
      <c r="B423" s="21"/>
      <c r="C423" s="21"/>
      <c r="D423" s="21"/>
      <c r="E423" s="21"/>
      <c r="F423" s="21"/>
      <c r="G423" s="21" t="str">
        <f>IF(C423="","",VLOOKUP(C423,categoria_proveedor[#ALL],2,0))</f>
        <v/>
      </c>
    </row>
    <row r="424">
      <c r="A424" s="21"/>
      <c r="B424" s="21"/>
      <c r="C424" s="21"/>
      <c r="D424" s="21"/>
      <c r="E424" s="21"/>
      <c r="F424" s="21"/>
      <c r="G424" s="21" t="str">
        <f>IF(C424="","",VLOOKUP(C424,categoria_proveedor[#ALL],2,0))</f>
        <v/>
      </c>
    </row>
    <row r="425">
      <c r="A425" s="21"/>
      <c r="B425" s="21"/>
      <c r="C425" s="21"/>
      <c r="D425" s="21"/>
      <c r="E425" s="21"/>
      <c r="F425" s="21"/>
      <c r="G425" s="21" t="str">
        <f>IF(C425="","",VLOOKUP(C425,categoria_proveedor[#ALL],2,0))</f>
        <v/>
      </c>
    </row>
    <row r="426">
      <c r="A426" s="21"/>
      <c r="B426" s="21"/>
      <c r="C426" s="21"/>
      <c r="D426" s="21"/>
      <c r="E426" s="21"/>
      <c r="F426" s="21"/>
      <c r="G426" s="21" t="str">
        <f>IF(C426="","",VLOOKUP(C426,categoria_proveedor[#ALL],2,0))</f>
        <v/>
      </c>
    </row>
    <row r="427">
      <c r="A427" s="21"/>
      <c r="B427" s="21"/>
      <c r="C427" s="21"/>
      <c r="D427" s="21"/>
      <c r="E427" s="21"/>
      <c r="F427" s="21"/>
      <c r="G427" s="21" t="str">
        <f>IF(C427="","",VLOOKUP(C427,categoria_proveedor[#ALL],2,0))</f>
        <v/>
      </c>
    </row>
    <row r="428">
      <c r="A428" s="21"/>
      <c r="B428" s="21"/>
      <c r="C428" s="21"/>
      <c r="D428" s="21"/>
      <c r="E428" s="21"/>
      <c r="F428" s="21"/>
      <c r="G428" s="21" t="str">
        <f>IF(C428="","",VLOOKUP(C428,categoria_proveedor[#ALL],2,0))</f>
        <v/>
      </c>
    </row>
    <row r="429">
      <c r="A429" s="21"/>
      <c r="B429" s="21"/>
      <c r="C429" s="21"/>
      <c r="D429" s="21"/>
      <c r="E429" s="21"/>
      <c r="F429" s="21"/>
      <c r="G429" s="21" t="str">
        <f>IF(C429="","",VLOOKUP(C429,categoria_proveedor[#ALL],2,0))</f>
        <v/>
      </c>
    </row>
    <row r="430">
      <c r="A430" s="21"/>
      <c r="B430" s="21"/>
      <c r="C430" s="21"/>
      <c r="D430" s="21"/>
      <c r="E430" s="21"/>
      <c r="F430" s="21"/>
      <c r="G430" s="21" t="str">
        <f>IF(C430="","",VLOOKUP(C430,categoria_proveedor[#ALL],2,0))</f>
        <v/>
      </c>
    </row>
    <row r="431">
      <c r="A431" s="21"/>
      <c r="B431" s="21"/>
      <c r="C431" s="21"/>
      <c r="D431" s="21"/>
      <c r="E431" s="21"/>
      <c r="F431" s="21"/>
      <c r="G431" s="21" t="str">
        <f>IF(C431="","",VLOOKUP(C431,categoria_proveedor[#ALL],2,0))</f>
        <v/>
      </c>
    </row>
    <row r="432">
      <c r="A432" s="21"/>
      <c r="B432" s="21"/>
      <c r="C432" s="21"/>
      <c r="D432" s="21"/>
      <c r="E432" s="21"/>
      <c r="F432" s="21"/>
      <c r="G432" s="21" t="str">
        <f>IF(C432="","",VLOOKUP(C432,categoria_proveedor[#ALL],2,0))</f>
        <v/>
      </c>
    </row>
    <row r="433">
      <c r="A433" s="21"/>
      <c r="B433" s="21"/>
      <c r="C433" s="21"/>
      <c r="D433" s="21"/>
      <c r="E433" s="21"/>
      <c r="F433" s="21"/>
      <c r="G433" s="21" t="str">
        <f>IF(C433="","",VLOOKUP(C433,categoria_proveedor[#ALL],2,0))</f>
        <v/>
      </c>
    </row>
    <row r="434">
      <c r="A434" s="21"/>
      <c r="B434" s="21"/>
      <c r="C434" s="21"/>
      <c r="D434" s="21"/>
      <c r="E434" s="21"/>
      <c r="F434" s="21"/>
      <c r="G434" s="21" t="str">
        <f>IF(C434="","",VLOOKUP(C434,categoria_proveedor[#ALL],2,0))</f>
        <v/>
      </c>
    </row>
    <row r="435">
      <c r="A435" s="21"/>
      <c r="B435" s="21"/>
      <c r="C435" s="21"/>
      <c r="D435" s="21"/>
      <c r="E435" s="21"/>
      <c r="F435" s="21"/>
      <c r="G435" s="21" t="str">
        <f>IF(C435="","",VLOOKUP(C435,categoria_proveedor[#ALL],2,0))</f>
        <v/>
      </c>
    </row>
    <row r="436">
      <c r="A436" s="21"/>
      <c r="B436" s="21"/>
      <c r="C436" s="21"/>
      <c r="D436" s="21"/>
      <c r="E436" s="21"/>
      <c r="F436" s="21"/>
      <c r="G436" s="21" t="str">
        <f>IF(C436="","",VLOOKUP(C436,categoria_proveedor[#ALL],2,0))</f>
        <v/>
      </c>
    </row>
    <row r="437">
      <c r="A437" s="21"/>
      <c r="B437" s="21"/>
      <c r="C437" s="21"/>
      <c r="D437" s="21"/>
      <c r="E437" s="21"/>
      <c r="F437" s="21"/>
      <c r="G437" s="21" t="str">
        <f>IF(C437="","",VLOOKUP(C437,categoria_proveedor[#ALL],2,0))</f>
        <v/>
      </c>
    </row>
    <row r="438">
      <c r="A438" s="21"/>
      <c r="B438" s="21"/>
      <c r="C438" s="21"/>
      <c r="D438" s="21"/>
      <c r="E438" s="21"/>
      <c r="F438" s="21"/>
      <c r="G438" s="21" t="str">
        <f>IF(C438="","",VLOOKUP(C438,categoria_proveedor[#ALL],2,0))</f>
        <v/>
      </c>
    </row>
    <row r="439">
      <c r="A439" s="21"/>
      <c r="B439" s="21"/>
      <c r="C439" s="21"/>
      <c r="D439" s="21"/>
      <c r="E439" s="21"/>
      <c r="F439" s="21"/>
      <c r="G439" s="21" t="str">
        <f>IF(C439="","",VLOOKUP(C439,categoria_proveedor[#ALL],2,0))</f>
        <v/>
      </c>
    </row>
    <row r="440">
      <c r="A440" s="21"/>
      <c r="B440" s="21"/>
      <c r="C440" s="21"/>
      <c r="D440" s="21"/>
      <c r="E440" s="21"/>
      <c r="F440" s="21"/>
      <c r="G440" s="21" t="str">
        <f>IF(C440="","",VLOOKUP(C440,categoria_proveedor[#ALL],2,0))</f>
        <v/>
      </c>
    </row>
    <row r="441">
      <c r="A441" s="21"/>
      <c r="B441" s="21"/>
      <c r="C441" s="21"/>
      <c r="D441" s="21"/>
      <c r="E441" s="21"/>
      <c r="F441" s="21"/>
      <c r="G441" s="21" t="str">
        <f>IF(C441="","",VLOOKUP(C441,categoria_proveedor[#ALL],2,0))</f>
        <v/>
      </c>
    </row>
    <row r="442">
      <c r="A442" s="21"/>
      <c r="B442" s="21"/>
      <c r="C442" s="21"/>
      <c r="D442" s="21"/>
      <c r="E442" s="21"/>
      <c r="F442" s="21"/>
      <c r="G442" s="21" t="str">
        <f>IF(C442="","",VLOOKUP(C442,categoria_proveedor[#ALL],2,0))</f>
        <v/>
      </c>
    </row>
    <row r="443">
      <c r="A443" s="21"/>
      <c r="B443" s="21"/>
      <c r="C443" s="21"/>
      <c r="D443" s="21"/>
      <c r="E443" s="21"/>
      <c r="F443" s="21"/>
      <c r="G443" s="21" t="str">
        <f>IF(C443="","",VLOOKUP(C443,categoria_proveedor[#ALL],2,0))</f>
        <v/>
      </c>
    </row>
    <row r="444">
      <c r="A444" s="21"/>
      <c r="B444" s="21"/>
      <c r="C444" s="21"/>
      <c r="D444" s="21"/>
      <c r="E444" s="21"/>
      <c r="F444" s="21"/>
      <c r="G444" s="21" t="str">
        <f>IF(C444="","",VLOOKUP(C444,categoria_proveedor[#ALL],2,0))</f>
        <v/>
      </c>
    </row>
    <row r="445">
      <c r="A445" s="21"/>
      <c r="B445" s="21"/>
      <c r="C445" s="21"/>
      <c r="D445" s="21"/>
      <c r="E445" s="21"/>
      <c r="F445" s="21"/>
      <c r="G445" s="21" t="str">
        <f>IF(C445="","",VLOOKUP(C445,categoria_proveedor[#ALL],2,0))</f>
        <v/>
      </c>
    </row>
    <row r="446">
      <c r="A446" s="21"/>
      <c r="B446" s="21"/>
      <c r="C446" s="21"/>
      <c r="D446" s="21"/>
      <c r="E446" s="21"/>
      <c r="F446" s="21"/>
      <c r="G446" s="21" t="str">
        <f>IF(C446="","",VLOOKUP(C446,categoria_proveedor[#ALL],2,0))</f>
        <v/>
      </c>
    </row>
    <row r="447">
      <c r="A447" s="21"/>
      <c r="B447" s="21"/>
      <c r="C447" s="21"/>
      <c r="D447" s="21"/>
      <c r="E447" s="21"/>
      <c r="F447" s="21"/>
      <c r="G447" s="21" t="str">
        <f>IF(C447="","",VLOOKUP(C447,categoria_proveedor[#ALL],2,0))</f>
        <v/>
      </c>
    </row>
    <row r="448">
      <c r="A448" s="21"/>
      <c r="B448" s="21"/>
      <c r="C448" s="21"/>
      <c r="D448" s="21"/>
      <c r="E448" s="21"/>
      <c r="F448" s="21"/>
      <c r="G448" s="21" t="str">
        <f>IF(C448="","",VLOOKUP(C448,categoria_proveedor[#ALL],2,0))</f>
        <v/>
      </c>
    </row>
    <row r="449">
      <c r="A449" s="21"/>
      <c r="B449" s="21"/>
      <c r="C449" s="21"/>
      <c r="D449" s="21"/>
      <c r="E449" s="21"/>
      <c r="F449" s="21"/>
      <c r="G449" s="21" t="str">
        <f>IF(C449="","",VLOOKUP(C449,categoria_proveedor[#ALL],2,0))</f>
        <v/>
      </c>
    </row>
    <row r="450">
      <c r="A450" s="21"/>
      <c r="B450" s="21"/>
      <c r="C450" s="21"/>
      <c r="D450" s="21"/>
      <c r="E450" s="21"/>
      <c r="F450" s="21"/>
      <c r="G450" s="21" t="str">
        <f>IF(C450="","",VLOOKUP(C450,categoria_proveedor[#ALL],2,0))</f>
        <v/>
      </c>
    </row>
    <row r="451">
      <c r="A451" s="21"/>
      <c r="B451" s="21"/>
      <c r="C451" s="21"/>
      <c r="D451" s="21"/>
      <c r="E451" s="21"/>
      <c r="F451" s="21"/>
      <c r="G451" s="21" t="str">
        <f>IF(C451="","",VLOOKUP(C451,categoria_proveedor[#ALL],2,0))</f>
        <v/>
      </c>
    </row>
    <row r="452">
      <c r="A452" s="21"/>
      <c r="B452" s="21"/>
      <c r="C452" s="21"/>
      <c r="D452" s="21"/>
      <c r="E452" s="21"/>
      <c r="F452" s="21"/>
      <c r="G452" s="21" t="str">
        <f>IF(C452="","",VLOOKUP(C452,categoria_proveedor[#ALL],2,0))</f>
        <v/>
      </c>
    </row>
    <row r="453">
      <c r="A453" s="21"/>
      <c r="B453" s="21"/>
      <c r="C453" s="21"/>
      <c r="D453" s="21"/>
      <c r="E453" s="21"/>
      <c r="F453" s="21"/>
      <c r="G453" s="21" t="str">
        <f>IF(C453="","",VLOOKUP(C453,categoria_proveedor[#ALL],2,0))</f>
        <v/>
      </c>
    </row>
    <row r="454">
      <c r="A454" s="21"/>
      <c r="B454" s="21"/>
      <c r="C454" s="21"/>
      <c r="D454" s="21"/>
      <c r="E454" s="21"/>
      <c r="F454" s="21"/>
      <c r="G454" s="21" t="str">
        <f>IF(C454="","",VLOOKUP(C454,categoria_proveedor[#ALL],2,0))</f>
        <v/>
      </c>
    </row>
    <row r="455">
      <c r="A455" s="21"/>
      <c r="B455" s="21"/>
      <c r="C455" s="21"/>
      <c r="D455" s="21"/>
      <c r="E455" s="21"/>
      <c r="F455" s="21"/>
      <c r="G455" s="21" t="str">
        <f>IF(C455="","",VLOOKUP(C455,categoria_proveedor[#ALL],2,0))</f>
        <v/>
      </c>
    </row>
    <row r="456">
      <c r="A456" s="21"/>
      <c r="B456" s="21"/>
      <c r="C456" s="21"/>
      <c r="D456" s="21"/>
      <c r="E456" s="21"/>
      <c r="F456" s="21"/>
      <c r="G456" s="21" t="str">
        <f>IF(C456="","",VLOOKUP(C456,categoria_proveedor[#ALL],2,0))</f>
        <v/>
      </c>
    </row>
    <row r="457">
      <c r="A457" s="21"/>
      <c r="B457" s="21"/>
      <c r="C457" s="21"/>
      <c r="D457" s="21"/>
      <c r="E457" s="21"/>
      <c r="F457" s="21"/>
      <c r="G457" s="21" t="str">
        <f>IF(C457="","",VLOOKUP(C457,categoria_proveedor[#ALL],2,0))</f>
        <v/>
      </c>
    </row>
    <row r="458">
      <c r="A458" s="21"/>
      <c r="B458" s="21"/>
      <c r="C458" s="21"/>
      <c r="D458" s="21"/>
      <c r="E458" s="21"/>
      <c r="F458" s="21"/>
      <c r="G458" s="21" t="str">
        <f>IF(C458="","",VLOOKUP(C458,categoria_proveedor[#ALL],2,0))</f>
        <v/>
      </c>
    </row>
    <row r="459">
      <c r="A459" s="21"/>
      <c r="B459" s="21"/>
      <c r="C459" s="21"/>
      <c r="D459" s="21"/>
      <c r="E459" s="21"/>
      <c r="F459" s="21"/>
      <c r="G459" s="21" t="str">
        <f>IF(C459="","",VLOOKUP(C459,categoria_proveedor[#ALL],2,0))</f>
        <v/>
      </c>
    </row>
    <row r="460">
      <c r="A460" s="21"/>
      <c r="B460" s="21"/>
      <c r="C460" s="21"/>
      <c r="D460" s="21"/>
      <c r="E460" s="21"/>
      <c r="F460" s="21"/>
      <c r="G460" s="21" t="str">
        <f>IF(C460="","",VLOOKUP(C460,categoria_proveedor[#ALL],2,0))</f>
        <v/>
      </c>
    </row>
    <row r="461">
      <c r="A461" s="21"/>
      <c r="B461" s="21"/>
      <c r="C461" s="21"/>
      <c r="D461" s="21"/>
      <c r="E461" s="21"/>
      <c r="F461" s="21"/>
      <c r="G461" s="21" t="str">
        <f>IF(C461="","",VLOOKUP(C461,categoria_proveedor[#ALL],2,0))</f>
        <v/>
      </c>
    </row>
    <row r="462">
      <c r="A462" s="21"/>
      <c r="B462" s="21"/>
      <c r="C462" s="21"/>
      <c r="D462" s="21"/>
      <c r="E462" s="21"/>
      <c r="F462" s="21"/>
      <c r="G462" s="21" t="str">
        <f>IF(C462="","",VLOOKUP(C462,categoria_proveedor[#ALL],2,0))</f>
        <v/>
      </c>
    </row>
    <row r="463">
      <c r="A463" s="21"/>
      <c r="B463" s="21"/>
      <c r="C463" s="21"/>
      <c r="D463" s="21"/>
      <c r="E463" s="21"/>
      <c r="F463" s="21"/>
      <c r="G463" s="21" t="str">
        <f>IF(C463="","",VLOOKUP(C463,categoria_proveedor[#ALL],2,0))</f>
        <v/>
      </c>
    </row>
    <row r="464">
      <c r="A464" s="21"/>
      <c r="B464" s="21"/>
      <c r="C464" s="21"/>
      <c r="D464" s="21"/>
      <c r="E464" s="21"/>
      <c r="F464" s="21"/>
      <c r="G464" s="21" t="str">
        <f>IF(C464="","",VLOOKUP(C464,categoria_proveedor[#ALL],2,0))</f>
        <v/>
      </c>
    </row>
    <row r="465">
      <c r="A465" s="21"/>
      <c r="B465" s="21"/>
      <c r="C465" s="21"/>
      <c r="D465" s="21"/>
      <c r="E465" s="21"/>
      <c r="F465" s="21"/>
      <c r="G465" s="21" t="str">
        <f>IF(C465="","",VLOOKUP(C465,categoria_proveedor[#ALL],2,0))</f>
        <v/>
      </c>
    </row>
    <row r="466">
      <c r="A466" s="21"/>
      <c r="B466" s="21"/>
      <c r="C466" s="21"/>
      <c r="D466" s="21"/>
      <c r="E466" s="21"/>
      <c r="F466" s="21"/>
      <c r="G466" s="21" t="str">
        <f>IF(C466="","",VLOOKUP(C466,categoria_proveedor[#ALL],2,0))</f>
        <v/>
      </c>
    </row>
    <row r="467">
      <c r="A467" s="21"/>
      <c r="B467" s="21"/>
      <c r="C467" s="21"/>
      <c r="D467" s="21"/>
      <c r="E467" s="21"/>
      <c r="F467" s="21"/>
      <c r="G467" s="21" t="str">
        <f>IF(C467="","",VLOOKUP(C467,categoria_proveedor[#ALL],2,0))</f>
        <v/>
      </c>
    </row>
    <row r="468">
      <c r="A468" s="21"/>
      <c r="B468" s="21"/>
      <c r="C468" s="21"/>
      <c r="D468" s="21"/>
      <c r="E468" s="21"/>
      <c r="F468" s="21"/>
      <c r="G468" s="21" t="str">
        <f>IF(C468="","",VLOOKUP(C468,categoria_proveedor[#ALL],2,0))</f>
        <v/>
      </c>
    </row>
    <row r="469">
      <c r="A469" s="21"/>
      <c r="B469" s="21"/>
      <c r="C469" s="21"/>
      <c r="D469" s="21"/>
      <c r="E469" s="21"/>
      <c r="F469" s="21"/>
      <c r="G469" s="21" t="str">
        <f>IF(C469="","",VLOOKUP(C469,categoria_proveedor[#ALL],2,0))</f>
        <v/>
      </c>
    </row>
    <row r="470">
      <c r="A470" s="21"/>
      <c r="B470" s="21"/>
      <c r="C470" s="21"/>
      <c r="D470" s="21"/>
      <c r="E470" s="21"/>
      <c r="F470" s="21"/>
      <c r="G470" s="21" t="str">
        <f>IF(C470="","",VLOOKUP(C470,categoria_proveedor[#ALL],2,0))</f>
        <v/>
      </c>
    </row>
    <row r="471">
      <c r="A471" s="21"/>
      <c r="B471" s="21"/>
      <c r="C471" s="21"/>
      <c r="D471" s="21"/>
      <c r="E471" s="21"/>
      <c r="F471" s="21"/>
      <c r="G471" s="21" t="str">
        <f>IF(C471="","",VLOOKUP(C471,categoria_proveedor[#ALL],2,0))</f>
        <v/>
      </c>
    </row>
    <row r="472">
      <c r="A472" s="21"/>
      <c r="B472" s="21"/>
      <c r="C472" s="21"/>
      <c r="D472" s="21"/>
      <c r="E472" s="21"/>
      <c r="F472" s="21"/>
      <c r="G472" s="21" t="str">
        <f>IF(C472="","",VLOOKUP(C472,categoria_proveedor[#ALL],2,0))</f>
        <v/>
      </c>
    </row>
    <row r="473">
      <c r="A473" s="21"/>
      <c r="B473" s="21"/>
      <c r="C473" s="21"/>
      <c r="D473" s="21"/>
      <c r="E473" s="21"/>
      <c r="F473" s="21"/>
      <c r="G473" s="21" t="str">
        <f>IF(C473="","",VLOOKUP(C473,categoria_proveedor[#ALL],2,0))</f>
        <v/>
      </c>
    </row>
    <row r="474">
      <c r="A474" s="21"/>
      <c r="B474" s="21"/>
      <c r="C474" s="21"/>
      <c r="D474" s="21"/>
      <c r="E474" s="21"/>
      <c r="F474" s="21"/>
      <c r="G474" s="21" t="str">
        <f>IF(C474="","",VLOOKUP(C474,categoria_proveedor[#ALL],2,0))</f>
        <v/>
      </c>
    </row>
    <row r="475">
      <c r="A475" s="21"/>
      <c r="B475" s="21"/>
      <c r="C475" s="21"/>
      <c r="D475" s="21"/>
      <c r="E475" s="21"/>
      <c r="F475" s="21"/>
      <c r="G475" s="21" t="str">
        <f>IF(C475="","",VLOOKUP(C475,categoria_proveedor[#ALL],2,0))</f>
        <v/>
      </c>
    </row>
    <row r="476">
      <c r="A476" s="21"/>
      <c r="B476" s="21"/>
      <c r="C476" s="21"/>
      <c r="D476" s="21"/>
      <c r="E476" s="21"/>
      <c r="F476" s="21"/>
      <c r="G476" s="21" t="str">
        <f>IF(C476="","",VLOOKUP(C476,categoria_proveedor[#ALL],2,0))</f>
        <v/>
      </c>
    </row>
    <row r="477">
      <c r="A477" s="21"/>
      <c r="B477" s="21"/>
      <c r="C477" s="21"/>
      <c r="D477" s="21"/>
      <c r="E477" s="21"/>
      <c r="F477" s="21"/>
      <c r="G477" s="21" t="str">
        <f>IF(C477="","",VLOOKUP(C477,categoria_proveedor[#ALL],2,0))</f>
        <v/>
      </c>
    </row>
    <row r="478">
      <c r="A478" s="21"/>
      <c r="B478" s="21"/>
      <c r="C478" s="21"/>
      <c r="D478" s="21"/>
      <c r="E478" s="21"/>
      <c r="F478" s="21"/>
      <c r="G478" s="21" t="str">
        <f>IF(C478="","",VLOOKUP(C478,categoria_proveedor[#ALL],2,0))</f>
        <v/>
      </c>
    </row>
    <row r="479">
      <c r="A479" s="21"/>
      <c r="B479" s="21"/>
      <c r="C479" s="21"/>
      <c r="D479" s="21"/>
      <c r="E479" s="21"/>
      <c r="F479" s="21"/>
      <c r="G479" s="21" t="str">
        <f>IF(C479="","",VLOOKUP(C479,categoria_proveedor[#ALL],2,0))</f>
        <v/>
      </c>
    </row>
    <row r="480">
      <c r="A480" s="21"/>
      <c r="B480" s="21"/>
      <c r="C480" s="21"/>
      <c r="D480" s="21"/>
      <c r="E480" s="21"/>
      <c r="F480" s="21"/>
      <c r="G480" s="21" t="str">
        <f>IF(C480="","",VLOOKUP(C480,categoria_proveedor[#ALL],2,0))</f>
        <v/>
      </c>
    </row>
    <row r="481">
      <c r="A481" s="21"/>
      <c r="B481" s="21"/>
      <c r="C481" s="21"/>
      <c r="D481" s="21"/>
      <c r="E481" s="21"/>
      <c r="F481" s="21"/>
      <c r="G481" s="21" t="str">
        <f>IF(C481="","",VLOOKUP(C481,categoria_proveedor[#ALL],2,0))</f>
        <v/>
      </c>
    </row>
    <row r="482">
      <c r="A482" s="21"/>
      <c r="B482" s="21"/>
      <c r="C482" s="21"/>
      <c r="D482" s="21"/>
      <c r="E482" s="21"/>
      <c r="F482" s="21"/>
      <c r="G482" s="21" t="str">
        <f>IF(C482="","",VLOOKUP(C482,categoria_proveedor[#ALL],2,0))</f>
        <v/>
      </c>
    </row>
    <row r="483">
      <c r="A483" s="21"/>
      <c r="B483" s="21"/>
      <c r="C483" s="21"/>
      <c r="D483" s="21"/>
      <c r="E483" s="21"/>
      <c r="F483" s="21"/>
      <c r="G483" s="21" t="str">
        <f>IF(C483="","",VLOOKUP(C483,categoria_proveedor[#ALL],2,0))</f>
        <v/>
      </c>
    </row>
    <row r="484">
      <c r="A484" s="21"/>
      <c r="B484" s="21"/>
      <c r="C484" s="21"/>
      <c r="D484" s="21"/>
      <c r="E484" s="21"/>
      <c r="F484" s="21"/>
      <c r="G484" s="21" t="str">
        <f>IF(C484="","",VLOOKUP(C484,categoria_proveedor[#ALL],2,0))</f>
        <v/>
      </c>
    </row>
    <row r="485">
      <c r="A485" s="21"/>
      <c r="B485" s="21"/>
      <c r="C485" s="21"/>
      <c r="D485" s="21"/>
      <c r="E485" s="21"/>
      <c r="F485" s="21"/>
      <c r="G485" s="21" t="str">
        <f>IF(C485="","",VLOOKUP(C485,categoria_proveedor[#ALL],2,0))</f>
        <v/>
      </c>
    </row>
    <row r="486">
      <c r="A486" s="21"/>
      <c r="B486" s="21"/>
      <c r="C486" s="21"/>
      <c r="D486" s="21"/>
      <c r="E486" s="21"/>
      <c r="F486" s="21"/>
      <c r="G486" s="21" t="str">
        <f>IF(C486="","",VLOOKUP(C486,categoria_proveedor[#ALL],2,0))</f>
        <v/>
      </c>
    </row>
    <row r="487">
      <c r="A487" s="21"/>
      <c r="B487" s="21"/>
      <c r="C487" s="21"/>
      <c r="D487" s="21"/>
      <c r="E487" s="21"/>
      <c r="F487" s="21"/>
      <c r="G487" s="21" t="str">
        <f>IF(C487="","",VLOOKUP(C487,categoria_proveedor[#ALL],2,0))</f>
        <v/>
      </c>
    </row>
    <row r="488">
      <c r="A488" s="21"/>
      <c r="B488" s="21"/>
      <c r="C488" s="21"/>
      <c r="D488" s="21"/>
      <c r="E488" s="21"/>
      <c r="F488" s="21"/>
      <c r="G488" s="21" t="str">
        <f>IF(C488="","",VLOOKUP(C488,categoria_proveedor[#ALL],2,0))</f>
        <v/>
      </c>
    </row>
    <row r="489">
      <c r="A489" s="21"/>
      <c r="B489" s="21"/>
      <c r="C489" s="21"/>
      <c r="D489" s="21"/>
      <c r="E489" s="21"/>
      <c r="F489" s="21"/>
      <c r="G489" s="21" t="str">
        <f>IF(C489="","",VLOOKUP(C489,categoria_proveedor[#ALL],2,0))</f>
        <v/>
      </c>
    </row>
    <row r="490">
      <c r="A490" s="21"/>
      <c r="B490" s="21"/>
      <c r="C490" s="21"/>
      <c r="D490" s="21"/>
      <c r="E490" s="21"/>
      <c r="F490" s="21"/>
      <c r="G490" s="21" t="str">
        <f>IF(C490="","",VLOOKUP(C490,categoria_proveedor[#ALL],2,0))</f>
        <v/>
      </c>
    </row>
    <row r="491">
      <c r="A491" s="21"/>
      <c r="B491" s="21"/>
      <c r="C491" s="21"/>
      <c r="D491" s="21"/>
      <c r="E491" s="21"/>
      <c r="F491" s="21"/>
      <c r="G491" s="21" t="str">
        <f>IF(C491="","",VLOOKUP(C491,categoria_proveedor[#ALL],2,0))</f>
        <v/>
      </c>
    </row>
    <row r="492">
      <c r="A492" s="21"/>
      <c r="B492" s="21"/>
      <c r="C492" s="21"/>
      <c r="D492" s="21"/>
      <c r="E492" s="21"/>
      <c r="F492" s="21"/>
      <c r="G492" s="21" t="str">
        <f>IF(C492="","",VLOOKUP(C492,categoria_proveedor[#ALL],2,0))</f>
        <v/>
      </c>
    </row>
    <row r="493">
      <c r="A493" s="21"/>
      <c r="B493" s="21"/>
      <c r="C493" s="21"/>
      <c r="D493" s="21"/>
      <c r="E493" s="21"/>
      <c r="F493" s="21"/>
      <c r="G493" s="21" t="str">
        <f>IF(C493="","",VLOOKUP(C493,categoria_proveedor[#ALL],2,0))</f>
        <v/>
      </c>
    </row>
    <row r="494">
      <c r="A494" s="21"/>
      <c r="B494" s="21"/>
      <c r="C494" s="21"/>
      <c r="D494" s="21"/>
      <c r="E494" s="21"/>
      <c r="F494" s="21"/>
      <c r="G494" s="21" t="str">
        <f>IF(C494="","",VLOOKUP(C494,categoria_proveedor[#ALL],2,0))</f>
        <v/>
      </c>
    </row>
    <row r="495">
      <c r="A495" s="21"/>
      <c r="B495" s="21"/>
      <c r="C495" s="21"/>
      <c r="D495" s="21"/>
      <c r="E495" s="21"/>
      <c r="F495" s="21"/>
      <c r="G495" s="21" t="str">
        <f>IF(C495="","",VLOOKUP(C495,categoria_proveedor[#ALL],2,0))</f>
        <v/>
      </c>
    </row>
    <row r="496">
      <c r="A496" s="21"/>
      <c r="B496" s="21"/>
      <c r="C496" s="21"/>
      <c r="D496" s="21"/>
      <c r="E496" s="21"/>
      <c r="F496" s="21"/>
      <c r="G496" s="21" t="str">
        <f>IF(C496="","",VLOOKUP(C496,categoria_proveedor[#ALL],2,0))</f>
        <v/>
      </c>
    </row>
    <row r="497">
      <c r="A497" s="21"/>
      <c r="B497" s="21"/>
      <c r="C497" s="21"/>
      <c r="D497" s="21"/>
      <c r="E497" s="21"/>
      <c r="F497" s="21"/>
      <c r="G497" s="21" t="str">
        <f>IF(C497="","",VLOOKUP(C497,categoria_proveedor[#ALL],2,0))</f>
        <v/>
      </c>
    </row>
    <row r="498">
      <c r="A498" s="21"/>
      <c r="B498" s="21"/>
      <c r="C498" s="21"/>
      <c r="D498" s="21"/>
      <c r="E498" s="21"/>
      <c r="F498" s="21"/>
      <c r="G498" s="21" t="str">
        <f>IF(C498="","",VLOOKUP(C498,categoria_proveedor[#ALL],2,0))</f>
        <v/>
      </c>
    </row>
    <row r="499">
      <c r="A499" s="21"/>
      <c r="B499" s="21"/>
      <c r="C499" s="21"/>
      <c r="D499" s="21"/>
      <c r="E499" s="21"/>
      <c r="F499" s="21"/>
      <c r="G499" s="21" t="str">
        <f>IF(C499="","",VLOOKUP(C499,categoria_proveedor[#ALL],2,0))</f>
        <v/>
      </c>
    </row>
    <row r="500">
      <c r="A500" s="21"/>
      <c r="B500" s="21"/>
      <c r="C500" s="21"/>
      <c r="D500" s="21"/>
      <c r="E500" s="21"/>
      <c r="F500" s="21"/>
      <c r="G500" s="21" t="str">
        <f>IF(C500="","",VLOOKUP(C500,categoria_proveedor[#ALL],2,0))</f>
        <v/>
      </c>
    </row>
    <row r="501">
      <c r="A501" s="21"/>
      <c r="B501" s="21"/>
      <c r="C501" s="21"/>
      <c r="D501" s="21"/>
      <c r="E501" s="21"/>
      <c r="F501" s="21"/>
      <c r="G501" s="21" t="str">
        <f>IF(C501="","",VLOOKUP(C501,categoria_proveedor[#ALL],2,0))</f>
        <v/>
      </c>
    </row>
    <row r="502">
      <c r="A502" s="21"/>
      <c r="B502" s="21"/>
      <c r="C502" s="21"/>
      <c r="D502" s="21"/>
      <c r="E502" s="21"/>
      <c r="F502" s="21"/>
      <c r="G502" s="21" t="str">
        <f>IF(C502="","",VLOOKUP(C502,categoria_proveedor[#ALL],2,0))</f>
        <v/>
      </c>
    </row>
    <row r="503">
      <c r="A503" s="21"/>
      <c r="B503" s="21"/>
      <c r="C503" s="21"/>
      <c r="D503" s="21"/>
      <c r="E503" s="21"/>
      <c r="F503" s="21"/>
      <c r="G503" s="21" t="str">
        <f>IF(C503="","",VLOOKUP(C503,categoria_proveedor[#ALL],2,0))</f>
        <v/>
      </c>
    </row>
    <row r="504">
      <c r="A504" s="21"/>
      <c r="B504" s="21"/>
      <c r="C504" s="21"/>
      <c r="D504" s="21"/>
      <c r="E504" s="21"/>
      <c r="F504" s="21"/>
      <c r="G504" s="21" t="str">
        <f>IF(C504="","",VLOOKUP(C504,categoria_proveedor[#ALL],2,0))</f>
        <v/>
      </c>
    </row>
    <row r="505">
      <c r="A505" s="21"/>
      <c r="B505" s="21"/>
      <c r="C505" s="21"/>
      <c r="D505" s="21"/>
      <c r="E505" s="21"/>
      <c r="F505" s="21"/>
      <c r="G505" s="21" t="str">
        <f>IF(C505="","",VLOOKUP(C505,categoria_proveedor[#ALL],2,0))</f>
        <v/>
      </c>
    </row>
    <row r="506">
      <c r="A506" s="21"/>
      <c r="B506" s="21"/>
      <c r="C506" s="21"/>
      <c r="D506" s="21"/>
      <c r="E506" s="21"/>
      <c r="F506" s="21"/>
      <c r="G506" s="21" t="str">
        <f>IF(C506="","",VLOOKUP(C506,categoria_proveedor[#ALL],2,0))</f>
        <v/>
      </c>
    </row>
    <row r="507">
      <c r="A507" s="21"/>
      <c r="B507" s="21"/>
      <c r="C507" s="21"/>
      <c r="D507" s="21"/>
      <c r="E507" s="21"/>
      <c r="F507" s="21"/>
      <c r="G507" s="21" t="str">
        <f>IF(C507="","",VLOOKUP(C507,categoria_proveedor[#ALL],2,0))</f>
        <v/>
      </c>
    </row>
    <row r="508">
      <c r="A508" s="21"/>
      <c r="B508" s="21"/>
      <c r="C508" s="21"/>
      <c r="D508" s="21"/>
      <c r="E508" s="21"/>
      <c r="F508" s="21"/>
      <c r="G508" s="21" t="str">
        <f>IF(C508="","",VLOOKUP(C508,categoria_proveedor[#ALL],2,0))</f>
        <v/>
      </c>
    </row>
    <row r="509">
      <c r="A509" s="21"/>
      <c r="B509" s="21"/>
      <c r="C509" s="21"/>
      <c r="D509" s="21"/>
      <c r="E509" s="21"/>
      <c r="F509" s="21"/>
      <c r="G509" s="21" t="str">
        <f>IF(C509="","",VLOOKUP(C509,categoria_proveedor[#ALL],2,0))</f>
        <v/>
      </c>
    </row>
    <row r="510">
      <c r="A510" s="21"/>
      <c r="B510" s="21"/>
      <c r="C510" s="21"/>
      <c r="D510" s="21"/>
      <c r="E510" s="21"/>
      <c r="F510" s="21"/>
      <c r="G510" s="21" t="str">
        <f>IF(C510="","",VLOOKUP(C510,categoria_proveedor[#ALL],2,0))</f>
        <v/>
      </c>
    </row>
    <row r="511">
      <c r="A511" s="21"/>
      <c r="B511" s="21"/>
      <c r="C511" s="21"/>
      <c r="D511" s="21"/>
      <c r="E511" s="21"/>
      <c r="F511" s="21"/>
      <c r="G511" s="21" t="str">
        <f>IF(C511="","",VLOOKUP(C511,categoria_proveedor[#ALL],2,0))</f>
        <v/>
      </c>
    </row>
    <row r="512">
      <c r="A512" s="21"/>
      <c r="B512" s="21"/>
      <c r="C512" s="21"/>
      <c r="D512" s="21"/>
      <c r="E512" s="21"/>
      <c r="F512" s="21"/>
      <c r="G512" s="21" t="str">
        <f>IF(C512="","",VLOOKUP(C512,categoria_proveedor[#ALL],2,0))</f>
        <v/>
      </c>
    </row>
    <row r="513">
      <c r="A513" s="21"/>
      <c r="B513" s="21"/>
      <c r="C513" s="21"/>
      <c r="D513" s="21"/>
      <c r="E513" s="21"/>
      <c r="F513" s="21"/>
      <c r="G513" s="21" t="str">
        <f>IF(C513="","",VLOOKUP(C513,categoria_proveedor[#ALL],2,0))</f>
        <v/>
      </c>
    </row>
    <row r="514">
      <c r="A514" s="21"/>
      <c r="B514" s="21"/>
      <c r="C514" s="21"/>
      <c r="D514" s="21"/>
      <c r="E514" s="21"/>
      <c r="F514" s="21"/>
      <c r="G514" s="21" t="str">
        <f>IF(C514="","",VLOOKUP(C514,categoria_proveedor[#ALL],2,0))</f>
        <v/>
      </c>
    </row>
    <row r="515">
      <c r="A515" s="21"/>
      <c r="B515" s="21"/>
      <c r="C515" s="21"/>
      <c r="D515" s="21"/>
      <c r="E515" s="21"/>
      <c r="F515" s="21"/>
      <c r="G515" s="21" t="str">
        <f>IF(C515="","",VLOOKUP(C515,categoria_proveedor[#ALL],2,0))</f>
        <v/>
      </c>
    </row>
    <row r="516">
      <c r="A516" s="21"/>
      <c r="B516" s="21"/>
      <c r="C516" s="21"/>
      <c r="D516" s="21"/>
      <c r="E516" s="21"/>
      <c r="F516" s="21"/>
      <c r="G516" s="21" t="str">
        <f>IF(C516="","",VLOOKUP(C516,categoria_proveedor[#ALL],2,0))</f>
        <v/>
      </c>
    </row>
    <row r="517">
      <c r="A517" s="21"/>
      <c r="B517" s="21"/>
      <c r="C517" s="21"/>
      <c r="D517" s="21"/>
      <c r="E517" s="21"/>
      <c r="F517" s="21"/>
      <c r="G517" s="21" t="str">
        <f>IF(C517="","",VLOOKUP(C517,categoria_proveedor[#ALL],2,0))</f>
        <v/>
      </c>
    </row>
    <row r="518">
      <c r="A518" s="21"/>
      <c r="B518" s="21"/>
      <c r="C518" s="21"/>
      <c r="D518" s="21"/>
      <c r="E518" s="21"/>
      <c r="F518" s="21"/>
      <c r="G518" s="21" t="str">
        <f>IF(C518="","",VLOOKUP(C518,categoria_proveedor[#ALL],2,0))</f>
        <v/>
      </c>
    </row>
    <row r="519">
      <c r="A519" s="21"/>
      <c r="B519" s="21"/>
      <c r="C519" s="21"/>
      <c r="D519" s="21"/>
      <c r="E519" s="21"/>
      <c r="F519" s="21"/>
      <c r="G519" s="21" t="str">
        <f>IF(C519="","",VLOOKUP(C519,categoria_proveedor[#ALL],2,0))</f>
        <v/>
      </c>
    </row>
    <row r="520">
      <c r="A520" s="21"/>
      <c r="B520" s="21"/>
      <c r="C520" s="21"/>
      <c r="D520" s="21"/>
      <c r="E520" s="21"/>
      <c r="F520" s="21"/>
      <c r="G520" s="21" t="str">
        <f>IF(C520="","",VLOOKUP(C520,categoria_proveedor[#ALL],2,0))</f>
        <v/>
      </c>
    </row>
    <row r="521">
      <c r="A521" s="21"/>
      <c r="B521" s="21"/>
      <c r="C521" s="21"/>
      <c r="D521" s="21"/>
      <c r="E521" s="21"/>
      <c r="F521" s="21"/>
      <c r="G521" s="21" t="str">
        <f>IF(C521="","",VLOOKUP(C521,categoria_proveedor[#ALL],2,0))</f>
        <v/>
      </c>
    </row>
    <row r="522">
      <c r="A522" s="21"/>
      <c r="B522" s="21"/>
      <c r="C522" s="21"/>
      <c r="D522" s="21"/>
      <c r="E522" s="21"/>
      <c r="F522" s="21"/>
      <c r="G522" s="21" t="str">
        <f>IF(C522="","",VLOOKUP(C522,categoria_proveedor[#ALL],2,0))</f>
        <v/>
      </c>
    </row>
    <row r="523">
      <c r="A523" s="21"/>
      <c r="B523" s="21"/>
      <c r="C523" s="21"/>
      <c r="D523" s="21"/>
      <c r="E523" s="21"/>
      <c r="F523" s="21"/>
      <c r="G523" s="21" t="str">
        <f>IF(C523="","",VLOOKUP(C523,categoria_proveedor[#ALL],2,0))</f>
        <v/>
      </c>
    </row>
    <row r="524">
      <c r="A524" s="21"/>
      <c r="B524" s="21"/>
      <c r="C524" s="21"/>
      <c r="D524" s="21"/>
      <c r="E524" s="21"/>
      <c r="F524" s="21"/>
      <c r="G524" s="21" t="str">
        <f>IF(C524="","",VLOOKUP(C524,categoria_proveedor[#ALL],2,0))</f>
        <v/>
      </c>
    </row>
    <row r="525">
      <c r="A525" s="21"/>
      <c r="B525" s="21"/>
      <c r="C525" s="21"/>
      <c r="D525" s="21"/>
      <c r="E525" s="21"/>
      <c r="F525" s="21"/>
      <c r="G525" s="21" t="str">
        <f>IF(C525="","",VLOOKUP(C525,categoria_proveedor[#ALL],2,0))</f>
        <v/>
      </c>
    </row>
    <row r="526">
      <c r="A526" s="21"/>
      <c r="B526" s="21"/>
      <c r="C526" s="21"/>
      <c r="D526" s="21"/>
      <c r="E526" s="21"/>
      <c r="F526" s="21"/>
      <c r="G526" s="21" t="str">
        <f>IF(C526="","",VLOOKUP(C526,categoria_proveedor[#ALL],2,0))</f>
        <v/>
      </c>
    </row>
    <row r="527">
      <c r="A527" s="21"/>
      <c r="B527" s="21"/>
      <c r="C527" s="21"/>
      <c r="D527" s="21"/>
      <c r="E527" s="21"/>
      <c r="F527" s="21"/>
      <c r="G527" s="21" t="str">
        <f>IF(C527="","",VLOOKUP(C527,categoria_proveedor[#ALL],2,0))</f>
        <v/>
      </c>
    </row>
    <row r="528">
      <c r="A528" s="21"/>
      <c r="B528" s="21"/>
      <c r="C528" s="21"/>
      <c r="D528" s="21"/>
      <c r="E528" s="21"/>
      <c r="F528" s="21"/>
      <c r="G528" s="21" t="str">
        <f>IF(C528="","",VLOOKUP(C528,categoria_proveedor[#ALL],2,0))</f>
        <v/>
      </c>
    </row>
    <row r="529">
      <c r="A529" s="21"/>
      <c r="B529" s="21"/>
      <c r="C529" s="21"/>
      <c r="D529" s="21"/>
      <c r="E529" s="21"/>
      <c r="F529" s="21"/>
      <c r="G529" s="21" t="str">
        <f>IF(C529="","",VLOOKUP(C529,categoria_proveedor[#ALL],2,0))</f>
        <v/>
      </c>
    </row>
    <row r="530">
      <c r="A530" s="21"/>
      <c r="B530" s="21"/>
      <c r="C530" s="21"/>
      <c r="D530" s="21"/>
      <c r="E530" s="21"/>
      <c r="F530" s="21"/>
      <c r="G530" s="21" t="str">
        <f>IF(C530="","",VLOOKUP(C530,categoria_proveedor[#ALL],2,0))</f>
        <v/>
      </c>
    </row>
    <row r="531">
      <c r="A531" s="21"/>
      <c r="B531" s="21"/>
      <c r="C531" s="21"/>
      <c r="D531" s="21"/>
      <c r="E531" s="21"/>
      <c r="F531" s="21"/>
      <c r="G531" s="21" t="str">
        <f>IF(C531="","",VLOOKUP(C531,categoria_proveedor[#ALL],2,0))</f>
        <v/>
      </c>
    </row>
    <row r="532">
      <c r="A532" s="21"/>
      <c r="B532" s="21"/>
      <c r="C532" s="21"/>
      <c r="D532" s="21"/>
      <c r="E532" s="21"/>
      <c r="F532" s="21"/>
      <c r="G532" s="21" t="str">
        <f>IF(C532="","",VLOOKUP(C532,categoria_proveedor[#ALL],2,0))</f>
        <v/>
      </c>
    </row>
    <row r="533">
      <c r="A533" s="21"/>
      <c r="B533" s="21"/>
      <c r="C533" s="21"/>
      <c r="D533" s="21"/>
      <c r="E533" s="21"/>
      <c r="F533" s="21"/>
      <c r="G533" s="21" t="str">
        <f>IF(C533="","",VLOOKUP(C533,categoria_proveedor[#ALL],2,0))</f>
        <v/>
      </c>
    </row>
    <row r="534">
      <c r="A534" s="21"/>
      <c r="B534" s="21"/>
      <c r="C534" s="21"/>
      <c r="D534" s="21"/>
      <c r="E534" s="21"/>
      <c r="F534" s="21"/>
      <c r="G534" s="21" t="str">
        <f>IF(C534="","",VLOOKUP(C534,categoria_proveedor[#ALL],2,0))</f>
        <v/>
      </c>
    </row>
    <row r="535">
      <c r="A535" s="21"/>
      <c r="B535" s="21"/>
      <c r="C535" s="21"/>
      <c r="D535" s="21"/>
      <c r="E535" s="21"/>
      <c r="F535" s="21"/>
      <c r="G535" s="21" t="str">
        <f>IF(C535="","",VLOOKUP(C535,categoria_proveedor[#ALL],2,0))</f>
        <v/>
      </c>
    </row>
    <row r="536">
      <c r="A536" s="21"/>
      <c r="B536" s="21"/>
      <c r="C536" s="21"/>
      <c r="D536" s="21"/>
      <c r="E536" s="21"/>
      <c r="F536" s="21"/>
      <c r="G536" s="21" t="str">
        <f>IF(C536="","",VLOOKUP(C536,categoria_proveedor[#ALL],2,0))</f>
        <v/>
      </c>
    </row>
    <row r="537">
      <c r="A537" s="21"/>
      <c r="B537" s="21"/>
      <c r="C537" s="21"/>
      <c r="D537" s="21"/>
      <c r="E537" s="21"/>
      <c r="F537" s="21"/>
      <c r="G537" s="21" t="str">
        <f>IF(C537="","",VLOOKUP(C537,categoria_proveedor[#ALL],2,0))</f>
        <v/>
      </c>
    </row>
    <row r="538">
      <c r="A538" s="21"/>
      <c r="B538" s="21"/>
      <c r="C538" s="21"/>
      <c r="D538" s="21"/>
      <c r="E538" s="21"/>
      <c r="F538" s="21"/>
      <c r="G538" s="21" t="str">
        <f>IF(C538="","",VLOOKUP(C538,categoria_proveedor[#ALL],2,0))</f>
        <v/>
      </c>
    </row>
    <row r="539">
      <c r="A539" s="21"/>
      <c r="B539" s="21"/>
      <c r="C539" s="21"/>
      <c r="D539" s="21"/>
      <c r="E539" s="21"/>
      <c r="F539" s="21"/>
      <c r="G539" s="21" t="str">
        <f>IF(C539="","",VLOOKUP(C539,categoria_proveedor[#ALL],2,0))</f>
        <v/>
      </c>
    </row>
    <row r="540">
      <c r="A540" s="21"/>
      <c r="B540" s="21"/>
      <c r="C540" s="21"/>
      <c r="D540" s="21"/>
      <c r="E540" s="21"/>
      <c r="F540" s="21"/>
      <c r="G540" s="21" t="str">
        <f>IF(C540="","",VLOOKUP(C540,categoria_proveedor[#ALL],2,0))</f>
        <v/>
      </c>
    </row>
    <row r="541">
      <c r="A541" s="21"/>
      <c r="B541" s="21"/>
      <c r="C541" s="21"/>
      <c r="D541" s="21"/>
      <c r="E541" s="21"/>
      <c r="F541" s="21"/>
      <c r="G541" s="21" t="str">
        <f>IF(C541="","",VLOOKUP(C541,categoria_proveedor[#ALL],2,0))</f>
        <v/>
      </c>
    </row>
    <row r="542">
      <c r="A542" s="21"/>
      <c r="B542" s="21"/>
      <c r="C542" s="21"/>
      <c r="D542" s="21"/>
      <c r="E542" s="21"/>
      <c r="F542" s="21"/>
      <c r="G542" s="21" t="str">
        <f>IF(C542="","",VLOOKUP(C542,categoria_proveedor[#ALL],2,0))</f>
        <v/>
      </c>
    </row>
    <row r="543">
      <c r="A543" s="21"/>
      <c r="B543" s="21"/>
      <c r="C543" s="21"/>
      <c r="D543" s="21"/>
      <c r="E543" s="21"/>
      <c r="F543" s="21"/>
      <c r="G543" s="21" t="str">
        <f>IF(C543="","",VLOOKUP(C543,categoria_proveedor[#ALL],2,0))</f>
        <v/>
      </c>
    </row>
    <row r="544">
      <c r="A544" s="21"/>
      <c r="B544" s="21"/>
      <c r="C544" s="21"/>
      <c r="D544" s="21"/>
      <c r="E544" s="21"/>
      <c r="F544" s="21"/>
      <c r="G544" s="21" t="str">
        <f>IF(C544="","",VLOOKUP(C544,categoria_proveedor[#ALL],2,0))</f>
        <v/>
      </c>
    </row>
    <row r="545">
      <c r="A545" s="21"/>
      <c r="B545" s="21"/>
      <c r="C545" s="21"/>
      <c r="D545" s="21"/>
      <c r="E545" s="21"/>
      <c r="F545" s="21"/>
      <c r="G545" s="21" t="str">
        <f>IF(C545="","",VLOOKUP(C545,categoria_proveedor[#ALL],2,0))</f>
        <v/>
      </c>
    </row>
    <row r="546">
      <c r="A546" s="21"/>
      <c r="B546" s="21"/>
      <c r="C546" s="21"/>
      <c r="D546" s="21"/>
      <c r="E546" s="21"/>
      <c r="F546" s="21"/>
      <c r="G546" s="21" t="str">
        <f>IF(C546="","",VLOOKUP(C546,categoria_proveedor[#ALL],2,0))</f>
        <v/>
      </c>
    </row>
    <row r="547">
      <c r="A547" s="21"/>
      <c r="B547" s="21"/>
      <c r="C547" s="21"/>
      <c r="D547" s="21"/>
      <c r="E547" s="21"/>
      <c r="F547" s="21"/>
      <c r="G547" s="21" t="str">
        <f>IF(C547="","",VLOOKUP(C547,categoria_proveedor[#ALL],2,0))</f>
        <v/>
      </c>
    </row>
    <row r="548">
      <c r="A548" s="21"/>
      <c r="B548" s="21"/>
      <c r="C548" s="21"/>
      <c r="D548" s="21"/>
      <c r="E548" s="21"/>
      <c r="F548" s="21"/>
      <c r="G548" s="21" t="str">
        <f>IF(C548="","",VLOOKUP(C548,categoria_proveedor[#ALL],2,0))</f>
        <v/>
      </c>
    </row>
    <row r="549">
      <c r="A549" s="21"/>
      <c r="B549" s="21"/>
      <c r="C549" s="21"/>
      <c r="D549" s="21"/>
      <c r="E549" s="21"/>
      <c r="F549" s="21"/>
      <c r="G549" s="21" t="str">
        <f>IF(C549="","",VLOOKUP(C549,categoria_proveedor[#ALL],2,0))</f>
        <v/>
      </c>
    </row>
    <row r="550">
      <c r="A550" s="21"/>
      <c r="B550" s="21"/>
      <c r="C550" s="21"/>
      <c r="D550" s="21"/>
      <c r="E550" s="21"/>
      <c r="F550" s="21"/>
      <c r="G550" s="21" t="str">
        <f>IF(C550="","",VLOOKUP(C550,categoria_proveedor[#ALL],2,0))</f>
        <v/>
      </c>
    </row>
    <row r="551">
      <c r="A551" s="21"/>
      <c r="B551" s="21"/>
      <c r="C551" s="21"/>
      <c r="D551" s="21"/>
      <c r="E551" s="21"/>
      <c r="F551" s="21"/>
      <c r="G551" s="21" t="str">
        <f>IF(C551="","",VLOOKUP(C551,categoria_proveedor[#ALL],2,0))</f>
        <v/>
      </c>
    </row>
    <row r="552">
      <c r="A552" s="21"/>
      <c r="B552" s="21"/>
      <c r="C552" s="21"/>
      <c r="D552" s="21"/>
      <c r="E552" s="21"/>
      <c r="F552" s="21"/>
      <c r="G552" s="21" t="str">
        <f>IF(C552="","",VLOOKUP(C552,categoria_proveedor[#ALL],2,0))</f>
        <v/>
      </c>
    </row>
    <row r="553">
      <c r="A553" s="21"/>
      <c r="B553" s="21"/>
      <c r="C553" s="21"/>
      <c r="D553" s="21"/>
      <c r="E553" s="21"/>
      <c r="F553" s="21"/>
      <c r="G553" s="21" t="str">
        <f>IF(C553="","",VLOOKUP(C553,categoria_proveedor[#ALL],2,0))</f>
        <v/>
      </c>
    </row>
    <row r="554">
      <c r="A554" s="21"/>
      <c r="B554" s="21"/>
      <c r="C554" s="21"/>
      <c r="D554" s="21"/>
      <c r="E554" s="21"/>
      <c r="F554" s="21"/>
      <c r="G554" s="21" t="str">
        <f>IF(C554="","",VLOOKUP(C554,categoria_proveedor[#ALL],2,0))</f>
        <v/>
      </c>
    </row>
    <row r="555">
      <c r="A555" s="21"/>
      <c r="B555" s="21"/>
      <c r="C555" s="21"/>
      <c r="D555" s="21"/>
      <c r="E555" s="21"/>
      <c r="F555" s="21"/>
      <c r="G555" s="21" t="str">
        <f>IF(C555="","",VLOOKUP(C555,categoria_proveedor[#ALL],2,0))</f>
        <v/>
      </c>
    </row>
    <row r="556">
      <c r="A556" s="21"/>
      <c r="B556" s="21"/>
      <c r="C556" s="21"/>
      <c r="D556" s="21"/>
      <c r="E556" s="21"/>
      <c r="F556" s="21"/>
      <c r="G556" s="21" t="str">
        <f>IF(C556="","",VLOOKUP(C556,categoria_proveedor[#ALL],2,0))</f>
        <v/>
      </c>
    </row>
    <row r="557">
      <c r="A557" s="21"/>
      <c r="B557" s="21"/>
      <c r="C557" s="21"/>
      <c r="D557" s="21"/>
      <c r="E557" s="21"/>
      <c r="F557" s="21"/>
      <c r="G557" s="21" t="str">
        <f>IF(C557="","",VLOOKUP(C557,categoria_proveedor[#ALL],2,0))</f>
        <v/>
      </c>
    </row>
    <row r="558">
      <c r="A558" s="21"/>
      <c r="B558" s="21"/>
      <c r="C558" s="21"/>
      <c r="D558" s="21"/>
      <c r="E558" s="21"/>
      <c r="F558" s="21"/>
      <c r="G558" s="21" t="str">
        <f>IF(C558="","",VLOOKUP(C558,categoria_proveedor[#ALL],2,0))</f>
        <v/>
      </c>
    </row>
    <row r="559">
      <c r="A559" s="21"/>
      <c r="B559" s="21"/>
      <c r="C559" s="21"/>
      <c r="D559" s="21"/>
      <c r="E559" s="21"/>
      <c r="F559" s="21"/>
      <c r="G559" s="21" t="str">
        <f>IF(C559="","",VLOOKUP(C559,categoria_proveedor[#ALL],2,0))</f>
        <v/>
      </c>
    </row>
    <row r="560">
      <c r="A560" s="21"/>
      <c r="B560" s="21"/>
      <c r="C560" s="21"/>
      <c r="D560" s="21"/>
      <c r="E560" s="21"/>
      <c r="F560" s="21"/>
      <c r="G560" s="21" t="str">
        <f>IF(C560="","",VLOOKUP(C560,categoria_proveedor[#ALL],2,0))</f>
        <v/>
      </c>
    </row>
    <row r="561">
      <c r="A561" s="21"/>
      <c r="B561" s="21"/>
      <c r="C561" s="21"/>
      <c r="D561" s="21"/>
      <c r="E561" s="21"/>
      <c r="F561" s="21"/>
      <c r="G561" s="21" t="str">
        <f>IF(C561="","",VLOOKUP(C561,categoria_proveedor[#ALL],2,0))</f>
        <v/>
      </c>
    </row>
    <row r="562">
      <c r="A562" s="21"/>
      <c r="B562" s="21"/>
      <c r="C562" s="21"/>
      <c r="D562" s="21"/>
      <c r="E562" s="21"/>
      <c r="F562" s="21"/>
      <c r="G562" s="21" t="str">
        <f>IF(C562="","",VLOOKUP(C562,categoria_proveedor[#ALL],2,0))</f>
        <v/>
      </c>
    </row>
    <row r="563">
      <c r="A563" s="21"/>
      <c r="B563" s="21"/>
      <c r="C563" s="21"/>
      <c r="D563" s="21"/>
      <c r="E563" s="21"/>
      <c r="F563" s="21"/>
      <c r="G563" s="21" t="str">
        <f>IF(C563="","",VLOOKUP(C563,categoria_proveedor[#ALL],2,0))</f>
        <v/>
      </c>
    </row>
    <row r="564">
      <c r="A564" s="21"/>
      <c r="B564" s="21"/>
      <c r="C564" s="21"/>
      <c r="D564" s="21"/>
      <c r="E564" s="21"/>
      <c r="F564" s="21"/>
      <c r="G564" s="21" t="str">
        <f>IF(C564="","",VLOOKUP(C564,categoria_proveedor[#ALL],2,0))</f>
        <v/>
      </c>
    </row>
    <row r="565">
      <c r="A565" s="21"/>
      <c r="B565" s="21"/>
      <c r="C565" s="21"/>
      <c r="D565" s="21"/>
      <c r="E565" s="21"/>
      <c r="F565" s="21"/>
      <c r="G565" s="21" t="str">
        <f>IF(C565="","",VLOOKUP(C565,categoria_proveedor[#ALL],2,0))</f>
        <v/>
      </c>
    </row>
    <row r="566">
      <c r="A566" s="21"/>
      <c r="B566" s="21"/>
      <c r="C566" s="21"/>
      <c r="D566" s="21"/>
      <c r="E566" s="21"/>
      <c r="F566" s="21"/>
      <c r="G566" s="21" t="str">
        <f>IF(C566="","",VLOOKUP(C566,categoria_proveedor[#ALL],2,0))</f>
        <v/>
      </c>
    </row>
    <row r="567">
      <c r="A567" s="21"/>
      <c r="B567" s="21"/>
      <c r="C567" s="21"/>
      <c r="D567" s="21"/>
      <c r="E567" s="21"/>
      <c r="F567" s="21"/>
      <c r="G567" s="21" t="str">
        <f>IF(C567="","",VLOOKUP(C567,categoria_proveedor[#ALL],2,0))</f>
        <v/>
      </c>
    </row>
    <row r="568">
      <c r="A568" s="21"/>
      <c r="B568" s="21"/>
      <c r="C568" s="21"/>
      <c r="D568" s="21"/>
      <c r="E568" s="21"/>
      <c r="F568" s="21"/>
      <c r="G568" s="21" t="str">
        <f>IF(C568="","",VLOOKUP(C568,categoria_proveedor[#ALL],2,0))</f>
        <v/>
      </c>
    </row>
    <row r="569">
      <c r="A569" s="21"/>
      <c r="B569" s="21"/>
      <c r="C569" s="21"/>
      <c r="D569" s="21"/>
      <c r="E569" s="21"/>
      <c r="F569" s="21"/>
      <c r="G569" s="21" t="str">
        <f>IF(C569="","",VLOOKUP(C569,categoria_proveedor[#ALL],2,0))</f>
        <v/>
      </c>
    </row>
    <row r="570">
      <c r="A570" s="21"/>
      <c r="B570" s="21"/>
      <c r="C570" s="21"/>
      <c r="D570" s="21"/>
      <c r="E570" s="21"/>
      <c r="F570" s="21"/>
      <c r="G570" s="21" t="str">
        <f>IF(C570="","",VLOOKUP(C570,categoria_proveedor[#ALL],2,0))</f>
        <v/>
      </c>
    </row>
    <row r="571">
      <c r="A571" s="21"/>
      <c r="B571" s="21"/>
      <c r="C571" s="21"/>
      <c r="D571" s="21"/>
      <c r="E571" s="21"/>
      <c r="F571" s="21"/>
      <c r="G571" s="21" t="str">
        <f>IF(C571="","",VLOOKUP(C571,categoria_proveedor[#ALL],2,0))</f>
        <v/>
      </c>
    </row>
    <row r="572">
      <c r="A572" s="21"/>
      <c r="B572" s="21"/>
      <c r="C572" s="21"/>
      <c r="D572" s="21"/>
      <c r="E572" s="21"/>
      <c r="F572" s="21"/>
      <c r="G572" s="21" t="str">
        <f>IF(C572="","",VLOOKUP(C572,categoria_proveedor[#ALL],2,0))</f>
        <v/>
      </c>
    </row>
    <row r="573">
      <c r="A573" s="21"/>
      <c r="B573" s="21"/>
      <c r="C573" s="21"/>
      <c r="D573" s="21"/>
      <c r="E573" s="21"/>
      <c r="F573" s="21"/>
      <c r="G573" s="21" t="str">
        <f>IF(C573="","",VLOOKUP(C573,categoria_proveedor[#ALL],2,0))</f>
        <v/>
      </c>
    </row>
    <row r="574">
      <c r="A574" s="21"/>
      <c r="B574" s="21"/>
      <c r="C574" s="21"/>
      <c r="D574" s="21"/>
      <c r="E574" s="21"/>
      <c r="F574" s="21"/>
      <c r="G574" s="21" t="str">
        <f>IF(C574="","",VLOOKUP(C574,categoria_proveedor[#ALL],2,0))</f>
        <v/>
      </c>
    </row>
    <row r="575">
      <c r="A575" s="21"/>
      <c r="B575" s="21"/>
      <c r="C575" s="21"/>
      <c r="D575" s="21"/>
      <c r="E575" s="21"/>
      <c r="F575" s="21"/>
      <c r="G575" s="21" t="str">
        <f>IF(C575="","",VLOOKUP(C575,categoria_proveedor[#ALL],2,0))</f>
        <v/>
      </c>
    </row>
    <row r="576">
      <c r="A576" s="21"/>
      <c r="B576" s="21"/>
      <c r="C576" s="21"/>
      <c r="D576" s="21"/>
      <c r="E576" s="21"/>
      <c r="F576" s="21"/>
      <c r="G576" s="21" t="str">
        <f>IF(C576="","",VLOOKUP(C576,categoria_proveedor[#ALL],2,0))</f>
        <v/>
      </c>
    </row>
    <row r="577">
      <c r="A577" s="21"/>
      <c r="B577" s="21"/>
      <c r="C577" s="21"/>
      <c r="D577" s="21"/>
      <c r="E577" s="21"/>
      <c r="F577" s="21"/>
      <c r="G577" s="21" t="str">
        <f>IF(C577="","",VLOOKUP(C577,categoria_proveedor[#ALL],2,0))</f>
        <v/>
      </c>
    </row>
    <row r="578">
      <c r="A578" s="21"/>
      <c r="B578" s="21"/>
      <c r="C578" s="21"/>
      <c r="D578" s="21"/>
      <c r="E578" s="21"/>
      <c r="F578" s="21"/>
      <c r="G578" s="21" t="str">
        <f>IF(C578="","",VLOOKUP(C578,categoria_proveedor[#ALL],2,0))</f>
        <v/>
      </c>
    </row>
    <row r="579">
      <c r="A579" s="21"/>
      <c r="B579" s="21"/>
      <c r="C579" s="21"/>
      <c r="D579" s="21"/>
      <c r="E579" s="21"/>
      <c r="F579" s="21"/>
      <c r="G579" s="21" t="str">
        <f>IF(C579="","",VLOOKUP(C579,categoria_proveedor[#ALL],2,0))</f>
        <v/>
      </c>
    </row>
    <row r="580">
      <c r="A580" s="21"/>
      <c r="B580" s="21"/>
      <c r="C580" s="21"/>
      <c r="D580" s="21"/>
      <c r="E580" s="21"/>
      <c r="F580" s="21"/>
      <c r="G580" s="21" t="str">
        <f>IF(C580="","",VLOOKUP(C580,categoria_proveedor[#ALL],2,0))</f>
        <v/>
      </c>
    </row>
    <row r="581">
      <c r="A581" s="21"/>
      <c r="B581" s="21"/>
      <c r="C581" s="21"/>
      <c r="D581" s="21"/>
      <c r="E581" s="21"/>
      <c r="F581" s="21"/>
      <c r="G581" s="21" t="str">
        <f>IF(C581="","",VLOOKUP(C581,categoria_proveedor[#ALL],2,0))</f>
        <v/>
      </c>
    </row>
    <row r="582">
      <c r="A582" s="21"/>
      <c r="B582" s="21"/>
      <c r="C582" s="21"/>
      <c r="D582" s="21"/>
      <c r="E582" s="21"/>
      <c r="F582" s="21"/>
      <c r="G582" s="21" t="str">
        <f>IF(C582="","",VLOOKUP(C582,categoria_proveedor[#ALL],2,0))</f>
        <v/>
      </c>
    </row>
    <row r="583">
      <c r="A583" s="21"/>
      <c r="B583" s="21"/>
      <c r="C583" s="21"/>
      <c r="D583" s="21"/>
      <c r="E583" s="21"/>
      <c r="F583" s="21"/>
      <c r="G583" s="21" t="str">
        <f>IF(C583="","",VLOOKUP(C583,categoria_proveedor[#ALL],2,0))</f>
        <v/>
      </c>
    </row>
    <row r="584">
      <c r="A584" s="21"/>
      <c r="B584" s="21"/>
      <c r="C584" s="21"/>
      <c r="D584" s="21"/>
      <c r="E584" s="21"/>
      <c r="F584" s="21"/>
      <c r="G584" s="21" t="str">
        <f>IF(C584="","",VLOOKUP(C584,categoria_proveedor[#ALL],2,0))</f>
        <v/>
      </c>
    </row>
    <row r="585">
      <c r="A585" s="21"/>
      <c r="B585" s="21"/>
      <c r="C585" s="21"/>
      <c r="D585" s="21"/>
      <c r="E585" s="21"/>
      <c r="F585" s="21"/>
      <c r="G585" s="21" t="str">
        <f>IF(C585="","",VLOOKUP(C585,categoria_proveedor[#ALL],2,0))</f>
        <v/>
      </c>
    </row>
    <row r="586">
      <c r="A586" s="21"/>
      <c r="B586" s="21"/>
      <c r="C586" s="21"/>
      <c r="D586" s="21"/>
      <c r="E586" s="21"/>
      <c r="F586" s="21"/>
      <c r="G586" s="21" t="str">
        <f>IF(C586="","",VLOOKUP(C586,categoria_proveedor[#ALL],2,0))</f>
        <v/>
      </c>
    </row>
    <row r="587">
      <c r="A587" s="21"/>
      <c r="B587" s="21"/>
      <c r="C587" s="21"/>
      <c r="D587" s="21"/>
      <c r="E587" s="21"/>
      <c r="F587" s="21"/>
      <c r="G587" s="21" t="str">
        <f>IF(C587="","",VLOOKUP(C587,categoria_proveedor[#ALL],2,0))</f>
        <v/>
      </c>
    </row>
    <row r="588">
      <c r="A588" s="21"/>
      <c r="B588" s="21"/>
      <c r="C588" s="21"/>
      <c r="D588" s="21"/>
      <c r="E588" s="21"/>
      <c r="F588" s="21"/>
      <c r="G588" s="21" t="str">
        <f>IF(C588="","",VLOOKUP(C588,categoria_proveedor[#ALL],2,0))</f>
        <v/>
      </c>
    </row>
    <row r="589">
      <c r="A589" s="21"/>
      <c r="B589" s="21"/>
      <c r="C589" s="21"/>
      <c r="D589" s="21"/>
      <c r="E589" s="21"/>
      <c r="F589" s="21"/>
      <c r="G589" s="21" t="str">
        <f>IF(C589="","",VLOOKUP(C589,categoria_proveedor[#ALL],2,0))</f>
        <v/>
      </c>
    </row>
    <row r="590">
      <c r="A590" s="21"/>
      <c r="B590" s="21"/>
      <c r="C590" s="21"/>
      <c r="D590" s="21"/>
      <c r="E590" s="21"/>
      <c r="F590" s="21"/>
      <c r="G590" s="21" t="str">
        <f>IF(C590="","",VLOOKUP(C590,categoria_proveedor[#ALL],2,0))</f>
        <v/>
      </c>
    </row>
    <row r="591">
      <c r="A591" s="21"/>
      <c r="B591" s="21"/>
      <c r="C591" s="21"/>
      <c r="D591" s="21"/>
      <c r="E591" s="21"/>
      <c r="F591" s="21"/>
      <c r="G591" s="21" t="str">
        <f>IF(C591="","",VLOOKUP(C591,categoria_proveedor[#ALL],2,0))</f>
        <v/>
      </c>
    </row>
    <row r="592">
      <c r="A592" s="21"/>
      <c r="B592" s="21"/>
      <c r="C592" s="21"/>
      <c r="D592" s="21"/>
      <c r="E592" s="21"/>
      <c r="F592" s="21"/>
      <c r="G592" s="21" t="str">
        <f>IF(C592="","",VLOOKUP(C592,categoria_proveedor[#ALL],2,0))</f>
        <v/>
      </c>
    </row>
    <row r="593">
      <c r="A593" s="21"/>
      <c r="B593" s="21"/>
      <c r="C593" s="21"/>
      <c r="D593" s="21"/>
      <c r="E593" s="21"/>
      <c r="F593" s="21"/>
      <c r="G593" s="21" t="str">
        <f>IF(C593="","",VLOOKUP(C593,categoria_proveedor[#ALL],2,0))</f>
        <v/>
      </c>
    </row>
    <row r="594">
      <c r="A594" s="21"/>
      <c r="B594" s="21"/>
      <c r="C594" s="21"/>
      <c r="D594" s="21"/>
      <c r="E594" s="21"/>
      <c r="F594" s="21"/>
      <c r="G594" s="21" t="str">
        <f>IF(C594="","",VLOOKUP(C594,categoria_proveedor[#ALL],2,0))</f>
        <v/>
      </c>
    </row>
    <row r="595">
      <c r="A595" s="21"/>
      <c r="B595" s="21"/>
      <c r="C595" s="21"/>
      <c r="D595" s="21"/>
      <c r="E595" s="21"/>
      <c r="F595" s="21"/>
      <c r="G595" s="21" t="str">
        <f>IF(C595="","",VLOOKUP(C595,categoria_proveedor[#ALL],2,0))</f>
        <v/>
      </c>
    </row>
    <row r="596">
      <c r="A596" s="21"/>
      <c r="B596" s="21"/>
      <c r="C596" s="21"/>
      <c r="D596" s="21"/>
      <c r="E596" s="21"/>
      <c r="F596" s="21"/>
      <c r="G596" s="21" t="str">
        <f>IF(C596="","",VLOOKUP(C596,categoria_proveedor[#ALL],2,0))</f>
        <v/>
      </c>
    </row>
    <row r="597">
      <c r="A597" s="21"/>
      <c r="B597" s="21"/>
      <c r="C597" s="21"/>
      <c r="D597" s="21"/>
      <c r="E597" s="21"/>
      <c r="F597" s="21"/>
      <c r="G597" s="21" t="str">
        <f>IF(C597="","",VLOOKUP(C597,categoria_proveedor[#ALL],2,0))</f>
        <v/>
      </c>
    </row>
    <row r="598">
      <c r="A598" s="21"/>
      <c r="B598" s="21"/>
      <c r="C598" s="21"/>
      <c r="D598" s="21"/>
      <c r="E598" s="21"/>
      <c r="F598" s="21"/>
      <c r="G598" s="21" t="str">
        <f>IF(C598="","",VLOOKUP(C598,categoria_proveedor[#ALL],2,0))</f>
        <v/>
      </c>
    </row>
    <row r="599">
      <c r="A599" s="21"/>
      <c r="B599" s="21"/>
      <c r="C599" s="21"/>
      <c r="D599" s="21"/>
      <c r="E599" s="21"/>
      <c r="F599" s="21"/>
      <c r="G599" s="21" t="str">
        <f>IF(C599="","",VLOOKUP(C599,categoria_proveedor[#ALL],2,0))</f>
        <v/>
      </c>
    </row>
    <row r="600">
      <c r="A600" s="21"/>
      <c r="B600" s="21"/>
      <c r="C600" s="21"/>
      <c r="D600" s="21"/>
      <c r="E600" s="21"/>
      <c r="F600" s="21"/>
      <c r="G600" s="21" t="str">
        <f>IF(C600="","",VLOOKUP(C600,categoria_proveedor[#ALL],2,0))</f>
        <v/>
      </c>
    </row>
    <row r="601">
      <c r="A601" s="21"/>
      <c r="B601" s="21"/>
      <c r="C601" s="21"/>
      <c r="D601" s="21"/>
      <c r="E601" s="21"/>
      <c r="F601" s="21"/>
      <c r="G601" s="21" t="str">
        <f>IF(C601="","",VLOOKUP(C601,categoria_proveedor[#ALL],2,0))</f>
        <v/>
      </c>
    </row>
    <row r="602">
      <c r="A602" s="21"/>
      <c r="B602" s="21"/>
      <c r="C602" s="21"/>
      <c r="D602" s="21"/>
      <c r="E602" s="21"/>
      <c r="F602" s="21"/>
      <c r="G602" s="21" t="str">
        <f>IF(C602="","",VLOOKUP(C602,categoria_proveedor[#ALL],2,0))</f>
        <v/>
      </c>
    </row>
    <row r="603">
      <c r="A603" s="21"/>
      <c r="B603" s="21"/>
      <c r="C603" s="21"/>
      <c r="D603" s="21"/>
      <c r="E603" s="21"/>
      <c r="F603" s="21"/>
      <c r="G603" s="21" t="str">
        <f>IF(C603="","",VLOOKUP(C603,categoria_proveedor[#ALL],2,0))</f>
        <v/>
      </c>
    </row>
    <row r="604">
      <c r="A604" s="21"/>
      <c r="B604" s="21"/>
      <c r="C604" s="21"/>
      <c r="D604" s="21"/>
      <c r="E604" s="21"/>
      <c r="F604" s="21"/>
      <c r="G604" s="21" t="str">
        <f>IF(C604="","",VLOOKUP(C604,categoria_proveedor[#ALL],2,0))</f>
        <v/>
      </c>
    </row>
    <row r="605">
      <c r="A605" s="21"/>
      <c r="B605" s="21"/>
      <c r="C605" s="21"/>
      <c r="D605" s="21"/>
      <c r="E605" s="21"/>
      <c r="F605" s="21"/>
      <c r="G605" s="21" t="str">
        <f>IF(C605="","",VLOOKUP(C605,categoria_proveedor[#ALL],2,0))</f>
        <v/>
      </c>
    </row>
    <row r="606">
      <c r="A606" s="21"/>
      <c r="B606" s="21"/>
      <c r="C606" s="21"/>
      <c r="D606" s="21"/>
      <c r="E606" s="21"/>
      <c r="F606" s="21"/>
      <c r="G606" s="21" t="str">
        <f>IF(C606="","",VLOOKUP(C606,categoria_proveedor[#ALL],2,0))</f>
        <v/>
      </c>
    </row>
    <row r="607">
      <c r="A607" s="21"/>
      <c r="B607" s="21"/>
      <c r="C607" s="21"/>
      <c r="D607" s="21"/>
      <c r="E607" s="21"/>
      <c r="F607" s="21"/>
      <c r="G607" s="21" t="str">
        <f>IF(C607="","",VLOOKUP(C607,categoria_proveedor[#ALL],2,0))</f>
        <v/>
      </c>
    </row>
    <row r="608">
      <c r="A608" s="21"/>
      <c r="B608" s="21"/>
      <c r="C608" s="21"/>
      <c r="D608" s="21"/>
      <c r="E608" s="21"/>
      <c r="F608" s="21"/>
      <c r="G608" s="21" t="str">
        <f>IF(C608="","",VLOOKUP(C608,categoria_proveedor[#ALL],2,0))</f>
        <v/>
      </c>
    </row>
    <row r="609">
      <c r="A609" s="21"/>
      <c r="B609" s="21"/>
      <c r="C609" s="21"/>
      <c r="D609" s="21"/>
      <c r="E609" s="21"/>
      <c r="F609" s="21"/>
      <c r="G609" s="21" t="str">
        <f>IF(C609="","",VLOOKUP(C609,categoria_proveedor[#ALL],2,0))</f>
        <v/>
      </c>
    </row>
    <row r="610">
      <c r="A610" s="21"/>
      <c r="B610" s="21"/>
      <c r="C610" s="21"/>
      <c r="D610" s="21"/>
      <c r="E610" s="21"/>
      <c r="F610" s="21"/>
      <c r="G610" s="21" t="str">
        <f>IF(C610="","",VLOOKUP(C610,categoria_proveedor[#ALL],2,0))</f>
        <v/>
      </c>
    </row>
    <row r="611">
      <c r="A611" s="21"/>
      <c r="B611" s="21"/>
      <c r="C611" s="21"/>
      <c r="D611" s="21"/>
      <c r="E611" s="21"/>
      <c r="F611" s="21"/>
      <c r="G611" s="21" t="str">
        <f>IF(C611="","",VLOOKUP(C611,categoria_proveedor[#ALL],2,0))</f>
        <v/>
      </c>
    </row>
    <row r="612">
      <c r="A612" s="21"/>
      <c r="B612" s="21"/>
      <c r="C612" s="21"/>
      <c r="D612" s="21"/>
      <c r="E612" s="21"/>
      <c r="F612" s="21"/>
      <c r="G612" s="21" t="str">
        <f>IF(C612="","",VLOOKUP(C612,categoria_proveedor[#ALL],2,0))</f>
        <v/>
      </c>
    </row>
    <row r="613">
      <c r="A613" s="21"/>
      <c r="B613" s="21"/>
      <c r="C613" s="21"/>
      <c r="D613" s="21"/>
      <c r="E613" s="21"/>
      <c r="F613" s="21"/>
      <c r="G613" s="21" t="str">
        <f>IF(C613="","",VLOOKUP(C613,categoria_proveedor[#ALL],2,0))</f>
        <v/>
      </c>
    </row>
    <row r="614">
      <c r="A614" s="21"/>
      <c r="B614" s="21"/>
      <c r="C614" s="21"/>
      <c r="D614" s="21"/>
      <c r="E614" s="21"/>
      <c r="F614" s="21"/>
      <c r="G614" s="21" t="str">
        <f>IF(C614="","",VLOOKUP(C614,categoria_proveedor[#ALL],2,0))</f>
        <v/>
      </c>
    </row>
    <row r="615">
      <c r="A615" s="21"/>
      <c r="B615" s="21"/>
      <c r="C615" s="21"/>
      <c r="D615" s="21"/>
      <c r="E615" s="21"/>
      <c r="F615" s="21"/>
      <c r="G615" s="21" t="str">
        <f>IF(C615="","",VLOOKUP(C615,categoria_proveedor[#ALL],2,0))</f>
        <v/>
      </c>
    </row>
    <row r="616">
      <c r="A616" s="21"/>
      <c r="B616" s="21"/>
      <c r="C616" s="21"/>
      <c r="D616" s="21"/>
      <c r="E616" s="21"/>
      <c r="F616" s="21"/>
      <c r="G616" s="21" t="str">
        <f>IF(C616="","",VLOOKUP(C616,categoria_proveedor[#ALL],2,0))</f>
        <v/>
      </c>
    </row>
    <row r="617">
      <c r="A617" s="21"/>
      <c r="B617" s="21"/>
      <c r="C617" s="21"/>
      <c r="D617" s="21"/>
      <c r="E617" s="21"/>
      <c r="F617" s="21"/>
      <c r="G617" s="21" t="str">
        <f>IF(C617="","",VLOOKUP(C617,categoria_proveedor[#ALL],2,0))</f>
        <v/>
      </c>
    </row>
    <row r="618">
      <c r="A618" s="21"/>
      <c r="B618" s="21"/>
      <c r="C618" s="21"/>
      <c r="D618" s="21"/>
      <c r="E618" s="21"/>
      <c r="F618" s="21"/>
      <c r="G618" s="21" t="str">
        <f>IF(C618="","",VLOOKUP(C618,categoria_proveedor[#ALL],2,0))</f>
        <v/>
      </c>
    </row>
    <row r="619">
      <c r="A619" s="21"/>
      <c r="B619" s="21"/>
      <c r="C619" s="21"/>
      <c r="D619" s="21"/>
      <c r="E619" s="21"/>
      <c r="F619" s="21"/>
      <c r="G619" s="21" t="str">
        <f>IF(C619="","",VLOOKUP(C619,categoria_proveedor[#ALL],2,0))</f>
        <v/>
      </c>
    </row>
    <row r="620">
      <c r="A620" s="21"/>
      <c r="B620" s="21"/>
      <c r="C620" s="21"/>
      <c r="D620" s="21"/>
      <c r="E620" s="21"/>
      <c r="F620" s="21"/>
      <c r="G620" s="21" t="str">
        <f>IF(C620="","",VLOOKUP(C620,categoria_proveedor[#ALL],2,0))</f>
        <v/>
      </c>
    </row>
    <row r="621">
      <c r="A621" s="21"/>
      <c r="B621" s="21"/>
      <c r="C621" s="21"/>
      <c r="D621" s="21"/>
      <c r="E621" s="21"/>
      <c r="F621" s="21"/>
      <c r="G621" s="21" t="str">
        <f>IF(C621="","",VLOOKUP(C621,categoria_proveedor[#ALL],2,0))</f>
        <v/>
      </c>
    </row>
    <row r="622">
      <c r="A622" s="21"/>
      <c r="B622" s="21"/>
      <c r="C622" s="21"/>
      <c r="D622" s="21"/>
      <c r="E622" s="21"/>
      <c r="F622" s="21"/>
      <c r="G622" s="21" t="str">
        <f>IF(C622="","",VLOOKUP(C622,categoria_proveedor[#ALL],2,0))</f>
        <v/>
      </c>
    </row>
    <row r="623">
      <c r="A623" s="21"/>
      <c r="B623" s="21"/>
      <c r="C623" s="21"/>
      <c r="D623" s="21"/>
      <c r="E623" s="21"/>
      <c r="F623" s="21"/>
      <c r="G623" s="21" t="str">
        <f>IF(C623="","",VLOOKUP(C623,categoria_proveedor[#ALL],2,0))</f>
        <v/>
      </c>
    </row>
    <row r="624">
      <c r="A624" s="21"/>
      <c r="B624" s="21"/>
      <c r="C624" s="21"/>
      <c r="D624" s="21"/>
      <c r="E624" s="21"/>
      <c r="F624" s="21"/>
      <c r="G624" s="21" t="str">
        <f>IF(C624="","",VLOOKUP(C624,categoria_proveedor[#ALL],2,0))</f>
        <v/>
      </c>
    </row>
    <row r="625">
      <c r="A625" s="21"/>
      <c r="B625" s="21"/>
      <c r="C625" s="21"/>
      <c r="D625" s="21"/>
      <c r="E625" s="21"/>
      <c r="F625" s="21"/>
      <c r="G625" s="21" t="str">
        <f>IF(C625="","",VLOOKUP(C625,categoria_proveedor[#ALL],2,0))</f>
        <v/>
      </c>
    </row>
    <row r="626">
      <c r="A626" s="21"/>
      <c r="B626" s="21"/>
      <c r="C626" s="21"/>
      <c r="D626" s="21"/>
      <c r="E626" s="21"/>
      <c r="F626" s="21"/>
      <c r="G626" s="21" t="str">
        <f>IF(C626="","",VLOOKUP(C626,categoria_proveedor[#ALL],2,0))</f>
        <v/>
      </c>
    </row>
    <row r="627">
      <c r="A627" s="21"/>
      <c r="B627" s="21"/>
      <c r="C627" s="21"/>
      <c r="D627" s="21"/>
      <c r="E627" s="21"/>
      <c r="F627" s="21"/>
      <c r="G627" s="21" t="str">
        <f>IF(C627="","",VLOOKUP(C627,categoria_proveedor[#ALL],2,0))</f>
        <v/>
      </c>
    </row>
    <row r="628">
      <c r="A628" s="21"/>
      <c r="B628" s="21"/>
      <c r="C628" s="21"/>
      <c r="D628" s="21"/>
      <c r="E628" s="21"/>
      <c r="F628" s="21"/>
      <c r="G628" s="21" t="str">
        <f>IF(C628="","",VLOOKUP(C628,categoria_proveedor[#ALL],2,0))</f>
        <v/>
      </c>
    </row>
    <row r="629">
      <c r="A629" s="21"/>
      <c r="B629" s="21"/>
      <c r="C629" s="21"/>
      <c r="D629" s="21"/>
      <c r="E629" s="21"/>
      <c r="F629" s="21"/>
      <c r="G629" s="21" t="str">
        <f>IF(C629="","",VLOOKUP(C629,categoria_proveedor[#ALL],2,0))</f>
        <v/>
      </c>
    </row>
    <row r="630">
      <c r="A630" s="21"/>
      <c r="B630" s="21"/>
      <c r="C630" s="21"/>
      <c r="D630" s="21"/>
      <c r="E630" s="21"/>
      <c r="F630" s="21"/>
      <c r="G630" s="21" t="str">
        <f>IF(C630="","",VLOOKUP(C630,categoria_proveedor[#ALL],2,0))</f>
        <v/>
      </c>
    </row>
    <row r="631">
      <c r="A631" s="21"/>
      <c r="B631" s="21"/>
      <c r="C631" s="21"/>
      <c r="D631" s="21"/>
      <c r="E631" s="21"/>
      <c r="F631" s="21"/>
      <c r="G631" s="21" t="str">
        <f>IF(C631="","",VLOOKUP(C631,categoria_proveedor[#ALL],2,0))</f>
        <v/>
      </c>
    </row>
    <row r="632">
      <c r="A632" s="21"/>
      <c r="B632" s="21"/>
      <c r="C632" s="21"/>
      <c r="D632" s="21"/>
      <c r="E632" s="21"/>
      <c r="F632" s="21"/>
      <c r="G632" s="21" t="str">
        <f>IF(C632="","",VLOOKUP(C632,categoria_proveedor[#ALL],2,0))</f>
        <v/>
      </c>
    </row>
    <row r="633">
      <c r="A633" s="21"/>
      <c r="B633" s="21"/>
      <c r="C633" s="21"/>
      <c r="D633" s="21"/>
      <c r="E633" s="21"/>
      <c r="F633" s="21"/>
      <c r="G633" s="21" t="str">
        <f>IF(C633="","",VLOOKUP(C633,categoria_proveedor[#ALL],2,0))</f>
        <v/>
      </c>
    </row>
    <row r="634">
      <c r="A634" s="21"/>
      <c r="B634" s="21"/>
      <c r="C634" s="21"/>
      <c r="D634" s="21"/>
      <c r="E634" s="21"/>
      <c r="F634" s="21"/>
      <c r="G634" s="21" t="str">
        <f>IF(C634="","",VLOOKUP(C634,categoria_proveedor[#ALL],2,0))</f>
        <v/>
      </c>
    </row>
    <row r="635">
      <c r="A635" s="21"/>
      <c r="B635" s="21"/>
      <c r="C635" s="21"/>
      <c r="D635" s="21"/>
      <c r="E635" s="21"/>
      <c r="F635" s="21"/>
      <c r="G635" s="21" t="str">
        <f>IF(C635="","",VLOOKUP(C635,categoria_proveedor[#ALL],2,0))</f>
        <v/>
      </c>
    </row>
    <row r="636">
      <c r="A636" s="21"/>
      <c r="B636" s="21"/>
      <c r="C636" s="21"/>
      <c r="D636" s="21"/>
      <c r="E636" s="21"/>
      <c r="F636" s="21"/>
      <c r="G636" s="21" t="str">
        <f>IF(C636="","",VLOOKUP(C636,categoria_proveedor[#ALL],2,0))</f>
        <v/>
      </c>
    </row>
    <row r="637">
      <c r="A637" s="21"/>
      <c r="B637" s="21"/>
      <c r="C637" s="21"/>
      <c r="D637" s="21"/>
      <c r="E637" s="21"/>
      <c r="F637" s="21"/>
      <c r="G637" s="21" t="str">
        <f>IF(C637="","",VLOOKUP(C637,categoria_proveedor[#ALL],2,0))</f>
        <v/>
      </c>
    </row>
    <row r="638">
      <c r="A638" s="21"/>
      <c r="B638" s="21"/>
      <c r="C638" s="21"/>
      <c r="D638" s="21"/>
      <c r="E638" s="21"/>
      <c r="F638" s="21"/>
      <c r="G638" s="21" t="str">
        <f>IF(C638="","",VLOOKUP(C638,categoria_proveedor[#ALL],2,0))</f>
        <v/>
      </c>
    </row>
    <row r="639">
      <c r="A639" s="21"/>
      <c r="B639" s="21"/>
      <c r="C639" s="21"/>
      <c r="D639" s="21"/>
      <c r="E639" s="21"/>
      <c r="F639" s="21"/>
      <c r="G639" s="21" t="str">
        <f>IF(C639="","",VLOOKUP(C639,categoria_proveedor[#ALL],2,0))</f>
        <v/>
      </c>
    </row>
    <row r="640">
      <c r="A640" s="21"/>
      <c r="B640" s="21"/>
      <c r="C640" s="21"/>
      <c r="D640" s="21"/>
      <c r="E640" s="21"/>
      <c r="F640" s="21"/>
      <c r="G640" s="21" t="str">
        <f>IF(C640="","",VLOOKUP(C640,categoria_proveedor[#ALL],2,0))</f>
        <v/>
      </c>
    </row>
    <row r="641">
      <c r="A641" s="21"/>
      <c r="B641" s="21"/>
      <c r="C641" s="21"/>
      <c r="D641" s="21"/>
      <c r="E641" s="21"/>
      <c r="F641" s="21"/>
      <c r="G641" s="21" t="str">
        <f>IF(C641="","",VLOOKUP(C641,categoria_proveedor[#ALL],2,0))</f>
        <v/>
      </c>
    </row>
    <row r="642">
      <c r="A642" s="21"/>
      <c r="B642" s="21"/>
      <c r="C642" s="21"/>
      <c r="D642" s="21"/>
      <c r="E642" s="21"/>
      <c r="F642" s="21"/>
      <c r="G642" s="21" t="str">
        <f>IF(C642="","",VLOOKUP(C642,categoria_proveedor[#ALL],2,0))</f>
        <v/>
      </c>
    </row>
    <row r="643">
      <c r="A643" s="21"/>
      <c r="B643" s="21"/>
      <c r="C643" s="21"/>
      <c r="D643" s="21"/>
      <c r="E643" s="21"/>
      <c r="F643" s="21"/>
      <c r="G643" s="21" t="str">
        <f>IF(C643="","",VLOOKUP(C643,categoria_proveedor[#ALL],2,0))</f>
        <v/>
      </c>
    </row>
    <row r="644">
      <c r="A644" s="21"/>
      <c r="B644" s="21"/>
      <c r="C644" s="21"/>
      <c r="D644" s="21"/>
      <c r="E644" s="21"/>
      <c r="F644" s="21"/>
      <c r="G644" s="21" t="str">
        <f>IF(C644="","",VLOOKUP(C644,categoria_proveedor[#ALL],2,0))</f>
        <v/>
      </c>
    </row>
    <row r="645">
      <c r="A645" s="21"/>
      <c r="B645" s="21"/>
      <c r="C645" s="21"/>
      <c r="D645" s="21"/>
      <c r="E645" s="21"/>
      <c r="F645" s="21"/>
      <c r="G645" s="21" t="str">
        <f>IF(C645="","",VLOOKUP(C645,categoria_proveedor[#ALL],2,0))</f>
        <v/>
      </c>
    </row>
    <row r="646">
      <c r="A646" s="21"/>
      <c r="B646" s="21"/>
      <c r="C646" s="21"/>
      <c r="D646" s="21"/>
      <c r="E646" s="21"/>
      <c r="F646" s="21"/>
      <c r="G646" s="21" t="str">
        <f>IF(C646="","",VLOOKUP(C646,categoria_proveedor[#ALL],2,0))</f>
        <v/>
      </c>
    </row>
    <row r="647">
      <c r="A647" s="21"/>
      <c r="B647" s="21"/>
      <c r="C647" s="21"/>
      <c r="D647" s="21"/>
      <c r="E647" s="21"/>
      <c r="F647" s="21"/>
      <c r="G647" s="21" t="str">
        <f>IF(C647="","",VLOOKUP(C647,categoria_proveedor[#ALL],2,0))</f>
        <v/>
      </c>
    </row>
    <row r="648">
      <c r="A648" s="21"/>
      <c r="B648" s="21"/>
      <c r="C648" s="21"/>
      <c r="D648" s="21"/>
      <c r="E648" s="21"/>
      <c r="F648" s="21"/>
      <c r="G648" s="21" t="str">
        <f>IF(C648="","",VLOOKUP(C648,categoria_proveedor[#ALL],2,0))</f>
        <v/>
      </c>
    </row>
    <row r="649">
      <c r="A649" s="21"/>
      <c r="B649" s="21"/>
      <c r="C649" s="21"/>
      <c r="D649" s="21"/>
      <c r="E649" s="21"/>
      <c r="F649" s="21"/>
      <c r="G649" s="21" t="str">
        <f>IF(C649="","",VLOOKUP(C649,categoria_proveedor[#ALL],2,0))</f>
        <v/>
      </c>
    </row>
    <row r="650">
      <c r="A650" s="21"/>
      <c r="B650" s="21"/>
      <c r="C650" s="21"/>
      <c r="D650" s="21"/>
      <c r="E650" s="21"/>
      <c r="F650" s="21"/>
      <c r="G650" s="21" t="str">
        <f>IF(C650="","",VLOOKUP(C650,categoria_proveedor[#ALL],2,0))</f>
        <v/>
      </c>
    </row>
    <row r="651">
      <c r="A651" s="21"/>
      <c r="B651" s="21"/>
      <c r="C651" s="21"/>
      <c r="D651" s="21"/>
      <c r="E651" s="21"/>
      <c r="F651" s="21"/>
      <c r="G651" s="21" t="str">
        <f>IF(C651="","",VLOOKUP(C651,categoria_proveedor[#ALL],2,0))</f>
        <v/>
      </c>
    </row>
    <row r="652">
      <c r="A652" s="21"/>
      <c r="B652" s="21"/>
      <c r="C652" s="21"/>
      <c r="D652" s="21"/>
      <c r="E652" s="21"/>
      <c r="F652" s="21"/>
      <c r="G652" s="21" t="str">
        <f>IF(C652="","",VLOOKUP(C652,categoria_proveedor[#ALL],2,0))</f>
        <v/>
      </c>
    </row>
    <row r="653">
      <c r="A653" s="21"/>
      <c r="B653" s="21"/>
      <c r="C653" s="21"/>
      <c r="D653" s="21"/>
      <c r="E653" s="21"/>
      <c r="F653" s="21"/>
      <c r="G653" s="21" t="str">
        <f>IF(C653="","",VLOOKUP(C653,categoria_proveedor[#ALL],2,0))</f>
        <v/>
      </c>
    </row>
    <row r="654">
      <c r="A654" s="21"/>
      <c r="B654" s="21"/>
      <c r="C654" s="21"/>
      <c r="D654" s="21"/>
      <c r="E654" s="21"/>
      <c r="F654" s="21"/>
      <c r="G654" s="21" t="str">
        <f>IF(C654="","",VLOOKUP(C654,categoria_proveedor[#ALL],2,0))</f>
        <v/>
      </c>
    </row>
    <row r="655">
      <c r="A655" s="21"/>
      <c r="B655" s="21"/>
      <c r="C655" s="21"/>
      <c r="D655" s="21"/>
      <c r="E655" s="21"/>
      <c r="F655" s="21"/>
      <c r="G655" s="21" t="str">
        <f>IF(C655="","",VLOOKUP(C655,categoria_proveedor[#ALL],2,0))</f>
        <v/>
      </c>
    </row>
    <row r="656">
      <c r="A656" s="21"/>
      <c r="B656" s="21"/>
      <c r="C656" s="21"/>
      <c r="D656" s="21"/>
      <c r="E656" s="21"/>
      <c r="F656" s="21"/>
      <c r="G656" s="21" t="str">
        <f>IF(C656="","",VLOOKUP(C656,categoria_proveedor[#ALL],2,0))</f>
        <v/>
      </c>
    </row>
    <row r="657">
      <c r="A657" s="21"/>
      <c r="B657" s="21"/>
      <c r="C657" s="21"/>
      <c r="D657" s="21"/>
      <c r="E657" s="21"/>
      <c r="F657" s="21"/>
      <c r="G657" s="21" t="str">
        <f>IF(C657="","",VLOOKUP(C657,categoria_proveedor[#ALL],2,0))</f>
        <v/>
      </c>
    </row>
    <row r="658">
      <c r="A658" s="21"/>
      <c r="B658" s="21"/>
      <c r="C658" s="21"/>
      <c r="D658" s="21"/>
      <c r="E658" s="21"/>
      <c r="F658" s="21"/>
      <c r="G658" s="21" t="str">
        <f>IF(C658="","",VLOOKUP(C658,categoria_proveedor[#ALL],2,0))</f>
        <v/>
      </c>
    </row>
    <row r="659">
      <c r="A659" s="21"/>
      <c r="B659" s="21"/>
      <c r="C659" s="21"/>
      <c r="D659" s="21"/>
      <c r="E659" s="21"/>
      <c r="F659" s="21"/>
      <c r="G659" s="21" t="str">
        <f>IF(C659="","",VLOOKUP(C659,categoria_proveedor[#ALL],2,0))</f>
        <v/>
      </c>
    </row>
    <row r="660">
      <c r="A660" s="21"/>
      <c r="B660" s="21"/>
      <c r="C660" s="21"/>
      <c r="D660" s="21"/>
      <c r="E660" s="21"/>
      <c r="F660" s="21"/>
      <c r="G660" s="21" t="str">
        <f>IF(C660="","",VLOOKUP(C660,categoria_proveedor[#ALL],2,0))</f>
        <v/>
      </c>
    </row>
    <row r="661">
      <c r="A661" s="21"/>
      <c r="B661" s="21"/>
      <c r="C661" s="21"/>
      <c r="D661" s="21"/>
      <c r="E661" s="21"/>
      <c r="F661" s="21"/>
      <c r="G661" s="21" t="str">
        <f>IF(C661="","",VLOOKUP(C661,categoria_proveedor[#ALL],2,0))</f>
        <v/>
      </c>
    </row>
    <row r="662">
      <c r="A662" s="21"/>
      <c r="B662" s="21"/>
      <c r="C662" s="21"/>
      <c r="D662" s="21"/>
      <c r="E662" s="21"/>
      <c r="F662" s="21"/>
      <c r="G662" s="21" t="str">
        <f>IF(C662="","",VLOOKUP(C662,categoria_proveedor[#ALL],2,0))</f>
        <v/>
      </c>
    </row>
    <row r="663">
      <c r="A663" s="21"/>
      <c r="B663" s="21"/>
      <c r="C663" s="21"/>
      <c r="D663" s="21"/>
      <c r="E663" s="21"/>
      <c r="F663" s="21"/>
      <c r="G663" s="21" t="str">
        <f>IF(C663="","",VLOOKUP(C663,categoria_proveedor[#ALL],2,0))</f>
        <v/>
      </c>
    </row>
    <row r="664">
      <c r="A664" s="21"/>
      <c r="B664" s="21"/>
      <c r="C664" s="21"/>
      <c r="D664" s="21"/>
      <c r="E664" s="21"/>
      <c r="F664" s="21"/>
      <c r="G664" s="21" t="str">
        <f>IF(C664="","",VLOOKUP(C664,categoria_proveedor[#ALL],2,0))</f>
        <v/>
      </c>
    </row>
    <row r="665">
      <c r="A665" s="21"/>
      <c r="B665" s="21"/>
      <c r="C665" s="21"/>
      <c r="D665" s="21"/>
      <c r="E665" s="21"/>
      <c r="F665" s="21"/>
      <c r="G665" s="21" t="str">
        <f>IF(C665="","",VLOOKUP(C665,categoria_proveedor[#ALL],2,0))</f>
        <v/>
      </c>
    </row>
    <row r="666">
      <c r="A666" s="21"/>
      <c r="B666" s="21"/>
      <c r="C666" s="21"/>
      <c r="D666" s="21"/>
      <c r="E666" s="21"/>
      <c r="F666" s="21"/>
      <c r="G666" s="21" t="str">
        <f>IF(C666="","",VLOOKUP(C666,categoria_proveedor[#ALL],2,0))</f>
        <v/>
      </c>
    </row>
    <row r="667">
      <c r="A667" s="21"/>
      <c r="B667" s="21"/>
      <c r="C667" s="21"/>
      <c r="D667" s="21"/>
      <c r="E667" s="21"/>
      <c r="F667" s="21"/>
      <c r="G667" s="21" t="str">
        <f>IF(C667="","",VLOOKUP(C667,categoria_proveedor[#ALL],2,0))</f>
        <v/>
      </c>
    </row>
    <row r="668">
      <c r="A668" s="21"/>
      <c r="B668" s="21"/>
      <c r="C668" s="21"/>
      <c r="D668" s="21"/>
      <c r="E668" s="21"/>
      <c r="F668" s="21"/>
      <c r="G668" s="21" t="str">
        <f>IF(C668="","",VLOOKUP(C668,categoria_proveedor[#ALL],2,0))</f>
        <v/>
      </c>
    </row>
    <row r="669">
      <c r="A669" s="21"/>
      <c r="B669" s="21"/>
      <c r="C669" s="21"/>
      <c r="D669" s="21"/>
      <c r="E669" s="21"/>
      <c r="F669" s="21"/>
      <c r="G669" s="21" t="str">
        <f>IF(C669="","",VLOOKUP(C669,categoria_proveedor[#ALL],2,0))</f>
        <v/>
      </c>
    </row>
    <row r="670">
      <c r="A670" s="21"/>
      <c r="B670" s="21"/>
      <c r="C670" s="21"/>
      <c r="D670" s="21"/>
      <c r="E670" s="21"/>
      <c r="F670" s="21"/>
      <c r="G670" s="21" t="str">
        <f>IF(C670="","",VLOOKUP(C670,categoria_proveedor[#ALL],2,0))</f>
        <v/>
      </c>
    </row>
    <row r="671">
      <c r="A671" s="21"/>
      <c r="B671" s="21"/>
      <c r="C671" s="21"/>
      <c r="D671" s="21"/>
      <c r="E671" s="21"/>
      <c r="F671" s="21"/>
      <c r="G671" s="21" t="str">
        <f>IF(C671="","",VLOOKUP(C671,categoria_proveedor[#ALL],2,0))</f>
        <v/>
      </c>
    </row>
    <row r="672">
      <c r="A672" s="21"/>
      <c r="B672" s="21"/>
      <c r="C672" s="21"/>
      <c r="D672" s="21"/>
      <c r="E672" s="21"/>
      <c r="F672" s="21"/>
      <c r="G672" s="21" t="str">
        <f>IF(C672="","",VLOOKUP(C672,categoria_proveedor[#ALL],2,0))</f>
        <v/>
      </c>
    </row>
    <row r="673">
      <c r="A673" s="21"/>
      <c r="B673" s="21"/>
      <c r="C673" s="21"/>
      <c r="D673" s="21"/>
      <c r="E673" s="21"/>
      <c r="F673" s="21"/>
      <c r="G673" s="21" t="str">
        <f>IF(C673="","",VLOOKUP(C673,categoria_proveedor[#ALL],2,0))</f>
        <v/>
      </c>
    </row>
    <row r="674">
      <c r="A674" s="21"/>
      <c r="B674" s="21"/>
      <c r="C674" s="21"/>
      <c r="D674" s="21"/>
      <c r="E674" s="21"/>
      <c r="F674" s="21"/>
      <c r="G674" s="21" t="str">
        <f>IF(C674="","",VLOOKUP(C674,categoria_proveedor[#ALL],2,0))</f>
        <v/>
      </c>
    </row>
    <row r="675">
      <c r="A675" s="21"/>
      <c r="B675" s="21"/>
      <c r="C675" s="21"/>
      <c r="D675" s="21"/>
      <c r="E675" s="21"/>
      <c r="F675" s="21"/>
      <c r="G675" s="21" t="str">
        <f>IF(C675="","",VLOOKUP(C675,categoria_proveedor[#ALL],2,0))</f>
        <v/>
      </c>
    </row>
    <row r="676">
      <c r="A676" s="21"/>
      <c r="B676" s="21"/>
      <c r="C676" s="21"/>
      <c r="D676" s="21"/>
      <c r="E676" s="21"/>
      <c r="F676" s="21"/>
      <c r="G676" s="21" t="str">
        <f>IF(C676="","",VLOOKUP(C676,categoria_proveedor[#ALL],2,0))</f>
        <v/>
      </c>
    </row>
    <row r="677">
      <c r="A677" s="21"/>
      <c r="B677" s="21"/>
      <c r="C677" s="21"/>
      <c r="D677" s="21"/>
      <c r="E677" s="21"/>
      <c r="F677" s="21"/>
      <c r="G677" s="21" t="str">
        <f>IF(C677="","",VLOOKUP(C677,categoria_proveedor[#ALL],2,0))</f>
        <v/>
      </c>
    </row>
    <row r="678">
      <c r="A678" s="21"/>
      <c r="B678" s="21"/>
      <c r="C678" s="21"/>
      <c r="D678" s="21"/>
      <c r="E678" s="21"/>
      <c r="F678" s="21"/>
      <c r="G678" s="21" t="str">
        <f>IF(C678="","",VLOOKUP(C678,categoria_proveedor[#ALL],2,0))</f>
        <v/>
      </c>
    </row>
    <row r="679">
      <c r="A679" s="21"/>
      <c r="B679" s="21"/>
      <c r="C679" s="21"/>
      <c r="D679" s="21"/>
      <c r="E679" s="21"/>
      <c r="F679" s="21"/>
      <c r="G679" s="21" t="str">
        <f>IF(C679="","",VLOOKUP(C679,categoria_proveedor[#ALL],2,0))</f>
        <v/>
      </c>
    </row>
    <row r="680">
      <c r="A680" s="21"/>
      <c r="B680" s="21"/>
      <c r="C680" s="21"/>
      <c r="D680" s="21"/>
      <c r="E680" s="21"/>
      <c r="F680" s="21"/>
      <c r="G680" s="21" t="str">
        <f>IF(C680="","",VLOOKUP(C680,categoria_proveedor[#ALL],2,0))</f>
        <v/>
      </c>
    </row>
    <row r="681">
      <c r="A681" s="21"/>
      <c r="B681" s="21"/>
      <c r="C681" s="21"/>
      <c r="D681" s="21"/>
      <c r="E681" s="21"/>
      <c r="F681" s="21"/>
      <c r="G681" s="21" t="str">
        <f>IF(C681="","",VLOOKUP(C681,categoria_proveedor[#ALL],2,0))</f>
        <v/>
      </c>
    </row>
    <row r="682">
      <c r="A682" s="21"/>
      <c r="B682" s="21"/>
      <c r="C682" s="21"/>
      <c r="D682" s="21"/>
      <c r="E682" s="21"/>
      <c r="F682" s="21"/>
      <c r="G682" s="21" t="str">
        <f>IF(C682="","",VLOOKUP(C682,categoria_proveedor[#ALL],2,0))</f>
        <v/>
      </c>
    </row>
    <row r="683">
      <c r="A683" s="21"/>
      <c r="B683" s="21"/>
      <c r="C683" s="21"/>
      <c r="D683" s="21"/>
      <c r="E683" s="21"/>
      <c r="F683" s="21"/>
      <c r="G683" s="21" t="str">
        <f>IF(C683="","",VLOOKUP(C683,categoria_proveedor[#ALL],2,0))</f>
        <v/>
      </c>
    </row>
    <row r="684">
      <c r="A684" s="21"/>
      <c r="B684" s="21"/>
      <c r="C684" s="21"/>
      <c r="D684" s="21"/>
      <c r="E684" s="21"/>
      <c r="F684" s="21"/>
      <c r="G684" s="21" t="str">
        <f>IF(C684="","",VLOOKUP(C684,categoria_proveedor[#ALL],2,0))</f>
        <v/>
      </c>
    </row>
    <row r="685">
      <c r="A685" s="21"/>
      <c r="B685" s="21"/>
      <c r="C685" s="21"/>
      <c r="D685" s="21"/>
      <c r="E685" s="21"/>
      <c r="F685" s="21"/>
      <c r="G685" s="21" t="str">
        <f>IF(C685="","",VLOOKUP(C685,categoria_proveedor[#ALL],2,0))</f>
        <v/>
      </c>
    </row>
    <row r="686">
      <c r="A686" s="21"/>
      <c r="B686" s="21"/>
      <c r="C686" s="21"/>
      <c r="D686" s="21"/>
      <c r="E686" s="21"/>
      <c r="F686" s="21"/>
      <c r="G686" s="21" t="str">
        <f>IF(C686="","",VLOOKUP(C686,categoria_proveedor[#ALL],2,0))</f>
        <v/>
      </c>
    </row>
    <row r="687">
      <c r="A687" s="21"/>
      <c r="B687" s="21"/>
      <c r="C687" s="21"/>
      <c r="D687" s="21"/>
      <c r="E687" s="21"/>
      <c r="F687" s="21"/>
      <c r="G687" s="21" t="str">
        <f>IF(C687="","",VLOOKUP(C687,categoria_proveedor[#ALL],2,0))</f>
        <v/>
      </c>
    </row>
    <row r="688">
      <c r="A688" s="21"/>
      <c r="B688" s="21"/>
      <c r="C688" s="21"/>
      <c r="D688" s="21"/>
      <c r="E688" s="21"/>
      <c r="F688" s="21"/>
      <c r="G688" s="21" t="str">
        <f>IF(C688="","",VLOOKUP(C688,categoria_proveedor[#ALL],2,0))</f>
        <v/>
      </c>
    </row>
    <row r="689">
      <c r="A689" s="21"/>
      <c r="B689" s="21"/>
      <c r="C689" s="21"/>
      <c r="D689" s="21"/>
      <c r="E689" s="21"/>
      <c r="F689" s="21"/>
      <c r="G689" s="21" t="str">
        <f>IF(C689="","",VLOOKUP(C689,categoria_proveedor[#ALL],2,0))</f>
        <v/>
      </c>
    </row>
    <row r="690">
      <c r="A690" s="21"/>
      <c r="B690" s="21"/>
      <c r="C690" s="21"/>
      <c r="D690" s="21"/>
      <c r="E690" s="21"/>
      <c r="F690" s="21"/>
      <c r="G690" s="21" t="str">
        <f>IF(C690="","",VLOOKUP(C690,categoria_proveedor[#ALL],2,0))</f>
        <v/>
      </c>
    </row>
    <row r="691">
      <c r="A691" s="21"/>
      <c r="B691" s="21"/>
      <c r="C691" s="21"/>
      <c r="D691" s="21"/>
      <c r="E691" s="21"/>
      <c r="F691" s="21"/>
      <c r="G691" s="21" t="str">
        <f>IF(C691="","",VLOOKUP(C691,categoria_proveedor[#ALL],2,0))</f>
        <v/>
      </c>
    </row>
    <row r="692">
      <c r="A692" s="21"/>
      <c r="B692" s="21"/>
      <c r="C692" s="21"/>
      <c r="D692" s="21"/>
      <c r="E692" s="21"/>
      <c r="F692" s="21"/>
      <c r="G692" s="21" t="str">
        <f>IF(C692="","",VLOOKUP(C692,categoria_proveedor[#ALL],2,0))</f>
        <v/>
      </c>
    </row>
    <row r="693">
      <c r="A693" s="21"/>
      <c r="B693" s="21"/>
      <c r="C693" s="21"/>
      <c r="D693" s="21"/>
      <c r="E693" s="21"/>
      <c r="F693" s="21"/>
      <c r="G693" s="21" t="str">
        <f>IF(C693="","",VLOOKUP(C693,categoria_proveedor[#ALL],2,0))</f>
        <v/>
      </c>
    </row>
    <row r="694">
      <c r="A694" s="21"/>
      <c r="B694" s="21"/>
      <c r="C694" s="21"/>
      <c r="D694" s="21"/>
      <c r="E694" s="21"/>
      <c r="F694" s="21"/>
      <c r="G694" s="21" t="str">
        <f>IF(C694="","",VLOOKUP(C694,categoria_proveedor[#ALL],2,0))</f>
        <v/>
      </c>
    </row>
    <row r="695">
      <c r="A695" s="21"/>
      <c r="B695" s="21"/>
      <c r="C695" s="21"/>
      <c r="D695" s="21"/>
      <c r="E695" s="21"/>
      <c r="F695" s="21"/>
      <c r="G695" s="21" t="str">
        <f>IF(C695="","",VLOOKUP(C695,categoria_proveedor[#ALL],2,0))</f>
        <v/>
      </c>
    </row>
    <row r="696">
      <c r="A696" s="21"/>
      <c r="B696" s="21"/>
      <c r="C696" s="21"/>
      <c r="D696" s="21"/>
      <c r="E696" s="21"/>
      <c r="F696" s="21"/>
      <c r="G696" s="21" t="str">
        <f>IF(C696="","",VLOOKUP(C696,categoria_proveedor[#ALL],2,0))</f>
        <v/>
      </c>
    </row>
    <row r="697">
      <c r="A697" s="21"/>
      <c r="B697" s="21"/>
      <c r="C697" s="21"/>
      <c r="D697" s="21"/>
      <c r="E697" s="21"/>
      <c r="F697" s="21"/>
      <c r="G697" s="21" t="str">
        <f>IF(C697="","",VLOOKUP(C697,categoria_proveedor[#ALL],2,0))</f>
        <v/>
      </c>
    </row>
    <row r="698">
      <c r="A698" s="21"/>
      <c r="B698" s="21"/>
      <c r="C698" s="21"/>
      <c r="D698" s="21"/>
      <c r="E698" s="21"/>
      <c r="F698" s="21"/>
      <c r="G698" s="21" t="str">
        <f>IF(C698="","",VLOOKUP(C698,categoria_proveedor[#ALL],2,0))</f>
        <v/>
      </c>
    </row>
    <row r="699">
      <c r="A699" s="21"/>
      <c r="B699" s="21"/>
      <c r="C699" s="21"/>
      <c r="D699" s="21"/>
      <c r="E699" s="21"/>
      <c r="F699" s="21"/>
      <c r="G699" s="21" t="str">
        <f>IF(C699="","",VLOOKUP(C699,categoria_proveedor[#ALL],2,0))</f>
        <v/>
      </c>
    </row>
    <row r="700">
      <c r="A700" s="21"/>
      <c r="B700" s="21"/>
      <c r="C700" s="21"/>
      <c r="D700" s="21"/>
      <c r="E700" s="21"/>
      <c r="F700" s="21"/>
      <c r="G700" s="21" t="str">
        <f>IF(C700="","",VLOOKUP(C700,categoria_proveedor[#ALL],2,0))</f>
        <v/>
      </c>
    </row>
    <row r="701">
      <c r="A701" s="21"/>
      <c r="B701" s="21"/>
      <c r="C701" s="21"/>
      <c r="D701" s="21"/>
      <c r="E701" s="21"/>
      <c r="F701" s="21"/>
      <c r="G701" s="21" t="str">
        <f>IF(C701="","",VLOOKUP(C701,categoria_proveedor[#ALL],2,0))</f>
        <v/>
      </c>
    </row>
    <row r="702">
      <c r="A702" s="21"/>
      <c r="B702" s="21"/>
      <c r="C702" s="21"/>
      <c r="D702" s="21"/>
      <c r="E702" s="21"/>
      <c r="F702" s="21"/>
      <c r="G702" s="21" t="str">
        <f>IF(C702="","",VLOOKUP(C702,categoria_proveedor[#ALL],2,0))</f>
        <v/>
      </c>
    </row>
    <row r="703">
      <c r="A703" s="21"/>
      <c r="B703" s="21"/>
      <c r="C703" s="21"/>
      <c r="D703" s="21"/>
      <c r="E703" s="21"/>
      <c r="F703" s="21"/>
      <c r="G703" s="21" t="str">
        <f>IF(C703="","",VLOOKUP(C703,categoria_proveedor[#ALL],2,0))</f>
        <v/>
      </c>
    </row>
    <row r="704">
      <c r="A704" s="21"/>
      <c r="B704" s="21"/>
      <c r="C704" s="21"/>
      <c r="D704" s="21"/>
      <c r="E704" s="21"/>
      <c r="F704" s="21"/>
      <c r="G704" s="21" t="str">
        <f>IF(C704="","",VLOOKUP(C704,categoria_proveedor[#ALL],2,0))</f>
        <v/>
      </c>
    </row>
    <row r="705">
      <c r="A705" s="21"/>
      <c r="B705" s="21"/>
      <c r="C705" s="21"/>
      <c r="D705" s="21"/>
      <c r="E705" s="21"/>
      <c r="F705" s="21"/>
      <c r="G705" s="21" t="str">
        <f>IF(C705="","",VLOOKUP(C705,categoria_proveedor[#ALL],2,0))</f>
        <v/>
      </c>
    </row>
    <row r="706">
      <c r="A706" s="21"/>
      <c r="B706" s="21"/>
      <c r="C706" s="21"/>
      <c r="D706" s="21"/>
      <c r="E706" s="21"/>
      <c r="F706" s="21"/>
      <c r="G706" s="21" t="str">
        <f>IF(C706="","",VLOOKUP(C706,categoria_proveedor[#ALL],2,0))</f>
        <v/>
      </c>
    </row>
    <row r="707">
      <c r="A707" s="21"/>
      <c r="B707" s="21"/>
      <c r="C707" s="21"/>
      <c r="D707" s="21"/>
      <c r="E707" s="21"/>
      <c r="F707" s="21"/>
      <c r="G707" s="21" t="str">
        <f>IF(C707="","",VLOOKUP(C707,categoria_proveedor[#ALL],2,0))</f>
        <v/>
      </c>
    </row>
    <row r="708">
      <c r="A708" s="21"/>
      <c r="B708" s="21"/>
      <c r="C708" s="21"/>
      <c r="D708" s="21"/>
      <c r="E708" s="21"/>
      <c r="F708" s="21"/>
      <c r="G708" s="21" t="str">
        <f>IF(C708="","",VLOOKUP(C708,categoria_proveedor[#ALL],2,0))</f>
        <v/>
      </c>
    </row>
    <row r="709">
      <c r="A709" s="21"/>
      <c r="B709" s="21"/>
      <c r="C709" s="21"/>
      <c r="D709" s="21"/>
      <c r="E709" s="21"/>
      <c r="F709" s="21"/>
      <c r="G709" s="21" t="str">
        <f>IF(C709="","",VLOOKUP(C709,categoria_proveedor[#ALL],2,0))</f>
        <v/>
      </c>
    </row>
    <row r="710">
      <c r="A710" s="21"/>
      <c r="B710" s="21"/>
      <c r="C710" s="21"/>
      <c r="D710" s="21"/>
      <c r="E710" s="21"/>
      <c r="F710" s="21"/>
      <c r="G710" s="21" t="str">
        <f>IF(C710="","",VLOOKUP(C710,categoria_proveedor[#ALL],2,0))</f>
        <v/>
      </c>
    </row>
    <row r="711">
      <c r="A711" s="21"/>
      <c r="B711" s="21"/>
      <c r="C711" s="21"/>
      <c r="D711" s="21"/>
      <c r="E711" s="21"/>
      <c r="F711" s="21"/>
      <c r="G711" s="21" t="str">
        <f>IF(C711="","",VLOOKUP(C711,categoria_proveedor[#ALL],2,0))</f>
        <v/>
      </c>
    </row>
    <row r="712">
      <c r="A712" s="21"/>
      <c r="B712" s="21"/>
      <c r="C712" s="21"/>
      <c r="D712" s="21"/>
      <c r="E712" s="21"/>
      <c r="F712" s="21"/>
      <c r="G712" s="21" t="str">
        <f>IF(C712="","",VLOOKUP(C712,categoria_proveedor[#ALL],2,0))</f>
        <v/>
      </c>
    </row>
    <row r="713">
      <c r="A713" s="21"/>
      <c r="B713" s="21"/>
      <c r="C713" s="21"/>
      <c r="D713" s="21"/>
      <c r="E713" s="21"/>
      <c r="F713" s="21"/>
      <c r="G713" s="21" t="str">
        <f>IF(C713="","",VLOOKUP(C713,categoria_proveedor[#ALL],2,0))</f>
        <v/>
      </c>
    </row>
    <row r="714">
      <c r="A714" s="21"/>
      <c r="B714" s="21"/>
      <c r="C714" s="21"/>
      <c r="D714" s="21"/>
      <c r="E714" s="21"/>
      <c r="F714" s="21"/>
      <c r="G714" s="21" t="str">
        <f>IF(C714="","",VLOOKUP(C714,categoria_proveedor[#ALL],2,0))</f>
        <v/>
      </c>
    </row>
    <row r="715">
      <c r="A715" s="21"/>
      <c r="B715" s="21"/>
      <c r="C715" s="21"/>
      <c r="D715" s="21"/>
      <c r="E715" s="21"/>
      <c r="F715" s="21"/>
      <c r="G715" s="21" t="str">
        <f>IF(C715="","",VLOOKUP(C715,categoria_proveedor[#ALL],2,0))</f>
        <v/>
      </c>
    </row>
    <row r="716">
      <c r="A716" s="21"/>
      <c r="B716" s="21"/>
      <c r="C716" s="21"/>
      <c r="D716" s="21"/>
      <c r="E716" s="21"/>
      <c r="F716" s="21"/>
      <c r="G716" s="21" t="str">
        <f>IF(C716="","",VLOOKUP(C716,categoria_proveedor[#ALL],2,0))</f>
        <v/>
      </c>
    </row>
    <row r="717">
      <c r="A717" s="21"/>
      <c r="B717" s="21"/>
      <c r="C717" s="21"/>
      <c r="D717" s="21"/>
      <c r="E717" s="21"/>
      <c r="F717" s="21"/>
      <c r="G717" s="21" t="str">
        <f>IF(C717="","",VLOOKUP(C717,categoria_proveedor[#ALL],2,0))</f>
        <v/>
      </c>
    </row>
    <row r="718">
      <c r="A718" s="21"/>
      <c r="B718" s="21"/>
      <c r="C718" s="21"/>
      <c r="D718" s="21"/>
      <c r="E718" s="21"/>
      <c r="F718" s="21"/>
      <c r="G718" s="21" t="str">
        <f>IF(C718="","",VLOOKUP(C718,categoria_proveedor[#ALL],2,0))</f>
        <v/>
      </c>
    </row>
    <row r="719">
      <c r="A719" s="21"/>
      <c r="B719" s="21"/>
      <c r="C719" s="21"/>
      <c r="D719" s="21"/>
      <c r="E719" s="21"/>
      <c r="F719" s="21"/>
      <c r="G719" s="21" t="str">
        <f>IF(C719="","",VLOOKUP(C719,categoria_proveedor[#ALL],2,0))</f>
        <v/>
      </c>
    </row>
    <row r="720">
      <c r="A720" s="21"/>
      <c r="B720" s="21"/>
      <c r="C720" s="21"/>
      <c r="D720" s="21"/>
      <c r="E720" s="21"/>
      <c r="F720" s="21"/>
      <c r="G720" s="21" t="str">
        <f>IF(C720="","",VLOOKUP(C720,categoria_proveedor[#ALL],2,0))</f>
        <v/>
      </c>
    </row>
    <row r="721">
      <c r="A721" s="21"/>
      <c r="B721" s="21"/>
      <c r="C721" s="21"/>
      <c r="D721" s="21"/>
      <c r="E721" s="21"/>
      <c r="F721" s="21"/>
      <c r="G721" s="21" t="str">
        <f>IF(C721="","",VLOOKUP(C721,categoria_proveedor[#ALL],2,0))</f>
        <v/>
      </c>
    </row>
    <row r="722">
      <c r="A722" s="21"/>
      <c r="B722" s="21"/>
      <c r="C722" s="21"/>
      <c r="D722" s="21"/>
      <c r="E722" s="21"/>
      <c r="F722" s="21"/>
      <c r="G722" s="21" t="str">
        <f>IF(C722="","",VLOOKUP(C722,categoria_proveedor[#ALL],2,0))</f>
        <v/>
      </c>
    </row>
    <row r="723">
      <c r="A723" s="21"/>
      <c r="B723" s="21"/>
      <c r="C723" s="21"/>
      <c r="D723" s="21"/>
      <c r="E723" s="21"/>
      <c r="F723" s="21"/>
      <c r="G723" s="21" t="str">
        <f>IF(C723="","",VLOOKUP(C723,categoria_proveedor[#ALL],2,0))</f>
        <v/>
      </c>
    </row>
    <row r="724">
      <c r="A724" s="21"/>
      <c r="B724" s="21"/>
      <c r="C724" s="21"/>
      <c r="D724" s="21"/>
      <c r="E724" s="21"/>
      <c r="F724" s="21"/>
      <c r="G724" s="21" t="str">
        <f>IF(C724="","",VLOOKUP(C724,categoria_proveedor[#ALL],2,0))</f>
        <v/>
      </c>
    </row>
    <row r="725">
      <c r="A725" s="21"/>
      <c r="B725" s="21"/>
      <c r="C725" s="21"/>
      <c r="D725" s="21"/>
      <c r="E725" s="21"/>
      <c r="F725" s="21"/>
      <c r="G725" s="21" t="str">
        <f>IF(C725="","",VLOOKUP(C725,categoria_proveedor[#ALL],2,0))</f>
        <v/>
      </c>
    </row>
    <row r="726">
      <c r="A726" s="21"/>
      <c r="B726" s="21"/>
      <c r="C726" s="21"/>
      <c r="D726" s="21"/>
      <c r="E726" s="21"/>
      <c r="F726" s="21"/>
      <c r="G726" s="21" t="str">
        <f>IF(C726="","",VLOOKUP(C726,categoria_proveedor[#ALL],2,0))</f>
        <v/>
      </c>
    </row>
    <row r="727">
      <c r="A727" s="21"/>
      <c r="B727" s="21"/>
      <c r="C727" s="21"/>
      <c r="D727" s="21"/>
      <c r="E727" s="21"/>
      <c r="F727" s="21"/>
      <c r="G727" s="21" t="str">
        <f>IF(C727="","",VLOOKUP(C727,categoria_proveedor[#ALL],2,0))</f>
        <v/>
      </c>
    </row>
    <row r="728">
      <c r="A728" s="21"/>
      <c r="B728" s="21"/>
      <c r="C728" s="21"/>
      <c r="D728" s="21"/>
      <c r="E728" s="21"/>
      <c r="F728" s="21"/>
      <c r="G728" s="21" t="str">
        <f>IF(C728="","",VLOOKUP(C728,categoria_proveedor[#ALL],2,0))</f>
        <v/>
      </c>
    </row>
    <row r="729">
      <c r="A729" s="21"/>
      <c r="B729" s="21"/>
      <c r="C729" s="21"/>
      <c r="D729" s="21"/>
      <c r="E729" s="21"/>
      <c r="F729" s="21"/>
      <c r="G729" s="21" t="str">
        <f>IF(C729="","",VLOOKUP(C729,categoria_proveedor[#ALL],2,0))</f>
        <v/>
      </c>
    </row>
    <row r="730">
      <c r="A730" s="21"/>
      <c r="B730" s="21"/>
      <c r="C730" s="21"/>
      <c r="D730" s="21"/>
      <c r="E730" s="21"/>
      <c r="F730" s="21"/>
      <c r="G730" s="21" t="str">
        <f>IF(C730="","",VLOOKUP(C730,categoria_proveedor[#ALL],2,0))</f>
        <v/>
      </c>
    </row>
    <row r="731">
      <c r="A731" s="21"/>
      <c r="B731" s="21"/>
      <c r="C731" s="21"/>
      <c r="D731" s="21"/>
      <c r="E731" s="21"/>
      <c r="F731" s="21"/>
      <c r="G731" s="21" t="str">
        <f>IF(C731="","",VLOOKUP(C731,categoria_proveedor[#ALL],2,0))</f>
        <v/>
      </c>
    </row>
    <row r="732">
      <c r="A732" s="21"/>
      <c r="B732" s="21"/>
      <c r="C732" s="21"/>
      <c r="D732" s="21"/>
      <c r="E732" s="21"/>
      <c r="F732" s="21"/>
      <c r="G732" s="21" t="str">
        <f>IF(C732="","",VLOOKUP(C732,categoria_proveedor[#ALL],2,0))</f>
        <v/>
      </c>
    </row>
    <row r="733">
      <c r="A733" s="21"/>
      <c r="B733" s="21"/>
      <c r="C733" s="21"/>
      <c r="D733" s="21"/>
      <c r="E733" s="21"/>
      <c r="F733" s="21"/>
      <c r="G733" s="21" t="str">
        <f>IF(C733="","",VLOOKUP(C733,categoria_proveedor[#ALL],2,0))</f>
        <v/>
      </c>
    </row>
    <row r="734">
      <c r="A734" s="21"/>
      <c r="B734" s="21"/>
      <c r="C734" s="21"/>
      <c r="D734" s="21"/>
      <c r="E734" s="21"/>
      <c r="F734" s="21"/>
      <c r="G734" s="21" t="str">
        <f>IF(C734="","",VLOOKUP(C734,categoria_proveedor[#ALL],2,0))</f>
        <v/>
      </c>
    </row>
    <row r="735">
      <c r="A735" s="21"/>
      <c r="B735" s="21"/>
      <c r="C735" s="21"/>
      <c r="D735" s="21"/>
      <c r="E735" s="21"/>
      <c r="F735" s="21"/>
      <c r="G735" s="21" t="str">
        <f>IF(C735="","",VLOOKUP(C735,categoria_proveedor[#ALL],2,0))</f>
        <v/>
      </c>
    </row>
    <row r="736">
      <c r="A736" s="21"/>
      <c r="B736" s="21"/>
      <c r="C736" s="21"/>
      <c r="D736" s="21"/>
      <c r="E736" s="21"/>
      <c r="F736" s="21"/>
      <c r="G736" s="21" t="str">
        <f>IF(C736="","",VLOOKUP(C736,categoria_proveedor[#ALL],2,0))</f>
        <v/>
      </c>
    </row>
    <row r="737">
      <c r="A737" s="21"/>
      <c r="B737" s="21"/>
      <c r="C737" s="21"/>
      <c r="D737" s="21"/>
      <c r="E737" s="21"/>
      <c r="F737" s="21"/>
      <c r="G737" s="21" t="str">
        <f>IF(C737="","",VLOOKUP(C737,categoria_proveedor[#ALL],2,0))</f>
        <v/>
      </c>
    </row>
    <row r="738">
      <c r="A738" s="21"/>
      <c r="B738" s="21"/>
      <c r="C738" s="21"/>
      <c r="D738" s="21"/>
      <c r="E738" s="21"/>
      <c r="F738" s="21"/>
      <c r="G738" s="21" t="str">
        <f>IF(C738="","",VLOOKUP(C738,categoria_proveedor[#ALL],2,0))</f>
        <v/>
      </c>
    </row>
    <row r="739">
      <c r="A739" s="21"/>
      <c r="B739" s="21"/>
      <c r="C739" s="21"/>
      <c r="D739" s="21"/>
      <c r="E739" s="21"/>
      <c r="F739" s="21"/>
      <c r="G739" s="21" t="str">
        <f>IF(C739="","",VLOOKUP(C739,categoria_proveedor[#ALL],2,0))</f>
        <v/>
      </c>
    </row>
    <row r="740">
      <c r="A740" s="21"/>
      <c r="B740" s="21"/>
      <c r="C740" s="21"/>
      <c r="D740" s="21"/>
      <c r="E740" s="21"/>
      <c r="F740" s="21"/>
      <c r="G740" s="21" t="str">
        <f>IF(C740="","",VLOOKUP(C740,categoria_proveedor[#ALL],2,0))</f>
        <v/>
      </c>
    </row>
    <row r="741">
      <c r="A741" s="21"/>
      <c r="B741" s="21"/>
      <c r="C741" s="21"/>
      <c r="D741" s="21"/>
      <c r="E741" s="21"/>
      <c r="F741" s="21"/>
      <c r="G741" s="21" t="str">
        <f>IF(C741="","",VLOOKUP(C741,categoria_proveedor[#ALL],2,0))</f>
        <v/>
      </c>
    </row>
    <row r="742">
      <c r="A742" s="21"/>
      <c r="B742" s="21"/>
      <c r="C742" s="21"/>
      <c r="D742" s="21"/>
      <c r="E742" s="21"/>
      <c r="F742" s="21"/>
      <c r="G742" s="21" t="str">
        <f>IF(C742="","",VLOOKUP(C742,categoria_proveedor[#ALL],2,0))</f>
        <v/>
      </c>
    </row>
    <row r="743">
      <c r="A743" s="21"/>
      <c r="B743" s="21"/>
      <c r="C743" s="21"/>
      <c r="D743" s="21"/>
      <c r="E743" s="21"/>
      <c r="F743" s="21"/>
      <c r="G743" s="21" t="str">
        <f>IF(C743="","",VLOOKUP(C743,categoria_proveedor[#ALL],2,0))</f>
        <v/>
      </c>
    </row>
    <row r="744">
      <c r="A744" s="21"/>
      <c r="B744" s="21"/>
      <c r="C744" s="21"/>
      <c r="D744" s="21"/>
      <c r="E744" s="21"/>
      <c r="F744" s="21"/>
      <c r="G744" s="21" t="str">
        <f>IF(C744="","",VLOOKUP(C744,categoria_proveedor[#ALL],2,0))</f>
        <v/>
      </c>
    </row>
    <row r="745">
      <c r="A745" s="21"/>
      <c r="B745" s="21"/>
      <c r="C745" s="21"/>
      <c r="D745" s="21"/>
      <c r="E745" s="21"/>
      <c r="F745" s="21"/>
      <c r="G745" s="21" t="str">
        <f>IF(C745="","",VLOOKUP(C745,categoria_proveedor[#ALL],2,0))</f>
        <v/>
      </c>
    </row>
    <row r="746">
      <c r="A746" s="21"/>
      <c r="B746" s="21"/>
      <c r="C746" s="21"/>
      <c r="D746" s="21"/>
      <c r="E746" s="21"/>
      <c r="F746" s="21"/>
      <c r="G746" s="21" t="str">
        <f>IF(C746="","",VLOOKUP(C746,categoria_proveedor[#ALL],2,0))</f>
        <v/>
      </c>
    </row>
    <row r="747">
      <c r="A747" s="21"/>
      <c r="B747" s="21"/>
      <c r="C747" s="21"/>
      <c r="D747" s="21"/>
      <c r="E747" s="21"/>
      <c r="F747" s="21"/>
      <c r="G747" s="21" t="str">
        <f>IF(C747="","",VLOOKUP(C747,categoria_proveedor[#ALL],2,0))</f>
        <v/>
      </c>
    </row>
    <row r="748">
      <c r="A748" s="21"/>
      <c r="B748" s="21"/>
      <c r="C748" s="21"/>
      <c r="D748" s="21"/>
      <c r="E748" s="21"/>
      <c r="F748" s="21"/>
      <c r="G748" s="21" t="str">
        <f>IF(C748="","",VLOOKUP(C748,categoria_proveedor[#ALL],2,0))</f>
        <v/>
      </c>
    </row>
    <row r="749">
      <c r="A749" s="21"/>
      <c r="B749" s="21"/>
      <c r="C749" s="21"/>
      <c r="D749" s="21"/>
      <c r="E749" s="21"/>
      <c r="F749" s="21"/>
      <c r="G749" s="21" t="str">
        <f>IF(C749="","",VLOOKUP(C749,categoria_proveedor[#ALL],2,0))</f>
        <v/>
      </c>
    </row>
    <row r="750">
      <c r="A750" s="21"/>
      <c r="B750" s="21"/>
      <c r="C750" s="21"/>
      <c r="D750" s="21"/>
      <c r="E750" s="21"/>
      <c r="F750" s="21"/>
      <c r="G750" s="21" t="str">
        <f>IF(C750="","",VLOOKUP(C750,categoria_proveedor[#ALL],2,0))</f>
        <v/>
      </c>
    </row>
    <row r="751">
      <c r="A751" s="21"/>
      <c r="B751" s="21"/>
      <c r="C751" s="21"/>
      <c r="D751" s="21"/>
      <c r="E751" s="21"/>
      <c r="F751" s="21"/>
      <c r="G751" s="21" t="str">
        <f>IF(C751="","",VLOOKUP(C751,categoria_proveedor[#ALL],2,0))</f>
        <v/>
      </c>
    </row>
    <row r="752">
      <c r="A752" s="21"/>
      <c r="B752" s="21"/>
      <c r="C752" s="21"/>
      <c r="D752" s="21"/>
      <c r="E752" s="21"/>
      <c r="F752" s="21"/>
      <c r="G752" s="21" t="str">
        <f>IF(C752="","",VLOOKUP(C752,categoria_proveedor[#ALL],2,0))</f>
        <v/>
      </c>
    </row>
    <row r="753">
      <c r="A753" s="21"/>
      <c r="B753" s="21"/>
      <c r="C753" s="21"/>
      <c r="D753" s="21"/>
      <c r="E753" s="21"/>
      <c r="F753" s="21"/>
      <c r="G753" s="21" t="str">
        <f>IF(C753="","",VLOOKUP(C753,categoria_proveedor[#ALL],2,0))</f>
        <v/>
      </c>
    </row>
    <row r="754">
      <c r="A754" s="21"/>
      <c r="B754" s="21"/>
      <c r="C754" s="21"/>
      <c r="D754" s="21"/>
      <c r="E754" s="21"/>
      <c r="F754" s="21"/>
      <c r="G754" s="21" t="str">
        <f>IF(C754="","",VLOOKUP(C754,categoria_proveedor[#ALL],2,0))</f>
        <v/>
      </c>
    </row>
    <row r="755">
      <c r="A755" s="21"/>
      <c r="B755" s="21"/>
      <c r="C755" s="21"/>
      <c r="D755" s="21"/>
      <c r="E755" s="21"/>
      <c r="F755" s="21"/>
      <c r="G755" s="21" t="str">
        <f>IF(C755="","",VLOOKUP(C755,categoria_proveedor[#ALL],2,0))</f>
        <v/>
      </c>
    </row>
    <row r="756">
      <c r="A756" s="21"/>
      <c r="B756" s="21"/>
      <c r="C756" s="21"/>
      <c r="D756" s="21"/>
      <c r="E756" s="21"/>
      <c r="F756" s="21"/>
      <c r="G756" s="21" t="str">
        <f>IF(C756="","",VLOOKUP(C756,categoria_proveedor[#ALL],2,0))</f>
        <v/>
      </c>
    </row>
    <row r="757">
      <c r="A757" s="21"/>
      <c r="B757" s="21"/>
      <c r="C757" s="21"/>
      <c r="D757" s="21"/>
      <c r="E757" s="21"/>
      <c r="F757" s="21"/>
      <c r="G757" s="21" t="str">
        <f>IF(C757="","",VLOOKUP(C757,categoria_proveedor[#ALL],2,0))</f>
        <v/>
      </c>
    </row>
    <row r="758">
      <c r="A758" s="21"/>
      <c r="B758" s="21"/>
      <c r="C758" s="21"/>
      <c r="D758" s="21"/>
      <c r="E758" s="21"/>
      <c r="F758" s="21"/>
      <c r="G758" s="21" t="str">
        <f>IF(C758="","",VLOOKUP(C758,categoria_proveedor[#ALL],2,0))</f>
        <v/>
      </c>
    </row>
    <row r="759">
      <c r="A759" s="21"/>
      <c r="B759" s="21"/>
      <c r="C759" s="21"/>
      <c r="D759" s="21"/>
      <c r="E759" s="21"/>
      <c r="F759" s="21"/>
      <c r="G759" s="21" t="str">
        <f>IF(C759="","",VLOOKUP(C759,categoria_proveedor[#ALL],2,0))</f>
        <v/>
      </c>
    </row>
    <row r="760">
      <c r="A760" s="21"/>
      <c r="B760" s="21"/>
      <c r="C760" s="21"/>
      <c r="D760" s="21"/>
      <c r="E760" s="21"/>
      <c r="F760" s="21"/>
      <c r="G760" s="21" t="str">
        <f>IF(C760="","",VLOOKUP(C760,categoria_proveedor[#ALL],2,0))</f>
        <v/>
      </c>
    </row>
    <row r="761">
      <c r="A761" s="21"/>
      <c r="B761" s="21"/>
      <c r="C761" s="21"/>
      <c r="D761" s="21"/>
      <c r="E761" s="21"/>
      <c r="F761" s="21"/>
      <c r="G761" s="21" t="str">
        <f>IF(C761="","",VLOOKUP(C761,categoria_proveedor[#ALL],2,0))</f>
        <v/>
      </c>
    </row>
    <row r="762">
      <c r="A762" s="21"/>
      <c r="B762" s="21"/>
      <c r="C762" s="21"/>
      <c r="D762" s="21"/>
      <c r="E762" s="21"/>
      <c r="F762" s="21"/>
      <c r="G762" s="21" t="str">
        <f>IF(C762="","",VLOOKUP(C762,categoria_proveedor[#ALL],2,0))</f>
        <v/>
      </c>
    </row>
    <row r="763">
      <c r="A763" s="21"/>
      <c r="B763" s="21"/>
      <c r="C763" s="21"/>
      <c r="D763" s="21"/>
      <c r="E763" s="21"/>
      <c r="F763" s="21"/>
      <c r="G763" s="21" t="str">
        <f>IF(C763="","",VLOOKUP(C763,categoria_proveedor[#ALL],2,0))</f>
        <v/>
      </c>
    </row>
    <row r="764">
      <c r="A764" s="21"/>
      <c r="B764" s="21"/>
      <c r="C764" s="21"/>
      <c r="D764" s="21"/>
      <c r="E764" s="21"/>
      <c r="F764" s="21"/>
      <c r="G764" s="21" t="str">
        <f>IF(C764="","",VLOOKUP(C764,categoria_proveedor[#ALL],2,0))</f>
        <v/>
      </c>
    </row>
    <row r="765">
      <c r="A765" s="21"/>
      <c r="B765" s="21"/>
      <c r="C765" s="21"/>
      <c r="D765" s="21"/>
      <c r="E765" s="21"/>
      <c r="F765" s="21"/>
      <c r="G765" s="21" t="str">
        <f>IF(C765="","",VLOOKUP(C765,categoria_proveedor[#ALL],2,0))</f>
        <v/>
      </c>
    </row>
    <row r="766">
      <c r="A766" s="21"/>
      <c r="B766" s="21"/>
      <c r="C766" s="21"/>
      <c r="D766" s="21"/>
      <c r="E766" s="21"/>
      <c r="F766" s="21"/>
      <c r="G766" s="21" t="str">
        <f>IF(C766="","",VLOOKUP(C766,categoria_proveedor[#ALL],2,0))</f>
        <v/>
      </c>
    </row>
    <row r="767">
      <c r="A767" s="21"/>
      <c r="B767" s="21"/>
      <c r="C767" s="21"/>
      <c r="D767" s="21"/>
      <c r="E767" s="21"/>
      <c r="F767" s="21"/>
      <c r="G767" s="21" t="str">
        <f>IF(C767="","",VLOOKUP(C767,categoria_proveedor[#ALL],2,0))</f>
        <v/>
      </c>
    </row>
    <row r="768">
      <c r="A768" s="21"/>
      <c r="B768" s="21"/>
      <c r="C768" s="21"/>
      <c r="D768" s="21"/>
      <c r="E768" s="21"/>
      <c r="F768" s="21"/>
      <c r="G768" s="21" t="str">
        <f>IF(C768="","",VLOOKUP(C768,categoria_proveedor[#ALL],2,0))</f>
        <v/>
      </c>
    </row>
    <row r="769">
      <c r="A769" s="21"/>
      <c r="B769" s="21"/>
      <c r="C769" s="21"/>
      <c r="D769" s="21"/>
      <c r="E769" s="21"/>
      <c r="F769" s="21"/>
      <c r="G769" s="21" t="str">
        <f>IF(C769="","",VLOOKUP(C769,categoria_proveedor[#ALL],2,0))</f>
        <v/>
      </c>
    </row>
    <row r="770">
      <c r="A770" s="21"/>
      <c r="B770" s="21"/>
      <c r="C770" s="21"/>
      <c r="D770" s="21"/>
      <c r="E770" s="21"/>
      <c r="F770" s="21"/>
      <c r="G770" s="21" t="str">
        <f>IF(C770="","",VLOOKUP(C770,categoria_proveedor[#ALL],2,0))</f>
        <v/>
      </c>
    </row>
    <row r="771">
      <c r="A771" s="21"/>
      <c r="B771" s="21"/>
      <c r="C771" s="21"/>
      <c r="D771" s="21"/>
      <c r="E771" s="21"/>
      <c r="F771" s="21"/>
      <c r="G771" s="21" t="str">
        <f>IF(C771="","",VLOOKUP(C771,categoria_proveedor[#ALL],2,0))</f>
        <v/>
      </c>
    </row>
    <row r="772">
      <c r="A772" s="21"/>
      <c r="B772" s="21"/>
      <c r="C772" s="21"/>
      <c r="D772" s="21"/>
      <c r="E772" s="21"/>
      <c r="F772" s="21"/>
      <c r="G772" s="21" t="str">
        <f>IF(C772="","",VLOOKUP(C772,categoria_proveedor[#ALL],2,0))</f>
        <v/>
      </c>
    </row>
    <row r="773">
      <c r="A773" s="21"/>
      <c r="B773" s="21"/>
      <c r="C773" s="21"/>
      <c r="D773" s="21"/>
      <c r="E773" s="21"/>
      <c r="F773" s="21"/>
      <c r="G773" s="21" t="str">
        <f>IF(C773="","",VLOOKUP(C773,categoria_proveedor[#ALL],2,0))</f>
        <v/>
      </c>
    </row>
    <row r="774">
      <c r="A774" s="21"/>
      <c r="B774" s="21"/>
      <c r="C774" s="21"/>
      <c r="D774" s="21"/>
      <c r="E774" s="21"/>
      <c r="F774" s="21"/>
      <c r="G774" s="21" t="str">
        <f>IF(C774="","",VLOOKUP(C774,categoria_proveedor[#ALL],2,0))</f>
        <v/>
      </c>
    </row>
    <row r="775">
      <c r="A775" s="21"/>
      <c r="B775" s="21"/>
      <c r="C775" s="21"/>
      <c r="D775" s="21"/>
      <c r="E775" s="21"/>
      <c r="F775" s="21"/>
      <c r="G775" s="21" t="str">
        <f>IF(C775="","",VLOOKUP(C775,categoria_proveedor[#ALL],2,0))</f>
        <v/>
      </c>
    </row>
    <row r="776">
      <c r="A776" s="21"/>
      <c r="B776" s="21"/>
      <c r="C776" s="21"/>
      <c r="D776" s="21"/>
      <c r="E776" s="21"/>
      <c r="F776" s="21"/>
      <c r="G776" s="21" t="str">
        <f>IF(C776="","",VLOOKUP(C776,categoria_proveedor[#ALL],2,0))</f>
        <v/>
      </c>
    </row>
    <row r="777">
      <c r="A777" s="21"/>
      <c r="B777" s="21"/>
      <c r="C777" s="21"/>
      <c r="D777" s="21"/>
      <c r="E777" s="21"/>
      <c r="F777" s="21"/>
      <c r="G777" s="21" t="str">
        <f>IF(C777="","",VLOOKUP(C777,categoria_proveedor[#ALL],2,0))</f>
        <v/>
      </c>
    </row>
    <row r="778">
      <c r="A778" s="21"/>
      <c r="B778" s="21"/>
      <c r="C778" s="21"/>
      <c r="D778" s="21"/>
      <c r="E778" s="21"/>
      <c r="F778" s="21"/>
      <c r="G778" s="21" t="str">
        <f>IF(C778="","",VLOOKUP(C778,categoria_proveedor[#ALL],2,0))</f>
        <v/>
      </c>
    </row>
    <row r="779">
      <c r="A779" s="21"/>
      <c r="B779" s="21"/>
      <c r="C779" s="21"/>
      <c r="D779" s="21"/>
      <c r="E779" s="21"/>
      <c r="F779" s="21"/>
      <c r="G779" s="21" t="str">
        <f>IF(C779="","",VLOOKUP(C779,categoria_proveedor[#ALL],2,0))</f>
        <v/>
      </c>
    </row>
    <row r="780">
      <c r="A780" s="21"/>
      <c r="B780" s="21"/>
      <c r="C780" s="21"/>
      <c r="D780" s="21"/>
      <c r="E780" s="21"/>
      <c r="F780" s="21"/>
      <c r="G780" s="21" t="str">
        <f>IF(C780="","",VLOOKUP(C780,categoria_proveedor[#ALL],2,0))</f>
        <v/>
      </c>
    </row>
    <row r="781">
      <c r="A781" s="21"/>
      <c r="B781" s="21"/>
      <c r="C781" s="21"/>
      <c r="D781" s="21"/>
      <c r="E781" s="21"/>
      <c r="F781" s="21"/>
      <c r="G781" s="21" t="str">
        <f>IF(C781="","",VLOOKUP(C781,categoria_proveedor[#ALL],2,0))</f>
        <v/>
      </c>
    </row>
    <row r="782">
      <c r="A782" s="21"/>
      <c r="B782" s="21"/>
      <c r="C782" s="21"/>
      <c r="D782" s="21"/>
      <c r="E782" s="21"/>
      <c r="F782" s="21"/>
      <c r="G782" s="21" t="str">
        <f>IF(C782="","",VLOOKUP(C782,categoria_proveedor[#ALL],2,0))</f>
        <v/>
      </c>
    </row>
    <row r="783">
      <c r="A783" s="21"/>
      <c r="B783" s="21"/>
      <c r="C783" s="21"/>
      <c r="D783" s="21"/>
      <c r="E783" s="21"/>
      <c r="F783" s="21"/>
      <c r="G783" s="21" t="str">
        <f>IF(C783="","",VLOOKUP(C783,categoria_proveedor[#ALL],2,0))</f>
        <v/>
      </c>
    </row>
    <row r="784">
      <c r="A784" s="21"/>
      <c r="B784" s="21"/>
      <c r="C784" s="21"/>
      <c r="D784" s="21"/>
      <c r="E784" s="21"/>
      <c r="F784" s="21"/>
      <c r="G784" s="21" t="str">
        <f>IF(C784="","",VLOOKUP(C784,categoria_proveedor[#ALL],2,0))</f>
        <v/>
      </c>
    </row>
    <row r="785">
      <c r="A785" s="21"/>
      <c r="B785" s="21"/>
      <c r="C785" s="21"/>
      <c r="D785" s="21"/>
      <c r="E785" s="21"/>
      <c r="F785" s="21"/>
      <c r="G785" s="21" t="str">
        <f>IF(C785="","",VLOOKUP(C785,categoria_proveedor[#ALL],2,0))</f>
        <v/>
      </c>
    </row>
    <row r="786">
      <c r="A786" s="21"/>
      <c r="B786" s="21"/>
      <c r="C786" s="21"/>
      <c r="D786" s="21"/>
      <c r="E786" s="21"/>
      <c r="F786" s="21"/>
      <c r="G786" s="21" t="str">
        <f>IF(C786="","",VLOOKUP(C786,categoria_proveedor[#ALL],2,0))</f>
        <v/>
      </c>
    </row>
    <row r="787">
      <c r="A787" s="21"/>
      <c r="B787" s="21"/>
      <c r="C787" s="21"/>
      <c r="D787" s="21"/>
      <c r="E787" s="21"/>
      <c r="F787" s="21"/>
      <c r="G787" s="21" t="str">
        <f>IF(C787="","",VLOOKUP(C787,categoria_proveedor[#ALL],2,0))</f>
        <v/>
      </c>
    </row>
    <row r="788">
      <c r="A788" s="21"/>
      <c r="B788" s="21"/>
      <c r="C788" s="21"/>
      <c r="D788" s="21"/>
      <c r="E788" s="21"/>
      <c r="F788" s="21"/>
      <c r="G788" s="21" t="str">
        <f>IF(C788="","",VLOOKUP(C788,categoria_proveedor[#ALL],2,0))</f>
        <v/>
      </c>
    </row>
    <row r="789">
      <c r="A789" s="21"/>
      <c r="B789" s="21"/>
      <c r="C789" s="21"/>
      <c r="D789" s="21"/>
      <c r="E789" s="21"/>
      <c r="F789" s="21"/>
      <c r="G789" s="21" t="str">
        <f>IF(C789="","",VLOOKUP(C789,categoria_proveedor[#ALL],2,0))</f>
        <v/>
      </c>
    </row>
    <row r="790">
      <c r="A790" s="21"/>
      <c r="B790" s="21"/>
      <c r="C790" s="21"/>
      <c r="D790" s="21"/>
      <c r="E790" s="21"/>
      <c r="F790" s="21"/>
      <c r="G790" s="21" t="str">
        <f>IF(C790="","",VLOOKUP(C790,categoria_proveedor[#ALL],2,0))</f>
        <v/>
      </c>
    </row>
    <row r="791">
      <c r="A791" s="21"/>
      <c r="B791" s="21"/>
      <c r="C791" s="21"/>
      <c r="D791" s="21"/>
      <c r="E791" s="21"/>
      <c r="F791" s="21"/>
      <c r="G791" s="21" t="str">
        <f>IF(C791="","",VLOOKUP(C791,categoria_proveedor[#ALL],2,0))</f>
        <v/>
      </c>
    </row>
    <row r="792">
      <c r="A792" s="21"/>
      <c r="B792" s="21"/>
      <c r="C792" s="21"/>
      <c r="D792" s="21"/>
      <c r="E792" s="21"/>
      <c r="F792" s="21"/>
      <c r="G792" s="21" t="str">
        <f>IF(C792="","",VLOOKUP(C792,categoria_proveedor[#ALL],2,0))</f>
        <v/>
      </c>
    </row>
    <row r="793">
      <c r="A793" s="21"/>
      <c r="B793" s="21"/>
      <c r="C793" s="21"/>
      <c r="D793" s="21"/>
      <c r="E793" s="21"/>
      <c r="F793" s="21"/>
      <c r="G793" s="21" t="str">
        <f>IF(C793="","",VLOOKUP(C793,categoria_proveedor[#ALL],2,0))</f>
        <v/>
      </c>
    </row>
    <row r="794">
      <c r="A794" s="21"/>
      <c r="B794" s="21"/>
      <c r="C794" s="21"/>
      <c r="D794" s="21"/>
      <c r="E794" s="21"/>
      <c r="F794" s="21"/>
      <c r="G794" s="21" t="str">
        <f>IF(C794="","",VLOOKUP(C794,categoria_proveedor[#ALL],2,0))</f>
        <v/>
      </c>
    </row>
    <row r="795">
      <c r="A795" s="21"/>
      <c r="B795" s="21"/>
      <c r="C795" s="21"/>
      <c r="D795" s="21"/>
      <c r="E795" s="21"/>
      <c r="F795" s="21"/>
      <c r="G795" s="21" t="str">
        <f>IF(C795="","",VLOOKUP(C795,categoria_proveedor[#ALL],2,0))</f>
        <v/>
      </c>
    </row>
    <row r="796">
      <c r="A796" s="21"/>
      <c r="B796" s="21"/>
      <c r="C796" s="21"/>
      <c r="D796" s="21"/>
      <c r="E796" s="21"/>
      <c r="F796" s="21"/>
      <c r="G796" s="21" t="str">
        <f>IF(C796="","",VLOOKUP(C796,categoria_proveedor[#ALL],2,0))</f>
        <v/>
      </c>
    </row>
    <row r="797">
      <c r="A797" s="21"/>
      <c r="B797" s="21"/>
      <c r="C797" s="21"/>
      <c r="D797" s="21"/>
      <c r="E797" s="21"/>
      <c r="F797" s="21"/>
      <c r="G797" s="21" t="str">
        <f>IF(C797="","",VLOOKUP(C797,categoria_proveedor[#ALL],2,0))</f>
        <v/>
      </c>
    </row>
    <row r="798">
      <c r="A798" s="21"/>
      <c r="B798" s="21"/>
      <c r="C798" s="21"/>
      <c r="D798" s="21"/>
      <c r="E798" s="21"/>
      <c r="F798" s="21"/>
      <c r="G798" s="21" t="str">
        <f>IF(C798="","",VLOOKUP(C798,categoria_proveedor[#ALL],2,0))</f>
        <v/>
      </c>
    </row>
    <row r="799">
      <c r="A799" s="21"/>
      <c r="B799" s="21"/>
      <c r="C799" s="21"/>
      <c r="D799" s="21"/>
      <c r="E799" s="21"/>
      <c r="F799" s="21"/>
      <c r="G799" s="21" t="str">
        <f>IF(C799="","",VLOOKUP(C799,categoria_proveedor[#ALL],2,0))</f>
        <v/>
      </c>
    </row>
    <row r="800">
      <c r="A800" s="21"/>
      <c r="B800" s="21"/>
      <c r="C800" s="21"/>
      <c r="D800" s="21"/>
      <c r="E800" s="21"/>
      <c r="F800" s="21"/>
      <c r="G800" s="21" t="str">
        <f>IF(C800="","",VLOOKUP(C800,categoria_proveedor[#ALL],2,0))</f>
        <v/>
      </c>
    </row>
    <row r="801">
      <c r="A801" s="21"/>
      <c r="B801" s="21"/>
      <c r="C801" s="21"/>
      <c r="D801" s="21"/>
      <c r="E801" s="21"/>
      <c r="F801" s="21"/>
      <c r="G801" s="21" t="str">
        <f>IF(C801="","",VLOOKUP(C801,categoria_proveedor[#ALL],2,0))</f>
        <v/>
      </c>
    </row>
    <row r="802">
      <c r="A802" s="21"/>
      <c r="B802" s="21"/>
      <c r="C802" s="21"/>
      <c r="D802" s="21"/>
      <c r="E802" s="21"/>
      <c r="F802" s="21"/>
      <c r="G802" s="21" t="str">
        <f>IF(C802="","",VLOOKUP(C802,categoria_proveedor[#ALL],2,0))</f>
        <v/>
      </c>
    </row>
    <row r="803">
      <c r="A803" s="21"/>
      <c r="B803" s="21"/>
      <c r="C803" s="21"/>
      <c r="D803" s="21"/>
      <c r="E803" s="21"/>
      <c r="F803" s="21"/>
      <c r="G803" s="21" t="str">
        <f>IF(C803="","",VLOOKUP(C803,categoria_proveedor[#ALL],2,0))</f>
        <v/>
      </c>
    </row>
    <row r="804">
      <c r="A804" s="21"/>
      <c r="B804" s="21"/>
      <c r="C804" s="21"/>
      <c r="D804" s="21"/>
      <c r="E804" s="21"/>
      <c r="F804" s="21"/>
      <c r="G804" s="21" t="str">
        <f>IF(C804="","",VLOOKUP(C804,categoria_proveedor[#ALL],2,0))</f>
        <v/>
      </c>
    </row>
    <row r="805">
      <c r="A805" s="21"/>
      <c r="B805" s="21"/>
      <c r="C805" s="21"/>
      <c r="D805" s="21"/>
      <c r="E805" s="21"/>
      <c r="F805" s="21"/>
      <c r="G805" s="21" t="str">
        <f>IF(C805="","",VLOOKUP(C805,categoria_proveedor[#ALL],2,0))</f>
        <v/>
      </c>
    </row>
    <row r="806">
      <c r="A806" s="21"/>
      <c r="B806" s="21"/>
      <c r="C806" s="21"/>
      <c r="D806" s="21"/>
      <c r="E806" s="21"/>
      <c r="F806" s="21"/>
      <c r="G806" s="21" t="str">
        <f>IF(C806="","",VLOOKUP(C806,categoria_proveedor[#ALL],2,0))</f>
        <v/>
      </c>
    </row>
    <row r="807">
      <c r="A807" s="21"/>
      <c r="B807" s="21"/>
      <c r="C807" s="21"/>
      <c r="D807" s="21"/>
      <c r="E807" s="21"/>
      <c r="F807" s="21"/>
      <c r="G807" s="21" t="str">
        <f>IF(C807="","",VLOOKUP(C807,categoria_proveedor[#ALL],2,0))</f>
        <v/>
      </c>
    </row>
    <row r="808">
      <c r="A808" s="21"/>
      <c r="B808" s="21"/>
      <c r="C808" s="21"/>
      <c r="D808" s="21"/>
      <c r="E808" s="21"/>
      <c r="F808" s="21"/>
      <c r="G808" s="21" t="str">
        <f>IF(C808="","",VLOOKUP(C808,categoria_proveedor[#ALL],2,0))</f>
        <v/>
      </c>
    </row>
    <row r="809">
      <c r="A809" s="21"/>
      <c r="B809" s="21"/>
      <c r="C809" s="21"/>
      <c r="D809" s="21"/>
      <c r="E809" s="21"/>
      <c r="F809" s="21"/>
      <c r="G809" s="21" t="str">
        <f>IF(C809="","",VLOOKUP(C809,categoria_proveedor[#ALL],2,0))</f>
        <v/>
      </c>
    </row>
    <row r="810">
      <c r="A810" s="21"/>
      <c r="B810" s="21"/>
      <c r="C810" s="21"/>
      <c r="D810" s="21"/>
      <c r="E810" s="21"/>
      <c r="F810" s="21"/>
      <c r="G810" s="21" t="str">
        <f>IF(C810="","",VLOOKUP(C810,categoria_proveedor[#ALL],2,0))</f>
        <v/>
      </c>
    </row>
    <row r="811">
      <c r="A811" s="21"/>
      <c r="B811" s="21"/>
      <c r="C811" s="21"/>
      <c r="D811" s="21"/>
      <c r="E811" s="21"/>
      <c r="F811" s="21"/>
      <c r="G811" s="21" t="str">
        <f>IF(C811="","",VLOOKUP(C811,categoria_proveedor[#ALL],2,0))</f>
        <v/>
      </c>
    </row>
    <row r="812">
      <c r="A812" s="21"/>
      <c r="B812" s="21"/>
      <c r="C812" s="21"/>
      <c r="D812" s="21"/>
      <c r="E812" s="21"/>
      <c r="F812" s="21"/>
      <c r="G812" s="21" t="str">
        <f>IF(C812="","",VLOOKUP(C812,categoria_proveedor[#ALL],2,0))</f>
        <v/>
      </c>
    </row>
    <row r="813">
      <c r="A813" s="21"/>
      <c r="B813" s="21"/>
      <c r="C813" s="21"/>
      <c r="D813" s="21"/>
      <c r="E813" s="21"/>
      <c r="F813" s="21"/>
      <c r="G813" s="21" t="str">
        <f>IF(C813="","",VLOOKUP(C813,categoria_proveedor[#ALL],2,0))</f>
        <v/>
      </c>
    </row>
    <row r="814">
      <c r="A814" s="21"/>
      <c r="B814" s="21"/>
      <c r="C814" s="21"/>
      <c r="D814" s="21"/>
      <c r="E814" s="21"/>
      <c r="F814" s="21"/>
      <c r="G814" s="21" t="str">
        <f>IF(C814="","",VLOOKUP(C814,categoria_proveedor[#ALL],2,0))</f>
        <v/>
      </c>
    </row>
    <row r="815">
      <c r="A815" s="21"/>
      <c r="B815" s="21"/>
      <c r="C815" s="21"/>
      <c r="D815" s="21"/>
      <c r="E815" s="21"/>
      <c r="F815" s="21"/>
      <c r="G815" s="21" t="str">
        <f>IF(C815="","",VLOOKUP(C815,categoria_proveedor[#ALL],2,0))</f>
        <v/>
      </c>
    </row>
    <row r="816">
      <c r="A816" s="21"/>
      <c r="B816" s="21"/>
      <c r="C816" s="21"/>
      <c r="D816" s="21"/>
      <c r="E816" s="21"/>
      <c r="F816" s="21"/>
      <c r="G816" s="21" t="str">
        <f>IF(C816="","",VLOOKUP(C816,categoria_proveedor[#ALL],2,0))</f>
        <v/>
      </c>
    </row>
    <row r="817">
      <c r="A817" s="21"/>
      <c r="B817" s="21"/>
      <c r="C817" s="21"/>
      <c r="D817" s="21"/>
      <c r="E817" s="21"/>
      <c r="F817" s="21"/>
      <c r="G817" s="21" t="str">
        <f>IF(C817="","",VLOOKUP(C817,categoria_proveedor[#ALL],2,0))</f>
        <v/>
      </c>
    </row>
    <row r="818">
      <c r="A818" s="21"/>
      <c r="B818" s="21"/>
      <c r="C818" s="21"/>
      <c r="D818" s="21"/>
      <c r="E818" s="21"/>
      <c r="F818" s="21"/>
      <c r="G818" s="21" t="str">
        <f>IF(C818="","",VLOOKUP(C818,categoria_proveedor[#ALL],2,0))</f>
        <v/>
      </c>
    </row>
    <row r="819">
      <c r="A819" s="21"/>
      <c r="B819" s="21"/>
      <c r="C819" s="21"/>
      <c r="D819" s="21"/>
      <c r="E819" s="21"/>
      <c r="F819" s="21"/>
      <c r="G819" s="21" t="str">
        <f>IF(C819="","",VLOOKUP(C819,categoria_proveedor[#ALL],2,0))</f>
        <v/>
      </c>
    </row>
    <row r="820">
      <c r="A820" s="21"/>
      <c r="B820" s="21"/>
      <c r="C820" s="21"/>
      <c r="D820" s="21"/>
      <c r="E820" s="21"/>
      <c r="F820" s="21"/>
      <c r="G820" s="21" t="str">
        <f>IF(C820="","",VLOOKUP(C820,categoria_proveedor[#ALL],2,0))</f>
        <v/>
      </c>
    </row>
    <row r="821">
      <c r="A821" s="21"/>
      <c r="B821" s="21"/>
      <c r="C821" s="21"/>
      <c r="D821" s="21"/>
      <c r="E821" s="21"/>
      <c r="F821" s="21"/>
      <c r="G821" s="21" t="str">
        <f>IF(C821="","",VLOOKUP(C821,categoria_proveedor[#ALL],2,0))</f>
        <v/>
      </c>
    </row>
    <row r="822">
      <c r="A822" s="21"/>
      <c r="B822" s="21"/>
      <c r="C822" s="21"/>
      <c r="D822" s="21"/>
      <c r="E822" s="21"/>
      <c r="F822" s="21"/>
      <c r="G822" s="21" t="str">
        <f>IF(C822="","",VLOOKUP(C822,categoria_proveedor[#ALL],2,0))</f>
        <v/>
      </c>
    </row>
    <row r="823">
      <c r="A823" s="21"/>
      <c r="B823" s="21"/>
      <c r="C823" s="21"/>
      <c r="D823" s="21"/>
      <c r="E823" s="21"/>
      <c r="F823" s="21"/>
      <c r="G823" s="21" t="str">
        <f>IF(C823="","",VLOOKUP(C823,categoria_proveedor[#ALL],2,0))</f>
        <v/>
      </c>
    </row>
    <row r="824">
      <c r="A824" s="21"/>
      <c r="B824" s="21"/>
      <c r="C824" s="21"/>
      <c r="D824" s="21"/>
      <c r="E824" s="21"/>
      <c r="F824" s="21"/>
      <c r="G824" s="21" t="str">
        <f>IF(C824="","",VLOOKUP(C824,categoria_proveedor[#ALL],2,0))</f>
        <v/>
      </c>
    </row>
    <row r="825">
      <c r="A825" s="21"/>
      <c r="B825" s="21"/>
      <c r="C825" s="21"/>
      <c r="D825" s="21"/>
      <c r="E825" s="21"/>
      <c r="F825" s="21"/>
      <c r="G825" s="21" t="str">
        <f>IF(C825="","",VLOOKUP(C825,categoria_proveedor[#ALL],2,0))</f>
        <v/>
      </c>
    </row>
    <row r="826">
      <c r="A826" s="21"/>
      <c r="B826" s="21"/>
      <c r="C826" s="21"/>
      <c r="D826" s="21"/>
      <c r="E826" s="21"/>
      <c r="F826" s="21"/>
      <c r="G826" s="21" t="str">
        <f>IF(C826="","",VLOOKUP(C826,categoria_proveedor[#ALL],2,0))</f>
        <v/>
      </c>
    </row>
    <row r="827">
      <c r="A827" s="21"/>
      <c r="B827" s="21"/>
      <c r="C827" s="21"/>
      <c r="D827" s="21"/>
      <c r="E827" s="21"/>
      <c r="F827" s="21"/>
      <c r="G827" s="21" t="str">
        <f>IF(C827="","",VLOOKUP(C827,categoria_proveedor[#ALL],2,0))</f>
        <v/>
      </c>
    </row>
    <row r="828">
      <c r="A828" s="21"/>
      <c r="B828" s="21"/>
      <c r="C828" s="21"/>
      <c r="D828" s="21"/>
      <c r="E828" s="21"/>
      <c r="F828" s="21"/>
      <c r="G828" s="21" t="str">
        <f>IF(C828="","",VLOOKUP(C828,categoria_proveedor[#ALL],2,0))</f>
        <v/>
      </c>
    </row>
    <row r="829">
      <c r="A829" s="21"/>
      <c r="B829" s="21"/>
      <c r="C829" s="21"/>
      <c r="D829" s="21"/>
      <c r="E829" s="21"/>
      <c r="F829" s="21"/>
      <c r="G829" s="21" t="str">
        <f>IF(C829="","",VLOOKUP(C829,categoria_proveedor[#ALL],2,0))</f>
        <v/>
      </c>
    </row>
    <row r="830">
      <c r="A830" s="21"/>
      <c r="B830" s="21"/>
      <c r="C830" s="21"/>
      <c r="D830" s="21"/>
      <c r="E830" s="21"/>
      <c r="F830" s="21"/>
      <c r="G830" s="21" t="str">
        <f>IF(C830="","",VLOOKUP(C830,categoria_proveedor[#ALL],2,0))</f>
        <v/>
      </c>
    </row>
    <row r="831">
      <c r="A831" s="21"/>
      <c r="B831" s="21"/>
      <c r="C831" s="21"/>
      <c r="D831" s="21"/>
      <c r="E831" s="21"/>
      <c r="F831" s="21"/>
      <c r="G831" s="21" t="str">
        <f>IF(C831="","",VLOOKUP(C831,categoria_proveedor[#ALL],2,0))</f>
        <v/>
      </c>
    </row>
    <row r="832">
      <c r="A832" s="21"/>
      <c r="B832" s="21"/>
      <c r="C832" s="21"/>
      <c r="D832" s="21"/>
      <c r="E832" s="21"/>
      <c r="F832" s="21"/>
      <c r="G832" s="21" t="str">
        <f>IF(C832="","",VLOOKUP(C832,categoria_proveedor[#ALL],2,0))</f>
        <v/>
      </c>
    </row>
    <row r="833">
      <c r="A833" s="21"/>
      <c r="B833" s="21"/>
      <c r="C833" s="21"/>
      <c r="D833" s="21"/>
      <c r="E833" s="21"/>
      <c r="F833" s="21"/>
      <c r="G833" s="21" t="str">
        <f>IF(C833="","",VLOOKUP(C833,categoria_proveedor[#ALL],2,0))</f>
        <v/>
      </c>
    </row>
    <row r="834">
      <c r="A834" s="21"/>
      <c r="B834" s="21"/>
      <c r="C834" s="21"/>
      <c r="D834" s="21"/>
      <c r="E834" s="21"/>
      <c r="F834" s="21"/>
      <c r="G834" s="21" t="str">
        <f>IF(C834="","",VLOOKUP(C834,categoria_proveedor[#ALL],2,0))</f>
        <v/>
      </c>
    </row>
    <row r="835">
      <c r="A835" s="21"/>
      <c r="B835" s="21"/>
      <c r="C835" s="21"/>
      <c r="D835" s="21"/>
      <c r="E835" s="21"/>
      <c r="F835" s="21"/>
      <c r="G835" s="21" t="str">
        <f>IF(C835="","",VLOOKUP(C835,categoria_proveedor[#ALL],2,0))</f>
        <v/>
      </c>
    </row>
    <row r="836">
      <c r="A836" s="21"/>
      <c r="B836" s="21"/>
      <c r="C836" s="21"/>
      <c r="D836" s="21"/>
      <c r="E836" s="21"/>
      <c r="F836" s="21"/>
      <c r="G836" s="21" t="str">
        <f>IF(C836="","",VLOOKUP(C836,categoria_proveedor[#ALL],2,0))</f>
        <v/>
      </c>
    </row>
    <row r="837">
      <c r="A837" s="21"/>
      <c r="B837" s="21"/>
      <c r="C837" s="21"/>
      <c r="D837" s="21"/>
      <c r="E837" s="21"/>
      <c r="F837" s="21"/>
      <c r="G837" s="21" t="str">
        <f>IF(C837="","",VLOOKUP(C837,categoria_proveedor[#ALL],2,0))</f>
        <v/>
      </c>
    </row>
    <row r="838">
      <c r="A838" s="21"/>
      <c r="B838" s="21"/>
      <c r="C838" s="21"/>
      <c r="D838" s="21"/>
      <c r="E838" s="21"/>
      <c r="F838" s="21"/>
      <c r="G838" s="21" t="str">
        <f>IF(C838="","",VLOOKUP(C838,categoria_proveedor[#ALL],2,0))</f>
        <v/>
      </c>
    </row>
    <row r="839">
      <c r="A839" s="21"/>
      <c r="B839" s="21"/>
      <c r="C839" s="21"/>
      <c r="D839" s="21"/>
      <c r="E839" s="21"/>
      <c r="F839" s="21"/>
      <c r="G839" s="21" t="str">
        <f>IF(C839="","",VLOOKUP(C839,categoria_proveedor[#ALL],2,0))</f>
        <v/>
      </c>
    </row>
    <row r="840">
      <c r="A840" s="21"/>
      <c r="B840" s="21"/>
      <c r="C840" s="21"/>
      <c r="D840" s="21"/>
      <c r="E840" s="21"/>
      <c r="F840" s="21"/>
      <c r="G840" s="21" t="str">
        <f>IF(C840="","",VLOOKUP(C840,categoria_proveedor[#ALL],2,0))</f>
        <v/>
      </c>
    </row>
    <row r="841">
      <c r="A841" s="21"/>
      <c r="B841" s="21"/>
      <c r="C841" s="21"/>
      <c r="D841" s="21"/>
      <c r="E841" s="21"/>
      <c r="F841" s="21"/>
      <c r="G841" s="21" t="str">
        <f>IF(C841="","",VLOOKUP(C841,categoria_proveedor[#ALL],2,0))</f>
        <v/>
      </c>
    </row>
    <row r="842">
      <c r="A842" s="21"/>
      <c r="B842" s="21"/>
      <c r="C842" s="21"/>
      <c r="D842" s="21"/>
      <c r="E842" s="21"/>
      <c r="F842" s="21"/>
      <c r="G842" s="21" t="str">
        <f>IF(C842="","",VLOOKUP(C842,categoria_proveedor[#ALL],2,0))</f>
        <v/>
      </c>
    </row>
    <row r="843">
      <c r="A843" s="21"/>
      <c r="B843" s="21"/>
      <c r="C843" s="21"/>
      <c r="D843" s="21"/>
      <c r="E843" s="21"/>
      <c r="F843" s="21"/>
      <c r="G843" s="21" t="str">
        <f>IF(C843="","",VLOOKUP(C843,categoria_proveedor[#ALL],2,0))</f>
        <v/>
      </c>
    </row>
    <row r="844">
      <c r="A844" s="21"/>
      <c r="B844" s="21"/>
      <c r="C844" s="21"/>
      <c r="D844" s="21"/>
      <c r="E844" s="21"/>
      <c r="F844" s="21"/>
      <c r="G844" s="21" t="str">
        <f>IF(C844="","",VLOOKUP(C844,categoria_proveedor[#ALL],2,0))</f>
        <v/>
      </c>
    </row>
    <row r="845">
      <c r="A845" s="21"/>
      <c r="B845" s="21"/>
      <c r="C845" s="21"/>
      <c r="D845" s="21"/>
      <c r="E845" s="21"/>
      <c r="F845" s="21"/>
      <c r="G845" s="21" t="str">
        <f>IF(C845="","",VLOOKUP(C845,categoria_proveedor[#ALL],2,0))</f>
        <v/>
      </c>
    </row>
    <row r="846">
      <c r="A846" s="21"/>
      <c r="B846" s="21"/>
      <c r="C846" s="21"/>
      <c r="D846" s="21"/>
      <c r="E846" s="21"/>
      <c r="F846" s="21"/>
      <c r="G846" s="21" t="str">
        <f>IF(C846="","",VLOOKUP(C846,categoria_proveedor[#ALL],2,0))</f>
        <v/>
      </c>
    </row>
    <row r="847">
      <c r="A847" s="21"/>
      <c r="B847" s="21"/>
      <c r="C847" s="21"/>
      <c r="D847" s="21"/>
      <c r="E847" s="21"/>
      <c r="F847" s="21"/>
      <c r="G847" s="21" t="str">
        <f>IF(C847="","",VLOOKUP(C847,categoria_proveedor[#ALL],2,0))</f>
        <v/>
      </c>
    </row>
    <row r="848">
      <c r="A848" s="21"/>
      <c r="B848" s="21"/>
      <c r="C848" s="21"/>
      <c r="D848" s="21"/>
      <c r="E848" s="21"/>
      <c r="F848" s="21"/>
      <c r="G848" s="21" t="str">
        <f>IF(C848="","",VLOOKUP(C848,categoria_proveedor[#ALL],2,0))</f>
        <v/>
      </c>
    </row>
    <row r="849">
      <c r="A849" s="21"/>
      <c r="B849" s="21"/>
      <c r="C849" s="21"/>
      <c r="D849" s="21"/>
      <c r="E849" s="21"/>
      <c r="F849" s="21"/>
      <c r="G849" s="21" t="str">
        <f>IF(C849="","",VLOOKUP(C849,categoria_proveedor[#ALL],2,0))</f>
        <v/>
      </c>
    </row>
    <row r="850">
      <c r="A850" s="21"/>
      <c r="B850" s="21"/>
      <c r="C850" s="21"/>
      <c r="D850" s="21"/>
      <c r="E850" s="21"/>
      <c r="F850" s="21"/>
      <c r="G850" s="21" t="str">
        <f>IF(C850="","",VLOOKUP(C850,categoria_proveedor[#ALL],2,0))</f>
        <v/>
      </c>
    </row>
    <row r="851">
      <c r="A851" s="21"/>
      <c r="B851" s="21"/>
      <c r="C851" s="21"/>
      <c r="D851" s="21"/>
      <c r="E851" s="21"/>
      <c r="F851" s="21"/>
      <c r="G851" s="21" t="str">
        <f>IF(C851="","",VLOOKUP(C851,categoria_proveedor[#ALL],2,0))</f>
        <v/>
      </c>
    </row>
    <row r="852">
      <c r="A852" s="21"/>
      <c r="B852" s="21"/>
      <c r="C852" s="21"/>
      <c r="D852" s="21"/>
      <c r="E852" s="21"/>
      <c r="F852" s="21"/>
      <c r="G852" s="21" t="str">
        <f>IF(C852="","",VLOOKUP(C852,categoria_proveedor[#ALL],2,0))</f>
        <v/>
      </c>
    </row>
    <row r="853">
      <c r="A853" s="21"/>
      <c r="B853" s="21"/>
      <c r="C853" s="21"/>
      <c r="D853" s="21"/>
      <c r="E853" s="21"/>
      <c r="F853" s="21"/>
      <c r="G853" s="21" t="str">
        <f>IF(C853="","",VLOOKUP(C853,categoria_proveedor[#ALL],2,0))</f>
        <v/>
      </c>
    </row>
    <row r="854">
      <c r="A854" s="21"/>
      <c r="B854" s="21"/>
      <c r="C854" s="21"/>
      <c r="D854" s="21"/>
      <c r="E854" s="21"/>
      <c r="F854" s="21"/>
      <c r="G854" s="21" t="str">
        <f>IF(C854="","",VLOOKUP(C854,categoria_proveedor[#ALL],2,0))</f>
        <v/>
      </c>
    </row>
    <row r="855">
      <c r="A855" s="21"/>
      <c r="B855" s="21"/>
      <c r="C855" s="21"/>
      <c r="D855" s="21"/>
      <c r="E855" s="21"/>
      <c r="F855" s="21"/>
      <c r="G855" s="21" t="str">
        <f>IF(C855="","",VLOOKUP(C855,categoria_proveedor[#ALL],2,0))</f>
        <v/>
      </c>
    </row>
    <row r="856">
      <c r="A856" s="21"/>
      <c r="B856" s="21"/>
      <c r="C856" s="21"/>
      <c r="D856" s="21"/>
      <c r="E856" s="21"/>
      <c r="F856" s="21"/>
      <c r="G856" s="21" t="str">
        <f>IF(C856="","",VLOOKUP(C856,categoria_proveedor[#ALL],2,0))</f>
        <v/>
      </c>
    </row>
    <row r="857">
      <c r="A857" s="21"/>
      <c r="B857" s="21"/>
      <c r="C857" s="21"/>
      <c r="D857" s="21"/>
      <c r="E857" s="21"/>
      <c r="F857" s="21"/>
      <c r="G857" s="21" t="str">
        <f>IF(C857="","",VLOOKUP(C857,categoria_proveedor[#ALL],2,0))</f>
        <v/>
      </c>
    </row>
    <row r="858">
      <c r="A858" s="21"/>
      <c r="B858" s="21"/>
      <c r="C858" s="21"/>
      <c r="D858" s="21"/>
      <c r="E858" s="21"/>
      <c r="F858" s="21"/>
      <c r="G858" s="21" t="str">
        <f>IF(C858="","",VLOOKUP(C858,categoria_proveedor[#ALL],2,0))</f>
        <v/>
      </c>
    </row>
    <row r="859">
      <c r="A859" s="21"/>
      <c r="B859" s="21"/>
      <c r="C859" s="21"/>
      <c r="D859" s="21"/>
      <c r="E859" s="21"/>
      <c r="F859" s="21"/>
      <c r="G859" s="21" t="str">
        <f>IF(C859="","",VLOOKUP(C859,categoria_proveedor[#ALL],2,0))</f>
        <v/>
      </c>
    </row>
    <row r="860">
      <c r="A860" s="21"/>
      <c r="B860" s="21"/>
      <c r="C860" s="21"/>
      <c r="D860" s="21"/>
      <c r="E860" s="21"/>
      <c r="F860" s="21"/>
      <c r="G860" s="21" t="str">
        <f>IF(C860="","",VLOOKUP(C860,categoria_proveedor[#ALL],2,0))</f>
        <v/>
      </c>
    </row>
    <row r="861">
      <c r="A861" s="21"/>
      <c r="B861" s="21"/>
      <c r="C861" s="21"/>
      <c r="D861" s="21"/>
      <c r="E861" s="21"/>
      <c r="F861" s="21"/>
      <c r="G861" s="21" t="str">
        <f>IF(C861="","",VLOOKUP(C861,categoria_proveedor[#ALL],2,0))</f>
        <v/>
      </c>
    </row>
    <row r="862">
      <c r="A862" s="21"/>
      <c r="B862" s="21"/>
      <c r="C862" s="21"/>
      <c r="D862" s="21"/>
      <c r="E862" s="21"/>
      <c r="F862" s="21"/>
      <c r="G862" s="21" t="str">
        <f>IF(C862="","",VLOOKUP(C862,categoria_proveedor[#ALL],2,0))</f>
        <v/>
      </c>
    </row>
    <row r="863">
      <c r="A863" s="21"/>
      <c r="B863" s="21"/>
      <c r="C863" s="21"/>
      <c r="D863" s="21"/>
      <c r="E863" s="21"/>
      <c r="F863" s="21"/>
      <c r="G863" s="21" t="str">
        <f>IF(C863="","",VLOOKUP(C863,categoria_proveedor[#ALL],2,0))</f>
        <v/>
      </c>
    </row>
    <row r="864">
      <c r="A864" s="21"/>
      <c r="B864" s="21"/>
      <c r="C864" s="21"/>
      <c r="D864" s="21"/>
      <c r="E864" s="21"/>
      <c r="F864" s="21"/>
      <c r="G864" s="21" t="str">
        <f>IF(C864="","",VLOOKUP(C864,categoria_proveedor[#ALL],2,0))</f>
        <v/>
      </c>
    </row>
    <row r="865">
      <c r="A865" s="21"/>
      <c r="B865" s="21"/>
      <c r="C865" s="21"/>
      <c r="D865" s="21"/>
      <c r="E865" s="21"/>
      <c r="F865" s="21"/>
      <c r="G865" s="21" t="str">
        <f>IF(C865="","",VLOOKUP(C865,categoria_proveedor[#ALL],2,0))</f>
        <v/>
      </c>
    </row>
    <row r="866">
      <c r="A866" s="21"/>
      <c r="B866" s="21"/>
      <c r="C866" s="21"/>
      <c r="D866" s="21"/>
      <c r="E866" s="21"/>
      <c r="F866" s="21"/>
      <c r="G866" s="21" t="str">
        <f>IF(C866="","",VLOOKUP(C866,categoria_proveedor[#ALL],2,0))</f>
        <v/>
      </c>
    </row>
    <row r="867">
      <c r="A867" s="21"/>
      <c r="B867" s="21"/>
      <c r="C867" s="21"/>
      <c r="D867" s="21"/>
      <c r="E867" s="21"/>
      <c r="F867" s="21"/>
      <c r="G867" s="21" t="str">
        <f>IF(C867="","",VLOOKUP(C867,categoria_proveedor[#ALL],2,0))</f>
        <v/>
      </c>
    </row>
    <row r="868">
      <c r="A868" s="21"/>
      <c r="B868" s="21"/>
      <c r="C868" s="21"/>
      <c r="D868" s="21"/>
      <c r="E868" s="21"/>
      <c r="F868" s="21"/>
      <c r="G868" s="21" t="str">
        <f>IF(C868="","",VLOOKUP(C868,categoria_proveedor[#ALL],2,0))</f>
        <v/>
      </c>
    </row>
    <row r="869">
      <c r="A869" s="21"/>
      <c r="B869" s="21"/>
      <c r="C869" s="21"/>
      <c r="D869" s="21"/>
      <c r="E869" s="21"/>
      <c r="F869" s="21"/>
      <c r="G869" s="21" t="str">
        <f>IF(C869="","",VLOOKUP(C869,categoria_proveedor[#ALL],2,0))</f>
        <v/>
      </c>
    </row>
    <row r="870">
      <c r="A870" s="21"/>
      <c r="B870" s="21"/>
      <c r="C870" s="21"/>
      <c r="D870" s="21"/>
      <c r="E870" s="21"/>
      <c r="F870" s="21"/>
      <c r="G870" s="21" t="str">
        <f>IF(C870="","",VLOOKUP(C870,categoria_proveedor[#ALL],2,0))</f>
        <v/>
      </c>
    </row>
    <row r="871">
      <c r="A871" s="21"/>
      <c r="B871" s="21"/>
      <c r="C871" s="21"/>
      <c r="D871" s="21"/>
      <c r="E871" s="21"/>
      <c r="F871" s="21"/>
      <c r="G871" s="21" t="str">
        <f>IF(C871="","",VLOOKUP(C871,categoria_proveedor[#ALL],2,0))</f>
        <v/>
      </c>
    </row>
    <row r="872">
      <c r="A872" s="21"/>
      <c r="B872" s="21"/>
      <c r="C872" s="21"/>
      <c r="D872" s="21"/>
      <c r="E872" s="21"/>
      <c r="F872" s="21"/>
      <c r="G872" s="21" t="str">
        <f>IF(C872="","",VLOOKUP(C872,categoria_proveedor[#ALL],2,0))</f>
        <v/>
      </c>
    </row>
    <row r="873">
      <c r="A873" s="21"/>
      <c r="B873" s="21"/>
      <c r="C873" s="21"/>
      <c r="D873" s="21"/>
      <c r="E873" s="21"/>
      <c r="F873" s="21"/>
      <c r="G873" s="21" t="str">
        <f>IF(C873="","",VLOOKUP(C873,categoria_proveedor[#ALL],2,0))</f>
        <v/>
      </c>
    </row>
    <row r="874">
      <c r="A874" s="21"/>
      <c r="B874" s="21"/>
      <c r="C874" s="21"/>
      <c r="D874" s="21"/>
      <c r="E874" s="21"/>
      <c r="F874" s="21"/>
      <c r="G874" s="21" t="str">
        <f>IF(C874="","",VLOOKUP(C874,categoria_proveedor[#ALL],2,0))</f>
        <v/>
      </c>
    </row>
    <row r="875">
      <c r="A875" s="21"/>
      <c r="B875" s="21"/>
      <c r="C875" s="21"/>
      <c r="D875" s="21"/>
      <c r="E875" s="21"/>
      <c r="F875" s="21"/>
      <c r="G875" s="21" t="str">
        <f>IF(C875="","",VLOOKUP(C875,categoria_proveedor[#ALL],2,0))</f>
        <v/>
      </c>
    </row>
    <row r="876">
      <c r="A876" s="21"/>
      <c r="B876" s="21"/>
      <c r="C876" s="21"/>
      <c r="D876" s="21"/>
      <c r="E876" s="21"/>
      <c r="F876" s="21"/>
      <c r="G876" s="21" t="str">
        <f>IF(C876="","",VLOOKUP(C876,categoria_proveedor[#ALL],2,0))</f>
        <v/>
      </c>
    </row>
    <row r="877">
      <c r="A877" s="21"/>
      <c r="B877" s="21"/>
      <c r="C877" s="21"/>
      <c r="D877" s="21"/>
      <c r="E877" s="21"/>
      <c r="F877" s="21"/>
      <c r="G877" s="21" t="str">
        <f>IF(C877="","",VLOOKUP(C877,categoria_proveedor[#ALL],2,0))</f>
        <v/>
      </c>
    </row>
    <row r="878">
      <c r="A878" s="21"/>
      <c r="B878" s="21"/>
      <c r="C878" s="21"/>
      <c r="D878" s="21"/>
      <c r="E878" s="21"/>
      <c r="F878" s="21"/>
      <c r="G878" s="21" t="str">
        <f>IF(C878="","",VLOOKUP(C878,categoria_proveedor[#ALL],2,0))</f>
        <v/>
      </c>
    </row>
    <row r="879">
      <c r="A879" s="21"/>
      <c r="B879" s="21"/>
      <c r="C879" s="21"/>
      <c r="D879" s="21"/>
      <c r="E879" s="21"/>
      <c r="F879" s="21"/>
      <c r="G879" s="21" t="str">
        <f>IF(C879="","",VLOOKUP(C879,categoria_proveedor[#ALL],2,0))</f>
        <v/>
      </c>
    </row>
    <row r="880">
      <c r="A880" s="21"/>
      <c r="B880" s="21"/>
      <c r="C880" s="21"/>
      <c r="D880" s="21"/>
      <c r="E880" s="21"/>
      <c r="F880" s="21"/>
      <c r="G880" s="21" t="str">
        <f>IF(C880="","",VLOOKUP(C880,categoria_proveedor[#ALL],2,0))</f>
        <v/>
      </c>
    </row>
    <row r="881">
      <c r="A881" s="21"/>
      <c r="B881" s="21"/>
      <c r="C881" s="21"/>
      <c r="D881" s="21"/>
      <c r="E881" s="21"/>
      <c r="F881" s="21"/>
      <c r="G881" s="21" t="str">
        <f>IF(C881="","",VLOOKUP(C881,categoria_proveedor[#ALL],2,0))</f>
        <v/>
      </c>
    </row>
    <row r="882">
      <c r="A882" s="21"/>
      <c r="B882" s="21"/>
      <c r="C882" s="21"/>
      <c r="D882" s="21"/>
      <c r="E882" s="21"/>
      <c r="F882" s="21"/>
      <c r="G882" s="21" t="str">
        <f>IF(C882="","",VLOOKUP(C882,categoria_proveedor[#ALL],2,0))</f>
        <v/>
      </c>
    </row>
    <row r="883">
      <c r="A883" s="21"/>
      <c r="B883" s="21"/>
      <c r="C883" s="21"/>
      <c r="D883" s="21"/>
      <c r="E883" s="21"/>
      <c r="F883" s="21"/>
      <c r="G883" s="21" t="str">
        <f>IF(C883="","",VLOOKUP(C883,categoria_proveedor[#ALL],2,0))</f>
        <v/>
      </c>
    </row>
    <row r="884">
      <c r="A884" s="21"/>
      <c r="B884" s="21"/>
      <c r="C884" s="21"/>
      <c r="D884" s="21"/>
      <c r="E884" s="21"/>
      <c r="F884" s="21"/>
      <c r="G884" s="21" t="str">
        <f>IF(C884="","",VLOOKUP(C884,categoria_proveedor[#ALL],2,0))</f>
        <v/>
      </c>
    </row>
    <row r="885">
      <c r="A885" s="21"/>
      <c r="B885" s="21"/>
      <c r="C885" s="21"/>
      <c r="D885" s="21"/>
      <c r="E885" s="21"/>
      <c r="F885" s="21"/>
      <c r="G885" s="21" t="str">
        <f>IF(C885="","",VLOOKUP(C885,categoria_proveedor[#ALL],2,0))</f>
        <v/>
      </c>
    </row>
    <row r="886">
      <c r="A886" s="21"/>
      <c r="B886" s="21"/>
      <c r="C886" s="21"/>
      <c r="D886" s="21"/>
      <c r="E886" s="21"/>
      <c r="F886" s="21"/>
      <c r="G886" s="21" t="str">
        <f>IF(C886="","",VLOOKUP(C886,categoria_proveedor[#ALL],2,0))</f>
        <v/>
      </c>
    </row>
    <row r="887">
      <c r="A887" s="21"/>
      <c r="B887" s="21"/>
      <c r="C887" s="21"/>
      <c r="D887" s="21"/>
      <c r="E887" s="21"/>
      <c r="F887" s="21"/>
      <c r="G887" s="21" t="str">
        <f>IF(C887="","",VLOOKUP(C887,categoria_proveedor[#ALL],2,0))</f>
        <v/>
      </c>
    </row>
    <row r="888">
      <c r="A888" s="21"/>
      <c r="B888" s="21"/>
      <c r="C888" s="21"/>
      <c r="D888" s="21"/>
      <c r="E888" s="21"/>
      <c r="F888" s="21"/>
      <c r="G888" s="21" t="str">
        <f>IF(C888="","",VLOOKUP(C888,categoria_proveedor[#ALL],2,0))</f>
        <v/>
      </c>
    </row>
    <row r="889">
      <c r="A889" s="21"/>
      <c r="B889" s="21"/>
      <c r="C889" s="21"/>
      <c r="D889" s="21"/>
      <c r="E889" s="21"/>
      <c r="F889" s="21"/>
      <c r="G889" s="21" t="str">
        <f>IF(C889="","",VLOOKUP(C889,categoria_proveedor[#ALL],2,0))</f>
        <v/>
      </c>
    </row>
    <row r="890">
      <c r="A890" s="21"/>
      <c r="B890" s="21"/>
      <c r="C890" s="21"/>
      <c r="D890" s="21"/>
      <c r="E890" s="21"/>
      <c r="F890" s="21"/>
      <c r="G890" s="21" t="str">
        <f>IF(C890="","",VLOOKUP(C890,categoria_proveedor[#ALL],2,0))</f>
        <v/>
      </c>
    </row>
    <row r="891">
      <c r="A891" s="21"/>
      <c r="B891" s="21"/>
      <c r="C891" s="21"/>
      <c r="D891" s="21"/>
      <c r="E891" s="21"/>
      <c r="F891" s="21"/>
      <c r="G891" s="21" t="str">
        <f>IF(C891="","",VLOOKUP(C891,categoria_proveedor[#ALL],2,0))</f>
        <v/>
      </c>
    </row>
    <row r="892">
      <c r="A892" s="21"/>
      <c r="B892" s="21"/>
      <c r="C892" s="21"/>
      <c r="D892" s="21"/>
      <c r="E892" s="21"/>
      <c r="F892" s="21"/>
      <c r="G892" s="21" t="str">
        <f>IF(C892="","",VLOOKUP(C892,categoria_proveedor[#ALL],2,0))</f>
        <v/>
      </c>
    </row>
    <row r="893">
      <c r="A893" s="21"/>
      <c r="B893" s="21"/>
      <c r="C893" s="21"/>
      <c r="D893" s="21"/>
      <c r="E893" s="21"/>
      <c r="F893" s="21"/>
      <c r="G893" s="21" t="str">
        <f>IF(C893="","",VLOOKUP(C893,categoria_proveedor[#ALL],2,0))</f>
        <v/>
      </c>
    </row>
    <row r="894">
      <c r="A894" s="21"/>
      <c r="B894" s="21"/>
      <c r="C894" s="21"/>
      <c r="D894" s="21"/>
      <c r="E894" s="21"/>
      <c r="F894" s="21"/>
      <c r="G894" s="21" t="str">
        <f>IF(C894="","",VLOOKUP(C894,categoria_proveedor[#ALL],2,0))</f>
        <v/>
      </c>
    </row>
    <row r="895">
      <c r="A895" s="21"/>
      <c r="B895" s="21"/>
      <c r="C895" s="21"/>
      <c r="D895" s="21"/>
      <c r="E895" s="21"/>
      <c r="F895" s="21"/>
      <c r="G895" s="21" t="str">
        <f>IF(C895="","",VLOOKUP(C895,categoria_proveedor[#ALL],2,0))</f>
        <v/>
      </c>
    </row>
    <row r="896">
      <c r="A896" s="21"/>
      <c r="B896" s="21"/>
      <c r="C896" s="21"/>
      <c r="D896" s="21"/>
      <c r="E896" s="21"/>
      <c r="F896" s="21"/>
      <c r="G896" s="21" t="str">
        <f>IF(C896="","",VLOOKUP(C896,categoria_proveedor[#ALL],2,0))</f>
        <v/>
      </c>
    </row>
    <row r="897">
      <c r="A897" s="21"/>
      <c r="B897" s="21"/>
      <c r="C897" s="21"/>
      <c r="D897" s="21"/>
      <c r="E897" s="21"/>
      <c r="F897" s="21"/>
      <c r="G897" s="21" t="str">
        <f>IF(C897="","",VLOOKUP(C897,categoria_proveedor[#ALL],2,0))</f>
        <v/>
      </c>
    </row>
    <row r="898">
      <c r="A898" s="21"/>
      <c r="B898" s="21"/>
      <c r="C898" s="21"/>
      <c r="D898" s="21"/>
      <c r="E898" s="21"/>
      <c r="F898" s="21"/>
      <c r="G898" s="21" t="str">
        <f>IF(C898="","",VLOOKUP(C898,categoria_proveedor[#ALL],2,0))</f>
        <v/>
      </c>
    </row>
    <row r="899">
      <c r="A899" s="21"/>
      <c r="B899" s="21"/>
      <c r="C899" s="21"/>
      <c r="D899" s="21"/>
      <c r="E899" s="21"/>
      <c r="F899" s="21"/>
      <c r="G899" s="21" t="str">
        <f>IF(C899="","",VLOOKUP(C899,categoria_proveedor[#ALL],2,0))</f>
        <v/>
      </c>
    </row>
    <row r="900">
      <c r="A900" s="21"/>
      <c r="B900" s="21"/>
      <c r="C900" s="21"/>
      <c r="D900" s="21"/>
      <c r="E900" s="21"/>
      <c r="F900" s="21"/>
      <c r="G900" s="21" t="str">
        <f>IF(C900="","",VLOOKUP(C900,categoria_proveedor[#ALL],2,0))</f>
        <v/>
      </c>
    </row>
    <row r="901">
      <c r="A901" s="21"/>
      <c r="B901" s="21"/>
      <c r="C901" s="21"/>
      <c r="D901" s="21"/>
      <c r="E901" s="21"/>
      <c r="F901" s="21"/>
      <c r="G901" s="21" t="str">
        <f>IF(C901="","",VLOOKUP(C901,categoria_proveedor[#ALL],2,0))</f>
        <v/>
      </c>
    </row>
    <row r="902">
      <c r="A902" s="21"/>
      <c r="B902" s="21"/>
      <c r="C902" s="21"/>
      <c r="D902" s="21"/>
      <c r="E902" s="21"/>
      <c r="F902" s="21"/>
      <c r="G902" s="21" t="str">
        <f>IF(C902="","",VLOOKUP(C902,categoria_proveedor[#ALL],2,0))</f>
        <v/>
      </c>
    </row>
    <row r="903">
      <c r="A903" s="21"/>
      <c r="B903" s="21"/>
      <c r="C903" s="21"/>
      <c r="D903" s="21"/>
      <c r="E903" s="21"/>
      <c r="F903" s="21"/>
      <c r="G903" s="21" t="str">
        <f>IF(C903="","",VLOOKUP(C903,categoria_proveedor[#ALL],2,0))</f>
        <v/>
      </c>
    </row>
    <row r="904">
      <c r="A904" s="21"/>
      <c r="B904" s="21"/>
      <c r="C904" s="21"/>
      <c r="D904" s="21"/>
      <c r="E904" s="21"/>
      <c r="F904" s="21"/>
      <c r="G904" s="21" t="str">
        <f>IF(C904="","",VLOOKUP(C904,categoria_proveedor[#ALL],2,0))</f>
        <v/>
      </c>
    </row>
    <row r="905">
      <c r="A905" s="21"/>
      <c r="B905" s="21"/>
      <c r="C905" s="21"/>
      <c r="D905" s="21"/>
      <c r="E905" s="21"/>
      <c r="F905" s="21"/>
      <c r="G905" s="21" t="str">
        <f>IF(C905="","",VLOOKUP(C905,categoria_proveedor[#ALL],2,0))</f>
        <v/>
      </c>
    </row>
    <row r="906">
      <c r="A906" s="21"/>
      <c r="B906" s="21"/>
      <c r="C906" s="21"/>
      <c r="D906" s="21"/>
      <c r="E906" s="21"/>
      <c r="F906" s="21"/>
      <c r="G906" s="21" t="str">
        <f>IF(C906="","",VLOOKUP(C906,categoria_proveedor[#ALL],2,0))</f>
        <v/>
      </c>
    </row>
    <row r="907">
      <c r="A907" s="21"/>
      <c r="B907" s="21"/>
      <c r="C907" s="21"/>
      <c r="D907" s="21"/>
      <c r="E907" s="21"/>
      <c r="F907" s="21"/>
      <c r="G907" s="21" t="str">
        <f>IF(C907="","",VLOOKUP(C907,categoria_proveedor[#ALL],2,0))</f>
        <v/>
      </c>
    </row>
    <row r="908">
      <c r="A908" s="21"/>
      <c r="B908" s="21"/>
      <c r="C908" s="21"/>
      <c r="D908" s="21"/>
      <c r="E908" s="21"/>
      <c r="F908" s="21"/>
      <c r="G908" s="21" t="str">
        <f>IF(C908="","",VLOOKUP(C908,categoria_proveedor[#ALL],2,0))</f>
        <v/>
      </c>
    </row>
    <row r="909">
      <c r="A909" s="21"/>
      <c r="B909" s="21"/>
      <c r="C909" s="21"/>
      <c r="D909" s="21"/>
      <c r="E909" s="21"/>
      <c r="F909" s="21"/>
      <c r="G909" s="21" t="str">
        <f>IF(C909="","",VLOOKUP(C909,categoria_proveedor[#ALL],2,0))</f>
        <v/>
      </c>
    </row>
    <row r="910">
      <c r="A910" s="21"/>
      <c r="B910" s="21"/>
      <c r="C910" s="21"/>
      <c r="D910" s="21"/>
      <c r="E910" s="21"/>
      <c r="F910" s="21"/>
      <c r="G910" s="21" t="str">
        <f>IF(C910="","",VLOOKUP(C910,categoria_proveedor[#ALL],2,0))</f>
        <v/>
      </c>
    </row>
    <row r="911">
      <c r="A911" s="21"/>
      <c r="B911" s="21"/>
      <c r="C911" s="21"/>
      <c r="D911" s="21"/>
      <c r="E911" s="21"/>
      <c r="F911" s="21"/>
      <c r="G911" s="21" t="str">
        <f>IF(C911="","",VLOOKUP(C911,categoria_proveedor[#ALL],2,0))</f>
        <v/>
      </c>
    </row>
    <row r="912">
      <c r="A912" s="21"/>
      <c r="B912" s="21"/>
      <c r="C912" s="21"/>
      <c r="D912" s="21"/>
      <c r="E912" s="21"/>
      <c r="F912" s="21"/>
      <c r="G912" s="21" t="str">
        <f>IF(C912="","",VLOOKUP(C912,categoria_proveedor[#ALL],2,0))</f>
        <v/>
      </c>
    </row>
    <row r="913">
      <c r="A913" s="21"/>
      <c r="B913" s="21"/>
      <c r="C913" s="21"/>
      <c r="D913" s="21"/>
      <c r="E913" s="21"/>
      <c r="F913" s="21"/>
      <c r="G913" s="21" t="str">
        <f>IF(C913="","",VLOOKUP(C913,categoria_proveedor[#ALL],2,0))</f>
        <v/>
      </c>
    </row>
    <row r="914">
      <c r="A914" s="21"/>
      <c r="B914" s="21"/>
      <c r="C914" s="21"/>
      <c r="D914" s="21"/>
      <c r="E914" s="21"/>
      <c r="F914" s="21"/>
      <c r="G914" s="21" t="str">
        <f>IF(C914="","",VLOOKUP(C914,categoria_proveedor[#ALL],2,0))</f>
        <v/>
      </c>
    </row>
    <row r="915">
      <c r="A915" s="21"/>
      <c r="B915" s="21"/>
      <c r="C915" s="21"/>
      <c r="D915" s="21"/>
      <c r="E915" s="21"/>
      <c r="F915" s="21"/>
      <c r="G915" s="21" t="str">
        <f>IF(C915="","",VLOOKUP(C915,categoria_proveedor[#ALL],2,0))</f>
        <v/>
      </c>
    </row>
    <row r="916">
      <c r="A916" s="21"/>
      <c r="B916" s="21"/>
      <c r="C916" s="21"/>
      <c r="D916" s="21"/>
      <c r="E916" s="21"/>
      <c r="F916" s="21"/>
      <c r="G916" s="21" t="str">
        <f>IF(C916="","",VLOOKUP(C916,categoria_proveedor[#ALL],2,0))</f>
        <v/>
      </c>
    </row>
    <row r="917">
      <c r="A917" s="21"/>
      <c r="B917" s="21"/>
      <c r="C917" s="21"/>
      <c r="D917" s="21"/>
      <c r="E917" s="21"/>
      <c r="F917" s="21"/>
      <c r="G917" s="21" t="str">
        <f>IF(C917="","",VLOOKUP(C917,categoria_proveedor[#ALL],2,0))</f>
        <v/>
      </c>
    </row>
    <row r="918">
      <c r="A918" s="21"/>
      <c r="B918" s="21"/>
      <c r="C918" s="21"/>
      <c r="D918" s="21"/>
      <c r="E918" s="21"/>
      <c r="F918" s="21"/>
      <c r="G918" s="21" t="str">
        <f>IF(C918="","",VLOOKUP(C918,categoria_proveedor[#ALL],2,0))</f>
        <v/>
      </c>
    </row>
    <row r="919">
      <c r="A919" s="21"/>
      <c r="B919" s="21"/>
      <c r="C919" s="21"/>
      <c r="D919" s="21"/>
      <c r="E919" s="21"/>
      <c r="F919" s="21"/>
      <c r="G919" s="21" t="str">
        <f>IF(C919="","",VLOOKUP(C919,categoria_proveedor[#ALL],2,0))</f>
        <v/>
      </c>
    </row>
    <row r="920">
      <c r="A920" s="21"/>
      <c r="B920" s="21"/>
      <c r="C920" s="21"/>
      <c r="D920" s="21"/>
      <c r="E920" s="21"/>
      <c r="F920" s="21"/>
      <c r="G920" s="21" t="str">
        <f>IF(C920="","",VLOOKUP(C920,categoria_proveedor[#ALL],2,0))</f>
        <v/>
      </c>
    </row>
    <row r="921">
      <c r="A921" s="21"/>
      <c r="B921" s="21"/>
      <c r="C921" s="21"/>
      <c r="D921" s="21"/>
      <c r="E921" s="21"/>
      <c r="F921" s="21"/>
      <c r="G921" s="21" t="str">
        <f>IF(C921="","",VLOOKUP(C921,categoria_proveedor[#ALL],2,0))</f>
        <v/>
      </c>
    </row>
    <row r="922">
      <c r="A922" s="21"/>
      <c r="B922" s="21"/>
      <c r="C922" s="21"/>
      <c r="D922" s="21"/>
      <c r="E922" s="21"/>
      <c r="F922" s="21"/>
      <c r="G922" s="21" t="str">
        <f>IF(C922="","",VLOOKUP(C922,categoria_proveedor[#ALL],2,0))</f>
        <v/>
      </c>
    </row>
    <row r="923">
      <c r="A923" s="21"/>
      <c r="B923" s="21"/>
      <c r="C923" s="21"/>
      <c r="D923" s="21"/>
      <c r="E923" s="21"/>
      <c r="F923" s="21"/>
      <c r="G923" s="21" t="str">
        <f>IF(C923="","",VLOOKUP(C923,categoria_proveedor[#ALL],2,0))</f>
        <v/>
      </c>
    </row>
    <row r="924">
      <c r="A924" s="21"/>
      <c r="B924" s="21"/>
      <c r="C924" s="21"/>
      <c r="D924" s="21"/>
      <c r="E924" s="21"/>
      <c r="F924" s="21"/>
      <c r="G924" s="21" t="str">
        <f>IF(C924="","",VLOOKUP(C924,categoria_proveedor[#ALL],2,0))</f>
        <v/>
      </c>
    </row>
    <row r="925">
      <c r="A925" s="21"/>
      <c r="B925" s="21"/>
      <c r="C925" s="21"/>
      <c r="D925" s="21"/>
      <c r="E925" s="21"/>
      <c r="F925" s="21"/>
      <c r="G925" s="21" t="str">
        <f>IF(C925="","",VLOOKUP(C925,categoria_proveedor[#ALL],2,0))</f>
        <v/>
      </c>
    </row>
    <row r="926">
      <c r="A926" s="21"/>
      <c r="B926" s="21"/>
      <c r="C926" s="21"/>
      <c r="D926" s="21"/>
      <c r="E926" s="21"/>
      <c r="F926" s="21"/>
      <c r="G926" s="21" t="str">
        <f>IF(C926="","",VLOOKUP(C926,categoria_proveedor[#ALL],2,0))</f>
        <v/>
      </c>
    </row>
    <row r="927">
      <c r="A927" s="21"/>
      <c r="B927" s="21"/>
      <c r="C927" s="21"/>
      <c r="D927" s="21"/>
      <c r="E927" s="21"/>
      <c r="F927" s="21"/>
      <c r="G927" s="21" t="str">
        <f>IF(C927="","",VLOOKUP(C927,categoria_proveedor[#ALL],2,0))</f>
        <v/>
      </c>
    </row>
    <row r="928">
      <c r="A928" s="21"/>
      <c r="B928" s="21"/>
      <c r="C928" s="21"/>
      <c r="D928" s="21"/>
      <c r="E928" s="21"/>
      <c r="F928" s="21"/>
      <c r="G928" s="21" t="str">
        <f>IF(C928="","",VLOOKUP(C928,categoria_proveedor[#ALL],2,0))</f>
        <v/>
      </c>
    </row>
    <row r="929">
      <c r="A929" s="21"/>
      <c r="B929" s="21"/>
      <c r="C929" s="21"/>
      <c r="D929" s="21"/>
      <c r="E929" s="21"/>
      <c r="F929" s="21"/>
      <c r="G929" s="21" t="str">
        <f>IF(C929="","",VLOOKUP(C929,categoria_proveedor[#ALL],2,0))</f>
        <v/>
      </c>
    </row>
    <row r="930">
      <c r="A930" s="21"/>
      <c r="B930" s="21"/>
      <c r="C930" s="21"/>
      <c r="D930" s="21"/>
      <c r="E930" s="21"/>
      <c r="F930" s="21"/>
      <c r="G930" s="21" t="str">
        <f>IF(C930="","",VLOOKUP(C930,categoria_proveedor[#ALL],2,0))</f>
        <v/>
      </c>
    </row>
    <row r="931">
      <c r="A931" s="21"/>
      <c r="B931" s="21"/>
      <c r="C931" s="21"/>
      <c r="D931" s="21"/>
      <c r="E931" s="21"/>
      <c r="F931" s="21"/>
      <c r="G931" s="21" t="str">
        <f>IF(C931="","",VLOOKUP(C931,categoria_proveedor[#ALL],2,0))</f>
        <v/>
      </c>
    </row>
    <row r="932">
      <c r="A932" s="21"/>
      <c r="B932" s="21"/>
      <c r="C932" s="21"/>
      <c r="D932" s="21"/>
      <c r="E932" s="21"/>
      <c r="F932" s="21"/>
      <c r="G932" s="21" t="str">
        <f>IF(C932="","",VLOOKUP(C932,categoria_proveedor[#ALL],2,0))</f>
        <v/>
      </c>
    </row>
    <row r="933">
      <c r="A933" s="21"/>
      <c r="B933" s="21"/>
      <c r="C933" s="21"/>
      <c r="D933" s="21"/>
      <c r="E933" s="21"/>
      <c r="F933" s="21"/>
      <c r="G933" s="21" t="str">
        <f>IF(C933="","",VLOOKUP(C933,categoria_proveedor[#ALL],2,0))</f>
        <v/>
      </c>
    </row>
    <row r="934">
      <c r="A934" s="21"/>
      <c r="B934" s="21"/>
      <c r="C934" s="21"/>
      <c r="D934" s="21"/>
      <c r="E934" s="21"/>
      <c r="F934" s="21"/>
      <c r="G934" s="21" t="str">
        <f>IF(C934="","",VLOOKUP(C934,categoria_proveedor[#ALL],2,0))</f>
        <v/>
      </c>
    </row>
    <row r="935">
      <c r="A935" s="21"/>
      <c r="B935" s="21"/>
      <c r="C935" s="21"/>
      <c r="D935" s="21"/>
      <c r="E935" s="21"/>
      <c r="F935" s="21"/>
      <c r="G935" s="21" t="str">
        <f>IF(C935="","",VLOOKUP(C935,categoria_proveedor[#ALL],2,0))</f>
        <v/>
      </c>
    </row>
    <row r="936">
      <c r="A936" s="21"/>
      <c r="B936" s="21"/>
      <c r="C936" s="21"/>
      <c r="D936" s="21"/>
      <c r="E936" s="21"/>
      <c r="F936" s="21"/>
      <c r="G936" s="21" t="str">
        <f>IF(C936="","",VLOOKUP(C936,categoria_proveedor[#ALL],2,0))</f>
        <v/>
      </c>
    </row>
    <row r="937">
      <c r="A937" s="21"/>
      <c r="B937" s="21"/>
      <c r="C937" s="21"/>
      <c r="D937" s="21"/>
      <c r="E937" s="21"/>
      <c r="F937" s="21"/>
      <c r="G937" s="21" t="str">
        <f>IF(C937="","",VLOOKUP(C937,categoria_proveedor[#ALL],2,0))</f>
        <v/>
      </c>
    </row>
    <row r="938">
      <c r="A938" s="21"/>
      <c r="B938" s="21"/>
      <c r="C938" s="21"/>
      <c r="D938" s="21"/>
      <c r="E938" s="21"/>
      <c r="F938" s="21"/>
      <c r="G938" s="21" t="str">
        <f>IF(C938="","",VLOOKUP(C938,categoria_proveedor[#ALL],2,0))</f>
        <v/>
      </c>
    </row>
    <row r="939">
      <c r="A939" s="21"/>
      <c r="B939" s="21"/>
      <c r="C939" s="21"/>
      <c r="D939" s="21"/>
      <c r="E939" s="21"/>
      <c r="F939" s="21"/>
      <c r="G939" s="21" t="str">
        <f>IF(C939="","",VLOOKUP(C939,categoria_proveedor[#ALL],2,0))</f>
        <v/>
      </c>
    </row>
    <row r="940">
      <c r="A940" s="21"/>
      <c r="B940" s="21"/>
      <c r="C940" s="21"/>
      <c r="D940" s="21"/>
      <c r="E940" s="21"/>
      <c r="F940" s="21"/>
      <c r="G940" s="21" t="str">
        <f>IF(C940="","",VLOOKUP(C940,categoria_proveedor[#ALL],2,0))</f>
        <v/>
      </c>
    </row>
    <row r="941">
      <c r="A941" s="21"/>
      <c r="B941" s="21"/>
      <c r="C941" s="21"/>
      <c r="D941" s="21"/>
      <c r="E941" s="21"/>
      <c r="F941" s="21"/>
      <c r="G941" s="21" t="str">
        <f>IF(C941="","",VLOOKUP(C941,categoria_proveedor[#ALL],2,0))</f>
        <v/>
      </c>
    </row>
    <row r="942">
      <c r="A942" s="21"/>
      <c r="B942" s="21"/>
      <c r="C942" s="21"/>
      <c r="D942" s="21"/>
      <c r="E942" s="21"/>
      <c r="F942" s="21"/>
      <c r="G942" s="21" t="str">
        <f>IF(C942="","",VLOOKUP(C942,categoria_proveedor[#ALL],2,0))</f>
        <v/>
      </c>
    </row>
    <row r="943">
      <c r="A943" s="21"/>
      <c r="B943" s="21"/>
      <c r="C943" s="21"/>
      <c r="D943" s="21"/>
      <c r="E943" s="21"/>
      <c r="F943" s="21"/>
      <c r="G943" s="21" t="str">
        <f>IF(C943="","",VLOOKUP(C943,categoria_proveedor[#ALL],2,0))</f>
        <v/>
      </c>
    </row>
    <row r="944">
      <c r="A944" s="21"/>
      <c r="B944" s="21"/>
      <c r="C944" s="21"/>
      <c r="D944" s="21"/>
      <c r="E944" s="21"/>
      <c r="F944" s="21"/>
      <c r="G944" s="21" t="str">
        <f>IF(C944="","",VLOOKUP(C944,categoria_proveedor[#ALL],2,0))</f>
        <v/>
      </c>
    </row>
    <row r="945">
      <c r="A945" s="21"/>
      <c r="B945" s="21"/>
      <c r="C945" s="21"/>
      <c r="D945" s="21"/>
      <c r="E945" s="21"/>
      <c r="F945" s="21"/>
      <c r="G945" s="21" t="str">
        <f>IF(C945="","",VLOOKUP(C945,categoria_proveedor[#ALL],2,0))</f>
        <v/>
      </c>
    </row>
    <row r="946">
      <c r="A946" s="21"/>
      <c r="B946" s="21"/>
      <c r="C946" s="21"/>
      <c r="D946" s="21"/>
      <c r="E946" s="21"/>
      <c r="F946" s="21"/>
      <c r="G946" s="21" t="str">
        <f>IF(C946="","",VLOOKUP(C946,categoria_proveedor[#ALL],2,0))</f>
        <v/>
      </c>
    </row>
    <row r="947">
      <c r="A947" s="21"/>
      <c r="B947" s="21"/>
      <c r="C947" s="21"/>
      <c r="D947" s="21"/>
      <c r="E947" s="21"/>
      <c r="F947" s="21"/>
      <c r="G947" s="21" t="str">
        <f>IF(C947="","",VLOOKUP(C947,categoria_proveedor[#ALL],2,0))</f>
        <v/>
      </c>
    </row>
    <row r="948">
      <c r="A948" s="21"/>
      <c r="B948" s="21"/>
      <c r="C948" s="21"/>
      <c r="D948" s="21"/>
      <c r="E948" s="21"/>
      <c r="F948" s="21"/>
      <c r="G948" s="21" t="str">
        <f>IF(C948="","",VLOOKUP(C948,categoria_proveedor[#ALL],2,0))</f>
        <v/>
      </c>
    </row>
    <row r="949">
      <c r="A949" s="21"/>
      <c r="B949" s="21"/>
      <c r="C949" s="21"/>
      <c r="D949" s="21"/>
      <c r="E949" s="21"/>
      <c r="F949" s="21"/>
      <c r="G949" s="21" t="str">
        <f>IF(C949="","",VLOOKUP(C949,categoria_proveedor[#ALL],2,0))</f>
        <v/>
      </c>
    </row>
    <row r="950">
      <c r="A950" s="21"/>
      <c r="B950" s="21"/>
      <c r="C950" s="21"/>
      <c r="D950" s="21"/>
      <c r="E950" s="21"/>
      <c r="F950" s="21"/>
      <c r="G950" s="21" t="str">
        <f>IF(C950="","",VLOOKUP(C950,categoria_proveedor[#ALL],2,0))</f>
        <v/>
      </c>
    </row>
    <row r="951">
      <c r="A951" s="21"/>
      <c r="B951" s="21"/>
      <c r="C951" s="21"/>
      <c r="D951" s="21"/>
      <c r="E951" s="21"/>
      <c r="F951" s="21"/>
      <c r="G951" s="21" t="str">
        <f>IF(C951="","",VLOOKUP(C951,categoria_proveedor[#ALL],2,0))</f>
        <v/>
      </c>
    </row>
    <row r="952">
      <c r="A952" s="21"/>
      <c r="B952" s="21"/>
      <c r="C952" s="21"/>
      <c r="D952" s="21"/>
      <c r="E952" s="21"/>
      <c r="F952" s="21"/>
      <c r="G952" s="21" t="str">
        <f>IF(C952="","",VLOOKUP(C952,categoria_proveedor[#ALL],2,0))</f>
        <v/>
      </c>
    </row>
    <row r="953">
      <c r="A953" s="21"/>
      <c r="B953" s="21"/>
      <c r="C953" s="21"/>
      <c r="D953" s="21"/>
      <c r="E953" s="21"/>
      <c r="F953" s="21"/>
      <c r="G953" s="21" t="str">
        <f>IF(C953="","",VLOOKUP(C953,categoria_proveedor[#ALL],2,0))</f>
        <v/>
      </c>
    </row>
    <row r="954">
      <c r="A954" s="21"/>
      <c r="B954" s="21"/>
      <c r="C954" s="21"/>
      <c r="D954" s="21"/>
      <c r="E954" s="21"/>
      <c r="F954" s="21"/>
      <c r="G954" s="21" t="str">
        <f>IF(C954="","",VLOOKUP(C954,categoria_proveedor[#ALL],2,0))</f>
        <v/>
      </c>
    </row>
    <row r="955">
      <c r="A955" s="21"/>
      <c r="B955" s="21"/>
      <c r="C955" s="21"/>
      <c r="D955" s="21"/>
      <c r="E955" s="21"/>
      <c r="F955" s="21"/>
      <c r="G955" s="21" t="str">
        <f>IF(C955="","",VLOOKUP(C955,categoria_proveedor[#ALL],2,0))</f>
        <v/>
      </c>
    </row>
    <row r="956">
      <c r="A956" s="21"/>
      <c r="B956" s="21"/>
      <c r="C956" s="21"/>
      <c r="D956" s="21"/>
      <c r="E956" s="21"/>
      <c r="F956" s="21"/>
      <c r="G956" s="21" t="str">
        <f>IF(C956="","",VLOOKUP(C956,categoria_proveedor[#ALL],2,0))</f>
        <v/>
      </c>
    </row>
    <row r="957">
      <c r="A957" s="21"/>
      <c r="B957" s="21"/>
      <c r="C957" s="21"/>
      <c r="D957" s="21"/>
      <c r="E957" s="21"/>
      <c r="F957" s="21"/>
      <c r="G957" s="21" t="str">
        <f>IF(C957="","",VLOOKUP(C957,categoria_proveedor[#ALL],2,0))</f>
        <v/>
      </c>
    </row>
    <row r="958">
      <c r="A958" s="21"/>
      <c r="B958" s="21"/>
      <c r="C958" s="21"/>
      <c r="D958" s="21"/>
      <c r="E958" s="21"/>
      <c r="F958" s="21"/>
      <c r="G958" s="21" t="str">
        <f>IF(C958="","",VLOOKUP(C958,categoria_proveedor[#ALL],2,0))</f>
        <v/>
      </c>
    </row>
    <row r="959">
      <c r="A959" s="21"/>
      <c r="B959" s="21"/>
      <c r="C959" s="21"/>
      <c r="D959" s="21"/>
      <c r="E959" s="21"/>
      <c r="F959" s="21"/>
      <c r="G959" s="21" t="str">
        <f>IF(C959="","",VLOOKUP(C959,categoria_proveedor[#ALL],2,0))</f>
        <v/>
      </c>
    </row>
    <row r="960">
      <c r="A960" s="21"/>
      <c r="B960" s="21"/>
      <c r="C960" s="21"/>
      <c r="D960" s="21"/>
      <c r="E960" s="21"/>
      <c r="F960" s="21"/>
      <c r="G960" s="21" t="str">
        <f>IF(C960="","",VLOOKUP(C960,categoria_proveedor[#ALL],2,0))</f>
        <v/>
      </c>
    </row>
    <row r="961">
      <c r="A961" s="21"/>
      <c r="B961" s="21"/>
      <c r="C961" s="21"/>
      <c r="D961" s="21"/>
      <c r="E961" s="21"/>
      <c r="F961" s="21"/>
      <c r="G961" s="21" t="str">
        <f>IF(C961="","",VLOOKUP(C961,categoria_proveedor[#ALL],2,0))</f>
        <v/>
      </c>
    </row>
    <row r="962">
      <c r="A962" s="21"/>
      <c r="B962" s="21"/>
      <c r="C962" s="21"/>
      <c r="D962" s="21"/>
      <c r="E962" s="21"/>
      <c r="F962" s="21"/>
      <c r="G962" s="21" t="str">
        <f>IF(C962="","",VLOOKUP(C962,categoria_proveedor[#ALL],2,0))</f>
        <v/>
      </c>
    </row>
    <row r="963">
      <c r="A963" s="21"/>
      <c r="B963" s="21"/>
      <c r="C963" s="21"/>
      <c r="D963" s="21"/>
      <c r="E963" s="21"/>
      <c r="F963" s="21"/>
      <c r="G963" s="21" t="str">
        <f>IF(C963="","",VLOOKUP(C963,categoria_proveedor[#ALL],2,0))</f>
        <v/>
      </c>
    </row>
    <row r="964">
      <c r="A964" s="21"/>
      <c r="B964" s="21"/>
      <c r="C964" s="21"/>
      <c r="D964" s="21"/>
      <c r="E964" s="21"/>
      <c r="F964" s="21"/>
      <c r="G964" s="21" t="str">
        <f>IF(C964="","",VLOOKUP(C964,categoria_proveedor[#ALL],2,0))</f>
        <v/>
      </c>
    </row>
    <row r="965">
      <c r="A965" s="21"/>
      <c r="B965" s="21"/>
      <c r="C965" s="21"/>
      <c r="D965" s="21"/>
      <c r="E965" s="21"/>
      <c r="F965" s="21"/>
      <c r="G965" s="21" t="str">
        <f>IF(C965="","",VLOOKUP(C965,categoria_proveedor[#ALL],2,0))</f>
        <v/>
      </c>
    </row>
    <row r="966">
      <c r="A966" s="21"/>
      <c r="B966" s="21"/>
      <c r="C966" s="21"/>
      <c r="D966" s="21"/>
      <c r="E966" s="21"/>
      <c r="F966" s="21"/>
      <c r="G966" s="21" t="str">
        <f>IF(C966="","",VLOOKUP(C966,categoria_proveedor[#ALL],2,0))</f>
        <v/>
      </c>
    </row>
    <row r="967">
      <c r="A967" s="21"/>
      <c r="B967" s="21"/>
      <c r="C967" s="21"/>
      <c r="D967" s="21"/>
      <c r="E967" s="21"/>
      <c r="F967" s="21"/>
      <c r="G967" s="21" t="str">
        <f>IF(C967="","",VLOOKUP(C967,categoria_proveedor[#ALL],2,0))</f>
        <v/>
      </c>
    </row>
    <row r="968">
      <c r="A968" s="21"/>
      <c r="B968" s="21"/>
      <c r="C968" s="21"/>
      <c r="D968" s="21"/>
      <c r="E968" s="21"/>
      <c r="F968" s="21"/>
      <c r="G968" s="21" t="str">
        <f>IF(C968="","",VLOOKUP(C968,categoria_proveedor[#ALL],2,0))</f>
        <v/>
      </c>
    </row>
    <row r="969">
      <c r="A969" s="21"/>
      <c r="B969" s="21"/>
      <c r="C969" s="21"/>
      <c r="D969" s="21"/>
      <c r="E969" s="21"/>
      <c r="F969" s="21"/>
      <c r="G969" s="21" t="str">
        <f>IF(C969="","",VLOOKUP(C969,categoria_proveedor[#ALL],2,0))</f>
        <v/>
      </c>
    </row>
    <row r="970">
      <c r="A970" s="21"/>
      <c r="B970" s="21"/>
      <c r="C970" s="21"/>
      <c r="D970" s="21"/>
      <c r="E970" s="21"/>
      <c r="F970" s="21"/>
      <c r="G970" s="21" t="str">
        <f>IF(C970="","",VLOOKUP(C970,categoria_proveedor[#ALL],2,0))</f>
        <v/>
      </c>
    </row>
    <row r="971">
      <c r="A971" s="21"/>
      <c r="B971" s="21"/>
      <c r="C971" s="21"/>
      <c r="D971" s="21"/>
      <c r="E971" s="21"/>
      <c r="F971" s="21"/>
      <c r="G971" s="21" t="str">
        <f>IF(C971="","",VLOOKUP(C971,categoria_proveedor[#ALL],2,0))</f>
        <v/>
      </c>
    </row>
    <row r="972">
      <c r="A972" s="21"/>
      <c r="B972" s="21"/>
      <c r="C972" s="21"/>
      <c r="D972" s="21"/>
      <c r="E972" s="21"/>
      <c r="F972" s="21"/>
      <c r="G972" s="21" t="str">
        <f>IF(C972="","",VLOOKUP(C972,categoria_proveedor[#ALL],2,0))</f>
        <v/>
      </c>
    </row>
    <row r="973">
      <c r="A973" s="21"/>
      <c r="B973" s="21"/>
      <c r="C973" s="21"/>
      <c r="D973" s="21"/>
      <c r="E973" s="21"/>
      <c r="F973" s="21"/>
      <c r="G973" s="21" t="str">
        <f>IF(C973="","",VLOOKUP(C973,categoria_proveedor[#ALL],2,0))</f>
        <v/>
      </c>
    </row>
    <row r="974">
      <c r="A974" s="21"/>
      <c r="B974" s="21"/>
      <c r="C974" s="21"/>
      <c r="D974" s="21"/>
      <c r="E974" s="21"/>
      <c r="F974" s="21"/>
      <c r="G974" s="21" t="str">
        <f>IF(C974="","",VLOOKUP(C974,categoria_proveedor[#ALL],2,0))</f>
        <v/>
      </c>
    </row>
    <row r="975">
      <c r="A975" s="21"/>
      <c r="B975" s="21"/>
      <c r="C975" s="21"/>
      <c r="D975" s="21"/>
      <c r="E975" s="21"/>
      <c r="F975" s="21"/>
      <c r="G975" s="21" t="str">
        <f>IF(C975="","",VLOOKUP(C975,categoria_proveedor[#ALL],2,0))</f>
        <v/>
      </c>
    </row>
    <row r="976">
      <c r="A976" s="21"/>
      <c r="B976" s="21"/>
      <c r="C976" s="21"/>
      <c r="D976" s="21"/>
      <c r="E976" s="21"/>
      <c r="F976" s="21"/>
      <c r="G976" s="21" t="str">
        <f>IF(C976="","",VLOOKUP(C976,categoria_proveedor[#ALL],2,0))</f>
        <v/>
      </c>
    </row>
    <row r="977">
      <c r="A977" s="21"/>
      <c r="B977" s="21"/>
      <c r="C977" s="21"/>
      <c r="D977" s="21"/>
      <c r="E977" s="21"/>
      <c r="F977" s="21"/>
      <c r="G977" s="21" t="str">
        <f>IF(C977="","",VLOOKUP(C977,categoria_proveedor[#ALL],2,0))</f>
        <v/>
      </c>
    </row>
    <row r="978">
      <c r="A978" s="21"/>
      <c r="B978" s="21"/>
      <c r="C978" s="21"/>
      <c r="D978" s="21"/>
      <c r="E978" s="21"/>
      <c r="F978" s="21"/>
      <c r="G978" s="21" t="str">
        <f>IF(C978="","",VLOOKUP(C978,categoria_proveedor[#ALL],2,0))</f>
        <v/>
      </c>
    </row>
    <row r="979">
      <c r="A979" s="21"/>
      <c r="B979" s="21"/>
      <c r="C979" s="21"/>
      <c r="D979" s="21"/>
      <c r="E979" s="21"/>
      <c r="F979" s="21"/>
      <c r="G979" s="21" t="str">
        <f>IF(C979="","",VLOOKUP(C979,categoria_proveedor[#ALL],2,0))</f>
        <v/>
      </c>
    </row>
    <row r="980">
      <c r="A980" s="21"/>
      <c r="B980" s="21"/>
      <c r="C980" s="21"/>
      <c r="D980" s="21"/>
      <c r="E980" s="21"/>
      <c r="F980" s="21"/>
      <c r="G980" s="21" t="str">
        <f>IF(C980="","",VLOOKUP(C980,categoria_proveedor[#ALL],2,0))</f>
        <v/>
      </c>
    </row>
    <row r="981">
      <c r="A981" s="21"/>
      <c r="B981" s="21"/>
      <c r="C981" s="21"/>
      <c r="D981" s="21"/>
      <c r="E981" s="21"/>
      <c r="F981" s="21"/>
      <c r="G981" s="21" t="str">
        <f>IF(C981="","",VLOOKUP(C981,categoria_proveedor[#ALL],2,0))</f>
        <v/>
      </c>
    </row>
    <row r="982">
      <c r="A982" s="21"/>
      <c r="B982" s="21"/>
      <c r="C982" s="21"/>
      <c r="D982" s="21"/>
      <c r="E982" s="21"/>
      <c r="F982" s="21"/>
      <c r="G982" s="21" t="str">
        <f>IF(C982="","",VLOOKUP(C982,categoria_proveedor[#ALL],2,0))</f>
        <v/>
      </c>
    </row>
    <row r="983">
      <c r="A983" s="21"/>
      <c r="B983" s="21"/>
      <c r="C983" s="21"/>
      <c r="D983" s="21"/>
      <c r="E983" s="21"/>
      <c r="F983" s="21"/>
      <c r="G983" s="21" t="str">
        <f>IF(C983="","",VLOOKUP(C983,categoria_proveedor[#ALL],2,0))</f>
        <v/>
      </c>
    </row>
    <row r="984">
      <c r="A984" s="21"/>
      <c r="B984" s="21"/>
      <c r="C984" s="21"/>
      <c r="D984" s="21"/>
      <c r="E984" s="21"/>
      <c r="F984" s="21"/>
      <c r="G984" s="21" t="str">
        <f>IF(C984="","",VLOOKUP(C984,categoria_proveedor[#ALL],2,0))</f>
        <v/>
      </c>
    </row>
    <row r="985">
      <c r="A985" s="21"/>
      <c r="B985" s="21"/>
      <c r="C985" s="21"/>
      <c r="D985" s="21"/>
      <c r="E985" s="21"/>
      <c r="F985" s="21"/>
      <c r="G985" s="21" t="str">
        <f>IF(C985="","",VLOOKUP(C985,categoria_proveedor[#ALL],2,0))</f>
        <v/>
      </c>
    </row>
    <row r="986">
      <c r="A986" s="21"/>
      <c r="B986" s="21"/>
      <c r="C986" s="21"/>
      <c r="D986" s="21"/>
      <c r="E986" s="21"/>
      <c r="F986" s="21"/>
      <c r="G986" s="21" t="str">
        <f>IF(C986="","",VLOOKUP(C986,categoria_proveedor[#ALL],2,0))</f>
        <v/>
      </c>
    </row>
    <row r="987">
      <c r="A987" s="21"/>
      <c r="B987" s="21"/>
      <c r="C987" s="21"/>
      <c r="D987" s="21"/>
      <c r="E987" s="21"/>
      <c r="F987" s="21"/>
      <c r="G987" s="21" t="str">
        <f>IF(C987="","",VLOOKUP(C987,categoria_proveedor[#ALL],2,0))</f>
        <v/>
      </c>
    </row>
    <row r="988">
      <c r="A988" s="21"/>
      <c r="B988" s="21"/>
      <c r="C988" s="21"/>
      <c r="D988" s="21"/>
      <c r="E988" s="21"/>
      <c r="F988" s="21"/>
      <c r="G988" s="21" t="str">
        <f>IF(C988="","",VLOOKUP(C988,categoria_proveedor[#ALL],2,0))</f>
        <v/>
      </c>
    </row>
    <row r="989">
      <c r="A989" s="21"/>
      <c r="B989" s="21"/>
      <c r="C989" s="21"/>
      <c r="D989" s="21"/>
      <c r="E989" s="21"/>
      <c r="F989" s="21"/>
      <c r="G989" s="21" t="str">
        <f>IF(C989="","",VLOOKUP(C989,categoria_proveedor[#ALL],2,0))</f>
        <v/>
      </c>
    </row>
    <row r="990">
      <c r="A990" s="21"/>
      <c r="B990" s="21"/>
      <c r="C990" s="21"/>
      <c r="D990" s="21"/>
      <c r="E990" s="21"/>
      <c r="F990" s="21"/>
      <c r="G990" s="21" t="str">
        <f>IF(C990="","",VLOOKUP(C990,categoria_proveedor[#ALL],2,0))</f>
        <v/>
      </c>
    </row>
    <row r="991">
      <c r="A991" s="21"/>
      <c r="B991" s="21"/>
      <c r="C991" s="21"/>
      <c r="D991" s="21"/>
      <c r="E991" s="21"/>
      <c r="F991" s="21"/>
      <c r="G991" s="21" t="str">
        <f>IF(C991="","",VLOOKUP(C991,categoria_proveedor[#ALL],2,0))</f>
        <v/>
      </c>
    </row>
    <row r="992">
      <c r="A992" s="21"/>
      <c r="B992" s="21"/>
      <c r="C992" s="21"/>
      <c r="D992" s="21"/>
      <c r="E992" s="21"/>
      <c r="F992" s="21"/>
      <c r="G992" s="21" t="str">
        <f>IF(C992="","",VLOOKUP(C992,categoria_proveedor[#ALL],2,0))</f>
        <v/>
      </c>
    </row>
    <row r="993">
      <c r="A993" s="21"/>
      <c r="B993" s="21"/>
      <c r="C993" s="21"/>
      <c r="D993" s="21"/>
      <c r="E993" s="21"/>
      <c r="F993" s="21"/>
      <c r="G993" s="21" t="str">
        <f>IF(C993="","",VLOOKUP(C993,categoria_proveedor[#ALL],2,0))</f>
        <v/>
      </c>
    </row>
    <row r="994">
      <c r="A994" s="21"/>
      <c r="B994" s="21"/>
      <c r="C994" s="21"/>
      <c r="D994" s="21"/>
      <c r="E994" s="21"/>
      <c r="F994" s="21"/>
      <c r="G994" s="21" t="str">
        <f>IF(C994="","",VLOOKUP(C994,categoria_proveedor[#ALL],2,0))</f>
        <v/>
      </c>
    </row>
    <row r="995">
      <c r="A995" s="21"/>
      <c r="B995" s="21"/>
      <c r="C995" s="21"/>
      <c r="D995" s="21"/>
      <c r="E995" s="21"/>
      <c r="F995" s="21"/>
      <c r="G995" s="21" t="str">
        <f>IF(C995="","",VLOOKUP(C995,categoria_proveedor[#ALL],2,0))</f>
        <v/>
      </c>
    </row>
    <row r="996">
      <c r="A996" s="21"/>
      <c r="B996" s="21"/>
      <c r="C996" s="21"/>
      <c r="D996" s="21"/>
      <c r="E996" s="21"/>
      <c r="F996" s="21"/>
      <c r="G996" s="21" t="str">
        <f>IF(C996="","",VLOOKUP(C996,categoria_proveedor[#ALL],2,0))</f>
        <v/>
      </c>
    </row>
    <row r="997">
      <c r="A997" s="21"/>
      <c r="B997" s="21"/>
      <c r="C997" s="21"/>
      <c r="D997" s="21"/>
      <c r="E997" s="21"/>
      <c r="F997" s="21"/>
      <c r="G997" s="21" t="str">
        <f>IF(C997="","",VLOOKUP(C997,categoria_proveedor[#ALL],2,0))</f>
        <v/>
      </c>
    </row>
    <row r="998">
      <c r="A998" s="21"/>
      <c r="B998" s="21"/>
      <c r="C998" s="21"/>
      <c r="D998" s="21"/>
      <c r="E998" s="21"/>
      <c r="F998" s="21"/>
      <c r="G998" s="21" t="str">
        <f>IF(C998="","",VLOOKUP(C998,categoria_proveedor[#ALL],2,0))</f>
        <v/>
      </c>
    </row>
    <row r="999">
      <c r="A999" s="21"/>
      <c r="B999" s="21"/>
      <c r="C999" s="21"/>
      <c r="D999" s="21"/>
      <c r="E999" s="21"/>
      <c r="F999" s="21"/>
      <c r="G999" s="21" t="str">
        <f>IF(C999="","",VLOOKUP(C999,categoria_proveedor[#ALL],2,0))</f>
        <v/>
      </c>
    </row>
    <row r="1000">
      <c r="A1000" s="21"/>
      <c r="B1000" s="21"/>
      <c r="C1000" s="21"/>
      <c r="D1000" s="21"/>
      <c r="E1000" s="21"/>
      <c r="F1000" s="21"/>
      <c r="G1000" s="21" t="str">
        <f>IF(C1000="","",VLOOKUP(C1000,categoria_proveedor[#ALL],2,0))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tr">
        <f>IFERROR(__xludf.DUMMYFUNCTION("IMPORTRANGE(""1EmUqVBUcr7NLL1JTZAbAisj-MrqKi3tXobQyMMKEV4Q"",""Detalle Donante!A:H"")"),"id_detalle_d")</f>
        <v>id_detalle_d</v>
      </c>
      <c r="B1" s="21" t="str">
        <f>IFERROR(__xludf.DUMMYFUNCTION("""COMPUTED_VALUE"""),"id_org")</f>
        <v>id_org</v>
      </c>
      <c r="C1" s="23" t="str">
        <f>IFERROR(__xludf.DUMMYFUNCTION("""COMPUTED_VALUE"""),"fecha_alta")</f>
        <v>fecha_alta</v>
      </c>
      <c r="D1" s="21" t="str">
        <f>IFERROR(__xludf.DUMMYFUNCTION("""COMPUTED_VALUE"""),"fecha_baja")</f>
        <v>fecha_baja</v>
      </c>
      <c r="E1" s="21" t="str">
        <f>IFERROR(__xludf.DUMMYFUNCTION("""COMPUTED_VALUE"""),"Dias de Actividad")</f>
        <v>Dias de Actividad</v>
      </c>
      <c r="F1" s="21" t="str">
        <f>IFERROR(__xludf.DUMMYFUNCTION("""COMPUTED_VALUE"""),"activo")</f>
        <v>activo</v>
      </c>
      <c r="G1" s="21" t="str">
        <f>IFERROR(__xludf.DUMMYFUNCTION("""COMPUTED_VALUE"""),"id_frec")</f>
        <v>id_frec</v>
      </c>
      <c r="H1" s="22" t="str">
        <f>IFERROR(__xludf.DUMMYFUNCTION("""COMPUTED_VALUE"""),"id_tipo_d")</f>
        <v>id_tipo_d</v>
      </c>
      <c r="I1" s="22" t="s">
        <v>735</v>
      </c>
      <c r="J1" s="22" t="s">
        <v>736</v>
      </c>
      <c r="K1" s="24"/>
    </row>
    <row r="2">
      <c r="A2" s="21" t="str">
        <f>IFERROR(__xludf.DUMMYFUNCTION("""COMPUTED_VALUE"""),"1")</f>
        <v>1</v>
      </c>
      <c r="B2" s="21" t="str">
        <f>IFERROR(__xludf.DUMMYFUNCTION("""COMPUTED_VALUE"""),"69")</f>
        <v>69</v>
      </c>
      <c r="C2" s="23">
        <f>IFERROR(__xludf.DUMMYFUNCTION("""COMPUTED_VALUE"""),44838.0)</f>
        <v>44838</v>
      </c>
      <c r="D2" s="21" t="str">
        <f>IFERROR(__xludf.DUMMYFUNCTION("""COMPUTED_VALUE"""),"20/8/2024")</f>
        <v>20/8/2024</v>
      </c>
      <c r="E2" s="21">
        <f>IFERROR(__xludf.DUMMYFUNCTION("""COMPUTED_VALUE"""),686.0)</f>
        <v>686</v>
      </c>
      <c r="F2" s="21" t="str">
        <f>IFERROR(__xludf.DUMMYFUNCTION("""COMPUTED_VALUE"""),"NO")</f>
        <v>NO</v>
      </c>
      <c r="G2" s="21" t="str">
        <f>IFERROR(__xludf.DUMMYFUNCTION("""COMPUTED_VALUE"""),"2")</f>
        <v>2</v>
      </c>
      <c r="H2" s="21" t="str">
        <f>IFERROR(__xludf.DUMMYFUNCTION("""COMPUTED_VALUE"""),"1")</f>
        <v>1</v>
      </c>
      <c r="I2" s="21" t="str">
        <f>IF(G2="","",VLOOKUP(G2,frecuencia[#ALL],2,0))</f>
        <v>Bimestral</v>
      </c>
      <c r="J2" s="21" t="str">
        <f>IF(H2="","",VLOOKUP(H2,tipo_donante[#ALL],2,0))</f>
        <v>Empresa</v>
      </c>
      <c r="K2" s="24"/>
    </row>
    <row r="3">
      <c r="A3" s="21" t="str">
        <f>IFERROR(__xludf.DUMMYFUNCTION("""COMPUTED_VALUE"""),"2")</f>
        <v>2</v>
      </c>
      <c r="B3" s="21" t="str">
        <f>IFERROR(__xludf.DUMMYFUNCTION("""COMPUTED_VALUE"""),"70")</f>
        <v>70</v>
      </c>
      <c r="C3" s="23">
        <f>IFERROR(__xludf.DUMMYFUNCTION("""COMPUTED_VALUE"""),43686.0)</f>
        <v>43686</v>
      </c>
      <c r="D3" s="21" t="str">
        <f>IFERROR(__xludf.DUMMYFUNCTION("""COMPUTED_VALUE"""),"null")</f>
        <v>null</v>
      </c>
      <c r="E3" s="21">
        <f>IFERROR(__xludf.DUMMYFUNCTION("""COMPUTED_VALUE"""),1940.0)</f>
        <v>1940</v>
      </c>
      <c r="F3" s="21" t="str">
        <f>IFERROR(__xludf.DUMMYFUNCTION("""COMPUTED_VALUE"""),"SI")</f>
        <v>SI</v>
      </c>
      <c r="G3" s="21" t="str">
        <f>IFERROR(__xludf.DUMMYFUNCTION("""COMPUTED_VALUE"""),"2")</f>
        <v>2</v>
      </c>
      <c r="H3" s="21" t="str">
        <f>IFERROR(__xludf.DUMMYFUNCTION("""COMPUTED_VALUE"""),"2")</f>
        <v>2</v>
      </c>
      <c r="I3" s="21" t="str">
        <f>IF(G3="","",VLOOKUP(G3,frecuencia[#ALL],2,0))</f>
        <v>Bimestral</v>
      </c>
      <c r="J3" s="21" t="str">
        <f>IF(H3="","",VLOOKUP(H3,tipo_donante[#ALL],2,0))</f>
        <v>Estado</v>
      </c>
      <c r="K3" s="24"/>
    </row>
    <row r="4">
      <c r="A4" s="21" t="str">
        <f>IFERROR(__xludf.DUMMYFUNCTION("""COMPUTED_VALUE"""),"3")</f>
        <v>3</v>
      </c>
      <c r="B4" s="21" t="str">
        <f>IFERROR(__xludf.DUMMYFUNCTION("""COMPUTED_VALUE"""),"71")</f>
        <v>71</v>
      </c>
      <c r="C4" s="23">
        <f>IFERROR(__xludf.DUMMYFUNCTION("""COMPUTED_VALUE"""),43953.0)</f>
        <v>43953</v>
      </c>
      <c r="D4" s="21" t="str">
        <f>IFERROR(__xludf.DUMMYFUNCTION("""COMPUTED_VALUE"""),"1/7/2024")</f>
        <v>1/7/2024</v>
      </c>
      <c r="E4" s="21">
        <f>IFERROR(__xludf.DUMMYFUNCTION("""COMPUTED_VALUE"""),1521.0)</f>
        <v>1521</v>
      </c>
      <c r="F4" s="21" t="str">
        <f>IFERROR(__xludf.DUMMYFUNCTION("""COMPUTED_VALUE"""),"NO")</f>
        <v>NO</v>
      </c>
      <c r="G4" s="21" t="str">
        <f>IFERROR(__xludf.DUMMYFUNCTION("""COMPUTED_VALUE"""),"5")</f>
        <v>5</v>
      </c>
      <c r="H4" s="21" t="str">
        <f>IFERROR(__xludf.DUMMYFUNCTION("""COMPUTED_VALUE"""),"1")</f>
        <v>1</v>
      </c>
      <c r="I4" s="21" t="str">
        <f>IF(G4="","",VLOOKUP(G4,frecuencia[#ALL],2,0))</f>
        <v>Trimestral</v>
      </c>
      <c r="J4" s="21" t="str">
        <f>IF(H4="","",VLOOKUP(H4,tipo_donante[#ALL],2,0))</f>
        <v>Empresa</v>
      </c>
      <c r="K4" s="24"/>
    </row>
    <row r="5">
      <c r="A5" s="21" t="str">
        <f>IFERROR(__xludf.DUMMYFUNCTION("""COMPUTED_VALUE"""),"4")</f>
        <v>4</v>
      </c>
      <c r="B5" s="21" t="str">
        <f>IFERROR(__xludf.DUMMYFUNCTION("""COMPUTED_VALUE"""),"72")</f>
        <v>72</v>
      </c>
      <c r="C5" s="23">
        <f>IFERROR(__xludf.DUMMYFUNCTION("""COMPUTED_VALUE"""),43801.0)</f>
        <v>43801</v>
      </c>
      <c r="D5" s="21" t="str">
        <f>IFERROR(__xludf.DUMMYFUNCTION("""COMPUTED_VALUE"""),"null")</f>
        <v>null</v>
      </c>
      <c r="E5" s="21">
        <f>IFERROR(__xludf.DUMMYFUNCTION("""COMPUTED_VALUE"""),1825.0)</f>
        <v>1825</v>
      </c>
      <c r="F5" s="21" t="str">
        <f>IFERROR(__xludf.DUMMYFUNCTION("""COMPUTED_VALUE"""),"SI")</f>
        <v>SI</v>
      </c>
      <c r="G5" s="21" t="str">
        <f>IFERROR(__xludf.DUMMYFUNCTION("""COMPUTED_VALUE"""),"3")</f>
        <v>3</v>
      </c>
      <c r="H5" s="21" t="str">
        <f>IFERROR(__xludf.DUMMYFUNCTION("""COMPUTED_VALUE"""),"1")</f>
        <v>1</v>
      </c>
      <c r="I5" s="21" t="str">
        <f>IF(G5="","",VLOOKUP(G5,frecuencia[#ALL],2,0))</f>
        <v>Mensual</v>
      </c>
      <c r="J5" s="21" t="str">
        <f>IF(H5="","",VLOOKUP(H5,tipo_donante[#ALL],2,0))</f>
        <v>Empresa</v>
      </c>
      <c r="K5" s="24"/>
    </row>
    <row r="6">
      <c r="A6" s="21" t="str">
        <f>IFERROR(__xludf.DUMMYFUNCTION("""COMPUTED_VALUE"""),"5")</f>
        <v>5</v>
      </c>
      <c r="B6" s="21" t="str">
        <f>IFERROR(__xludf.DUMMYFUNCTION("""COMPUTED_VALUE"""),"73")</f>
        <v>73</v>
      </c>
      <c r="C6" s="23">
        <f>IFERROR(__xludf.DUMMYFUNCTION("""COMPUTED_VALUE"""),43690.0)</f>
        <v>43690</v>
      </c>
      <c r="D6" s="21" t="str">
        <f>IFERROR(__xludf.DUMMYFUNCTION("""COMPUTED_VALUE"""),"null")</f>
        <v>null</v>
      </c>
      <c r="E6" s="21">
        <f>IFERROR(__xludf.DUMMYFUNCTION("""COMPUTED_VALUE"""),1936.0)</f>
        <v>1936</v>
      </c>
      <c r="F6" s="21" t="str">
        <f>IFERROR(__xludf.DUMMYFUNCTION("""COMPUTED_VALUE"""),"SI")</f>
        <v>SI</v>
      </c>
      <c r="G6" s="21" t="str">
        <f>IFERROR(__xludf.DUMMYFUNCTION("""COMPUTED_VALUE"""),"1")</f>
        <v>1</v>
      </c>
      <c r="H6" s="21" t="str">
        <f>IFERROR(__xludf.DUMMYFUNCTION("""COMPUTED_VALUE"""),"2")</f>
        <v>2</v>
      </c>
      <c r="I6" s="21" t="str">
        <f>IF(G6="","",VLOOKUP(G6,frecuencia[#ALL],2,0))</f>
        <v>Anual</v>
      </c>
      <c r="J6" s="21" t="str">
        <f>IF(H6="","",VLOOKUP(H6,tipo_donante[#ALL],2,0))</f>
        <v>Estado</v>
      </c>
      <c r="K6" s="24"/>
    </row>
    <row r="7">
      <c r="A7" s="21" t="str">
        <f>IFERROR(__xludf.DUMMYFUNCTION("""COMPUTED_VALUE"""),"6")</f>
        <v>6</v>
      </c>
      <c r="B7" s="21" t="str">
        <f>IFERROR(__xludf.DUMMYFUNCTION("""COMPUTED_VALUE"""),"74")</f>
        <v>74</v>
      </c>
      <c r="C7" s="23">
        <f>IFERROR(__xludf.DUMMYFUNCTION("""COMPUTED_VALUE"""),44582.0)</f>
        <v>44582</v>
      </c>
      <c r="D7" s="21" t="str">
        <f>IFERROR(__xludf.DUMMYFUNCTION("""COMPUTED_VALUE"""),"null")</f>
        <v>null</v>
      </c>
      <c r="E7" s="21">
        <f>IFERROR(__xludf.DUMMYFUNCTION("""COMPUTED_VALUE"""),1044.0)</f>
        <v>1044</v>
      </c>
      <c r="F7" s="21" t="str">
        <f>IFERROR(__xludf.DUMMYFUNCTION("""COMPUTED_VALUE"""),"SI")</f>
        <v>SI</v>
      </c>
      <c r="G7" s="21" t="str">
        <f>IFERROR(__xludf.DUMMYFUNCTION("""COMPUTED_VALUE"""),"3")</f>
        <v>3</v>
      </c>
      <c r="H7" s="21" t="str">
        <f>IFERROR(__xludf.DUMMYFUNCTION("""COMPUTED_VALUE"""),"2")</f>
        <v>2</v>
      </c>
      <c r="I7" s="21" t="str">
        <f>IF(G7="","",VLOOKUP(G7,frecuencia[#ALL],2,0))</f>
        <v>Mensual</v>
      </c>
      <c r="J7" s="21" t="str">
        <f>IF(H7="","",VLOOKUP(H7,tipo_donante[#ALL],2,0))</f>
        <v>Estado</v>
      </c>
      <c r="K7" s="24"/>
    </row>
    <row r="8">
      <c r="A8" s="21" t="str">
        <f>IFERROR(__xludf.DUMMYFUNCTION("""COMPUTED_VALUE"""),"7")</f>
        <v>7</v>
      </c>
      <c r="B8" s="21" t="str">
        <f>IFERROR(__xludf.DUMMYFUNCTION("""COMPUTED_VALUE"""),"75")</f>
        <v>75</v>
      </c>
      <c r="C8" s="23">
        <f>IFERROR(__xludf.DUMMYFUNCTION("""COMPUTED_VALUE"""),43851.0)</f>
        <v>43851</v>
      </c>
      <c r="D8" s="21" t="str">
        <f>IFERROR(__xludf.DUMMYFUNCTION("""COMPUTED_VALUE"""),"25/12/2021")</f>
        <v>25/12/2021</v>
      </c>
      <c r="E8" s="21">
        <f>IFERROR(__xludf.DUMMYFUNCTION("""COMPUTED_VALUE"""),704.0)</f>
        <v>704</v>
      </c>
      <c r="F8" s="21" t="str">
        <f>IFERROR(__xludf.DUMMYFUNCTION("""COMPUTED_VALUE"""),"NO")</f>
        <v>NO</v>
      </c>
      <c r="G8" s="21" t="str">
        <f>IFERROR(__xludf.DUMMYFUNCTION("""COMPUTED_VALUE"""),"3")</f>
        <v>3</v>
      </c>
      <c r="H8" s="21" t="str">
        <f>IFERROR(__xludf.DUMMYFUNCTION("""COMPUTED_VALUE"""),"2")</f>
        <v>2</v>
      </c>
      <c r="I8" s="21" t="str">
        <f>IF(G8="","",VLOOKUP(G8,frecuencia[#ALL],2,0))</f>
        <v>Mensual</v>
      </c>
      <c r="J8" s="21" t="str">
        <f>IF(H8="","",VLOOKUP(H8,tipo_donante[#ALL],2,0))</f>
        <v>Estado</v>
      </c>
      <c r="K8" s="24"/>
    </row>
    <row r="9">
      <c r="A9" s="21" t="str">
        <f>IFERROR(__xludf.DUMMYFUNCTION("""COMPUTED_VALUE"""),"8")</f>
        <v>8</v>
      </c>
      <c r="B9" s="21" t="str">
        <f>IFERROR(__xludf.DUMMYFUNCTION("""COMPUTED_VALUE"""),"76")</f>
        <v>76</v>
      </c>
      <c r="C9" s="23">
        <f>IFERROR(__xludf.DUMMYFUNCTION("""COMPUTED_VALUE"""),44187.0)</f>
        <v>44187</v>
      </c>
      <c r="D9" s="21" t="str">
        <f>IFERROR(__xludf.DUMMYFUNCTION("""COMPUTED_VALUE"""),"null")</f>
        <v>null</v>
      </c>
      <c r="E9" s="21">
        <f>IFERROR(__xludf.DUMMYFUNCTION("""COMPUTED_VALUE"""),1439.0)</f>
        <v>1439</v>
      </c>
      <c r="F9" s="21" t="str">
        <f>IFERROR(__xludf.DUMMYFUNCTION("""COMPUTED_VALUE"""),"SI")</f>
        <v>SI</v>
      </c>
      <c r="G9" s="21" t="str">
        <f>IFERROR(__xludf.DUMMYFUNCTION("""COMPUTED_VALUE"""),"2")</f>
        <v>2</v>
      </c>
      <c r="H9" s="21" t="str">
        <f>IFERROR(__xludf.DUMMYFUNCTION("""COMPUTED_VALUE"""),"3")</f>
        <v>3</v>
      </c>
      <c r="I9" s="21" t="str">
        <f>IF(G9="","",VLOOKUP(G9,frecuencia[#ALL],2,0))</f>
        <v>Bimestral</v>
      </c>
      <c r="J9" s="21" t="str">
        <f>IF(H9="","",VLOOKUP(H9,tipo_donante[#ALL],2,0))</f>
        <v>Campaña</v>
      </c>
      <c r="K9" s="24"/>
    </row>
    <row r="10">
      <c r="A10" s="21" t="str">
        <f>IFERROR(__xludf.DUMMYFUNCTION("""COMPUTED_VALUE"""),"9")</f>
        <v>9</v>
      </c>
      <c r="B10" s="21" t="str">
        <f>IFERROR(__xludf.DUMMYFUNCTION("""COMPUTED_VALUE"""),"77")</f>
        <v>77</v>
      </c>
      <c r="C10" s="23">
        <f>IFERROR(__xludf.DUMMYFUNCTION("""COMPUTED_VALUE"""),43457.0)</f>
        <v>43457</v>
      </c>
      <c r="D10" s="21" t="str">
        <f>IFERROR(__xludf.DUMMYFUNCTION("""COMPUTED_VALUE"""),"null")</f>
        <v>null</v>
      </c>
      <c r="E10" s="21">
        <f>IFERROR(__xludf.DUMMYFUNCTION("""COMPUTED_VALUE"""),2169.0)</f>
        <v>2169</v>
      </c>
      <c r="F10" s="21" t="str">
        <f>IFERROR(__xludf.DUMMYFUNCTION("""COMPUTED_VALUE"""),"SI")</f>
        <v>SI</v>
      </c>
      <c r="G10" s="21" t="str">
        <f>IFERROR(__xludf.DUMMYFUNCTION("""COMPUTED_VALUE"""),"1")</f>
        <v>1</v>
      </c>
      <c r="H10" s="21" t="str">
        <f>IFERROR(__xludf.DUMMYFUNCTION("""COMPUTED_VALUE"""),"1")</f>
        <v>1</v>
      </c>
      <c r="I10" s="21" t="str">
        <f>IF(G10="","",VLOOKUP(G10,frecuencia[#ALL],2,0))</f>
        <v>Anual</v>
      </c>
      <c r="J10" s="21" t="str">
        <f>IF(H10="","",VLOOKUP(H10,tipo_donante[#ALL],2,0))</f>
        <v>Empresa</v>
      </c>
      <c r="K10" s="24"/>
    </row>
    <row r="11">
      <c r="A11" s="21" t="str">
        <f>IFERROR(__xludf.DUMMYFUNCTION("""COMPUTED_VALUE"""),"10")</f>
        <v>10</v>
      </c>
      <c r="B11" s="21" t="str">
        <f>IFERROR(__xludf.DUMMYFUNCTION("""COMPUTED_VALUE"""),"78")</f>
        <v>78</v>
      </c>
      <c r="C11" s="23">
        <f>IFERROR(__xludf.DUMMYFUNCTION("""COMPUTED_VALUE"""),43854.0)</f>
        <v>43854</v>
      </c>
      <c r="D11" s="21" t="str">
        <f>IFERROR(__xludf.DUMMYFUNCTION("""COMPUTED_VALUE"""),"2/2/2024")</f>
        <v>2/2/2024</v>
      </c>
      <c r="E11" s="21">
        <f>IFERROR(__xludf.DUMMYFUNCTION("""COMPUTED_VALUE"""),1470.0)</f>
        <v>1470</v>
      </c>
      <c r="F11" s="21" t="str">
        <f>IFERROR(__xludf.DUMMYFUNCTION("""COMPUTED_VALUE"""),"NO")</f>
        <v>NO</v>
      </c>
      <c r="G11" s="21" t="str">
        <f>IFERROR(__xludf.DUMMYFUNCTION("""COMPUTED_VALUE"""),"3")</f>
        <v>3</v>
      </c>
      <c r="H11" s="21" t="str">
        <f>IFERROR(__xludf.DUMMYFUNCTION("""COMPUTED_VALUE"""),"1")</f>
        <v>1</v>
      </c>
      <c r="I11" s="21" t="str">
        <f>IF(G11="","",VLOOKUP(G11,frecuencia[#ALL],2,0))</f>
        <v>Mensual</v>
      </c>
      <c r="J11" s="21" t="str">
        <f>IF(H11="","",VLOOKUP(H11,tipo_donante[#ALL],2,0))</f>
        <v>Empresa</v>
      </c>
      <c r="K11" s="24"/>
    </row>
    <row r="12">
      <c r="A12" s="21" t="str">
        <f>IFERROR(__xludf.DUMMYFUNCTION("""COMPUTED_VALUE"""),"11")</f>
        <v>11</v>
      </c>
      <c r="B12" s="21" t="str">
        <f>IFERROR(__xludf.DUMMYFUNCTION("""COMPUTED_VALUE"""),"79")</f>
        <v>79</v>
      </c>
      <c r="C12" s="23">
        <f>IFERROR(__xludf.DUMMYFUNCTION("""COMPUTED_VALUE"""),44951.0)</f>
        <v>44951</v>
      </c>
      <c r="D12" s="21" t="str">
        <f>IFERROR(__xludf.DUMMYFUNCTION("""COMPUTED_VALUE"""),"null")</f>
        <v>null</v>
      </c>
      <c r="E12" s="21">
        <f>IFERROR(__xludf.DUMMYFUNCTION("""COMPUTED_VALUE"""),675.0)</f>
        <v>675</v>
      </c>
      <c r="F12" s="21" t="str">
        <f>IFERROR(__xludf.DUMMYFUNCTION("""COMPUTED_VALUE"""),"SI")</f>
        <v>SI</v>
      </c>
      <c r="G12" s="21" t="str">
        <f>IFERROR(__xludf.DUMMYFUNCTION("""COMPUTED_VALUE"""),"2")</f>
        <v>2</v>
      </c>
      <c r="H12" s="21" t="str">
        <f>IFERROR(__xludf.DUMMYFUNCTION("""COMPUTED_VALUE"""),"1")</f>
        <v>1</v>
      </c>
      <c r="I12" s="21" t="str">
        <f>IF(G12="","",VLOOKUP(G12,frecuencia[#ALL],2,0))</f>
        <v>Bimestral</v>
      </c>
      <c r="J12" s="21" t="str">
        <f>IF(H12="","",VLOOKUP(H12,tipo_donante[#ALL],2,0))</f>
        <v>Empresa</v>
      </c>
      <c r="K12" s="24"/>
    </row>
    <row r="13">
      <c r="A13" s="21" t="str">
        <f>IFERROR(__xludf.DUMMYFUNCTION("""COMPUTED_VALUE"""),"12")</f>
        <v>12</v>
      </c>
      <c r="B13" s="21" t="str">
        <f>IFERROR(__xludf.DUMMYFUNCTION("""COMPUTED_VALUE"""),"80")</f>
        <v>80</v>
      </c>
      <c r="C13" s="23">
        <f>IFERROR(__xludf.DUMMYFUNCTION("""COMPUTED_VALUE"""),43126.0)</f>
        <v>43126</v>
      </c>
      <c r="D13" s="21" t="str">
        <f>IFERROR(__xludf.DUMMYFUNCTION("""COMPUTED_VALUE"""),"null")</f>
        <v>null</v>
      </c>
      <c r="E13" s="21">
        <f>IFERROR(__xludf.DUMMYFUNCTION("""COMPUTED_VALUE"""),2500.0)</f>
        <v>2500</v>
      </c>
      <c r="F13" s="21" t="str">
        <f>IFERROR(__xludf.DUMMYFUNCTION("""COMPUTED_VALUE"""),"SI")</f>
        <v>SI</v>
      </c>
      <c r="G13" s="21" t="str">
        <f>IFERROR(__xludf.DUMMYFUNCTION("""COMPUTED_VALUE"""),"1")</f>
        <v>1</v>
      </c>
      <c r="H13" s="21" t="str">
        <f>IFERROR(__xludf.DUMMYFUNCTION("""COMPUTED_VALUE"""),"2")</f>
        <v>2</v>
      </c>
      <c r="I13" s="21" t="str">
        <f>IF(G13="","",VLOOKUP(G13,frecuencia[#ALL],2,0))</f>
        <v>Anual</v>
      </c>
      <c r="J13" s="21" t="str">
        <f>IF(H13="","",VLOOKUP(H13,tipo_donante[#ALL],2,0))</f>
        <v>Estado</v>
      </c>
      <c r="K13" s="24"/>
    </row>
    <row r="14">
      <c r="A14" s="21" t="str">
        <f>IFERROR(__xludf.DUMMYFUNCTION("""COMPUTED_VALUE"""),"13")</f>
        <v>13</v>
      </c>
      <c r="B14" s="21" t="str">
        <f>IFERROR(__xludf.DUMMYFUNCTION("""COMPUTED_VALUE"""),"81")</f>
        <v>81</v>
      </c>
      <c r="C14" s="23">
        <f>IFERROR(__xludf.DUMMYFUNCTION("""COMPUTED_VALUE"""),43101.0)</f>
        <v>43101</v>
      </c>
      <c r="D14" s="21" t="str">
        <f>IFERROR(__xludf.DUMMYFUNCTION("""COMPUTED_VALUE"""),"null")</f>
        <v>null</v>
      </c>
      <c r="E14" s="21">
        <f>IFERROR(__xludf.DUMMYFUNCTION("""COMPUTED_VALUE"""),2525.0)</f>
        <v>2525</v>
      </c>
      <c r="F14" s="21" t="str">
        <f>IFERROR(__xludf.DUMMYFUNCTION("""COMPUTED_VALUE"""),"SI")</f>
        <v>SI</v>
      </c>
      <c r="G14" s="21" t="str">
        <f>IFERROR(__xludf.DUMMYFUNCTION("""COMPUTED_VALUE"""),"4")</f>
        <v>4</v>
      </c>
      <c r="H14" s="21" t="str">
        <f>IFERROR(__xludf.DUMMYFUNCTION("""COMPUTED_VALUE"""),"1")</f>
        <v>1</v>
      </c>
      <c r="I14" s="21" t="str">
        <f>IF(G14="","",VLOOKUP(G14,frecuencia[#ALL],2,0))</f>
        <v>Semestral</v>
      </c>
      <c r="J14" s="21" t="str">
        <f>IF(H14="","",VLOOKUP(H14,tipo_donante[#ALL],2,0))</f>
        <v>Empresa</v>
      </c>
      <c r="K14" s="24"/>
    </row>
    <row r="15">
      <c r="A15" s="21" t="str">
        <f>IFERROR(__xludf.DUMMYFUNCTION("""COMPUTED_VALUE"""),"14")</f>
        <v>14</v>
      </c>
      <c r="B15" s="21" t="str">
        <f>IFERROR(__xludf.DUMMYFUNCTION("""COMPUTED_VALUE"""),"82")</f>
        <v>82</v>
      </c>
      <c r="C15" s="23">
        <f>IFERROR(__xludf.DUMMYFUNCTION("""COMPUTED_VALUE"""),44198.0)</f>
        <v>44198</v>
      </c>
      <c r="D15" s="21" t="str">
        <f>IFERROR(__xludf.DUMMYFUNCTION("""COMPUTED_VALUE"""),"null")</f>
        <v>null</v>
      </c>
      <c r="E15" s="21">
        <f>IFERROR(__xludf.DUMMYFUNCTION("""COMPUTED_VALUE"""),1428.0)</f>
        <v>1428</v>
      </c>
      <c r="F15" s="21" t="str">
        <f>IFERROR(__xludf.DUMMYFUNCTION("""COMPUTED_VALUE"""),"SI")</f>
        <v>SI</v>
      </c>
      <c r="G15" s="21" t="str">
        <f>IFERROR(__xludf.DUMMYFUNCTION("""COMPUTED_VALUE"""),"3")</f>
        <v>3</v>
      </c>
      <c r="H15" s="21" t="str">
        <f>IFERROR(__xludf.DUMMYFUNCTION("""COMPUTED_VALUE"""),"4")</f>
        <v>4</v>
      </c>
      <c r="I15" s="21" t="str">
        <f>IF(G15="","",VLOOKUP(G15,frecuencia[#ALL],2,0))</f>
        <v>Mensual</v>
      </c>
      <c r="J15" s="21" t="str">
        <f>IF(H15="","",VLOOKUP(H15,tipo_donante[#ALL],2,0))</f>
        <v>ONG</v>
      </c>
      <c r="K15" s="24"/>
    </row>
    <row r="16">
      <c r="A16" s="21" t="str">
        <f>IFERROR(__xludf.DUMMYFUNCTION("""COMPUTED_VALUE"""),"15")</f>
        <v>15</v>
      </c>
      <c r="B16" s="21" t="str">
        <f>IFERROR(__xludf.DUMMYFUNCTION("""COMPUTED_VALUE"""),"83")</f>
        <v>83</v>
      </c>
      <c r="C16" s="23">
        <f>IFERROR(__xludf.DUMMYFUNCTION("""COMPUTED_VALUE"""),45323.0)</f>
        <v>45323</v>
      </c>
      <c r="D16" s="21" t="str">
        <f>IFERROR(__xludf.DUMMYFUNCTION("""COMPUTED_VALUE"""),"null")</f>
        <v>null</v>
      </c>
      <c r="E16" s="21">
        <f>IFERROR(__xludf.DUMMYFUNCTION("""COMPUTED_VALUE"""),303.0)</f>
        <v>303</v>
      </c>
      <c r="F16" s="21" t="str">
        <f>IFERROR(__xludf.DUMMYFUNCTION("""COMPUTED_VALUE"""),"SI")</f>
        <v>SI</v>
      </c>
      <c r="G16" s="21" t="str">
        <f>IFERROR(__xludf.DUMMYFUNCTION("""COMPUTED_VALUE"""),"3")</f>
        <v>3</v>
      </c>
      <c r="H16" s="21" t="str">
        <f>IFERROR(__xludf.DUMMYFUNCTION("""COMPUTED_VALUE"""),"4")</f>
        <v>4</v>
      </c>
      <c r="I16" s="21" t="str">
        <f>IF(G16="","",VLOOKUP(G16,frecuencia[#ALL],2,0))</f>
        <v>Mensual</v>
      </c>
      <c r="J16" s="21" t="str">
        <f>IF(H16="","",VLOOKUP(H16,tipo_donante[#ALL],2,0))</f>
        <v>ONG</v>
      </c>
      <c r="K16" s="24"/>
    </row>
    <row r="17">
      <c r="A17" s="21" t="str">
        <f>IFERROR(__xludf.DUMMYFUNCTION("""COMPUTED_VALUE"""),"16")</f>
        <v>16</v>
      </c>
      <c r="B17" s="21" t="str">
        <f>IFERROR(__xludf.DUMMYFUNCTION("""COMPUTED_VALUE"""),"84")</f>
        <v>84</v>
      </c>
      <c r="C17" s="23">
        <f>IFERROR(__xludf.DUMMYFUNCTION("""COMPUTED_VALUE"""),45324.0)</f>
        <v>45324</v>
      </c>
      <c r="D17" s="21" t="str">
        <f>IFERROR(__xludf.DUMMYFUNCTION("""COMPUTED_VALUE"""),"null")</f>
        <v>null</v>
      </c>
      <c r="E17" s="21">
        <f>IFERROR(__xludf.DUMMYFUNCTION("""COMPUTED_VALUE"""),302.0)</f>
        <v>302</v>
      </c>
      <c r="F17" s="21" t="str">
        <f>IFERROR(__xludf.DUMMYFUNCTION("""COMPUTED_VALUE"""),"SI")</f>
        <v>SI</v>
      </c>
      <c r="G17" s="21" t="str">
        <f>IFERROR(__xludf.DUMMYFUNCTION("""COMPUTED_VALUE"""),"3")</f>
        <v>3</v>
      </c>
      <c r="H17" s="21" t="str">
        <f>IFERROR(__xludf.DUMMYFUNCTION("""COMPUTED_VALUE"""),"1")</f>
        <v>1</v>
      </c>
      <c r="I17" s="21" t="str">
        <f>IF(G17="","",VLOOKUP(G17,frecuencia[#ALL],2,0))</f>
        <v>Mensual</v>
      </c>
      <c r="J17" s="21" t="str">
        <f>IF(H17="","",VLOOKUP(H17,tipo_donante[#ALL],2,0))</f>
        <v>Empresa</v>
      </c>
      <c r="K17" s="24"/>
    </row>
    <row r="18">
      <c r="A18" s="21" t="str">
        <f>IFERROR(__xludf.DUMMYFUNCTION("""COMPUTED_VALUE"""),"17")</f>
        <v>17</v>
      </c>
      <c r="B18" s="21" t="str">
        <f>IFERROR(__xludf.DUMMYFUNCTION("""COMPUTED_VALUE"""),"85")</f>
        <v>85</v>
      </c>
      <c r="C18" s="23">
        <f>IFERROR(__xludf.DUMMYFUNCTION("""COMPUTED_VALUE"""),45325.0)</f>
        <v>45325</v>
      </c>
      <c r="D18" s="21" t="str">
        <f>IFERROR(__xludf.DUMMYFUNCTION("""COMPUTED_VALUE"""),"null")</f>
        <v>null</v>
      </c>
      <c r="E18" s="21">
        <f>IFERROR(__xludf.DUMMYFUNCTION("""COMPUTED_VALUE"""),301.0)</f>
        <v>301</v>
      </c>
      <c r="F18" s="21" t="str">
        <f>IFERROR(__xludf.DUMMYFUNCTION("""COMPUTED_VALUE"""),"SI")</f>
        <v>SI</v>
      </c>
      <c r="G18" s="21" t="str">
        <f>IFERROR(__xludf.DUMMYFUNCTION("""COMPUTED_VALUE"""),"3")</f>
        <v>3</v>
      </c>
      <c r="H18" s="21" t="str">
        <f>IFERROR(__xludf.DUMMYFUNCTION("""COMPUTED_VALUE"""),"1")</f>
        <v>1</v>
      </c>
      <c r="I18" s="21" t="str">
        <f>IF(G18="","",VLOOKUP(G18,frecuencia[#ALL],2,0))</f>
        <v>Mensual</v>
      </c>
      <c r="J18" s="21" t="str">
        <f>IF(H18="","",VLOOKUP(H18,tipo_donante[#ALL],2,0))</f>
        <v>Empresa</v>
      </c>
      <c r="K18" s="24"/>
    </row>
    <row r="19">
      <c r="A19" s="21" t="str">
        <f>IFERROR(__xludf.DUMMYFUNCTION("""COMPUTED_VALUE"""),"18")</f>
        <v>18</v>
      </c>
      <c r="B19" s="21" t="str">
        <f>IFERROR(__xludf.DUMMYFUNCTION("""COMPUTED_VALUE"""),"86")</f>
        <v>86</v>
      </c>
      <c r="C19" s="23">
        <f>IFERROR(__xludf.DUMMYFUNCTION("""COMPUTED_VALUE"""),45295.0)</f>
        <v>45295</v>
      </c>
      <c r="D19" s="21" t="str">
        <f>IFERROR(__xludf.DUMMYFUNCTION("""COMPUTED_VALUE"""),"null")</f>
        <v>null</v>
      </c>
      <c r="E19" s="21">
        <f>IFERROR(__xludf.DUMMYFUNCTION("""COMPUTED_VALUE"""),331.0)</f>
        <v>331</v>
      </c>
      <c r="F19" s="21" t="str">
        <f>IFERROR(__xludf.DUMMYFUNCTION("""COMPUTED_VALUE"""),"SI")</f>
        <v>SI</v>
      </c>
      <c r="G19" s="21" t="str">
        <f>IFERROR(__xludf.DUMMYFUNCTION("""COMPUTED_VALUE"""),"3")</f>
        <v>3</v>
      </c>
      <c r="H19" s="21" t="str">
        <f>IFERROR(__xludf.DUMMYFUNCTION("""COMPUTED_VALUE"""),"4")</f>
        <v>4</v>
      </c>
      <c r="I19" s="21" t="str">
        <f>IF(G19="","",VLOOKUP(G19,frecuencia[#ALL],2,0))</f>
        <v>Mensual</v>
      </c>
      <c r="J19" s="21" t="str">
        <f>IF(H19="","",VLOOKUP(H19,tipo_donante[#ALL],2,0))</f>
        <v>ONG</v>
      </c>
      <c r="K19" s="24"/>
    </row>
    <row r="20">
      <c r="A20" s="21" t="str">
        <f>IFERROR(__xludf.DUMMYFUNCTION("""COMPUTED_VALUE"""),"19")</f>
        <v>19</v>
      </c>
      <c r="B20" s="21" t="str">
        <f>IFERROR(__xludf.DUMMYFUNCTION("""COMPUTED_VALUE"""),"87")</f>
        <v>87</v>
      </c>
      <c r="C20" s="23">
        <f>IFERROR(__xludf.DUMMYFUNCTION("""COMPUTED_VALUE"""),45327.0)</f>
        <v>45327</v>
      </c>
      <c r="D20" s="21" t="str">
        <f>IFERROR(__xludf.DUMMYFUNCTION("""COMPUTED_VALUE"""),"null")</f>
        <v>null</v>
      </c>
      <c r="E20" s="21">
        <f>IFERROR(__xludf.DUMMYFUNCTION("""COMPUTED_VALUE"""),299.0)</f>
        <v>299</v>
      </c>
      <c r="F20" s="21" t="str">
        <f>IFERROR(__xludf.DUMMYFUNCTION("""COMPUTED_VALUE"""),"SI")</f>
        <v>SI</v>
      </c>
      <c r="G20" s="21" t="str">
        <f>IFERROR(__xludf.DUMMYFUNCTION("""COMPUTED_VALUE"""),"3")</f>
        <v>3</v>
      </c>
      <c r="H20" s="21" t="str">
        <f>IFERROR(__xludf.DUMMYFUNCTION("""COMPUTED_VALUE"""),"4")</f>
        <v>4</v>
      </c>
      <c r="I20" s="21" t="str">
        <f>IF(G20="","",VLOOKUP(G20,frecuencia[#ALL],2,0))</f>
        <v>Mensual</v>
      </c>
      <c r="J20" s="21" t="str">
        <f>IF(H20="","",VLOOKUP(H20,tipo_donante[#ALL],2,0))</f>
        <v>ONG</v>
      </c>
      <c r="K20" s="24"/>
    </row>
    <row r="21">
      <c r="A21" s="21" t="str">
        <f>IFERROR(__xludf.DUMMYFUNCTION("""COMPUTED_VALUE"""),"20")</f>
        <v>20</v>
      </c>
      <c r="B21" s="21" t="str">
        <f>IFERROR(__xludf.DUMMYFUNCTION("""COMPUTED_VALUE"""),"88")</f>
        <v>88</v>
      </c>
      <c r="C21" s="23">
        <f>IFERROR(__xludf.DUMMYFUNCTION("""COMPUTED_VALUE"""),44927.0)</f>
        <v>44927</v>
      </c>
      <c r="D21" s="21" t="str">
        <f>IFERROR(__xludf.DUMMYFUNCTION("""COMPUTED_VALUE"""),"null")</f>
        <v>null</v>
      </c>
      <c r="E21" s="21">
        <f>IFERROR(__xludf.DUMMYFUNCTION("""COMPUTED_VALUE"""),699.0)</f>
        <v>699</v>
      </c>
      <c r="F21" s="21" t="str">
        <f>IFERROR(__xludf.DUMMYFUNCTION("""COMPUTED_VALUE"""),"SI")</f>
        <v>SI</v>
      </c>
      <c r="G21" s="21" t="str">
        <f>IFERROR(__xludf.DUMMYFUNCTION("""COMPUTED_VALUE"""),"3")</f>
        <v>3</v>
      </c>
      <c r="H21" s="21" t="str">
        <f>IFERROR(__xludf.DUMMYFUNCTION("""COMPUTED_VALUE"""),"1")</f>
        <v>1</v>
      </c>
      <c r="I21" s="21" t="str">
        <f>IF(G21="","",VLOOKUP(G21,frecuencia[#ALL],2,0))</f>
        <v>Mensual</v>
      </c>
      <c r="J21" s="21" t="str">
        <f>IF(H21="","",VLOOKUP(H21,tipo_donante[#ALL],2,0))</f>
        <v>Empresa</v>
      </c>
      <c r="K21" s="24"/>
    </row>
    <row r="22">
      <c r="A22" s="21" t="str">
        <f>IFERROR(__xludf.DUMMYFUNCTION("""COMPUTED_VALUE"""),"21")</f>
        <v>21</v>
      </c>
      <c r="B22" s="21" t="str">
        <f>IFERROR(__xludf.DUMMYFUNCTION("""COMPUTED_VALUE"""),"89")</f>
        <v>89</v>
      </c>
      <c r="C22" s="23">
        <f>IFERROR(__xludf.DUMMYFUNCTION("""COMPUTED_VALUE"""),44928.0)</f>
        <v>44928</v>
      </c>
      <c r="D22" s="21" t="str">
        <f>IFERROR(__xludf.DUMMYFUNCTION("""COMPUTED_VALUE"""),"null")</f>
        <v>null</v>
      </c>
      <c r="E22" s="21">
        <f>IFERROR(__xludf.DUMMYFUNCTION("""COMPUTED_VALUE"""),698.0)</f>
        <v>698</v>
      </c>
      <c r="F22" s="21" t="str">
        <f>IFERROR(__xludf.DUMMYFUNCTION("""COMPUTED_VALUE"""),"SI")</f>
        <v>SI</v>
      </c>
      <c r="G22" s="21" t="str">
        <f>IFERROR(__xludf.DUMMYFUNCTION("""COMPUTED_VALUE"""),"3")</f>
        <v>3</v>
      </c>
      <c r="H22" s="21" t="str">
        <f>IFERROR(__xludf.DUMMYFUNCTION("""COMPUTED_VALUE"""),"1")</f>
        <v>1</v>
      </c>
      <c r="I22" s="21" t="str">
        <f>IF(G22="","",VLOOKUP(G22,frecuencia[#ALL],2,0))</f>
        <v>Mensual</v>
      </c>
      <c r="J22" s="21" t="str">
        <f>IF(H22="","",VLOOKUP(H22,tipo_donante[#ALL],2,0))</f>
        <v>Empresa</v>
      </c>
      <c r="K22" s="24"/>
    </row>
    <row r="23">
      <c r="A23" s="21" t="str">
        <f>IFERROR(__xludf.DUMMYFUNCTION("""COMPUTED_VALUE"""),"22")</f>
        <v>22</v>
      </c>
      <c r="B23" s="21" t="str">
        <f>IFERROR(__xludf.DUMMYFUNCTION("""COMPUTED_VALUE"""),"90")</f>
        <v>90</v>
      </c>
      <c r="C23" s="23">
        <f>IFERROR(__xludf.DUMMYFUNCTION("""COMPUTED_VALUE"""),44927.0)</f>
        <v>44927</v>
      </c>
      <c r="D23" s="21" t="str">
        <f>IFERROR(__xludf.DUMMYFUNCTION("""COMPUTED_VALUE"""),"null")</f>
        <v>null</v>
      </c>
      <c r="E23" s="21">
        <f>IFERROR(__xludf.DUMMYFUNCTION("""COMPUTED_VALUE"""),699.0)</f>
        <v>699</v>
      </c>
      <c r="F23" s="21" t="str">
        <f>IFERROR(__xludf.DUMMYFUNCTION("""COMPUTED_VALUE"""),"SI")</f>
        <v>SI</v>
      </c>
      <c r="G23" s="21" t="str">
        <f>IFERROR(__xludf.DUMMYFUNCTION("""COMPUTED_VALUE"""),"2")</f>
        <v>2</v>
      </c>
      <c r="H23" s="21" t="str">
        <f>IFERROR(__xludf.DUMMYFUNCTION("""COMPUTED_VALUE"""),"3")</f>
        <v>3</v>
      </c>
      <c r="I23" s="21" t="str">
        <f>IF(G23="","",VLOOKUP(G23,frecuencia[#ALL],2,0))</f>
        <v>Bimestral</v>
      </c>
      <c r="J23" s="21" t="str">
        <f>IF(H23="","",VLOOKUP(H23,tipo_donante[#ALL],2,0))</f>
        <v>Campaña</v>
      </c>
      <c r="K23" s="24"/>
    </row>
    <row r="24">
      <c r="A24" s="21" t="str">
        <f>IFERROR(__xludf.DUMMYFUNCTION("""COMPUTED_VALUE"""),"23")</f>
        <v>23</v>
      </c>
      <c r="B24" s="21" t="str">
        <f>IFERROR(__xludf.DUMMYFUNCTION("""COMPUTED_VALUE"""),"91")</f>
        <v>91</v>
      </c>
      <c r="C24" s="23">
        <f>IFERROR(__xludf.DUMMYFUNCTION("""COMPUTED_VALUE"""),44198.0)</f>
        <v>44198</v>
      </c>
      <c r="D24" s="21" t="str">
        <f>IFERROR(__xludf.DUMMYFUNCTION("""COMPUTED_VALUE"""),"3/1/2023")</f>
        <v>3/1/2023</v>
      </c>
      <c r="E24" s="21">
        <f>IFERROR(__xludf.DUMMYFUNCTION("""COMPUTED_VALUE"""),731.0)</f>
        <v>731</v>
      </c>
      <c r="F24" s="21" t="str">
        <f>IFERROR(__xludf.DUMMYFUNCTION("""COMPUTED_VALUE"""),"NO")</f>
        <v>NO</v>
      </c>
      <c r="G24" s="21" t="str">
        <f>IFERROR(__xludf.DUMMYFUNCTION("""COMPUTED_VALUE"""),"3")</f>
        <v>3</v>
      </c>
      <c r="H24" s="21" t="str">
        <f>IFERROR(__xludf.DUMMYFUNCTION("""COMPUTED_VALUE"""),"3")</f>
        <v>3</v>
      </c>
      <c r="I24" s="21" t="str">
        <f>IF(G24="","",VLOOKUP(G24,frecuencia[#ALL],2,0))</f>
        <v>Mensual</v>
      </c>
      <c r="J24" s="21" t="str">
        <f>IF(H24="","",VLOOKUP(H24,tipo_donante[#ALL],2,0))</f>
        <v>Campaña</v>
      </c>
      <c r="K24" s="24"/>
    </row>
    <row r="25">
      <c r="A25" s="21" t="str">
        <f>IFERROR(__xludf.DUMMYFUNCTION("""COMPUTED_VALUE"""),"24")</f>
        <v>24</v>
      </c>
      <c r="B25" s="21" t="str">
        <f>IFERROR(__xludf.DUMMYFUNCTION("""COMPUTED_VALUE"""),"92")</f>
        <v>92</v>
      </c>
      <c r="C25" s="23">
        <f>IFERROR(__xludf.DUMMYFUNCTION("""COMPUTED_VALUE"""),44562.0)</f>
        <v>44562</v>
      </c>
      <c r="D25" s="21" t="str">
        <f>IFERROR(__xludf.DUMMYFUNCTION("""COMPUTED_VALUE"""),"31/12/2023")</f>
        <v>31/12/2023</v>
      </c>
      <c r="E25" s="21">
        <f>IFERROR(__xludf.DUMMYFUNCTION("""COMPUTED_VALUE"""),729.0)</f>
        <v>729</v>
      </c>
      <c r="F25" s="21" t="str">
        <f>IFERROR(__xludf.DUMMYFUNCTION("""COMPUTED_VALUE"""),"NO")</f>
        <v>NO</v>
      </c>
      <c r="G25" s="21" t="str">
        <f>IFERROR(__xludf.DUMMYFUNCTION("""COMPUTED_VALUE"""),"3")</f>
        <v>3</v>
      </c>
      <c r="H25" s="21" t="str">
        <f>IFERROR(__xludf.DUMMYFUNCTION("""COMPUTED_VALUE"""),"1")</f>
        <v>1</v>
      </c>
      <c r="I25" s="21" t="str">
        <f>IF(G25="","",VLOOKUP(G25,frecuencia[#ALL],2,0))</f>
        <v>Mensual</v>
      </c>
      <c r="J25" s="21" t="str">
        <f>IF(H25="","",VLOOKUP(H25,tipo_donante[#ALL],2,0))</f>
        <v>Empresa</v>
      </c>
      <c r="K25" s="24"/>
    </row>
    <row r="26">
      <c r="A26" s="21" t="str">
        <f>IFERROR(__xludf.DUMMYFUNCTION("""COMPUTED_VALUE"""),"25")</f>
        <v>25</v>
      </c>
      <c r="B26" s="21" t="str">
        <f>IFERROR(__xludf.DUMMYFUNCTION("""COMPUTED_VALUE"""),"93")</f>
        <v>93</v>
      </c>
      <c r="C26" s="23">
        <f>IFERROR(__xludf.DUMMYFUNCTION("""COMPUTED_VALUE"""),44927.0)</f>
        <v>44927</v>
      </c>
      <c r="D26" s="21" t="str">
        <f>IFERROR(__xludf.DUMMYFUNCTION("""COMPUTED_VALUE"""),"31/12/2023")</f>
        <v>31/12/2023</v>
      </c>
      <c r="E26" s="21">
        <f>IFERROR(__xludf.DUMMYFUNCTION("""COMPUTED_VALUE"""),364.0)</f>
        <v>364</v>
      </c>
      <c r="F26" s="21" t="str">
        <f>IFERROR(__xludf.DUMMYFUNCTION("""COMPUTED_VALUE"""),"NO")</f>
        <v>NO</v>
      </c>
      <c r="G26" s="21" t="str">
        <f>IFERROR(__xludf.DUMMYFUNCTION("""COMPUTED_VALUE"""),"3")</f>
        <v>3</v>
      </c>
      <c r="H26" s="21" t="str">
        <f>IFERROR(__xludf.DUMMYFUNCTION("""COMPUTED_VALUE"""),"3")</f>
        <v>3</v>
      </c>
      <c r="I26" s="21" t="str">
        <f>IF(G26="","",VLOOKUP(G26,frecuencia[#ALL],2,0))</f>
        <v>Mensual</v>
      </c>
      <c r="J26" s="21" t="str">
        <f>IF(H26="","",VLOOKUP(H26,tipo_donante[#ALL],2,0))</f>
        <v>Campaña</v>
      </c>
      <c r="K26" s="24"/>
    </row>
    <row r="27">
      <c r="A27" s="21" t="str">
        <f>IFERROR(__xludf.DUMMYFUNCTION("""COMPUTED_VALUE"""),"26")</f>
        <v>26</v>
      </c>
      <c r="B27" s="21" t="str">
        <f>IFERROR(__xludf.DUMMYFUNCTION("""COMPUTED_VALUE"""),"94")</f>
        <v>94</v>
      </c>
      <c r="C27" s="23">
        <f>IFERROR(__xludf.DUMMYFUNCTION("""COMPUTED_VALUE"""),43831.0)</f>
        <v>43831</v>
      </c>
      <c r="D27" s="21" t="str">
        <f>IFERROR(__xludf.DUMMYFUNCTION("""COMPUTED_VALUE"""),"null")</f>
        <v>null</v>
      </c>
      <c r="E27" s="21">
        <f>IFERROR(__xludf.DUMMYFUNCTION("""COMPUTED_VALUE"""),1795.0)</f>
        <v>1795</v>
      </c>
      <c r="F27" s="21" t="str">
        <f>IFERROR(__xludf.DUMMYFUNCTION("""COMPUTED_VALUE"""),"SI")</f>
        <v>SI</v>
      </c>
      <c r="G27" s="21" t="str">
        <f>IFERROR(__xludf.DUMMYFUNCTION("""COMPUTED_VALUE"""),"2")</f>
        <v>2</v>
      </c>
      <c r="H27" s="21" t="str">
        <f>IFERROR(__xludf.DUMMYFUNCTION("""COMPUTED_VALUE"""),"3")</f>
        <v>3</v>
      </c>
      <c r="I27" s="21" t="str">
        <f>IF(G27="","",VLOOKUP(G27,frecuencia[#ALL],2,0))</f>
        <v>Bimestral</v>
      </c>
      <c r="J27" s="21" t="str">
        <f>IF(H27="","",VLOOKUP(H27,tipo_donante[#ALL],2,0))</f>
        <v>Campaña</v>
      </c>
      <c r="K27" s="24"/>
    </row>
    <row r="28">
      <c r="A28" s="21" t="str">
        <f>IFERROR(__xludf.DUMMYFUNCTION("""COMPUTED_VALUE"""),"27")</f>
        <v>27</v>
      </c>
      <c r="B28" s="21" t="str">
        <f>IFERROR(__xludf.DUMMYFUNCTION("""COMPUTED_VALUE"""),"95")</f>
        <v>95</v>
      </c>
      <c r="C28" s="23">
        <f>IFERROR(__xludf.DUMMYFUNCTION("""COMPUTED_VALUE"""),45292.0)</f>
        <v>45292</v>
      </c>
      <c r="D28" s="21" t="str">
        <f>IFERROR(__xludf.DUMMYFUNCTION("""COMPUTED_VALUE"""),"null")</f>
        <v>null</v>
      </c>
      <c r="E28" s="21">
        <f>IFERROR(__xludf.DUMMYFUNCTION("""COMPUTED_VALUE"""),334.0)</f>
        <v>334</v>
      </c>
      <c r="F28" s="21" t="str">
        <f>IFERROR(__xludf.DUMMYFUNCTION("""COMPUTED_VALUE"""),"SI")</f>
        <v>SI</v>
      </c>
      <c r="G28" s="21" t="str">
        <f>IFERROR(__xludf.DUMMYFUNCTION("""COMPUTED_VALUE"""),"3")</f>
        <v>3</v>
      </c>
      <c r="H28" s="21" t="str">
        <f>IFERROR(__xludf.DUMMYFUNCTION("""COMPUTED_VALUE"""),"5")</f>
        <v>5</v>
      </c>
      <c r="I28" s="21" t="str">
        <f>IF(G28="","",VLOOKUP(G28,frecuencia[#ALL],2,0))</f>
        <v>Mensual</v>
      </c>
      <c r="J28" s="21" t="str">
        <f>IF(H28="","",VLOOKUP(H28,tipo_donante[#ALL],2,0))</f>
        <v>Agroindustria</v>
      </c>
      <c r="K28" s="24"/>
    </row>
    <row r="29">
      <c r="A29" s="21" t="str">
        <f>IFERROR(__xludf.DUMMYFUNCTION("""COMPUTED_VALUE"""),"28")</f>
        <v>28</v>
      </c>
      <c r="B29" s="21" t="str">
        <f>IFERROR(__xludf.DUMMYFUNCTION("""COMPUTED_VALUE"""),"96")</f>
        <v>96</v>
      </c>
      <c r="C29" s="23">
        <f>IFERROR(__xludf.DUMMYFUNCTION("""COMPUTED_VALUE"""),44717.0)</f>
        <v>44717</v>
      </c>
      <c r="D29" s="21" t="str">
        <f>IFERROR(__xludf.DUMMYFUNCTION("""COMPUTED_VALUE"""),"null")</f>
        <v>null</v>
      </c>
      <c r="E29" s="21">
        <f>IFERROR(__xludf.DUMMYFUNCTION("""COMPUTED_VALUE"""),909.0)</f>
        <v>909</v>
      </c>
      <c r="F29" s="21" t="str">
        <f>IFERROR(__xludf.DUMMYFUNCTION("""COMPUTED_VALUE"""),"SI")</f>
        <v>SI</v>
      </c>
      <c r="G29" s="21" t="str">
        <f>IFERROR(__xludf.DUMMYFUNCTION("""COMPUTED_VALUE"""),"3")</f>
        <v>3</v>
      </c>
      <c r="H29" s="21" t="str">
        <f>IFERROR(__xludf.DUMMYFUNCTION("""COMPUTED_VALUE"""),"6")</f>
        <v>6</v>
      </c>
      <c r="I29" s="21" t="str">
        <f>IF(G29="","",VLOOKUP(G29,frecuencia[#ALL],2,0))</f>
        <v>Mensual</v>
      </c>
      <c r="J29" s="21" t="str">
        <f>IF(H29="","",VLOOKUP(H29,tipo_donante[#ALL],2,0))</f>
        <v>Tecnología</v>
      </c>
      <c r="K29" s="24"/>
    </row>
    <row r="30">
      <c r="A30" s="21" t="str">
        <f>IFERROR(__xludf.DUMMYFUNCTION("""COMPUTED_VALUE"""),"29")</f>
        <v>29</v>
      </c>
      <c r="B30" s="21" t="str">
        <f>IFERROR(__xludf.DUMMYFUNCTION("""COMPUTED_VALUE"""),"97")</f>
        <v>97</v>
      </c>
      <c r="C30" s="23">
        <f>IFERROR(__xludf.DUMMYFUNCTION("""COMPUTED_VALUE"""),45324.0)</f>
        <v>45324</v>
      </c>
      <c r="D30" s="21" t="str">
        <f>IFERROR(__xludf.DUMMYFUNCTION("""COMPUTED_VALUE"""),"null")</f>
        <v>null</v>
      </c>
      <c r="E30" s="21">
        <f>IFERROR(__xludf.DUMMYFUNCTION("""COMPUTED_VALUE"""),302.0)</f>
        <v>302</v>
      </c>
      <c r="F30" s="21" t="str">
        <f>IFERROR(__xludf.DUMMYFUNCTION("""COMPUTED_VALUE"""),"SI")</f>
        <v>SI</v>
      </c>
      <c r="G30" s="21" t="str">
        <f>IFERROR(__xludf.DUMMYFUNCTION("""COMPUTED_VALUE"""),"3")</f>
        <v>3</v>
      </c>
      <c r="H30" s="21" t="str">
        <f>IFERROR(__xludf.DUMMYFUNCTION("""COMPUTED_VALUE"""),"3")</f>
        <v>3</v>
      </c>
      <c r="I30" s="21" t="str">
        <f>IF(G30="","",VLOOKUP(G30,frecuencia[#ALL],2,0))</f>
        <v>Mensual</v>
      </c>
      <c r="J30" s="21" t="str">
        <f>IF(H30="","",VLOOKUP(H30,tipo_donante[#ALL],2,0))</f>
        <v>Campaña</v>
      </c>
      <c r="K30" s="24"/>
    </row>
    <row r="31">
      <c r="A31" s="21" t="str">
        <f>IFERROR(__xludf.DUMMYFUNCTION("""COMPUTED_VALUE"""),"30")</f>
        <v>30</v>
      </c>
      <c r="B31" s="21" t="str">
        <f>IFERROR(__xludf.DUMMYFUNCTION("""COMPUTED_VALUE"""),"98")</f>
        <v>98</v>
      </c>
      <c r="C31" s="23">
        <f>IFERROR(__xludf.DUMMYFUNCTION("""COMPUTED_VALUE"""),45383.0)</f>
        <v>45383</v>
      </c>
      <c r="D31" s="21" t="str">
        <f>IFERROR(__xludf.DUMMYFUNCTION("""COMPUTED_VALUE"""),"null")</f>
        <v>null</v>
      </c>
      <c r="E31" s="21">
        <f>IFERROR(__xludf.DUMMYFUNCTION("""COMPUTED_VALUE"""),243.0)</f>
        <v>243</v>
      </c>
      <c r="F31" s="21" t="str">
        <f>IFERROR(__xludf.DUMMYFUNCTION("""COMPUTED_VALUE"""),"SI")</f>
        <v>SI</v>
      </c>
      <c r="G31" s="21" t="str">
        <f>IFERROR(__xludf.DUMMYFUNCTION("""COMPUTED_VALUE"""),"3")</f>
        <v>3</v>
      </c>
      <c r="H31" s="21" t="str">
        <f>IFERROR(__xludf.DUMMYFUNCTION("""COMPUTED_VALUE"""),"5")</f>
        <v>5</v>
      </c>
      <c r="I31" s="21" t="str">
        <f>IF(G31="","",VLOOKUP(G31,frecuencia[#ALL],2,0))</f>
        <v>Mensual</v>
      </c>
      <c r="J31" s="21" t="str">
        <f>IF(H31="","",VLOOKUP(H31,tipo_donante[#ALL],2,0))</f>
        <v>Agroindustria</v>
      </c>
      <c r="K31" s="24"/>
    </row>
    <row r="32">
      <c r="A32" s="21" t="str">
        <f>IFERROR(__xludf.DUMMYFUNCTION("""COMPUTED_VALUE"""),"31")</f>
        <v>31</v>
      </c>
      <c r="B32" s="21" t="str">
        <f>IFERROR(__xludf.DUMMYFUNCTION("""COMPUTED_VALUE"""),"99")</f>
        <v>99</v>
      </c>
      <c r="C32" s="23">
        <f>IFERROR(__xludf.DUMMYFUNCTION("""COMPUTED_VALUE"""),44652.0)</f>
        <v>44652</v>
      </c>
      <c r="D32" s="21" t="str">
        <f>IFERROR(__xludf.DUMMYFUNCTION("""COMPUTED_VALUE"""),"1/12/2023")</f>
        <v>1/12/2023</v>
      </c>
      <c r="E32" s="21">
        <f>IFERROR(__xludf.DUMMYFUNCTION("""COMPUTED_VALUE"""),609.0)</f>
        <v>609</v>
      </c>
      <c r="F32" s="21" t="str">
        <f>IFERROR(__xludf.DUMMYFUNCTION("""COMPUTED_VALUE"""),"NO")</f>
        <v>NO</v>
      </c>
      <c r="G32" s="21" t="str">
        <f>IFERROR(__xludf.DUMMYFUNCTION("""COMPUTED_VALUE"""),"4")</f>
        <v>4</v>
      </c>
      <c r="H32" s="21" t="str">
        <f>IFERROR(__xludf.DUMMYFUNCTION("""COMPUTED_VALUE"""),"2")</f>
        <v>2</v>
      </c>
      <c r="I32" s="21" t="str">
        <f>IF(G32="","",VLOOKUP(G32,frecuencia[#ALL],2,0))</f>
        <v>Semestral</v>
      </c>
      <c r="J32" s="21" t="str">
        <f>IF(H32="","",VLOOKUP(H32,tipo_donante[#ALL],2,0))</f>
        <v>Estado</v>
      </c>
      <c r="K32" s="24"/>
    </row>
    <row r="33">
      <c r="A33" s="21" t="str">
        <f>IFERROR(__xludf.DUMMYFUNCTION("""COMPUTED_VALUE"""),"32")</f>
        <v>32</v>
      </c>
      <c r="B33" s="21" t="str">
        <f>IFERROR(__xludf.DUMMYFUNCTION("""COMPUTED_VALUE"""),"100")</f>
        <v>100</v>
      </c>
      <c r="C33" s="23">
        <f>IFERROR(__xludf.DUMMYFUNCTION("""COMPUTED_VALUE"""),44197.0)</f>
        <v>44197</v>
      </c>
      <c r="D33" s="21" t="str">
        <f>IFERROR(__xludf.DUMMYFUNCTION("""COMPUTED_VALUE"""),"1/6/2024")</f>
        <v>1/6/2024</v>
      </c>
      <c r="E33" s="21">
        <f>IFERROR(__xludf.DUMMYFUNCTION("""COMPUTED_VALUE"""),1247.0)</f>
        <v>1247</v>
      </c>
      <c r="F33" s="21" t="str">
        <f>IFERROR(__xludf.DUMMYFUNCTION("""COMPUTED_VALUE"""),"NO")</f>
        <v>NO</v>
      </c>
      <c r="G33" s="21" t="str">
        <f>IFERROR(__xludf.DUMMYFUNCTION("""COMPUTED_VALUE"""),"5")</f>
        <v>5</v>
      </c>
      <c r="H33" s="21" t="str">
        <f>IFERROR(__xludf.DUMMYFUNCTION("""COMPUTED_VALUE"""),"2")</f>
        <v>2</v>
      </c>
      <c r="I33" s="21" t="str">
        <f>IF(G33="","",VLOOKUP(G33,frecuencia[#ALL],2,0))</f>
        <v>Trimestral</v>
      </c>
      <c r="J33" s="21" t="str">
        <f>IF(H33="","",VLOOKUP(H33,tipo_donante[#ALL],2,0))</f>
        <v>Estado</v>
      </c>
      <c r="K33" s="24"/>
    </row>
    <row r="34">
      <c r="A34" s="21" t="str">
        <f>IFERROR(__xludf.DUMMYFUNCTION("""COMPUTED_VALUE"""),"33")</f>
        <v>33</v>
      </c>
      <c r="B34" s="21" t="str">
        <f>IFERROR(__xludf.DUMMYFUNCTION("""COMPUTED_VALUE"""),"101")</f>
        <v>101</v>
      </c>
      <c r="C34" s="23">
        <f>IFERROR(__xludf.DUMMYFUNCTION("""COMPUTED_VALUE"""),45292.0)</f>
        <v>45292</v>
      </c>
      <c r="D34" s="21" t="str">
        <f>IFERROR(__xludf.DUMMYFUNCTION("""COMPUTED_VALUE"""),"30/5/2024")</f>
        <v>30/5/2024</v>
      </c>
      <c r="E34" s="21">
        <f>IFERROR(__xludf.DUMMYFUNCTION("""COMPUTED_VALUE"""),150.0)</f>
        <v>150</v>
      </c>
      <c r="F34" s="21" t="str">
        <f>IFERROR(__xludf.DUMMYFUNCTION("""COMPUTED_VALUE"""),"NO")</f>
        <v>NO</v>
      </c>
      <c r="G34" s="21" t="str">
        <f>IFERROR(__xludf.DUMMYFUNCTION("""COMPUTED_VALUE"""),"3")</f>
        <v>3</v>
      </c>
      <c r="H34" s="21" t="str">
        <f>IFERROR(__xludf.DUMMYFUNCTION("""COMPUTED_VALUE"""),"3")</f>
        <v>3</v>
      </c>
      <c r="I34" s="21" t="str">
        <f>IF(G34="","",VLOOKUP(G34,frecuencia[#ALL],2,0))</f>
        <v>Mensual</v>
      </c>
      <c r="J34" s="21" t="str">
        <f>IF(H34="","",VLOOKUP(H34,tipo_donante[#ALL],2,0))</f>
        <v>Campaña</v>
      </c>
      <c r="K34" s="24"/>
    </row>
    <row r="35">
      <c r="A35" s="21"/>
      <c r="B35" s="21"/>
      <c r="C35" s="23"/>
      <c r="D35" s="21"/>
      <c r="E35" s="21"/>
      <c r="F35" s="21"/>
      <c r="G35" s="21"/>
      <c r="H35" s="21"/>
      <c r="I35" s="21" t="str">
        <f>IF(G35="","",VLOOKUP(G35,frecuencia[#ALL],2,0))</f>
        <v/>
      </c>
      <c r="J35" s="21" t="str">
        <f>IF(H35="","",VLOOKUP(H35,tipo_donante[#ALL],2,0))</f>
        <v/>
      </c>
      <c r="K35" s="24"/>
    </row>
    <row r="36">
      <c r="A36" s="21"/>
      <c r="B36" s="21"/>
      <c r="C36" s="23"/>
      <c r="D36" s="21"/>
      <c r="E36" s="21"/>
      <c r="F36" s="21"/>
      <c r="G36" s="21"/>
      <c r="H36" s="21"/>
      <c r="I36" s="21" t="str">
        <f>IF(G36="","",VLOOKUP(G36,frecuencia[#ALL],2,0))</f>
        <v/>
      </c>
      <c r="J36" s="21" t="str">
        <f>IF(H36="","",VLOOKUP(H36,tipo_donante[#ALL],2,0))</f>
        <v/>
      </c>
      <c r="K36" s="24"/>
    </row>
    <row r="37">
      <c r="A37" s="21"/>
      <c r="B37" s="21"/>
      <c r="C37" s="23"/>
      <c r="D37" s="21"/>
      <c r="E37" s="21"/>
      <c r="F37" s="21"/>
      <c r="G37" s="21"/>
      <c r="H37" s="21"/>
      <c r="I37" s="21" t="str">
        <f>IF(G37="","",VLOOKUP(G37,frecuencia[#ALL],2,0))</f>
        <v/>
      </c>
      <c r="J37" s="21" t="str">
        <f>IF(H37="","",VLOOKUP(H37,tipo_donante[#ALL],2,0))</f>
        <v/>
      </c>
      <c r="K37" s="24"/>
    </row>
    <row r="38">
      <c r="A38" s="21"/>
      <c r="B38" s="21"/>
      <c r="C38" s="23"/>
      <c r="D38" s="21"/>
      <c r="E38" s="21"/>
      <c r="F38" s="21"/>
      <c r="G38" s="21"/>
      <c r="H38" s="21"/>
      <c r="I38" s="21" t="str">
        <f>IF(G38="","",VLOOKUP(G38,frecuencia[#ALL],2,0))</f>
        <v/>
      </c>
      <c r="J38" s="21" t="str">
        <f>IF(H38="","",VLOOKUP(H38,tipo_donante[#ALL],2,0))</f>
        <v/>
      </c>
      <c r="K38" s="24"/>
    </row>
    <row r="39">
      <c r="A39" s="21"/>
      <c r="B39" s="21"/>
      <c r="C39" s="23"/>
      <c r="D39" s="21"/>
      <c r="E39" s="21"/>
      <c r="F39" s="21"/>
      <c r="G39" s="21"/>
      <c r="H39" s="21"/>
      <c r="I39" s="21" t="str">
        <f>IF(G39="","",VLOOKUP(G39,frecuencia[#ALL],2,0))</f>
        <v/>
      </c>
      <c r="J39" s="21" t="str">
        <f>IF(H39="","",VLOOKUP(H39,tipo_donante[#ALL],2,0))</f>
        <v/>
      </c>
      <c r="K39" s="24"/>
    </row>
    <row r="40">
      <c r="A40" s="21"/>
      <c r="B40" s="21"/>
      <c r="C40" s="23"/>
      <c r="D40" s="21"/>
      <c r="E40" s="21"/>
      <c r="F40" s="21"/>
      <c r="G40" s="21"/>
      <c r="H40" s="21"/>
      <c r="I40" s="21" t="str">
        <f>IF(G40="","",VLOOKUP(G40,frecuencia[#ALL],2,0))</f>
        <v/>
      </c>
      <c r="J40" s="21" t="str">
        <f>IF(H40="","",VLOOKUP(H40,tipo_donante[#ALL],2,0))</f>
        <v/>
      </c>
      <c r="K40" s="24"/>
    </row>
    <row r="41">
      <c r="A41" s="21"/>
      <c r="B41" s="21"/>
      <c r="C41" s="23"/>
      <c r="D41" s="21"/>
      <c r="E41" s="21"/>
      <c r="F41" s="21"/>
      <c r="G41" s="21"/>
      <c r="H41" s="21"/>
      <c r="I41" s="21" t="str">
        <f>IF(G41="","",VLOOKUP(G41,frecuencia[#ALL],2,0))</f>
        <v/>
      </c>
      <c r="J41" s="21" t="str">
        <f>IF(H41="","",VLOOKUP(H41,tipo_donante[#ALL],2,0))</f>
        <v/>
      </c>
      <c r="K41" s="24"/>
    </row>
    <row r="42">
      <c r="A42" s="21"/>
      <c r="B42" s="21"/>
      <c r="C42" s="23"/>
      <c r="D42" s="21"/>
      <c r="E42" s="21"/>
      <c r="F42" s="21"/>
      <c r="G42" s="21"/>
      <c r="H42" s="21"/>
      <c r="I42" s="21" t="str">
        <f>IF(G42="","",VLOOKUP(G42,frecuencia[#ALL],2,0))</f>
        <v/>
      </c>
      <c r="J42" s="21" t="str">
        <f>IF(H42="","",VLOOKUP(H42,tipo_donante[#ALL],2,0))</f>
        <v/>
      </c>
      <c r="K42" s="24"/>
    </row>
    <row r="43">
      <c r="A43" s="21"/>
      <c r="B43" s="21"/>
      <c r="C43" s="23"/>
      <c r="D43" s="21"/>
      <c r="E43" s="21"/>
      <c r="F43" s="21"/>
      <c r="G43" s="21"/>
      <c r="H43" s="21"/>
      <c r="I43" s="21" t="str">
        <f>IF(G43="","",VLOOKUP(G43,frecuencia[#ALL],2,0))</f>
        <v/>
      </c>
      <c r="J43" s="21" t="str">
        <f>IF(H43="","",VLOOKUP(H43,tipo_donante[#ALL],2,0))</f>
        <v/>
      </c>
      <c r="K43" s="24"/>
    </row>
    <row r="44">
      <c r="A44" s="21"/>
      <c r="B44" s="21"/>
      <c r="C44" s="23"/>
      <c r="D44" s="21"/>
      <c r="E44" s="21"/>
      <c r="F44" s="21"/>
      <c r="G44" s="21"/>
      <c r="H44" s="21"/>
      <c r="I44" s="21" t="str">
        <f>IF(G44="","",VLOOKUP(G44,frecuencia[#ALL],2,0))</f>
        <v/>
      </c>
      <c r="J44" s="21" t="str">
        <f>IF(H44="","",VLOOKUP(H44,tipo_donante[#ALL],2,0))</f>
        <v/>
      </c>
      <c r="K44" s="24"/>
    </row>
    <row r="45">
      <c r="A45" s="21"/>
      <c r="B45" s="21"/>
      <c r="C45" s="23"/>
      <c r="D45" s="21"/>
      <c r="E45" s="21"/>
      <c r="F45" s="21"/>
      <c r="G45" s="21"/>
      <c r="H45" s="21"/>
      <c r="I45" s="21" t="str">
        <f>IF(G45="","",VLOOKUP(G45,frecuencia[#ALL],2,0))</f>
        <v/>
      </c>
      <c r="J45" s="21" t="str">
        <f>IF(H45="","",VLOOKUP(H45,tipo_donante[#ALL],2,0))</f>
        <v/>
      </c>
      <c r="K45" s="24"/>
    </row>
    <row r="46">
      <c r="A46" s="21"/>
      <c r="B46" s="21"/>
      <c r="C46" s="23"/>
      <c r="D46" s="21"/>
      <c r="E46" s="21"/>
      <c r="F46" s="21"/>
      <c r="G46" s="21"/>
      <c r="H46" s="21"/>
      <c r="I46" s="21" t="str">
        <f>IF(G46="","",VLOOKUP(G46,frecuencia[#ALL],2,0))</f>
        <v/>
      </c>
      <c r="J46" s="21" t="str">
        <f>IF(H46="","",VLOOKUP(H46,tipo_donante[#ALL],2,0))</f>
        <v/>
      </c>
      <c r="K46" s="24"/>
    </row>
    <row r="47">
      <c r="A47" s="21"/>
      <c r="B47" s="21"/>
      <c r="C47" s="23"/>
      <c r="D47" s="21"/>
      <c r="E47" s="21"/>
      <c r="F47" s="21"/>
      <c r="G47" s="21"/>
      <c r="H47" s="21"/>
      <c r="I47" s="21" t="str">
        <f>IF(G47="","",VLOOKUP(G47,frecuencia[#ALL],2,0))</f>
        <v/>
      </c>
      <c r="J47" s="21" t="str">
        <f>IF(H47="","",VLOOKUP(H47,tipo_donante[#ALL],2,0))</f>
        <v/>
      </c>
      <c r="K47" s="24"/>
    </row>
    <row r="48">
      <c r="A48" s="21"/>
      <c r="B48" s="21"/>
      <c r="C48" s="23"/>
      <c r="D48" s="21"/>
      <c r="E48" s="21"/>
      <c r="F48" s="21"/>
      <c r="G48" s="21"/>
      <c r="H48" s="21"/>
      <c r="I48" s="21" t="str">
        <f>IF(G48="","",VLOOKUP(G48,frecuencia[#ALL],2,0))</f>
        <v/>
      </c>
      <c r="J48" s="21" t="str">
        <f>IF(H48="","",VLOOKUP(H48,tipo_donante[#ALL],2,0))</f>
        <v/>
      </c>
      <c r="K48" s="24"/>
    </row>
    <row r="49">
      <c r="A49" s="21"/>
      <c r="B49" s="21"/>
      <c r="C49" s="23"/>
      <c r="D49" s="21"/>
      <c r="E49" s="21"/>
      <c r="F49" s="21"/>
      <c r="G49" s="21"/>
      <c r="H49" s="21"/>
      <c r="I49" s="21" t="str">
        <f>IF(G49="","",VLOOKUP(G49,frecuencia[#ALL],2,0))</f>
        <v/>
      </c>
      <c r="J49" s="21" t="str">
        <f>IF(H49="","",VLOOKUP(H49,tipo_donante[#ALL],2,0))</f>
        <v/>
      </c>
      <c r="K49" s="24"/>
    </row>
    <row r="50">
      <c r="A50" s="21"/>
      <c r="B50" s="21"/>
      <c r="C50" s="23"/>
      <c r="D50" s="21"/>
      <c r="E50" s="21"/>
      <c r="F50" s="21"/>
      <c r="G50" s="21"/>
      <c r="H50" s="21"/>
      <c r="I50" s="21" t="str">
        <f>IF(G50="","",VLOOKUP(G50,frecuencia[#ALL],2,0))</f>
        <v/>
      </c>
      <c r="J50" s="21" t="str">
        <f>IF(H50="","",VLOOKUP(H50,tipo_donante[#ALL],2,0))</f>
        <v/>
      </c>
      <c r="K50" s="24"/>
    </row>
    <row r="51">
      <c r="A51" s="21"/>
      <c r="B51" s="21"/>
      <c r="C51" s="23"/>
      <c r="D51" s="21"/>
      <c r="E51" s="21"/>
      <c r="F51" s="21"/>
      <c r="G51" s="21"/>
      <c r="H51" s="21"/>
      <c r="I51" s="21" t="str">
        <f>IF(G51="","",VLOOKUP(G51,frecuencia[#ALL],2,0))</f>
        <v/>
      </c>
      <c r="J51" s="21" t="str">
        <f>IF(H51="","",VLOOKUP(H51,tipo_donante[#ALL],2,0))</f>
        <v/>
      </c>
      <c r="K51" s="24"/>
    </row>
    <row r="52">
      <c r="A52" s="21"/>
      <c r="B52" s="21"/>
      <c r="C52" s="23"/>
      <c r="D52" s="21"/>
      <c r="E52" s="21"/>
      <c r="F52" s="21"/>
      <c r="G52" s="21"/>
      <c r="H52" s="21"/>
      <c r="I52" s="21" t="str">
        <f>IF(G52="","",VLOOKUP(G52,frecuencia[#ALL],2,0))</f>
        <v/>
      </c>
      <c r="J52" s="21" t="str">
        <f>IF(H52="","",VLOOKUP(H52,tipo_donante[#ALL],2,0))</f>
        <v/>
      </c>
      <c r="K52" s="24"/>
    </row>
    <row r="53">
      <c r="A53" s="21"/>
      <c r="B53" s="21"/>
      <c r="C53" s="23"/>
      <c r="D53" s="21"/>
      <c r="E53" s="21"/>
      <c r="F53" s="21"/>
      <c r="G53" s="21"/>
      <c r="H53" s="21"/>
      <c r="I53" s="21" t="str">
        <f>IF(G53="","",VLOOKUP(G53,frecuencia[#ALL],2,0))</f>
        <v/>
      </c>
      <c r="J53" s="21" t="str">
        <f>IF(H53="","",VLOOKUP(H53,tipo_donante[#ALL],2,0))</f>
        <v/>
      </c>
      <c r="K53" s="24"/>
    </row>
    <row r="54">
      <c r="A54" s="21"/>
      <c r="B54" s="21"/>
      <c r="C54" s="23"/>
      <c r="D54" s="21"/>
      <c r="E54" s="21"/>
      <c r="F54" s="21"/>
      <c r="G54" s="21"/>
      <c r="H54" s="21"/>
      <c r="I54" s="21" t="str">
        <f>IF(G54="","",VLOOKUP(G54,frecuencia[#ALL],2,0))</f>
        <v/>
      </c>
      <c r="J54" s="21" t="str">
        <f>IF(H54="","",VLOOKUP(H54,tipo_donante[#ALL],2,0))</f>
        <v/>
      </c>
      <c r="K54" s="24"/>
    </row>
    <row r="55">
      <c r="A55" s="21"/>
      <c r="B55" s="21"/>
      <c r="C55" s="23"/>
      <c r="D55" s="21"/>
      <c r="E55" s="21"/>
      <c r="F55" s="21"/>
      <c r="G55" s="21"/>
      <c r="H55" s="21"/>
      <c r="I55" s="21" t="str">
        <f>IF(G55="","",VLOOKUP(G55,frecuencia[#ALL],2,0))</f>
        <v/>
      </c>
      <c r="J55" s="21" t="str">
        <f>IF(H55="","",VLOOKUP(H55,tipo_donante[#ALL],2,0))</f>
        <v/>
      </c>
      <c r="K55" s="24"/>
    </row>
    <row r="56">
      <c r="A56" s="21"/>
      <c r="B56" s="21"/>
      <c r="C56" s="23"/>
      <c r="D56" s="21"/>
      <c r="E56" s="21"/>
      <c r="F56" s="21"/>
      <c r="G56" s="21"/>
      <c r="H56" s="21"/>
      <c r="I56" s="21" t="str">
        <f>IF(G56="","",VLOOKUP(G56,frecuencia[#ALL],2,0))</f>
        <v/>
      </c>
      <c r="J56" s="21" t="str">
        <f>IF(H56="","",VLOOKUP(H56,tipo_donante[#ALL],2,0))</f>
        <v/>
      </c>
      <c r="K56" s="24"/>
    </row>
    <row r="57">
      <c r="A57" s="21"/>
      <c r="B57" s="21"/>
      <c r="C57" s="23"/>
      <c r="D57" s="21"/>
      <c r="E57" s="21"/>
      <c r="F57" s="21"/>
      <c r="G57" s="21"/>
      <c r="H57" s="21"/>
      <c r="I57" s="21" t="str">
        <f>IF(G57="","",VLOOKUP(G57,frecuencia[#ALL],2,0))</f>
        <v/>
      </c>
      <c r="J57" s="21" t="str">
        <f>IF(H57="","",VLOOKUP(H57,tipo_donante[#ALL],2,0))</f>
        <v/>
      </c>
      <c r="K57" s="24"/>
    </row>
    <row r="58">
      <c r="A58" s="21"/>
      <c r="B58" s="21"/>
      <c r="C58" s="23"/>
      <c r="D58" s="21"/>
      <c r="E58" s="21"/>
      <c r="F58" s="21"/>
      <c r="G58" s="21"/>
      <c r="H58" s="21"/>
      <c r="I58" s="21" t="str">
        <f>IF(G58="","",VLOOKUP(G58,frecuencia[#ALL],2,0))</f>
        <v/>
      </c>
      <c r="J58" s="21" t="str">
        <f>IF(H58="","",VLOOKUP(H58,tipo_donante[#ALL],2,0))</f>
        <v/>
      </c>
      <c r="K58" s="24"/>
    </row>
    <row r="59">
      <c r="A59" s="21"/>
      <c r="B59" s="21"/>
      <c r="C59" s="23"/>
      <c r="D59" s="21"/>
      <c r="E59" s="21"/>
      <c r="F59" s="21"/>
      <c r="G59" s="21"/>
      <c r="H59" s="21"/>
      <c r="I59" s="21" t="str">
        <f>IF(G59="","",VLOOKUP(G59,frecuencia[#ALL],2,0))</f>
        <v/>
      </c>
      <c r="J59" s="21" t="str">
        <f>IF(H59="","",VLOOKUP(H59,tipo_donante[#ALL],2,0))</f>
        <v/>
      </c>
      <c r="K59" s="24"/>
    </row>
    <row r="60">
      <c r="A60" s="21"/>
      <c r="B60" s="21"/>
      <c r="C60" s="23"/>
      <c r="D60" s="21"/>
      <c r="E60" s="21"/>
      <c r="F60" s="21"/>
      <c r="G60" s="21"/>
      <c r="H60" s="21"/>
      <c r="I60" s="21" t="str">
        <f>IF(G60="","",VLOOKUP(G60,frecuencia[#ALL],2,0))</f>
        <v/>
      </c>
      <c r="J60" s="21" t="str">
        <f>IF(H60="","",VLOOKUP(H60,tipo_donante[#ALL],2,0))</f>
        <v/>
      </c>
      <c r="K60" s="24"/>
    </row>
    <row r="61">
      <c r="A61" s="21"/>
      <c r="B61" s="21"/>
      <c r="C61" s="23"/>
      <c r="D61" s="21"/>
      <c r="E61" s="21"/>
      <c r="F61" s="21"/>
      <c r="G61" s="21"/>
      <c r="H61" s="21"/>
      <c r="I61" s="21" t="str">
        <f>IF(G61="","",VLOOKUP(G61,frecuencia[#ALL],2,0))</f>
        <v/>
      </c>
      <c r="J61" s="21" t="str">
        <f>IF(H61="","",VLOOKUP(H61,tipo_donante[#ALL],2,0))</f>
        <v/>
      </c>
      <c r="K61" s="24"/>
    </row>
    <row r="62">
      <c r="A62" s="21"/>
      <c r="B62" s="21"/>
      <c r="C62" s="23"/>
      <c r="D62" s="21"/>
      <c r="E62" s="21"/>
      <c r="F62" s="21"/>
      <c r="G62" s="21"/>
      <c r="H62" s="21"/>
      <c r="I62" s="21" t="str">
        <f>IF(G62="","",VLOOKUP(G62,frecuencia[#ALL],2,0))</f>
        <v/>
      </c>
      <c r="J62" s="21" t="str">
        <f>IF(H62="","",VLOOKUP(H62,tipo_donante[#ALL],2,0))</f>
        <v/>
      </c>
      <c r="K62" s="24"/>
    </row>
    <row r="63">
      <c r="A63" s="21"/>
      <c r="B63" s="21"/>
      <c r="C63" s="23"/>
      <c r="D63" s="21"/>
      <c r="E63" s="21"/>
      <c r="F63" s="21"/>
      <c r="G63" s="21"/>
      <c r="H63" s="21"/>
      <c r="I63" s="21" t="str">
        <f>IF(G63="","",VLOOKUP(G63,frecuencia[#ALL],2,0))</f>
        <v/>
      </c>
      <c r="J63" s="21" t="str">
        <f>IF(H63="","",VLOOKUP(H63,tipo_donante[#ALL],2,0))</f>
        <v/>
      </c>
      <c r="K63" s="24"/>
    </row>
    <row r="64">
      <c r="A64" s="21"/>
      <c r="B64" s="21"/>
      <c r="C64" s="23"/>
      <c r="D64" s="21"/>
      <c r="E64" s="21"/>
      <c r="F64" s="21"/>
      <c r="G64" s="21"/>
      <c r="H64" s="21"/>
      <c r="I64" s="21" t="str">
        <f>IF(G64="","",VLOOKUP(G64,frecuencia[#ALL],2,0))</f>
        <v/>
      </c>
      <c r="J64" s="21" t="str">
        <f>IF(H64="","",VLOOKUP(H64,tipo_donante[#ALL],2,0))</f>
        <v/>
      </c>
      <c r="K64" s="24"/>
    </row>
    <row r="65">
      <c r="A65" s="21"/>
      <c r="B65" s="21"/>
      <c r="C65" s="23"/>
      <c r="D65" s="21"/>
      <c r="E65" s="21"/>
      <c r="F65" s="21"/>
      <c r="G65" s="21"/>
      <c r="H65" s="21"/>
      <c r="I65" s="21" t="str">
        <f>IF(G65="","",VLOOKUP(G65,frecuencia[#ALL],2,0))</f>
        <v/>
      </c>
      <c r="J65" s="21" t="str">
        <f>IF(H65="","",VLOOKUP(H65,tipo_donante[#ALL],2,0))</f>
        <v/>
      </c>
      <c r="K65" s="24"/>
    </row>
    <row r="66">
      <c r="A66" s="21"/>
      <c r="B66" s="21"/>
      <c r="C66" s="23"/>
      <c r="D66" s="21"/>
      <c r="E66" s="21"/>
      <c r="F66" s="21"/>
      <c r="G66" s="21"/>
      <c r="H66" s="21"/>
      <c r="I66" s="21" t="str">
        <f>IF(G66="","",VLOOKUP(G66,frecuencia[#ALL],2,0))</f>
        <v/>
      </c>
      <c r="J66" s="21" t="str">
        <f>IF(H66="","",VLOOKUP(H66,tipo_donante[#ALL],2,0))</f>
        <v/>
      </c>
      <c r="K66" s="24"/>
    </row>
    <row r="67">
      <c r="A67" s="21"/>
      <c r="B67" s="21"/>
      <c r="C67" s="23"/>
      <c r="D67" s="21"/>
      <c r="E67" s="21"/>
      <c r="F67" s="21"/>
      <c r="G67" s="21"/>
      <c r="H67" s="21"/>
      <c r="I67" s="21" t="str">
        <f>IF(G67="","",VLOOKUP(G67,frecuencia[#ALL],2,0))</f>
        <v/>
      </c>
      <c r="J67" s="21" t="str">
        <f>IF(H67="","",VLOOKUP(H67,tipo_donante[#ALL],2,0))</f>
        <v/>
      </c>
      <c r="K67" s="24"/>
    </row>
    <row r="68">
      <c r="A68" s="21"/>
      <c r="B68" s="21"/>
      <c r="C68" s="23"/>
      <c r="D68" s="21"/>
      <c r="E68" s="21"/>
      <c r="F68" s="21"/>
      <c r="G68" s="21"/>
      <c r="H68" s="21"/>
      <c r="I68" s="21" t="str">
        <f>IF(G68="","",VLOOKUP(G68,frecuencia[#ALL],2,0))</f>
        <v/>
      </c>
      <c r="J68" s="21" t="str">
        <f>IF(H68="","",VLOOKUP(H68,tipo_donante[#ALL],2,0))</f>
        <v/>
      </c>
      <c r="K68" s="24"/>
    </row>
    <row r="69">
      <c r="A69" s="21"/>
      <c r="B69" s="21"/>
      <c r="C69" s="23"/>
      <c r="D69" s="21"/>
      <c r="E69" s="21"/>
      <c r="F69" s="21"/>
      <c r="G69" s="21"/>
      <c r="H69" s="21"/>
      <c r="I69" s="21" t="str">
        <f>IF(G69="","",VLOOKUP(G69,frecuencia[#ALL],2,0))</f>
        <v/>
      </c>
      <c r="J69" s="21" t="str">
        <f>IF(H69="","",VLOOKUP(H69,tipo_donante[#ALL],2,0))</f>
        <v/>
      </c>
      <c r="K69" s="24"/>
    </row>
    <row r="70">
      <c r="A70" s="21"/>
      <c r="B70" s="21"/>
      <c r="C70" s="23"/>
      <c r="D70" s="21"/>
      <c r="E70" s="21"/>
      <c r="F70" s="21"/>
      <c r="G70" s="21"/>
      <c r="H70" s="21"/>
      <c r="I70" s="21" t="str">
        <f>IF(G70="","",VLOOKUP(G70,frecuencia[#ALL],2,0))</f>
        <v/>
      </c>
      <c r="J70" s="21" t="str">
        <f>IF(H70="","",VLOOKUP(H70,tipo_donante[#ALL],2,0))</f>
        <v/>
      </c>
      <c r="K70" s="24"/>
    </row>
    <row r="71">
      <c r="A71" s="21"/>
      <c r="B71" s="21"/>
      <c r="C71" s="23"/>
      <c r="D71" s="21"/>
      <c r="E71" s="21"/>
      <c r="F71" s="21"/>
      <c r="G71" s="21"/>
      <c r="H71" s="21"/>
      <c r="I71" s="21" t="str">
        <f>IF(G71="","",VLOOKUP(G71,frecuencia[#ALL],2,0))</f>
        <v/>
      </c>
      <c r="J71" s="21" t="str">
        <f>IF(H71="","",VLOOKUP(H71,tipo_donante[#ALL],2,0))</f>
        <v/>
      </c>
      <c r="K71" s="24"/>
    </row>
    <row r="72">
      <c r="A72" s="21"/>
      <c r="B72" s="21"/>
      <c r="C72" s="23"/>
      <c r="D72" s="21"/>
      <c r="E72" s="21"/>
      <c r="F72" s="21"/>
      <c r="G72" s="21"/>
      <c r="H72" s="21"/>
      <c r="I72" s="21" t="str">
        <f>IF(G72="","",VLOOKUP(G72,frecuencia[#ALL],2,0))</f>
        <v/>
      </c>
      <c r="J72" s="21" t="str">
        <f>IF(H72="","",VLOOKUP(H72,tipo_donante[#ALL],2,0))</f>
        <v/>
      </c>
      <c r="K72" s="24"/>
    </row>
    <row r="73">
      <c r="A73" s="21"/>
      <c r="B73" s="21"/>
      <c r="C73" s="23"/>
      <c r="D73" s="21"/>
      <c r="E73" s="21"/>
      <c r="F73" s="21"/>
      <c r="G73" s="21"/>
      <c r="H73" s="21"/>
      <c r="I73" s="21" t="str">
        <f>IF(G73="","",VLOOKUP(G73,frecuencia[#ALL],2,0))</f>
        <v/>
      </c>
      <c r="J73" s="21" t="str">
        <f>IF(H73="","",VLOOKUP(H73,tipo_donante[#ALL],2,0))</f>
        <v/>
      </c>
      <c r="K73" s="24"/>
    </row>
    <row r="74">
      <c r="A74" s="21"/>
      <c r="B74" s="21"/>
      <c r="C74" s="23"/>
      <c r="D74" s="21"/>
      <c r="E74" s="21"/>
      <c r="F74" s="21"/>
      <c r="G74" s="21"/>
      <c r="H74" s="21"/>
      <c r="I74" s="21" t="str">
        <f>IF(G74="","",VLOOKUP(G74,frecuencia[#ALL],2,0))</f>
        <v/>
      </c>
      <c r="J74" s="21" t="str">
        <f>IF(H74="","",VLOOKUP(H74,tipo_donante[#ALL],2,0))</f>
        <v/>
      </c>
      <c r="K74" s="24"/>
    </row>
    <row r="75">
      <c r="A75" s="21"/>
      <c r="B75" s="21"/>
      <c r="C75" s="23"/>
      <c r="D75" s="21"/>
      <c r="E75" s="21"/>
      <c r="F75" s="21"/>
      <c r="G75" s="21"/>
      <c r="H75" s="21"/>
      <c r="I75" s="21" t="str">
        <f>IF(G75="","",VLOOKUP(G75,frecuencia[#ALL],2,0))</f>
        <v/>
      </c>
      <c r="J75" s="21" t="str">
        <f>IF(H75="","",VLOOKUP(H75,tipo_donante[#ALL],2,0))</f>
        <v/>
      </c>
      <c r="K75" s="24"/>
    </row>
    <row r="76">
      <c r="A76" s="21"/>
      <c r="B76" s="21"/>
      <c r="C76" s="23"/>
      <c r="D76" s="21"/>
      <c r="E76" s="21"/>
      <c r="F76" s="21"/>
      <c r="G76" s="21"/>
      <c r="H76" s="21"/>
      <c r="I76" s="21" t="str">
        <f>IF(G76="","",VLOOKUP(G76,frecuencia[#ALL],2,0))</f>
        <v/>
      </c>
      <c r="J76" s="21" t="str">
        <f>IF(H76="","",VLOOKUP(H76,tipo_donante[#ALL],2,0))</f>
        <v/>
      </c>
      <c r="K76" s="24"/>
    </row>
    <row r="77">
      <c r="A77" s="21"/>
      <c r="B77" s="21"/>
      <c r="C77" s="23"/>
      <c r="D77" s="21"/>
      <c r="E77" s="21"/>
      <c r="F77" s="21"/>
      <c r="G77" s="21"/>
      <c r="H77" s="21"/>
      <c r="I77" s="21" t="str">
        <f>IF(G77="","",VLOOKUP(G77,frecuencia[#ALL],2,0))</f>
        <v/>
      </c>
      <c r="J77" s="21" t="str">
        <f>IF(H77="","",VLOOKUP(H77,tipo_donante[#ALL],2,0))</f>
        <v/>
      </c>
      <c r="K77" s="24"/>
    </row>
    <row r="78">
      <c r="A78" s="21"/>
      <c r="B78" s="21"/>
      <c r="C78" s="23"/>
      <c r="D78" s="21"/>
      <c r="E78" s="21"/>
      <c r="F78" s="21"/>
      <c r="G78" s="21"/>
      <c r="H78" s="21"/>
      <c r="I78" s="21" t="str">
        <f>IF(G78="","",VLOOKUP(G78,frecuencia[#ALL],2,0))</f>
        <v/>
      </c>
      <c r="J78" s="21" t="str">
        <f>IF(H78="","",VLOOKUP(H78,tipo_donante[#ALL],2,0))</f>
        <v/>
      </c>
      <c r="K78" s="24"/>
    </row>
    <row r="79">
      <c r="A79" s="21"/>
      <c r="B79" s="21"/>
      <c r="C79" s="23"/>
      <c r="D79" s="21"/>
      <c r="E79" s="21"/>
      <c r="F79" s="21"/>
      <c r="G79" s="21"/>
      <c r="H79" s="21"/>
      <c r="I79" s="21" t="str">
        <f>IF(G79="","",VLOOKUP(G79,frecuencia[#ALL],2,0))</f>
        <v/>
      </c>
      <c r="J79" s="21" t="str">
        <f>IF(H79="","",VLOOKUP(H79,tipo_donante[#ALL],2,0))</f>
        <v/>
      </c>
      <c r="K79" s="24"/>
    </row>
    <row r="80">
      <c r="A80" s="21"/>
      <c r="B80" s="21"/>
      <c r="C80" s="23"/>
      <c r="D80" s="21"/>
      <c r="E80" s="21"/>
      <c r="F80" s="21"/>
      <c r="G80" s="21"/>
      <c r="H80" s="21"/>
      <c r="I80" s="21" t="str">
        <f>IF(G80="","",VLOOKUP(G80,frecuencia[#ALL],2,0))</f>
        <v/>
      </c>
      <c r="J80" s="21" t="str">
        <f>IF(H80="","",VLOOKUP(H80,tipo_donante[#ALL],2,0))</f>
        <v/>
      </c>
      <c r="K80" s="24"/>
    </row>
    <row r="81">
      <c r="A81" s="21"/>
      <c r="B81" s="21"/>
      <c r="C81" s="23"/>
      <c r="D81" s="21"/>
      <c r="E81" s="21"/>
      <c r="F81" s="21"/>
      <c r="G81" s="21"/>
      <c r="H81" s="21"/>
      <c r="I81" s="21" t="str">
        <f>IF(G81="","",VLOOKUP(G81,frecuencia[#ALL],2,0))</f>
        <v/>
      </c>
      <c r="J81" s="21" t="str">
        <f>IF(H81="","",VLOOKUP(H81,tipo_donante[#ALL],2,0))</f>
        <v/>
      </c>
      <c r="K81" s="24"/>
    </row>
    <row r="82">
      <c r="A82" s="21"/>
      <c r="B82" s="21"/>
      <c r="C82" s="23"/>
      <c r="D82" s="21"/>
      <c r="E82" s="21"/>
      <c r="F82" s="21"/>
      <c r="G82" s="21"/>
      <c r="H82" s="21"/>
      <c r="I82" s="21" t="str">
        <f>IF(G82="","",VLOOKUP(G82,frecuencia[#ALL],2,0))</f>
        <v/>
      </c>
      <c r="J82" s="21" t="str">
        <f>IF(H82="","",VLOOKUP(H82,tipo_donante[#ALL],2,0))</f>
        <v/>
      </c>
      <c r="K82" s="24"/>
    </row>
    <row r="83">
      <c r="A83" s="21"/>
      <c r="B83" s="21"/>
      <c r="C83" s="23"/>
      <c r="D83" s="21"/>
      <c r="E83" s="21"/>
      <c r="F83" s="21"/>
      <c r="G83" s="21"/>
      <c r="H83" s="21"/>
      <c r="I83" s="21" t="str">
        <f>IF(G83="","",VLOOKUP(G83,frecuencia[#ALL],2,0))</f>
        <v/>
      </c>
      <c r="J83" s="21" t="str">
        <f>IF(H83="","",VLOOKUP(H83,tipo_donante[#ALL],2,0))</f>
        <v/>
      </c>
      <c r="K83" s="24"/>
    </row>
    <row r="84">
      <c r="A84" s="21"/>
      <c r="B84" s="21"/>
      <c r="C84" s="23"/>
      <c r="D84" s="21"/>
      <c r="E84" s="21"/>
      <c r="F84" s="21"/>
      <c r="G84" s="21"/>
      <c r="H84" s="21"/>
      <c r="I84" s="21" t="str">
        <f>IF(G84="","",VLOOKUP(G84,frecuencia[#ALL],2,0))</f>
        <v/>
      </c>
      <c r="J84" s="21" t="str">
        <f>IF(H84="","",VLOOKUP(H84,tipo_donante[#ALL],2,0))</f>
        <v/>
      </c>
      <c r="K84" s="24"/>
    </row>
    <row r="85">
      <c r="A85" s="21"/>
      <c r="B85" s="21"/>
      <c r="C85" s="23"/>
      <c r="D85" s="21"/>
      <c r="E85" s="21"/>
      <c r="F85" s="21"/>
      <c r="G85" s="21"/>
      <c r="H85" s="21"/>
      <c r="I85" s="21" t="str">
        <f>IF(G85="","",VLOOKUP(G85,frecuencia[#ALL],2,0))</f>
        <v/>
      </c>
      <c r="J85" s="21" t="str">
        <f>IF(H85="","",VLOOKUP(H85,tipo_donante[#ALL],2,0))</f>
        <v/>
      </c>
      <c r="K85" s="24"/>
    </row>
    <row r="86">
      <c r="A86" s="21"/>
      <c r="B86" s="21"/>
      <c r="C86" s="23"/>
      <c r="D86" s="21"/>
      <c r="E86" s="21"/>
      <c r="F86" s="21"/>
      <c r="G86" s="21"/>
      <c r="H86" s="21"/>
      <c r="I86" s="21" t="str">
        <f>IF(G86="","",VLOOKUP(G86,frecuencia[#ALL],2,0))</f>
        <v/>
      </c>
      <c r="J86" s="21" t="str">
        <f>IF(H86="","",VLOOKUP(H86,tipo_donante[#ALL],2,0))</f>
        <v/>
      </c>
      <c r="K86" s="24"/>
    </row>
    <row r="87">
      <c r="A87" s="21"/>
      <c r="B87" s="21"/>
      <c r="C87" s="23"/>
      <c r="D87" s="21"/>
      <c r="E87" s="21"/>
      <c r="F87" s="21"/>
      <c r="G87" s="21"/>
      <c r="H87" s="21"/>
      <c r="I87" s="21" t="str">
        <f>IF(G87="","",VLOOKUP(G87,frecuencia[#ALL],2,0))</f>
        <v/>
      </c>
      <c r="J87" s="21" t="str">
        <f>IF(H87="","",VLOOKUP(H87,tipo_donante[#ALL],2,0))</f>
        <v/>
      </c>
      <c r="K87" s="24"/>
    </row>
    <row r="88">
      <c r="A88" s="21"/>
      <c r="B88" s="21"/>
      <c r="C88" s="23"/>
      <c r="D88" s="21"/>
      <c r="E88" s="21"/>
      <c r="F88" s="21"/>
      <c r="G88" s="21"/>
      <c r="H88" s="21"/>
      <c r="I88" s="21" t="str">
        <f>IF(G88="","",VLOOKUP(G88,frecuencia[#ALL],2,0))</f>
        <v/>
      </c>
      <c r="J88" s="21" t="str">
        <f>IF(H88="","",VLOOKUP(H88,tipo_donante[#ALL],2,0))</f>
        <v/>
      </c>
      <c r="K88" s="24"/>
    </row>
    <row r="89">
      <c r="A89" s="21"/>
      <c r="B89" s="21"/>
      <c r="C89" s="23"/>
      <c r="D89" s="21"/>
      <c r="E89" s="21"/>
      <c r="F89" s="21"/>
      <c r="G89" s="21"/>
      <c r="H89" s="21"/>
      <c r="I89" s="21" t="str">
        <f>IF(G89="","",VLOOKUP(G89,frecuencia[#ALL],2,0))</f>
        <v/>
      </c>
      <c r="J89" s="21" t="str">
        <f>IF(H89="","",VLOOKUP(H89,tipo_donante[#ALL],2,0))</f>
        <v/>
      </c>
      <c r="K89" s="24"/>
    </row>
    <row r="90">
      <c r="A90" s="21"/>
      <c r="B90" s="21"/>
      <c r="C90" s="23"/>
      <c r="D90" s="21"/>
      <c r="E90" s="21"/>
      <c r="F90" s="21"/>
      <c r="G90" s="21"/>
      <c r="H90" s="21"/>
      <c r="I90" s="21" t="str">
        <f>IF(G90="","",VLOOKUP(G90,frecuencia[#ALL],2,0))</f>
        <v/>
      </c>
      <c r="J90" s="21" t="str">
        <f>IF(H90="","",VLOOKUP(H90,tipo_donante[#ALL],2,0))</f>
        <v/>
      </c>
      <c r="K90" s="24"/>
    </row>
    <row r="91">
      <c r="A91" s="21"/>
      <c r="B91" s="21"/>
      <c r="C91" s="23"/>
      <c r="D91" s="21"/>
      <c r="E91" s="21"/>
      <c r="F91" s="21"/>
      <c r="G91" s="21"/>
      <c r="H91" s="21"/>
      <c r="I91" s="21" t="str">
        <f>IF(G91="","",VLOOKUP(G91,frecuencia[#ALL],2,0))</f>
        <v/>
      </c>
      <c r="J91" s="21" t="str">
        <f>IF(H91="","",VLOOKUP(H91,tipo_donante[#ALL],2,0))</f>
        <v/>
      </c>
      <c r="K91" s="24"/>
    </row>
    <row r="92">
      <c r="A92" s="21"/>
      <c r="B92" s="21"/>
      <c r="C92" s="23"/>
      <c r="D92" s="21"/>
      <c r="E92" s="21"/>
      <c r="F92" s="21"/>
      <c r="G92" s="21"/>
      <c r="H92" s="21"/>
      <c r="I92" s="21" t="str">
        <f>IF(G92="","",VLOOKUP(G92,frecuencia[#ALL],2,0))</f>
        <v/>
      </c>
      <c r="J92" s="21" t="str">
        <f>IF(H92="","",VLOOKUP(H92,tipo_donante[#ALL],2,0))</f>
        <v/>
      </c>
      <c r="K92" s="24"/>
    </row>
    <row r="93">
      <c r="A93" s="21"/>
      <c r="B93" s="21"/>
      <c r="C93" s="23"/>
      <c r="D93" s="21"/>
      <c r="E93" s="21"/>
      <c r="F93" s="21"/>
      <c r="G93" s="21"/>
      <c r="H93" s="21"/>
      <c r="I93" s="21" t="str">
        <f>IF(G93="","",VLOOKUP(G93,frecuencia[#ALL],2,0))</f>
        <v/>
      </c>
      <c r="J93" s="21" t="str">
        <f>IF(H93="","",VLOOKUP(H93,tipo_donante[#ALL],2,0))</f>
        <v/>
      </c>
      <c r="K93" s="24"/>
    </row>
    <row r="94">
      <c r="A94" s="21"/>
      <c r="B94" s="21"/>
      <c r="C94" s="23"/>
      <c r="D94" s="21"/>
      <c r="E94" s="21"/>
      <c r="F94" s="21"/>
      <c r="G94" s="21"/>
      <c r="H94" s="21"/>
      <c r="I94" s="21" t="str">
        <f>IF(G94="","",VLOOKUP(G94,frecuencia[#ALL],2,0))</f>
        <v/>
      </c>
      <c r="J94" s="21" t="str">
        <f>IF(H94="","",VLOOKUP(H94,tipo_donante[#ALL],2,0))</f>
        <v/>
      </c>
      <c r="K94" s="24"/>
    </row>
    <row r="95">
      <c r="A95" s="21"/>
      <c r="B95" s="21"/>
      <c r="C95" s="23"/>
      <c r="D95" s="21"/>
      <c r="E95" s="21"/>
      <c r="F95" s="21"/>
      <c r="G95" s="21"/>
      <c r="H95" s="21"/>
      <c r="I95" s="21" t="str">
        <f>IF(G95="","",VLOOKUP(G95,frecuencia[#ALL],2,0))</f>
        <v/>
      </c>
      <c r="J95" s="21" t="str">
        <f>IF(H95="","",VLOOKUP(H95,tipo_donante[#ALL],2,0))</f>
        <v/>
      </c>
      <c r="K95" s="24"/>
    </row>
    <row r="96">
      <c r="A96" s="21"/>
      <c r="B96" s="21"/>
      <c r="C96" s="23"/>
      <c r="D96" s="21"/>
      <c r="E96" s="21"/>
      <c r="F96" s="21"/>
      <c r="G96" s="21"/>
      <c r="H96" s="21"/>
      <c r="I96" s="21" t="str">
        <f>IF(G96="","",VLOOKUP(G96,frecuencia[#ALL],2,0))</f>
        <v/>
      </c>
      <c r="J96" s="21" t="str">
        <f>IF(H96="","",VLOOKUP(H96,tipo_donante[#ALL],2,0))</f>
        <v/>
      </c>
      <c r="K96" s="24"/>
    </row>
    <row r="97">
      <c r="A97" s="21"/>
      <c r="B97" s="21"/>
      <c r="C97" s="23"/>
      <c r="D97" s="21"/>
      <c r="E97" s="21"/>
      <c r="F97" s="21"/>
      <c r="G97" s="21"/>
      <c r="H97" s="21"/>
      <c r="I97" s="21" t="str">
        <f>IF(G97="","",VLOOKUP(G97,frecuencia[#ALL],2,0))</f>
        <v/>
      </c>
      <c r="J97" s="21" t="str">
        <f>IF(H97="","",VLOOKUP(H97,tipo_donante[#ALL],2,0))</f>
        <v/>
      </c>
      <c r="K97" s="24"/>
    </row>
    <row r="98">
      <c r="A98" s="21"/>
      <c r="B98" s="21"/>
      <c r="C98" s="23"/>
      <c r="D98" s="21"/>
      <c r="E98" s="21"/>
      <c r="F98" s="21"/>
      <c r="G98" s="21"/>
      <c r="H98" s="21"/>
      <c r="I98" s="21" t="str">
        <f>IF(G98="","",VLOOKUP(G98,frecuencia[#ALL],2,0))</f>
        <v/>
      </c>
      <c r="J98" s="21" t="str">
        <f>IF(H98="","",VLOOKUP(H98,tipo_donante[#ALL],2,0))</f>
        <v/>
      </c>
      <c r="K98" s="24"/>
    </row>
    <row r="99">
      <c r="A99" s="21"/>
      <c r="B99" s="21"/>
      <c r="C99" s="23"/>
      <c r="D99" s="21"/>
      <c r="E99" s="21"/>
      <c r="F99" s="21"/>
      <c r="G99" s="21"/>
      <c r="H99" s="21"/>
      <c r="I99" s="21" t="str">
        <f>IF(G99="","",VLOOKUP(G99,frecuencia[#ALL],2,0))</f>
        <v/>
      </c>
      <c r="J99" s="21" t="str">
        <f>IF(H99="","",VLOOKUP(H99,tipo_donante[#ALL],2,0))</f>
        <v/>
      </c>
      <c r="K99" s="24"/>
    </row>
    <row r="100">
      <c r="A100" s="21"/>
      <c r="B100" s="21"/>
      <c r="C100" s="23"/>
      <c r="D100" s="21"/>
      <c r="E100" s="21"/>
      <c r="F100" s="21"/>
      <c r="G100" s="21"/>
      <c r="H100" s="21"/>
      <c r="I100" s="21" t="str">
        <f>IF(G100="","",VLOOKUP(G100,frecuencia[#ALL],2,0))</f>
        <v/>
      </c>
      <c r="J100" s="21" t="str">
        <f>IF(H100="","",VLOOKUP(H100,tipo_donante[#ALL],2,0))</f>
        <v/>
      </c>
      <c r="K100" s="24"/>
    </row>
    <row r="101">
      <c r="A101" s="21"/>
      <c r="B101" s="21"/>
      <c r="C101" s="23"/>
      <c r="D101" s="21"/>
      <c r="E101" s="21"/>
      <c r="F101" s="21"/>
      <c r="G101" s="21"/>
      <c r="H101" s="21"/>
      <c r="I101" s="21" t="str">
        <f>IF(G101="","",VLOOKUP(G101,frecuencia[#ALL],2,0))</f>
        <v/>
      </c>
      <c r="J101" s="21" t="str">
        <f>IF(H101="","",VLOOKUP(H101,tipo_donante[#ALL],2,0))</f>
        <v/>
      </c>
      <c r="K101" s="24"/>
    </row>
    <row r="102">
      <c r="A102" s="21"/>
      <c r="B102" s="21"/>
      <c r="C102" s="23"/>
      <c r="D102" s="21"/>
      <c r="E102" s="21"/>
      <c r="F102" s="21"/>
      <c r="G102" s="21"/>
      <c r="H102" s="21"/>
      <c r="I102" s="21" t="str">
        <f>IF(G102="","",VLOOKUP(G102,frecuencia[#ALL],2,0))</f>
        <v/>
      </c>
      <c r="J102" s="21" t="str">
        <f>IF(H102="","",VLOOKUP(H102,tipo_donante[#ALL],2,0))</f>
        <v/>
      </c>
      <c r="K102" s="24"/>
    </row>
    <row r="103">
      <c r="A103" s="21"/>
      <c r="B103" s="21"/>
      <c r="C103" s="23"/>
      <c r="D103" s="21"/>
      <c r="E103" s="21"/>
      <c r="F103" s="21"/>
      <c r="G103" s="21"/>
      <c r="H103" s="21"/>
      <c r="I103" s="21" t="str">
        <f>IF(G103="","",VLOOKUP(G103,frecuencia[#ALL],2,0))</f>
        <v/>
      </c>
      <c r="J103" s="21" t="str">
        <f>IF(H103="","",VLOOKUP(H103,tipo_donante[#ALL],2,0))</f>
        <v/>
      </c>
      <c r="K103" s="24"/>
    </row>
    <row r="104">
      <c r="A104" s="21"/>
      <c r="B104" s="21"/>
      <c r="C104" s="23"/>
      <c r="D104" s="21"/>
      <c r="E104" s="21"/>
      <c r="F104" s="21"/>
      <c r="G104" s="21"/>
      <c r="H104" s="21"/>
      <c r="I104" s="21" t="str">
        <f>IF(G104="","",VLOOKUP(G104,frecuencia[#ALL],2,0))</f>
        <v/>
      </c>
      <c r="J104" s="21" t="str">
        <f>IF(H104="","",VLOOKUP(H104,tipo_donante[#ALL],2,0))</f>
        <v/>
      </c>
      <c r="K104" s="24"/>
    </row>
    <row r="105">
      <c r="A105" s="21"/>
      <c r="B105" s="21"/>
      <c r="C105" s="23"/>
      <c r="D105" s="21"/>
      <c r="E105" s="21"/>
      <c r="F105" s="21"/>
      <c r="G105" s="21"/>
      <c r="H105" s="21"/>
      <c r="I105" s="21" t="str">
        <f>IF(G105="","",VLOOKUP(G105,frecuencia[#ALL],2,0))</f>
        <v/>
      </c>
      <c r="J105" s="21" t="str">
        <f>IF(H105="","",VLOOKUP(H105,tipo_donante[#ALL],2,0))</f>
        <v/>
      </c>
      <c r="K105" s="24"/>
    </row>
    <row r="106">
      <c r="A106" s="21"/>
      <c r="B106" s="21"/>
      <c r="C106" s="23"/>
      <c r="D106" s="21"/>
      <c r="E106" s="21"/>
      <c r="F106" s="21"/>
      <c r="G106" s="21"/>
      <c r="H106" s="21"/>
      <c r="I106" s="21" t="str">
        <f>IF(G106="","",VLOOKUP(G106,frecuencia[#ALL],2,0))</f>
        <v/>
      </c>
      <c r="J106" s="21" t="str">
        <f>IF(H106="","",VLOOKUP(H106,tipo_donante[#ALL],2,0))</f>
        <v/>
      </c>
      <c r="K106" s="24"/>
    </row>
    <row r="107">
      <c r="A107" s="21"/>
      <c r="B107" s="21"/>
      <c r="C107" s="23"/>
      <c r="D107" s="21"/>
      <c r="E107" s="21"/>
      <c r="F107" s="21"/>
      <c r="G107" s="21"/>
      <c r="H107" s="21"/>
      <c r="I107" s="21" t="str">
        <f>IF(G107="","",VLOOKUP(G107,frecuencia[#ALL],2,0))</f>
        <v/>
      </c>
      <c r="J107" s="21" t="str">
        <f>IF(H107="","",VLOOKUP(H107,tipo_donante[#ALL],2,0))</f>
        <v/>
      </c>
      <c r="K107" s="24"/>
    </row>
    <row r="108">
      <c r="A108" s="21"/>
      <c r="B108" s="21"/>
      <c r="C108" s="23"/>
      <c r="D108" s="21"/>
      <c r="E108" s="21"/>
      <c r="F108" s="21"/>
      <c r="G108" s="21"/>
      <c r="H108" s="21"/>
      <c r="I108" s="21" t="str">
        <f>IF(G108="","",VLOOKUP(G108,frecuencia[#ALL],2,0))</f>
        <v/>
      </c>
      <c r="J108" s="21" t="str">
        <f>IF(H108="","",VLOOKUP(H108,tipo_donante[#ALL],2,0))</f>
        <v/>
      </c>
      <c r="K108" s="24"/>
    </row>
    <row r="109">
      <c r="A109" s="21"/>
      <c r="B109" s="21"/>
      <c r="C109" s="23"/>
      <c r="D109" s="21"/>
      <c r="E109" s="21"/>
      <c r="F109" s="21"/>
      <c r="G109" s="21"/>
      <c r="H109" s="21"/>
      <c r="I109" s="21" t="str">
        <f>IF(G109="","",VLOOKUP(G109,frecuencia[#ALL],2,0))</f>
        <v/>
      </c>
      <c r="J109" s="21" t="str">
        <f>IF(H109="","",VLOOKUP(H109,tipo_donante[#ALL],2,0))</f>
        <v/>
      </c>
      <c r="K109" s="24"/>
    </row>
    <row r="110">
      <c r="A110" s="21"/>
      <c r="B110" s="21"/>
      <c r="C110" s="23"/>
      <c r="D110" s="21"/>
      <c r="E110" s="21"/>
      <c r="F110" s="21"/>
      <c r="G110" s="21"/>
      <c r="H110" s="21"/>
      <c r="I110" s="21" t="str">
        <f>IF(G110="","",VLOOKUP(G110,frecuencia[#ALL],2,0))</f>
        <v/>
      </c>
      <c r="J110" s="21" t="str">
        <f>IF(H110="","",VLOOKUP(H110,tipo_donante[#ALL],2,0))</f>
        <v/>
      </c>
      <c r="K110" s="24"/>
    </row>
    <row r="111">
      <c r="A111" s="21"/>
      <c r="B111" s="21"/>
      <c r="C111" s="23"/>
      <c r="D111" s="21"/>
      <c r="E111" s="21"/>
      <c r="F111" s="21"/>
      <c r="G111" s="21"/>
      <c r="H111" s="21"/>
      <c r="I111" s="21" t="str">
        <f>IF(G111="","",VLOOKUP(G111,frecuencia[#ALL],2,0))</f>
        <v/>
      </c>
      <c r="J111" s="21" t="str">
        <f>IF(H111="","",VLOOKUP(H111,tipo_donante[#ALL],2,0))</f>
        <v/>
      </c>
      <c r="K111" s="24"/>
    </row>
    <row r="112">
      <c r="A112" s="21"/>
      <c r="B112" s="21"/>
      <c r="C112" s="23"/>
      <c r="D112" s="21"/>
      <c r="E112" s="21"/>
      <c r="F112" s="21"/>
      <c r="G112" s="21"/>
      <c r="H112" s="21"/>
      <c r="I112" s="21" t="str">
        <f>IF(G112="","",VLOOKUP(G112,frecuencia[#ALL],2,0))</f>
        <v/>
      </c>
      <c r="J112" s="21" t="str">
        <f>IF(H112="","",VLOOKUP(H112,tipo_donante[#ALL],2,0))</f>
        <v/>
      </c>
      <c r="K112" s="24"/>
    </row>
    <row r="113">
      <c r="A113" s="21"/>
      <c r="B113" s="21"/>
      <c r="C113" s="23"/>
      <c r="D113" s="21"/>
      <c r="E113" s="21"/>
      <c r="F113" s="21"/>
      <c r="G113" s="21"/>
      <c r="H113" s="21"/>
      <c r="I113" s="21" t="str">
        <f>IF(G113="","",VLOOKUP(G113,frecuencia[#ALL],2,0))</f>
        <v/>
      </c>
      <c r="J113" s="21" t="str">
        <f>IF(H113="","",VLOOKUP(H113,tipo_donante[#ALL],2,0))</f>
        <v/>
      </c>
      <c r="K113" s="24"/>
    </row>
    <row r="114">
      <c r="A114" s="21"/>
      <c r="B114" s="21"/>
      <c r="C114" s="23"/>
      <c r="D114" s="21"/>
      <c r="E114" s="21"/>
      <c r="F114" s="21"/>
      <c r="G114" s="21"/>
      <c r="H114" s="21"/>
      <c r="I114" s="21" t="str">
        <f>IF(G114="","",VLOOKUP(G114,frecuencia[#ALL],2,0))</f>
        <v/>
      </c>
      <c r="J114" s="21" t="str">
        <f>IF(H114="","",VLOOKUP(H114,tipo_donante[#ALL],2,0))</f>
        <v/>
      </c>
      <c r="K114" s="24"/>
    </row>
    <row r="115">
      <c r="A115" s="21"/>
      <c r="B115" s="21"/>
      <c r="C115" s="23"/>
      <c r="D115" s="21"/>
      <c r="E115" s="21"/>
      <c r="F115" s="21"/>
      <c r="G115" s="21"/>
      <c r="H115" s="21"/>
      <c r="I115" s="21" t="str">
        <f>IF(G115="","",VLOOKUP(G115,frecuencia[#ALL],2,0))</f>
        <v/>
      </c>
      <c r="J115" s="21" t="str">
        <f>IF(H115="","",VLOOKUP(H115,tipo_donante[#ALL],2,0))</f>
        <v/>
      </c>
      <c r="K115" s="24"/>
    </row>
    <row r="116">
      <c r="A116" s="21"/>
      <c r="B116" s="21"/>
      <c r="C116" s="23"/>
      <c r="D116" s="21"/>
      <c r="E116" s="21"/>
      <c r="F116" s="21"/>
      <c r="G116" s="21"/>
      <c r="H116" s="21"/>
      <c r="I116" s="21" t="str">
        <f>IF(G116="","",VLOOKUP(G116,frecuencia[#ALL],2,0))</f>
        <v/>
      </c>
      <c r="J116" s="21" t="str">
        <f>IF(H116="","",VLOOKUP(H116,tipo_donante[#ALL],2,0))</f>
        <v/>
      </c>
      <c r="K116" s="24"/>
    </row>
    <row r="117">
      <c r="A117" s="21"/>
      <c r="B117" s="21"/>
      <c r="C117" s="23"/>
      <c r="D117" s="21"/>
      <c r="E117" s="21"/>
      <c r="F117" s="21"/>
      <c r="G117" s="21"/>
      <c r="H117" s="21"/>
      <c r="I117" s="21" t="str">
        <f>IF(G117="","",VLOOKUP(G117,frecuencia[#ALL],2,0))</f>
        <v/>
      </c>
      <c r="J117" s="21" t="str">
        <f>IF(H117="","",VLOOKUP(H117,tipo_donante[#ALL],2,0))</f>
        <v/>
      </c>
      <c r="K117" s="24"/>
    </row>
    <row r="118">
      <c r="A118" s="21"/>
      <c r="B118" s="21"/>
      <c r="C118" s="23"/>
      <c r="D118" s="21"/>
      <c r="E118" s="21"/>
      <c r="F118" s="21"/>
      <c r="G118" s="21"/>
      <c r="H118" s="21"/>
      <c r="I118" s="21" t="str">
        <f>IF(G118="","",VLOOKUP(G118,frecuencia[#ALL],2,0))</f>
        <v/>
      </c>
      <c r="J118" s="21" t="str">
        <f>IF(H118="","",VLOOKUP(H118,tipo_donante[#ALL],2,0))</f>
        <v/>
      </c>
      <c r="K118" s="24"/>
    </row>
    <row r="119">
      <c r="A119" s="21"/>
      <c r="B119" s="21"/>
      <c r="C119" s="23"/>
      <c r="D119" s="21"/>
      <c r="E119" s="21"/>
      <c r="F119" s="21"/>
      <c r="G119" s="21"/>
      <c r="H119" s="21"/>
      <c r="I119" s="21" t="str">
        <f>IF(G119="","",VLOOKUP(G119,frecuencia[#ALL],2,0))</f>
        <v/>
      </c>
      <c r="J119" s="21" t="str">
        <f>IF(H119="","",VLOOKUP(H119,tipo_donante[#ALL],2,0))</f>
        <v/>
      </c>
      <c r="K119" s="24"/>
    </row>
    <row r="120">
      <c r="A120" s="21"/>
      <c r="B120" s="21"/>
      <c r="C120" s="23"/>
      <c r="D120" s="21"/>
      <c r="E120" s="21"/>
      <c r="F120" s="21"/>
      <c r="G120" s="21"/>
      <c r="H120" s="21"/>
      <c r="I120" s="21" t="str">
        <f>IF(G120="","",VLOOKUP(G120,frecuencia[#ALL],2,0))</f>
        <v/>
      </c>
      <c r="J120" s="21" t="str">
        <f>IF(H120="","",VLOOKUP(H120,tipo_donante[#ALL],2,0))</f>
        <v/>
      </c>
      <c r="K120" s="24"/>
    </row>
    <row r="121">
      <c r="A121" s="21"/>
      <c r="B121" s="21"/>
      <c r="C121" s="23"/>
      <c r="D121" s="21"/>
      <c r="E121" s="21"/>
      <c r="F121" s="21"/>
      <c r="G121" s="21"/>
      <c r="H121" s="21"/>
      <c r="I121" s="21" t="str">
        <f>IF(G121="","",VLOOKUP(G121,frecuencia[#ALL],2,0))</f>
        <v/>
      </c>
      <c r="J121" s="21" t="str">
        <f>IF(H121="","",VLOOKUP(H121,tipo_donante[#ALL],2,0))</f>
        <v/>
      </c>
      <c r="K121" s="24"/>
    </row>
    <row r="122">
      <c r="A122" s="21"/>
      <c r="B122" s="21"/>
      <c r="C122" s="23"/>
      <c r="D122" s="21"/>
      <c r="E122" s="21"/>
      <c r="F122" s="21"/>
      <c r="G122" s="21"/>
      <c r="H122" s="21"/>
      <c r="I122" s="21" t="str">
        <f>IF(G122="","",VLOOKUP(G122,frecuencia[#ALL],2,0))</f>
        <v/>
      </c>
      <c r="J122" s="21" t="str">
        <f>IF(H122="","",VLOOKUP(H122,tipo_donante[#ALL],2,0))</f>
        <v/>
      </c>
      <c r="K122" s="24"/>
    </row>
    <row r="123">
      <c r="A123" s="21"/>
      <c r="B123" s="21"/>
      <c r="C123" s="23"/>
      <c r="D123" s="21"/>
      <c r="E123" s="21"/>
      <c r="F123" s="21"/>
      <c r="G123" s="21"/>
      <c r="H123" s="21"/>
      <c r="I123" s="21" t="str">
        <f>IF(G123="","",VLOOKUP(G123,frecuencia[#ALL],2,0))</f>
        <v/>
      </c>
      <c r="J123" s="21" t="str">
        <f>IF(H123="","",VLOOKUP(H123,tipo_donante[#ALL],2,0))</f>
        <v/>
      </c>
      <c r="K123" s="24"/>
    </row>
    <row r="124">
      <c r="A124" s="21"/>
      <c r="B124" s="21"/>
      <c r="C124" s="23"/>
      <c r="D124" s="21"/>
      <c r="E124" s="21"/>
      <c r="F124" s="21"/>
      <c r="G124" s="21"/>
      <c r="H124" s="21"/>
      <c r="I124" s="21" t="str">
        <f>IF(G124="","",VLOOKUP(G124,frecuencia[#ALL],2,0))</f>
        <v/>
      </c>
      <c r="J124" s="21" t="str">
        <f>IF(H124="","",VLOOKUP(H124,tipo_donante[#ALL],2,0))</f>
        <v/>
      </c>
      <c r="K124" s="24"/>
    </row>
    <row r="125">
      <c r="A125" s="21"/>
      <c r="B125" s="21"/>
      <c r="C125" s="23"/>
      <c r="D125" s="21"/>
      <c r="E125" s="21"/>
      <c r="F125" s="21"/>
      <c r="G125" s="21"/>
      <c r="H125" s="21"/>
      <c r="I125" s="21" t="str">
        <f>IF(G125="","",VLOOKUP(G125,frecuencia[#ALL],2,0))</f>
        <v/>
      </c>
      <c r="J125" s="21" t="str">
        <f>IF(H125="","",VLOOKUP(H125,tipo_donante[#ALL],2,0))</f>
        <v/>
      </c>
      <c r="K125" s="24"/>
    </row>
    <row r="126">
      <c r="A126" s="21"/>
      <c r="B126" s="21"/>
      <c r="C126" s="23"/>
      <c r="D126" s="21"/>
      <c r="E126" s="21"/>
      <c r="F126" s="21"/>
      <c r="G126" s="21"/>
      <c r="H126" s="21"/>
      <c r="I126" s="21" t="str">
        <f>IF(G126="","",VLOOKUP(G126,frecuencia[#ALL],2,0))</f>
        <v/>
      </c>
      <c r="J126" s="21" t="str">
        <f>IF(H126="","",VLOOKUP(H126,tipo_donante[#ALL],2,0))</f>
        <v/>
      </c>
      <c r="K126" s="24"/>
    </row>
    <row r="127">
      <c r="A127" s="21"/>
      <c r="B127" s="21"/>
      <c r="C127" s="23"/>
      <c r="D127" s="21"/>
      <c r="E127" s="21"/>
      <c r="F127" s="21"/>
      <c r="G127" s="21"/>
      <c r="H127" s="21"/>
      <c r="I127" s="21" t="str">
        <f>IF(G127="","",VLOOKUP(G127,frecuencia[#ALL],2,0))</f>
        <v/>
      </c>
      <c r="J127" s="21" t="str">
        <f>IF(H127="","",VLOOKUP(H127,tipo_donante[#ALL],2,0))</f>
        <v/>
      </c>
      <c r="K127" s="24"/>
    </row>
    <row r="128">
      <c r="A128" s="21"/>
      <c r="B128" s="21"/>
      <c r="C128" s="23"/>
      <c r="D128" s="21"/>
      <c r="E128" s="21"/>
      <c r="F128" s="21"/>
      <c r="G128" s="21"/>
      <c r="H128" s="21"/>
      <c r="I128" s="21" t="str">
        <f>IF(G128="","",VLOOKUP(G128,frecuencia[#ALL],2,0))</f>
        <v/>
      </c>
      <c r="J128" s="21" t="str">
        <f>IF(H128="","",VLOOKUP(H128,tipo_donante[#ALL],2,0))</f>
        <v/>
      </c>
      <c r="K128" s="24"/>
    </row>
    <row r="129">
      <c r="A129" s="21"/>
      <c r="B129" s="21"/>
      <c r="C129" s="23"/>
      <c r="D129" s="21"/>
      <c r="E129" s="21"/>
      <c r="F129" s="21"/>
      <c r="G129" s="21"/>
      <c r="H129" s="21"/>
      <c r="I129" s="21" t="str">
        <f>IF(G129="","",VLOOKUP(G129,frecuencia[#ALL],2,0))</f>
        <v/>
      </c>
      <c r="J129" s="21" t="str">
        <f>IF(H129="","",VLOOKUP(H129,tipo_donante[#ALL],2,0))</f>
        <v/>
      </c>
      <c r="K129" s="24"/>
    </row>
    <row r="130">
      <c r="A130" s="21"/>
      <c r="B130" s="21"/>
      <c r="C130" s="23"/>
      <c r="D130" s="21"/>
      <c r="E130" s="21"/>
      <c r="F130" s="21"/>
      <c r="G130" s="21"/>
      <c r="H130" s="21"/>
      <c r="I130" s="21" t="str">
        <f>IF(G130="","",VLOOKUP(G130,frecuencia[#ALL],2,0))</f>
        <v/>
      </c>
      <c r="J130" s="21" t="str">
        <f>IF(H130="","",VLOOKUP(H130,tipo_donante[#ALL],2,0))</f>
        <v/>
      </c>
      <c r="K130" s="24"/>
    </row>
    <row r="131">
      <c r="A131" s="21"/>
      <c r="B131" s="21"/>
      <c r="C131" s="23"/>
      <c r="D131" s="21"/>
      <c r="E131" s="21"/>
      <c r="F131" s="21"/>
      <c r="G131" s="21"/>
      <c r="H131" s="21"/>
      <c r="I131" s="21" t="str">
        <f>IF(G131="","",VLOOKUP(G131,frecuencia[#ALL],2,0))</f>
        <v/>
      </c>
      <c r="J131" s="21" t="str">
        <f>IF(H131="","",VLOOKUP(H131,tipo_donante[#ALL],2,0))</f>
        <v/>
      </c>
      <c r="K131" s="24"/>
    </row>
    <row r="132">
      <c r="A132" s="21"/>
      <c r="B132" s="21"/>
      <c r="C132" s="23"/>
      <c r="D132" s="21"/>
      <c r="E132" s="21"/>
      <c r="F132" s="21"/>
      <c r="G132" s="21"/>
      <c r="H132" s="21"/>
      <c r="I132" s="21" t="str">
        <f>IF(G132="","",VLOOKUP(G132,frecuencia[#ALL],2,0))</f>
        <v/>
      </c>
      <c r="J132" s="21" t="str">
        <f>IF(H132="","",VLOOKUP(H132,tipo_donante[#ALL],2,0))</f>
        <v/>
      </c>
      <c r="K132" s="24"/>
    </row>
    <row r="133">
      <c r="A133" s="21"/>
      <c r="B133" s="21"/>
      <c r="C133" s="23"/>
      <c r="D133" s="21"/>
      <c r="E133" s="21"/>
      <c r="F133" s="21"/>
      <c r="G133" s="21"/>
      <c r="H133" s="21"/>
      <c r="I133" s="21" t="str">
        <f>IF(G133="","",VLOOKUP(G133,frecuencia[#ALL],2,0))</f>
        <v/>
      </c>
      <c r="J133" s="21" t="str">
        <f>IF(H133="","",VLOOKUP(H133,tipo_donante[#ALL],2,0))</f>
        <v/>
      </c>
      <c r="K133" s="24"/>
    </row>
    <row r="134">
      <c r="A134" s="21"/>
      <c r="B134" s="21"/>
      <c r="C134" s="23"/>
      <c r="D134" s="21"/>
      <c r="E134" s="21"/>
      <c r="F134" s="21"/>
      <c r="G134" s="21"/>
      <c r="H134" s="21"/>
      <c r="I134" s="21" t="str">
        <f>IF(G134="","",VLOOKUP(G134,frecuencia[#ALL],2,0))</f>
        <v/>
      </c>
      <c r="J134" s="21" t="str">
        <f>IF(H134="","",VLOOKUP(H134,tipo_donante[#ALL],2,0))</f>
        <v/>
      </c>
      <c r="K134" s="24"/>
    </row>
    <row r="135">
      <c r="A135" s="21"/>
      <c r="B135" s="21"/>
      <c r="C135" s="23"/>
      <c r="D135" s="21"/>
      <c r="E135" s="21"/>
      <c r="F135" s="21"/>
      <c r="G135" s="21"/>
      <c r="H135" s="21"/>
      <c r="I135" s="21" t="str">
        <f>IF(G135="","",VLOOKUP(G135,frecuencia[#ALL],2,0))</f>
        <v/>
      </c>
      <c r="J135" s="21" t="str">
        <f>IF(H135="","",VLOOKUP(H135,tipo_donante[#ALL],2,0))</f>
        <v/>
      </c>
      <c r="K135" s="24"/>
    </row>
    <row r="136">
      <c r="A136" s="21"/>
      <c r="B136" s="21"/>
      <c r="C136" s="23"/>
      <c r="D136" s="21"/>
      <c r="E136" s="21"/>
      <c r="F136" s="21"/>
      <c r="G136" s="21"/>
      <c r="H136" s="21"/>
      <c r="I136" s="21" t="str">
        <f>IF(G136="","",VLOOKUP(G136,frecuencia[#ALL],2,0))</f>
        <v/>
      </c>
      <c r="J136" s="21" t="str">
        <f>IF(H136="","",VLOOKUP(H136,tipo_donante[#ALL],2,0))</f>
        <v/>
      </c>
      <c r="K136" s="24"/>
    </row>
    <row r="137">
      <c r="A137" s="21"/>
      <c r="B137" s="21"/>
      <c r="C137" s="23"/>
      <c r="D137" s="21"/>
      <c r="E137" s="21"/>
      <c r="F137" s="21"/>
      <c r="G137" s="21"/>
      <c r="H137" s="21"/>
      <c r="I137" s="21" t="str">
        <f>IF(G137="","",VLOOKUP(G137,frecuencia[#ALL],2,0))</f>
        <v/>
      </c>
      <c r="J137" s="21" t="str">
        <f>IF(H137="","",VLOOKUP(H137,tipo_donante[#ALL],2,0))</f>
        <v/>
      </c>
      <c r="K137" s="24"/>
    </row>
    <row r="138">
      <c r="A138" s="21"/>
      <c r="B138" s="21"/>
      <c r="C138" s="23"/>
      <c r="D138" s="21"/>
      <c r="E138" s="21"/>
      <c r="F138" s="21"/>
      <c r="G138" s="21"/>
      <c r="H138" s="21"/>
      <c r="I138" s="21" t="str">
        <f>IF(G138="","",VLOOKUP(G138,frecuencia[#ALL],2,0))</f>
        <v/>
      </c>
      <c r="J138" s="21" t="str">
        <f>IF(H138="","",VLOOKUP(H138,tipo_donante[#ALL],2,0))</f>
        <v/>
      </c>
      <c r="K138" s="24"/>
    </row>
    <row r="139">
      <c r="A139" s="21"/>
      <c r="B139" s="21"/>
      <c r="C139" s="23"/>
      <c r="D139" s="21"/>
      <c r="E139" s="21"/>
      <c r="F139" s="21"/>
      <c r="G139" s="21"/>
      <c r="H139" s="21"/>
      <c r="I139" s="21" t="str">
        <f>IF(G139="","",VLOOKUP(G139,frecuencia[#ALL],2,0))</f>
        <v/>
      </c>
      <c r="J139" s="21" t="str">
        <f>IF(H139="","",VLOOKUP(H139,tipo_donante[#ALL],2,0))</f>
        <v/>
      </c>
      <c r="K139" s="24"/>
    </row>
    <row r="140">
      <c r="A140" s="21"/>
      <c r="B140" s="21"/>
      <c r="C140" s="23"/>
      <c r="D140" s="21"/>
      <c r="E140" s="21"/>
      <c r="F140" s="21"/>
      <c r="G140" s="21"/>
      <c r="H140" s="21"/>
      <c r="I140" s="21" t="str">
        <f>IF(G140="","",VLOOKUP(G140,frecuencia[#ALL],2,0))</f>
        <v/>
      </c>
      <c r="J140" s="21" t="str">
        <f>IF(H140="","",VLOOKUP(H140,tipo_donante[#ALL],2,0))</f>
        <v/>
      </c>
      <c r="K140" s="24"/>
    </row>
    <row r="141">
      <c r="A141" s="21"/>
      <c r="B141" s="21"/>
      <c r="C141" s="23"/>
      <c r="D141" s="21"/>
      <c r="E141" s="21"/>
      <c r="F141" s="21"/>
      <c r="G141" s="21"/>
      <c r="H141" s="21"/>
      <c r="I141" s="21" t="str">
        <f>IF(G141="","",VLOOKUP(G141,frecuencia[#ALL],2,0))</f>
        <v/>
      </c>
      <c r="J141" s="21" t="str">
        <f>IF(H141="","",VLOOKUP(H141,tipo_donante[#ALL],2,0))</f>
        <v/>
      </c>
      <c r="K141" s="24"/>
    </row>
    <row r="142">
      <c r="A142" s="21"/>
      <c r="B142" s="21"/>
      <c r="C142" s="23"/>
      <c r="D142" s="21"/>
      <c r="E142" s="21"/>
      <c r="F142" s="21"/>
      <c r="G142" s="21"/>
      <c r="H142" s="21"/>
      <c r="I142" s="21" t="str">
        <f>IF(G142="","",VLOOKUP(G142,frecuencia[#ALL],2,0))</f>
        <v/>
      </c>
      <c r="J142" s="21" t="str">
        <f>IF(H142="","",VLOOKUP(H142,tipo_donante[#ALL],2,0))</f>
        <v/>
      </c>
      <c r="K142" s="24"/>
    </row>
    <row r="143">
      <c r="A143" s="21"/>
      <c r="B143" s="21"/>
      <c r="C143" s="23"/>
      <c r="D143" s="21"/>
      <c r="E143" s="21"/>
      <c r="F143" s="21"/>
      <c r="G143" s="21"/>
      <c r="H143" s="21"/>
      <c r="I143" s="21" t="str">
        <f>IF(G143="","",VLOOKUP(G143,frecuencia[#ALL],2,0))</f>
        <v/>
      </c>
      <c r="J143" s="21" t="str">
        <f>IF(H143="","",VLOOKUP(H143,tipo_donante[#ALL],2,0))</f>
        <v/>
      </c>
      <c r="K143" s="24"/>
    </row>
    <row r="144">
      <c r="A144" s="21"/>
      <c r="B144" s="21"/>
      <c r="C144" s="23"/>
      <c r="D144" s="21"/>
      <c r="E144" s="21"/>
      <c r="F144" s="21"/>
      <c r="G144" s="21"/>
      <c r="H144" s="21"/>
      <c r="I144" s="21" t="str">
        <f>IF(G144="","",VLOOKUP(G144,frecuencia[#ALL],2,0))</f>
        <v/>
      </c>
      <c r="J144" s="21" t="str">
        <f>IF(H144="","",VLOOKUP(H144,tipo_donante[#ALL],2,0))</f>
        <v/>
      </c>
      <c r="K144" s="24"/>
    </row>
    <row r="145">
      <c r="A145" s="21"/>
      <c r="B145" s="21"/>
      <c r="C145" s="23"/>
      <c r="D145" s="21"/>
      <c r="E145" s="21"/>
      <c r="F145" s="21"/>
      <c r="G145" s="21"/>
      <c r="H145" s="21"/>
      <c r="I145" s="21" t="str">
        <f>IF(G145="","",VLOOKUP(G145,frecuencia[#ALL],2,0))</f>
        <v/>
      </c>
      <c r="J145" s="21" t="str">
        <f>IF(H145="","",VLOOKUP(H145,tipo_donante[#ALL],2,0))</f>
        <v/>
      </c>
      <c r="K145" s="24"/>
    </row>
    <row r="146">
      <c r="A146" s="21"/>
      <c r="B146" s="21"/>
      <c r="C146" s="23"/>
      <c r="D146" s="21"/>
      <c r="E146" s="21"/>
      <c r="F146" s="21"/>
      <c r="G146" s="21"/>
      <c r="H146" s="21"/>
      <c r="I146" s="21" t="str">
        <f>IF(G146="","",VLOOKUP(G146,frecuencia[#ALL],2,0))</f>
        <v/>
      </c>
      <c r="J146" s="21" t="str">
        <f>IF(H146="","",VLOOKUP(H146,tipo_donante[#ALL],2,0))</f>
        <v/>
      </c>
      <c r="K146" s="24"/>
    </row>
    <row r="147">
      <c r="A147" s="21"/>
      <c r="B147" s="21"/>
      <c r="C147" s="23"/>
      <c r="D147" s="21"/>
      <c r="E147" s="21"/>
      <c r="F147" s="21"/>
      <c r="G147" s="21"/>
      <c r="H147" s="21"/>
      <c r="I147" s="21" t="str">
        <f>IF(G147="","",VLOOKUP(G147,frecuencia[#ALL],2,0))</f>
        <v/>
      </c>
      <c r="J147" s="21" t="str">
        <f>IF(H147="","",VLOOKUP(H147,tipo_donante[#ALL],2,0))</f>
        <v/>
      </c>
      <c r="K147" s="24"/>
    </row>
    <row r="148">
      <c r="A148" s="21"/>
      <c r="B148" s="21"/>
      <c r="C148" s="23"/>
      <c r="D148" s="21"/>
      <c r="E148" s="21"/>
      <c r="F148" s="21"/>
      <c r="G148" s="21"/>
      <c r="H148" s="21"/>
      <c r="I148" s="21" t="str">
        <f>IF(G148="","",VLOOKUP(G148,frecuencia[#ALL],2,0))</f>
        <v/>
      </c>
      <c r="J148" s="21" t="str">
        <f>IF(H148="","",VLOOKUP(H148,tipo_donante[#ALL],2,0))</f>
        <v/>
      </c>
      <c r="K148" s="24"/>
    </row>
    <row r="149">
      <c r="A149" s="21"/>
      <c r="B149" s="21"/>
      <c r="C149" s="23"/>
      <c r="D149" s="21"/>
      <c r="E149" s="21"/>
      <c r="F149" s="21"/>
      <c r="G149" s="21"/>
      <c r="H149" s="21"/>
      <c r="I149" s="21" t="str">
        <f>IF(G149="","",VLOOKUP(G149,frecuencia[#ALL],2,0))</f>
        <v/>
      </c>
      <c r="J149" s="21" t="str">
        <f>IF(H149="","",VLOOKUP(H149,tipo_donante[#ALL],2,0))</f>
        <v/>
      </c>
      <c r="K149" s="24"/>
    </row>
    <row r="150">
      <c r="A150" s="21"/>
      <c r="B150" s="21"/>
      <c r="C150" s="23"/>
      <c r="D150" s="21"/>
      <c r="E150" s="21"/>
      <c r="F150" s="21"/>
      <c r="G150" s="21"/>
      <c r="H150" s="21"/>
      <c r="I150" s="21" t="str">
        <f>IF(G150="","",VLOOKUP(G150,frecuencia[#ALL],2,0))</f>
        <v/>
      </c>
      <c r="J150" s="21" t="str">
        <f>IF(H150="","",VLOOKUP(H150,tipo_donante[#ALL],2,0))</f>
        <v/>
      </c>
      <c r="K150" s="24"/>
    </row>
    <row r="151">
      <c r="A151" s="21"/>
      <c r="B151" s="21"/>
      <c r="C151" s="23"/>
      <c r="D151" s="21"/>
      <c r="E151" s="21"/>
      <c r="F151" s="21"/>
      <c r="G151" s="21"/>
      <c r="H151" s="21"/>
      <c r="I151" s="21" t="str">
        <f>IF(G151="","",VLOOKUP(G151,frecuencia[#ALL],2,0))</f>
        <v/>
      </c>
      <c r="J151" s="21" t="str">
        <f>IF(H151="","",VLOOKUP(H151,tipo_donante[#ALL],2,0))</f>
        <v/>
      </c>
      <c r="K151" s="24"/>
    </row>
    <row r="152">
      <c r="A152" s="21"/>
      <c r="B152" s="21"/>
      <c r="C152" s="23"/>
      <c r="D152" s="21"/>
      <c r="E152" s="21"/>
      <c r="F152" s="21"/>
      <c r="G152" s="21"/>
      <c r="H152" s="21"/>
      <c r="I152" s="21" t="str">
        <f>IF(G152="","",VLOOKUP(G152,frecuencia[#ALL],2,0))</f>
        <v/>
      </c>
      <c r="J152" s="21" t="str">
        <f>IF(H152="","",VLOOKUP(H152,tipo_donante[#ALL],2,0))</f>
        <v/>
      </c>
      <c r="K152" s="24"/>
    </row>
    <row r="153">
      <c r="A153" s="21"/>
      <c r="B153" s="21"/>
      <c r="C153" s="23"/>
      <c r="D153" s="21"/>
      <c r="E153" s="21"/>
      <c r="F153" s="21"/>
      <c r="G153" s="21"/>
      <c r="H153" s="21"/>
      <c r="I153" s="21" t="str">
        <f>IF(G153="","",VLOOKUP(G153,frecuencia[#ALL],2,0))</f>
        <v/>
      </c>
      <c r="J153" s="21" t="str">
        <f>IF(H153="","",VLOOKUP(H153,tipo_donante[#ALL],2,0))</f>
        <v/>
      </c>
      <c r="K153" s="24"/>
    </row>
    <row r="154">
      <c r="A154" s="21"/>
      <c r="B154" s="21"/>
      <c r="C154" s="23"/>
      <c r="D154" s="21"/>
      <c r="E154" s="21"/>
      <c r="F154" s="21"/>
      <c r="G154" s="21"/>
      <c r="H154" s="21"/>
      <c r="I154" s="21" t="str">
        <f>IF(G154="","",VLOOKUP(G154,frecuencia[#ALL],2,0))</f>
        <v/>
      </c>
      <c r="J154" s="21" t="str">
        <f>IF(H154="","",VLOOKUP(H154,tipo_donante[#ALL],2,0))</f>
        <v/>
      </c>
      <c r="K154" s="24"/>
    </row>
    <row r="155">
      <c r="A155" s="21"/>
      <c r="B155" s="21"/>
      <c r="C155" s="23"/>
      <c r="D155" s="21"/>
      <c r="E155" s="21"/>
      <c r="F155" s="21"/>
      <c r="G155" s="21"/>
      <c r="H155" s="21"/>
      <c r="I155" s="21" t="str">
        <f>IF(G155="","",VLOOKUP(G155,frecuencia[#ALL],2,0))</f>
        <v/>
      </c>
      <c r="J155" s="21" t="str">
        <f>IF(H155="","",VLOOKUP(H155,tipo_donante[#ALL],2,0))</f>
        <v/>
      </c>
      <c r="K155" s="24"/>
    </row>
    <row r="156">
      <c r="A156" s="21"/>
      <c r="B156" s="21"/>
      <c r="C156" s="23"/>
      <c r="D156" s="21"/>
      <c r="E156" s="21"/>
      <c r="F156" s="21"/>
      <c r="G156" s="21"/>
      <c r="H156" s="21"/>
      <c r="I156" s="21" t="str">
        <f>IF(G156="","",VLOOKUP(G156,frecuencia[#ALL],2,0))</f>
        <v/>
      </c>
      <c r="J156" s="21" t="str">
        <f>IF(H156="","",VLOOKUP(H156,tipo_donante[#ALL],2,0))</f>
        <v/>
      </c>
      <c r="K156" s="24"/>
    </row>
    <row r="157">
      <c r="A157" s="21"/>
      <c r="B157" s="21"/>
      <c r="C157" s="23"/>
      <c r="D157" s="21"/>
      <c r="E157" s="21"/>
      <c r="F157" s="21"/>
      <c r="G157" s="21"/>
      <c r="H157" s="21"/>
      <c r="I157" s="21" t="str">
        <f>IF(G157="","",VLOOKUP(G157,frecuencia[#ALL],2,0))</f>
        <v/>
      </c>
      <c r="J157" s="21" t="str">
        <f>IF(H157="","",VLOOKUP(H157,tipo_donante[#ALL],2,0))</f>
        <v/>
      </c>
      <c r="K157" s="24"/>
    </row>
    <row r="158">
      <c r="A158" s="21"/>
      <c r="B158" s="21"/>
      <c r="C158" s="23"/>
      <c r="D158" s="21"/>
      <c r="E158" s="21"/>
      <c r="F158" s="21"/>
      <c r="G158" s="21"/>
      <c r="H158" s="21"/>
      <c r="I158" s="21" t="str">
        <f>IF(G158="","",VLOOKUP(G158,frecuencia[#ALL],2,0))</f>
        <v/>
      </c>
      <c r="J158" s="21" t="str">
        <f>IF(H158="","",VLOOKUP(H158,tipo_donante[#ALL],2,0))</f>
        <v/>
      </c>
      <c r="K158" s="24"/>
    </row>
    <row r="159">
      <c r="A159" s="21"/>
      <c r="B159" s="21"/>
      <c r="C159" s="23"/>
      <c r="D159" s="21"/>
      <c r="E159" s="21"/>
      <c r="F159" s="21"/>
      <c r="G159" s="21"/>
      <c r="H159" s="21"/>
      <c r="I159" s="21" t="str">
        <f>IF(G159="","",VLOOKUP(G159,frecuencia[#ALL],2,0))</f>
        <v/>
      </c>
      <c r="J159" s="21" t="str">
        <f>IF(H159="","",VLOOKUP(H159,tipo_donante[#ALL],2,0))</f>
        <v/>
      </c>
      <c r="K159" s="24"/>
    </row>
    <row r="160">
      <c r="A160" s="21"/>
      <c r="B160" s="21"/>
      <c r="C160" s="23"/>
      <c r="D160" s="21"/>
      <c r="E160" s="21"/>
      <c r="F160" s="21"/>
      <c r="G160" s="21"/>
      <c r="H160" s="21"/>
      <c r="I160" s="21" t="str">
        <f>IF(G160="","",VLOOKUP(G160,frecuencia[#ALL],2,0))</f>
        <v/>
      </c>
      <c r="J160" s="21" t="str">
        <f>IF(H160="","",VLOOKUP(H160,tipo_donante[#ALL],2,0))</f>
        <v/>
      </c>
      <c r="K160" s="24"/>
    </row>
    <row r="161">
      <c r="A161" s="21"/>
      <c r="B161" s="21"/>
      <c r="C161" s="23"/>
      <c r="D161" s="21"/>
      <c r="E161" s="21"/>
      <c r="F161" s="21"/>
      <c r="G161" s="21"/>
      <c r="H161" s="21"/>
      <c r="I161" s="21" t="str">
        <f>IF(G161="","",VLOOKUP(G161,frecuencia[#ALL],2,0))</f>
        <v/>
      </c>
      <c r="J161" s="21" t="str">
        <f>IF(H161="","",VLOOKUP(H161,tipo_donante[#ALL],2,0))</f>
        <v/>
      </c>
      <c r="K161" s="24"/>
    </row>
    <row r="162">
      <c r="A162" s="21"/>
      <c r="B162" s="21"/>
      <c r="C162" s="23"/>
      <c r="D162" s="21"/>
      <c r="E162" s="21"/>
      <c r="F162" s="21"/>
      <c r="G162" s="21"/>
      <c r="H162" s="21"/>
      <c r="I162" s="21" t="str">
        <f>IF(G162="","",VLOOKUP(G162,frecuencia[#ALL],2,0))</f>
        <v/>
      </c>
      <c r="J162" s="21" t="str">
        <f>IF(H162="","",VLOOKUP(H162,tipo_donante[#ALL],2,0))</f>
        <v/>
      </c>
      <c r="K162" s="24"/>
    </row>
    <row r="163">
      <c r="A163" s="21"/>
      <c r="B163" s="21"/>
      <c r="C163" s="23"/>
      <c r="D163" s="21"/>
      <c r="E163" s="21"/>
      <c r="F163" s="21"/>
      <c r="G163" s="21"/>
      <c r="H163" s="21"/>
      <c r="I163" s="21" t="str">
        <f>IF(G163="","",VLOOKUP(G163,frecuencia[#ALL],2,0))</f>
        <v/>
      </c>
      <c r="J163" s="21" t="str">
        <f>IF(H163="","",VLOOKUP(H163,tipo_donante[#ALL],2,0))</f>
        <v/>
      </c>
      <c r="K163" s="24"/>
    </row>
    <row r="164">
      <c r="A164" s="21"/>
      <c r="B164" s="21"/>
      <c r="C164" s="23"/>
      <c r="D164" s="21"/>
      <c r="E164" s="21"/>
      <c r="F164" s="21"/>
      <c r="G164" s="21"/>
      <c r="H164" s="21"/>
      <c r="I164" s="21" t="str">
        <f>IF(G164="","",VLOOKUP(G164,frecuencia[#ALL],2,0))</f>
        <v/>
      </c>
      <c r="J164" s="21" t="str">
        <f>IF(H164="","",VLOOKUP(H164,tipo_donante[#ALL],2,0))</f>
        <v/>
      </c>
      <c r="K164" s="24"/>
    </row>
    <row r="165">
      <c r="A165" s="21"/>
      <c r="B165" s="21"/>
      <c r="C165" s="23"/>
      <c r="D165" s="21"/>
      <c r="E165" s="21"/>
      <c r="F165" s="21"/>
      <c r="G165" s="21"/>
      <c r="H165" s="21"/>
      <c r="I165" s="21" t="str">
        <f>IF(G165="","",VLOOKUP(G165,frecuencia[#ALL],2,0))</f>
        <v/>
      </c>
      <c r="J165" s="21" t="str">
        <f>IF(H165="","",VLOOKUP(H165,tipo_donante[#ALL],2,0))</f>
        <v/>
      </c>
      <c r="K165" s="24"/>
    </row>
    <row r="166">
      <c r="A166" s="21"/>
      <c r="B166" s="21"/>
      <c r="C166" s="23"/>
      <c r="D166" s="21"/>
      <c r="E166" s="21"/>
      <c r="F166" s="21"/>
      <c r="G166" s="21"/>
      <c r="H166" s="21"/>
      <c r="I166" s="21" t="str">
        <f>IF(G166="","",VLOOKUP(G166,frecuencia[#ALL],2,0))</f>
        <v/>
      </c>
      <c r="J166" s="21" t="str">
        <f>IF(H166="","",VLOOKUP(H166,tipo_donante[#ALL],2,0))</f>
        <v/>
      </c>
      <c r="K166" s="24"/>
    </row>
    <row r="167">
      <c r="A167" s="21"/>
      <c r="B167" s="21"/>
      <c r="C167" s="23"/>
      <c r="D167" s="21"/>
      <c r="E167" s="21"/>
      <c r="F167" s="21"/>
      <c r="G167" s="21"/>
      <c r="H167" s="21"/>
      <c r="I167" s="21" t="str">
        <f>IF(G167="","",VLOOKUP(G167,frecuencia[#ALL],2,0))</f>
        <v/>
      </c>
      <c r="J167" s="21" t="str">
        <f>IF(H167="","",VLOOKUP(H167,tipo_donante[#ALL],2,0))</f>
        <v/>
      </c>
      <c r="K167" s="24"/>
    </row>
    <row r="168">
      <c r="A168" s="21"/>
      <c r="B168" s="21"/>
      <c r="C168" s="23"/>
      <c r="D168" s="21"/>
      <c r="E168" s="21"/>
      <c r="F168" s="21"/>
      <c r="G168" s="21"/>
      <c r="H168" s="21"/>
      <c r="I168" s="21" t="str">
        <f>IF(G168="","",VLOOKUP(G168,frecuencia[#ALL],2,0))</f>
        <v/>
      </c>
      <c r="J168" s="21" t="str">
        <f>IF(H168="","",VLOOKUP(H168,tipo_donante[#ALL],2,0))</f>
        <v/>
      </c>
      <c r="K168" s="24"/>
    </row>
    <row r="169">
      <c r="A169" s="21"/>
      <c r="B169" s="21"/>
      <c r="C169" s="23"/>
      <c r="D169" s="21"/>
      <c r="E169" s="21"/>
      <c r="F169" s="21"/>
      <c r="G169" s="21"/>
      <c r="H169" s="21"/>
      <c r="I169" s="21" t="str">
        <f>IF(G169="","",VLOOKUP(G169,frecuencia[#ALL],2,0))</f>
        <v/>
      </c>
      <c r="J169" s="21" t="str">
        <f>IF(H169="","",VLOOKUP(H169,tipo_donante[#ALL],2,0))</f>
        <v/>
      </c>
      <c r="K169" s="24"/>
    </row>
    <row r="170">
      <c r="A170" s="21"/>
      <c r="B170" s="21"/>
      <c r="C170" s="23"/>
      <c r="D170" s="21"/>
      <c r="E170" s="21"/>
      <c r="F170" s="21"/>
      <c r="G170" s="21"/>
      <c r="H170" s="21"/>
      <c r="I170" s="21" t="str">
        <f>IF(G170="","",VLOOKUP(G170,frecuencia[#ALL],2,0))</f>
        <v/>
      </c>
      <c r="J170" s="21" t="str">
        <f>IF(H170="","",VLOOKUP(H170,tipo_donante[#ALL],2,0))</f>
        <v/>
      </c>
      <c r="K170" s="24"/>
    </row>
    <row r="171">
      <c r="A171" s="21"/>
      <c r="B171" s="21"/>
      <c r="C171" s="23"/>
      <c r="D171" s="21"/>
      <c r="E171" s="21"/>
      <c r="F171" s="21"/>
      <c r="G171" s="21"/>
      <c r="H171" s="21"/>
      <c r="I171" s="21" t="str">
        <f>IF(G171="","",VLOOKUP(G171,frecuencia[#ALL],2,0))</f>
        <v/>
      </c>
      <c r="J171" s="21" t="str">
        <f>IF(H171="","",VLOOKUP(H171,tipo_donante[#ALL],2,0))</f>
        <v/>
      </c>
      <c r="K171" s="24"/>
    </row>
    <row r="172">
      <c r="A172" s="21"/>
      <c r="B172" s="21"/>
      <c r="C172" s="23"/>
      <c r="D172" s="21"/>
      <c r="E172" s="21"/>
      <c r="F172" s="21"/>
      <c r="G172" s="21"/>
      <c r="H172" s="21"/>
      <c r="I172" s="21" t="str">
        <f>IF(G172="","",VLOOKUP(G172,frecuencia[#ALL],2,0))</f>
        <v/>
      </c>
      <c r="J172" s="21" t="str">
        <f>IF(H172="","",VLOOKUP(H172,tipo_donante[#ALL],2,0))</f>
        <v/>
      </c>
      <c r="K172" s="24"/>
    </row>
    <row r="173">
      <c r="A173" s="21"/>
      <c r="B173" s="21"/>
      <c r="C173" s="23"/>
      <c r="D173" s="21"/>
      <c r="E173" s="21"/>
      <c r="F173" s="21"/>
      <c r="G173" s="21"/>
      <c r="H173" s="21"/>
      <c r="I173" s="21" t="str">
        <f>IF(G173="","",VLOOKUP(G173,frecuencia[#ALL],2,0))</f>
        <v/>
      </c>
      <c r="J173" s="21" t="str">
        <f>IF(H173="","",VLOOKUP(H173,tipo_donante[#ALL],2,0))</f>
        <v/>
      </c>
      <c r="K173" s="24"/>
    </row>
    <row r="174">
      <c r="A174" s="21"/>
      <c r="B174" s="21"/>
      <c r="C174" s="23"/>
      <c r="D174" s="21"/>
      <c r="E174" s="21"/>
      <c r="F174" s="21"/>
      <c r="G174" s="21"/>
      <c r="H174" s="21"/>
      <c r="I174" s="21" t="str">
        <f>IF(G174="","",VLOOKUP(G174,frecuencia[#ALL],2,0))</f>
        <v/>
      </c>
      <c r="J174" s="21" t="str">
        <f>IF(H174="","",VLOOKUP(H174,tipo_donante[#ALL],2,0))</f>
        <v/>
      </c>
      <c r="K174" s="24"/>
    </row>
    <row r="175">
      <c r="A175" s="21"/>
      <c r="B175" s="21"/>
      <c r="C175" s="23"/>
      <c r="D175" s="21"/>
      <c r="E175" s="21"/>
      <c r="F175" s="21"/>
      <c r="G175" s="21"/>
      <c r="H175" s="21"/>
      <c r="I175" s="21" t="str">
        <f>IF(G175="","",VLOOKUP(G175,frecuencia[#ALL],2,0))</f>
        <v/>
      </c>
      <c r="J175" s="21" t="str">
        <f>IF(H175="","",VLOOKUP(H175,tipo_donante[#ALL],2,0))</f>
        <v/>
      </c>
      <c r="K175" s="24"/>
    </row>
    <row r="176">
      <c r="A176" s="21"/>
      <c r="B176" s="21"/>
      <c r="C176" s="23"/>
      <c r="D176" s="21"/>
      <c r="E176" s="21"/>
      <c r="F176" s="21"/>
      <c r="G176" s="21"/>
      <c r="H176" s="21"/>
      <c r="I176" s="21" t="str">
        <f>IF(G176="","",VLOOKUP(G176,frecuencia[#ALL],2,0))</f>
        <v/>
      </c>
      <c r="J176" s="21" t="str">
        <f>IF(H176="","",VLOOKUP(H176,tipo_donante[#ALL],2,0))</f>
        <v/>
      </c>
      <c r="K176" s="24"/>
    </row>
    <row r="177">
      <c r="A177" s="21"/>
      <c r="B177" s="21"/>
      <c r="C177" s="23"/>
      <c r="D177" s="21"/>
      <c r="E177" s="21"/>
      <c r="F177" s="21"/>
      <c r="G177" s="21"/>
      <c r="H177" s="21"/>
      <c r="I177" s="21" t="str">
        <f>IF(G177="","",VLOOKUP(G177,frecuencia[#ALL],2,0))</f>
        <v/>
      </c>
      <c r="J177" s="21" t="str">
        <f>IF(H177="","",VLOOKUP(H177,tipo_donante[#ALL],2,0))</f>
        <v/>
      </c>
      <c r="K177" s="24"/>
    </row>
    <row r="178">
      <c r="A178" s="21"/>
      <c r="B178" s="21"/>
      <c r="C178" s="23"/>
      <c r="D178" s="21"/>
      <c r="E178" s="21"/>
      <c r="F178" s="21"/>
      <c r="G178" s="21"/>
      <c r="H178" s="21"/>
      <c r="I178" s="21" t="str">
        <f>IF(G178="","",VLOOKUP(G178,frecuencia[#ALL],2,0))</f>
        <v/>
      </c>
      <c r="J178" s="21" t="str">
        <f>IF(H178="","",VLOOKUP(H178,tipo_donante[#ALL],2,0))</f>
        <v/>
      </c>
      <c r="K178" s="24"/>
    </row>
    <row r="179">
      <c r="A179" s="21"/>
      <c r="B179" s="21"/>
      <c r="C179" s="23"/>
      <c r="D179" s="21"/>
      <c r="E179" s="21"/>
      <c r="F179" s="21"/>
      <c r="G179" s="21"/>
      <c r="H179" s="21"/>
      <c r="I179" s="21" t="str">
        <f>IF(G179="","",VLOOKUP(G179,frecuencia[#ALL],2,0))</f>
        <v/>
      </c>
      <c r="J179" s="21" t="str">
        <f>IF(H179="","",VLOOKUP(H179,tipo_donante[#ALL],2,0))</f>
        <v/>
      </c>
      <c r="K179" s="24"/>
    </row>
    <row r="180">
      <c r="A180" s="21"/>
      <c r="B180" s="21"/>
      <c r="C180" s="23"/>
      <c r="D180" s="21"/>
      <c r="E180" s="21"/>
      <c r="F180" s="21"/>
      <c r="G180" s="21"/>
      <c r="H180" s="21"/>
      <c r="I180" s="21" t="str">
        <f>IF(G180="","",VLOOKUP(G180,frecuencia[#ALL],2,0))</f>
        <v/>
      </c>
      <c r="J180" s="21" t="str">
        <f>IF(H180="","",VLOOKUP(H180,tipo_donante[#ALL],2,0))</f>
        <v/>
      </c>
      <c r="K180" s="24"/>
    </row>
    <row r="181">
      <c r="A181" s="21"/>
      <c r="B181" s="21"/>
      <c r="C181" s="23"/>
      <c r="D181" s="21"/>
      <c r="E181" s="21"/>
      <c r="F181" s="21"/>
      <c r="G181" s="21"/>
      <c r="H181" s="21"/>
      <c r="I181" s="21" t="str">
        <f>IF(G181="","",VLOOKUP(G181,frecuencia[#ALL],2,0))</f>
        <v/>
      </c>
      <c r="J181" s="21" t="str">
        <f>IF(H181="","",VLOOKUP(H181,tipo_donante[#ALL],2,0))</f>
        <v/>
      </c>
      <c r="K181" s="24"/>
    </row>
    <row r="182">
      <c r="A182" s="21"/>
      <c r="B182" s="21"/>
      <c r="C182" s="23"/>
      <c r="D182" s="21"/>
      <c r="E182" s="21"/>
      <c r="F182" s="21"/>
      <c r="G182" s="21"/>
      <c r="H182" s="21"/>
      <c r="I182" s="21" t="str">
        <f>IF(G182="","",VLOOKUP(G182,frecuencia[#ALL],2,0))</f>
        <v/>
      </c>
      <c r="J182" s="21" t="str">
        <f>IF(H182="","",VLOOKUP(H182,tipo_donante[#ALL],2,0))</f>
        <v/>
      </c>
      <c r="K182" s="24"/>
    </row>
    <row r="183">
      <c r="A183" s="21"/>
      <c r="B183" s="21"/>
      <c r="C183" s="23"/>
      <c r="D183" s="21"/>
      <c r="E183" s="21"/>
      <c r="F183" s="21"/>
      <c r="G183" s="21"/>
      <c r="H183" s="21"/>
      <c r="I183" s="21" t="str">
        <f>IF(G183="","",VLOOKUP(G183,frecuencia[#ALL],2,0))</f>
        <v/>
      </c>
      <c r="J183" s="21" t="str">
        <f>IF(H183="","",VLOOKUP(H183,tipo_donante[#ALL],2,0))</f>
        <v/>
      </c>
      <c r="K183" s="24"/>
    </row>
    <row r="184">
      <c r="A184" s="21"/>
      <c r="B184" s="21"/>
      <c r="C184" s="23"/>
      <c r="D184" s="21"/>
      <c r="E184" s="21"/>
      <c r="F184" s="21"/>
      <c r="G184" s="21"/>
      <c r="H184" s="21"/>
      <c r="I184" s="21" t="str">
        <f>IF(G184="","",VLOOKUP(G184,frecuencia[#ALL],2,0))</f>
        <v/>
      </c>
      <c r="J184" s="21" t="str">
        <f>IF(H184="","",VLOOKUP(H184,tipo_donante[#ALL],2,0))</f>
        <v/>
      </c>
      <c r="K184" s="24"/>
    </row>
    <row r="185">
      <c r="A185" s="21"/>
      <c r="B185" s="21"/>
      <c r="C185" s="23"/>
      <c r="D185" s="21"/>
      <c r="E185" s="21"/>
      <c r="F185" s="21"/>
      <c r="G185" s="21"/>
      <c r="H185" s="21"/>
      <c r="I185" s="21" t="str">
        <f>IF(G185="","",VLOOKUP(G185,frecuencia[#ALL],2,0))</f>
        <v/>
      </c>
      <c r="J185" s="21" t="str">
        <f>IF(H185="","",VLOOKUP(H185,tipo_donante[#ALL],2,0))</f>
        <v/>
      </c>
      <c r="K185" s="24"/>
    </row>
    <row r="186">
      <c r="A186" s="21"/>
      <c r="B186" s="21"/>
      <c r="C186" s="23"/>
      <c r="D186" s="21"/>
      <c r="E186" s="21"/>
      <c r="F186" s="21"/>
      <c r="G186" s="21"/>
      <c r="H186" s="21"/>
      <c r="I186" s="21" t="str">
        <f>IF(G186="","",VLOOKUP(G186,frecuencia[#ALL],2,0))</f>
        <v/>
      </c>
      <c r="J186" s="21" t="str">
        <f>IF(H186="","",VLOOKUP(H186,tipo_donante[#ALL],2,0))</f>
        <v/>
      </c>
      <c r="K186" s="24"/>
    </row>
    <row r="187">
      <c r="A187" s="21"/>
      <c r="B187" s="21"/>
      <c r="C187" s="23"/>
      <c r="D187" s="21"/>
      <c r="E187" s="21"/>
      <c r="F187" s="21"/>
      <c r="G187" s="21"/>
      <c r="H187" s="21"/>
      <c r="I187" s="21" t="str">
        <f>IF(G187="","",VLOOKUP(G187,frecuencia[#ALL],2,0))</f>
        <v/>
      </c>
      <c r="J187" s="21" t="str">
        <f>IF(H187="","",VLOOKUP(H187,tipo_donante[#ALL],2,0))</f>
        <v/>
      </c>
      <c r="K187" s="24"/>
    </row>
    <row r="188">
      <c r="A188" s="21"/>
      <c r="B188" s="21"/>
      <c r="C188" s="23"/>
      <c r="D188" s="21"/>
      <c r="E188" s="21"/>
      <c r="F188" s="21"/>
      <c r="G188" s="21"/>
      <c r="H188" s="21"/>
      <c r="I188" s="21" t="str">
        <f>IF(G188="","",VLOOKUP(G188,frecuencia[#ALL],2,0))</f>
        <v/>
      </c>
      <c r="J188" s="21" t="str">
        <f>IF(H188="","",VLOOKUP(H188,tipo_donante[#ALL],2,0))</f>
        <v/>
      </c>
      <c r="K188" s="24"/>
    </row>
    <row r="189">
      <c r="A189" s="21"/>
      <c r="B189" s="21"/>
      <c r="C189" s="23"/>
      <c r="D189" s="21"/>
      <c r="E189" s="21"/>
      <c r="F189" s="21"/>
      <c r="G189" s="21"/>
      <c r="H189" s="21"/>
      <c r="I189" s="21" t="str">
        <f>IF(G189="","",VLOOKUP(G189,frecuencia[#ALL],2,0))</f>
        <v/>
      </c>
      <c r="J189" s="21" t="str">
        <f>IF(H189="","",VLOOKUP(H189,tipo_donante[#ALL],2,0))</f>
        <v/>
      </c>
      <c r="K189" s="24"/>
    </row>
    <row r="190">
      <c r="A190" s="21"/>
      <c r="B190" s="21"/>
      <c r="C190" s="23"/>
      <c r="D190" s="21"/>
      <c r="E190" s="21"/>
      <c r="F190" s="21"/>
      <c r="G190" s="21"/>
      <c r="H190" s="21"/>
      <c r="I190" s="21" t="str">
        <f>IF(G190="","",VLOOKUP(G190,frecuencia[#ALL],2,0))</f>
        <v/>
      </c>
      <c r="J190" s="21" t="str">
        <f>IF(H190="","",VLOOKUP(H190,tipo_donante[#ALL],2,0))</f>
        <v/>
      </c>
      <c r="K190" s="24"/>
    </row>
    <row r="191">
      <c r="A191" s="21"/>
      <c r="B191" s="21"/>
      <c r="C191" s="23"/>
      <c r="D191" s="21"/>
      <c r="E191" s="21"/>
      <c r="F191" s="21"/>
      <c r="G191" s="21"/>
      <c r="H191" s="21"/>
      <c r="I191" s="21" t="str">
        <f>IF(G191="","",VLOOKUP(G191,frecuencia[#ALL],2,0))</f>
        <v/>
      </c>
      <c r="J191" s="21" t="str">
        <f>IF(H191="","",VLOOKUP(H191,tipo_donante[#ALL],2,0))</f>
        <v/>
      </c>
      <c r="K191" s="24"/>
    </row>
    <row r="192">
      <c r="A192" s="21"/>
      <c r="B192" s="21"/>
      <c r="C192" s="23"/>
      <c r="D192" s="21"/>
      <c r="E192" s="21"/>
      <c r="F192" s="21"/>
      <c r="G192" s="21"/>
      <c r="H192" s="21"/>
      <c r="I192" s="21" t="str">
        <f>IF(G192="","",VLOOKUP(G192,frecuencia[#ALL],2,0))</f>
        <v/>
      </c>
      <c r="J192" s="21" t="str">
        <f>IF(H192="","",VLOOKUP(H192,tipo_donante[#ALL],2,0))</f>
        <v/>
      </c>
      <c r="K192" s="24"/>
    </row>
    <row r="193">
      <c r="A193" s="21"/>
      <c r="B193" s="21"/>
      <c r="C193" s="23"/>
      <c r="D193" s="21"/>
      <c r="E193" s="21"/>
      <c r="F193" s="21"/>
      <c r="G193" s="21"/>
      <c r="H193" s="21"/>
      <c r="I193" s="21" t="str">
        <f>IF(G193="","",VLOOKUP(G193,frecuencia[#ALL],2,0))</f>
        <v/>
      </c>
      <c r="J193" s="21" t="str">
        <f>IF(H193="","",VLOOKUP(H193,tipo_donante[#ALL],2,0))</f>
        <v/>
      </c>
      <c r="K193" s="24"/>
    </row>
    <row r="194">
      <c r="A194" s="21"/>
      <c r="B194" s="21"/>
      <c r="C194" s="23"/>
      <c r="D194" s="21"/>
      <c r="E194" s="21"/>
      <c r="F194" s="21"/>
      <c r="G194" s="21"/>
      <c r="H194" s="21"/>
      <c r="I194" s="21" t="str">
        <f>IF(G194="","",VLOOKUP(G194,frecuencia[#ALL],2,0))</f>
        <v/>
      </c>
      <c r="J194" s="21" t="str">
        <f>IF(H194="","",VLOOKUP(H194,tipo_donante[#ALL],2,0))</f>
        <v/>
      </c>
      <c r="K194" s="24"/>
    </row>
    <row r="195">
      <c r="A195" s="21"/>
      <c r="B195" s="21"/>
      <c r="C195" s="23"/>
      <c r="D195" s="21"/>
      <c r="E195" s="21"/>
      <c r="F195" s="21"/>
      <c r="G195" s="21"/>
      <c r="H195" s="21"/>
      <c r="I195" s="21" t="str">
        <f>IF(G195="","",VLOOKUP(G195,frecuencia[#ALL],2,0))</f>
        <v/>
      </c>
      <c r="J195" s="21" t="str">
        <f>IF(H195="","",VLOOKUP(H195,tipo_donante[#ALL],2,0))</f>
        <v/>
      </c>
      <c r="K195" s="24"/>
    </row>
    <row r="196">
      <c r="A196" s="21"/>
      <c r="B196" s="21"/>
      <c r="C196" s="23"/>
      <c r="D196" s="21"/>
      <c r="E196" s="21"/>
      <c r="F196" s="21"/>
      <c r="G196" s="21"/>
      <c r="H196" s="21"/>
      <c r="I196" s="21" t="str">
        <f>IF(G196="","",VLOOKUP(G196,frecuencia[#ALL],2,0))</f>
        <v/>
      </c>
      <c r="J196" s="21" t="str">
        <f>IF(H196="","",VLOOKUP(H196,tipo_donante[#ALL],2,0))</f>
        <v/>
      </c>
      <c r="K196" s="24"/>
    </row>
    <row r="197">
      <c r="A197" s="21"/>
      <c r="B197" s="21"/>
      <c r="C197" s="23"/>
      <c r="D197" s="21"/>
      <c r="E197" s="21"/>
      <c r="F197" s="21"/>
      <c r="G197" s="21"/>
      <c r="H197" s="21"/>
      <c r="I197" s="21" t="str">
        <f>IF(G197="","",VLOOKUP(G197,frecuencia[#ALL],2,0))</f>
        <v/>
      </c>
      <c r="J197" s="21" t="str">
        <f>IF(H197="","",VLOOKUP(H197,tipo_donante[#ALL],2,0))</f>
        <v/>
      </c>
      <c r="K197" s="24"/>
    </row>
    <row r="198">
      <c r="A198" s="21"/>
      <c r="B198" s="21"/>
      <c r="C198" s="23"/>
      <c r="D198" s="21"/>
      <c r="E198" s="21"/>
      <c r="F198" s="21"/>
      <c r="G198" s="21"/>
      <c r="H198" s="21"/>
      <c r="I198" s="21" t="str">
        <f>IF(G198="","",VLOOKUP(G198,frecuencia[#ALL],2,0))</f>
        <v/>
      </c>
      <c r="J198" s="21" t="str">
        <f>IF(H198="","",VLOOKUP(H198,tipo_donante[#ALL],2,0))</f>
        <v/>
      </c>
      <c r="K198" s="24"/>
    </row>
    <row r="199">
      <c r="A199" s="21"/>
      <c r="B199" s="21"/>
      <c r="C199" s="23"/>
      <c r="D199" s="21"/>
      <c r="E199" s="21"/>
      <c r="F199" s="21"/>
      <c r="G199" s="21"/>
      <c r="H199" s="21"/>
      <c r="I199" s="21" t="str">
        <f>IF(G199="","",VLOOKUP(G199,frecuencia[#ALL],2,0))</f>
        <v/>
      </c>
      <c r="J199" s="21" t="str">
        <f>IF(H199="","",VLOOKUP(H199,tipo_donante[#ALL],2,0))</f>
        <v/>
      </c>
      <c r="K199" s="24"/>
    </row>
    <row r="200">
      <c r="A200" s="21"/>
      <c r="B200" s="21"/>
      <c r="C200" s="23"/>
      <c r="D200" s="21"/>
      <c r="E200" s="21"/>
      <c r="F200" s="21"/>
      <c r="G200" s="21"/>
      <c r="H200" s="21"/>
      <c r="I200" s="21" t="str">
        <f>IF(G200="","",VLOOKUP(G200,frecuencia[#ALL],2,0))</f>
        <v/>
      </c>
      <c r="J200" s="21" t="str">
        <f>IF(H200="","",VLOOKUP(H200,tipo_donante[#ALL],2,0))</f>
        <v/>
      </c>
      <c r="K200" s="24"/>
    </row>
    <row r="201">
      <c r="A201" s="21"/>
      <c r="B201" s="21"/>
      <c r="C201" s="23"/>
      <c r="D201" s="21"/>
      <c r="E201" s="21"/>
      <c r="F201" s="21"/>
      <c r="G201" s="21"/>
      <c r="H201" s="21"/>
      <c r="I201" s="21" t="str">
        <f>IF(G201="","",VLOOKUP(G201,frecuencia[#ALL],2,0))</f>
        <v/>
      </c>
      <c r="J201" s="21" t="str">
        <f>IF(H201="","",VLOOKUP(H201,tipo_donante[#ALL],2,0))</f>
        <v/>
      </c>
      <c r="K201" s="24"/>
    </row>
    <row r="202">
      <c r="A202" s="21"/>
      <c r="B202" s="21"/>
      <c r="C202" s="23"/>
      <c r="D202" s="21"/>
      <c r="E202" s="21"/>
      <c r="F202" s="21"/>
      <c r="G202" s="21"/>
      <c r="H202" s="21"/>
      <c r="I202" s="21" t="str">
        <f>IF(G202="","",VLOOKUP(G202,frecuencia[#ALL],2,0))</f>
        <v/>
      </c>
      <c r="J202" s="21" t="str">
        <f>IF(H202="","",VLOOKUP(H202,tipo_donante[#ALL],2,0))</f>
        <v/>
      </c>
      <c r="K202" s="24"/>
    </row>
    <row r="203">
      <c r="A203" s="21"/>
      <c r="B203" s="21"/>
      <c r="C203" s="23"/>
      <c r="D203" s="21"/>
      <c r="E203" s="21"/>
      <c r="F203" s="21"/>
      <c r="G203" s="21"/>
      <c r="H203" s="21"/>
      <c r="I203" s="21" t="str">
        <f>IF(G203="","",VLOOKUP(G203,frecuencia[#ALL],2,0))</f>
        <v/>
      </c>
      <c r="J203" s="21" t="str">
        <f>IF(H203="","",VLOOKUP(H203,tipo_donante[#ALL],2,0))</f>
        <v/>
      </c>
      <c r="K203" s="24"/>
    </row>
    <row r="204">
      <c r="A204" s="21"/>
      <c r="B204" s="21"/>
      <c r="C204" s="23"/>
      <c r="D204" s="21"/>
      <c r="E204" s="21"/>
      <c r="F204" s="21"/>
      <c r="G204" s="21"/>
      <c r="H204" s="21"/>
      <c r="I204" s="21" t="str">
        <f>IF(G204="","",VLOOKUP(G204,frecuencia[#ALL],2,0))</f>
        <v/>
      </c>
      <c r="J204" s="21" t="str">
        <f>IF(H204="","",VLOOKUP(H204,tipo_donante[#ALL],2,0))</f>
        <v/>
      </c>
      <c r="K204" s="24"/>
    </row>
    <row r="205">
      <c r="A205" s="21"/>
      <c r="B205" s="21"/>
      <c r="C205" s="23"/>
      <c r="D205" s="21"/>
      <c r="E205" s="21"/>
      <c r="F205" s="21"/>
      <c r="G205" s="21"/>
      <c r="H205" s="21"/>
      <c r="I205" s="21" t="str">
        <f>IF(G205="","",VLOOKUP(G205,frecuencia[#ALL],2,0))</f>
        <v/>
      </c>
      <c r="J205" s="21" t="str">
        <f>IF(H205="","",VLOOKUP(H205,tipo_donante[#ALL],2,0))</f>
        <v/>
      </c>
      <c r="K205" s="24"/>
    </row>
    <row r="206">
      <c r="A206" s="21"/>
      <c r="B206" s="21"/>
      <c r="C206" s="23"/>
      <c r="D206" s="21"/>
      <c r="E206" s="21"/>
      <c r="F206" s="21"/>
      <c r="G206" s="21"/>
      <c r="H206" s="21"/>
      <c r="I206" s="21" t="str">
        <f>IF(G206="","",VLOOKUP(G206,frecuencia[#ALL],2,0))</f>
        <v/>
      </c>
      <c r="J206" s="21" t="str">
        <f>IF(H206="","",VLOOKUP(H206,tipo_donante[#ALL],2,0))</f>
        <v/>
      </c>
      <c r="K206" s="24"/>
    </row>
    <row r="207">
      <c r="A207" s="21"/>
      <c r="B207" s="21"/>
      <c r="C207" s="23"/>
      <c r="D207" s="21"/>
      <c r="E207" s="21"/>
      <c r="F207" s="21"/>
      <c r="G207" s="21"/>
      <c r="H207" s="21"/>
      <c r="I207" s="21" t="str">
        <f>IF(G207="","",VLOOKUP(G207,frecuencia[#ALL],2,0))</f>
        <v/>
      </c>
      <c r="J207" s="21" t="str">
        <f>IF(H207="","",VLOOKUP(H207,tipo_donante[#ALL],2,0))</f>
        <v/>
      </c>
      <c r="K207" s="24"/>
    </row>
    <row r="208">
      <c r="A208" s="21"/>
      <c r="B208" s="21"/>
      <c r="C208" s="23"/>
      <c r="D208" s="21"/>
      <c r="E208" s="21"/>
      <c r="F208" s="21"/>
      <c r="G208" s="21"/>
      <c r="H208" s="21"/>
      <c r="I208" s="21" t="str">
        <f>IF(G208="","",VLOOKUP(G208,frecuencia[#ALL],2,0))</f>
        <v/>
      </c>
      <c r="J208" s="21" t="str">
        <f>IF(H208="","",VLOOKUP(H208,tipo_donante[#ALL],2,0))</f>
        <v/>
      </c>
      <c r="K208" s="24"/>
    </row>
    <row r="209">
      <c r="A209" s="21"/>
      <c r="B209" s="21"/>
      <c r="C209" s="23"/>
      <c r="D209" s="21"/>
      <c r="E209" s="21"/>
      <c r="F209" s="21"/>
      <c r="G209" s="21"/>
      <c r="H209" s="21"/>
      <c r="I209" s="21" t="str">
        <f>IF(G209="","",VLOOKUP(G209,frecuencia[#ALL],2,0))</f>
        <v/>
      </c>
      <c r="J209" s="21" t="str">
        <f>IF(H209="","",VLOOKUP(H209,tipo_donante[#ALL],2,0))</f>
        <v/>
      </c>
      <c r="K209" s="24"/>
    </row>
    <row r="210">
      <c r="A210" s="21"/>
      <c r="B210" s="21"/>
      <c r="C210" s="23"/>
      <c r="D210" s="21"/>
      <c r="E210" s="21"/>
      <c r="F210" s="21"/>
      <c r="G210" s="21"/>
      <c r="H210" s="21"/>
      <c r="I210" s="21" t="str">
        <f>IF(G210="","",VLOOKUP(G210,frecuencia[#ALL],2,0))</f>
        <v/>
      </c>
      <c r="J210" s="21" t="str">
        <f>IF(H210="","",VLOOKUP(H210,tipo_donante[#ALL],2,0))</f>
        <v/>
      </c>
      <c r="K210" s="24"/>
    </row>
    <row r="211">
      <c r="A211" s="21"/>
      <c r="B211" s="21"/>
      <c r="C211" s="23"/>
      <c r="D211" s="21"/>
      <c r="E211" s="21"/>
      <c r="F211" s="21"/>
      <c r="G211" s="21"/>
      <c r="H211" s="21"/>
      <c r="I211" s="21" t="str">
        <f>IF(G211="","",VLOOKUP(G211,frecuencia[#ALL],2,0))</f>
        <v/>
      </c>
      <c r="J211" s="21" t="str">
        <f>IF(H211="","",VLOOKUP(H211,tipo_donante[#ALL],2,0))</f>
        <v/>
      </c>
      <c r="K211" s="24"/>
    </row>
    <row r="212">
      <c r="A212" s="21"/>
      <c r="B212" s="21"/>
      <c r="C212" s="23"/>
      <c r="D212" s="21"/>
      <c r="E212" s="21"/>
      <c r="F212" s="21"/>
      <c r="G212" s="21"/>
      <c r="H212" s="21"/>
      <c r="I212" s="21" t="str">
        <f>IF(G212="","",VLOOKUP(G212,frecuencia[#ALL],2,0))</f>
        <v/>
      </c>
      <c r="J212" s="21" t="str">
        <f>IF(H212="","",VLOOKUP(H212,tipo_donante[#ALL],2,0))</f>
        <v/>
      </c>
      <c r="K212" s="24"/>
    </row>
    <row r="213">
      <c r="A213" s="21"/>
      <c r="B213" s="21"/>
      <c r="C213" s="23"/>
      <c r="D213" s="21"/>
      <c r="E213" s="21"/>
      <c r="F213" s="21"/>
      <c r="G213" s="21"/>
      <c r="H213" s="21"/>
      <c r="I213" s="21" t="str">
        <f>IF(G213="","",VLOOKUP(G213,frecuencia[#ALL],2,0))</f>
        <v/>
      </c>
      <c r="J213" s="21" t="str">
        <f>IF(H213="","",VLOOKUP(H213,tipo_donante[#ALL],2,0))</f>
        <v/>
      </c>
      <c r="K213" s="24"/>
    </row>
    <row r="214">
      <c r="A214" s="21"/>
      <c r="B214" s="21"/>
      <c r="C214" s="23"/>
      <c r="D214" s="21"/>
      <c r="E214" s="21"/>
      <c r="F214" s="21"/>
      <c r="G214" s="21"/>
      <c r="H214" s="21"/>
      <c r="I214" s="21" t="str">
        <f>IF(G214="","",VLOOKUP(G214,frecuencia[#ALL],2,0))</f>
        <v/>
      </c>
      <c r="J214" s="21" t="str">
        <f>IF(H214="","",VLOOKUP(H214,tipo_donante[#ALL],2,0))</f>
        <v/>
      </c>
      <c r="K214" s="24"/>
    </row>
    <row r="215">
      <c r="A215" s="21"/>
      <c r="B215" s="21"/>
      <c r="C215" s="23"/>
      <c r="D215" s="21"/>
      <c r="E215" s="21"/>
      <c r="F215" s="21"/>
      <c r="G215" s="21"/>
      <c r="H215" s="21"/>
      <c r="I215" s="21" t="str">
        <f>IF(G215="","",VLOOKUP(G215,frecuencia[#ALL],2,0))</f>
        <v/>
      </c>
      <c r="J215" s="21" t="str">
        <f>IF(H215="","",VLOOKUP(H215,tipo_donante[#ALL],2,0))</f>
        <v/>
      </c>
      <c r="K215" s="24"/>
    </row>
    <row r="216">
      <c r="A216" s="21"/>
      <c r="B216" s="21"/>
      <c r="C216" s="23"/>
      <c r="D216" s="21"/>
      <c r="E216" s="21"/>
      <c r="F216" s="21"/>
      <c r="G216" s="21"/>
      <c r="H216" s="21"/>
      <c r="I216" s="21" t="str">
        <f>IF(G216="","",VLOOKUP(G216,frecuencia[#ALL],2,0))</f>
        <v/>
      </c>
      <c r="J216" s="21" t="str">
        <f>IF(H216="","",VLOOKUP(H216,tipo_donante[#ALL],2,0))</f>
        <v/>
      </c>
      <c r="K216" s="24"/>
    </row>
    <row r="217">
      <c r="A217" s="21"/>
      <c r="B217" s="21"/>
      <c r="C217" s="23"/>
      <c r="D217" s="21"/>
      <c r="E217" s="21"/>
      <c r="F217" s="21"/>
      <c r="G217" s="21"/>
      <c r="H217" s="21"/>
      <c r="I217" s="21" t="str">
        <f>IF(G217="","",VLOOKUP(G217,frecuencia[#ALL],2,0))</f>
        <v/>
      </c>
      <c r="J217" s="21" t="str">
        <f>IF(H217="","",VLOOKUP(H217,tipo_donante[#ALL],2,0))</f>
        <v/>
      </c>
      <c r="K217" s="24"/>
    </row>
    <row r="218">
      <c r="A218" s="21"/>
      <c r="B218" s="21"/>
      <c r="C218" s="23"/>
      <c r="D218" s="21"/>
      <c r="E218" s="21"/>
      <c r="F218" s="21"/>
      <c r="G218" s="21"/>
      <c r="H218" s="21"/>
      <c r="I218" s="21" t="str">
        <f>IF(G218="","",VLOOKUP(G218,frecuencia[#ALL],2,0))</f>
        <v/>
      </c>
      <c r="J218" s="21" t="str">
        <f>IF(H218="","",VLOOKUP(H218,tipo_donante[#ALL],2,0))</f>
        <v/>
      </c>
      <c r="K218" s="24"/>
    </row>
    <row r="219">
      <c r="A219" s="21"/>
      <c r="B219" s="21"/>
      <c r="C219" s="23"/>
      <c r="D219" s="21"/>
      <c r="E219" s="21"/>
      <c r="F219" s="21"/>
      <c r="G219" s="21"/>
      <c r="H219" s="21"/>
      <c r="I219" s="21" t="str">
        <f>IF(G219="","",VLOOKUP(G219,frecuencia[#ALL],2,0))</f>
        <v/>
      </c>
      <c r="J219" s="21" t="str">
        <f>IF(H219="","",VLOOKUP(H219,tipo_donante[#ALL],2,0))</f>
        <v/>
      </c>
      <c r="K219" s="24"/>
    </row>
    <row r="220">
      <c r="A220" s="21"/>
      <c r="B220" s="21"/>
      <c r="C220" s="23"/>
      <c r="D220" s="21"/>
      <c r="E220" s="21"/>
      <c r="F220" s="21"/>
      <c r="G220" s="21"/>
      <c r="H220" s="21"/>
      <c r="I220" s="21" t="str">
        <f>IF(G220="","",VLOOKUP(G220,frecuencia[#ALL],2,0))</f>
        <v/>
      </c>
      <c r="J220" s="21" t="str">
        <f>IF(H220="","",VLOOKUP(H220,tipo_donante[#ALL],2,0))</f>
        <v/>
      </c>
      <c r="K220" s="24"/>
    </row>
    <row r="221">
      <c r="A221" s="21"/>
      <c r="B221" s="21"/>
      <c r="C221" s="23"/>
      <c r="D221" s="21"/>
      <c r="E221" s="21"/>
      <c r="F221" s="21"/>
      <c r="G221" s="21"/>
      <c r="H221" s="21"/>
      <c r="I221" s="21" t="str">
        <f>IF(G221="","",VLOOKUP(G221,frecuencia[#ALL],2,0))</f>
        <v/>
      </c>
      <c r="J221" s="21" t="str">
        <f>IF(H221="","",VLOOKUP(H221,tipo_donante[#ALL],2,0))</f>
        <v/>
      </c>
      <c r="K221" s="24"/>
    </row>
    <row r="222">
      <c r="A222" s="21"/>
      <c r="B222" s="21"/>
      <c r="C222" s="23"/>
      <c r="D222" s="21"/>
      <c r="E222" s="21"/>
      <c r="F222" s="21"/>
      <c r="G222" s="21"/>
      <c r="H222" s="21"/>
      <c r="I222" s="21" t="str">
        <f>IF(G222="","",VLOOKUP(G222,frecuencia[#ALL],2,0))</f>
        <v/>
      </c>
      <c r="J222" s="21" t="str">
        <f>IF(H222="","",VLOOKUP(H222,tipo_donante[#ALL],2,0))</f>
        <v/>
      </c>
      <c r="K222" s="24"/>
    </row>
    <row r="223">
      <c r="A223" s="21"/>
      <c r="B223" s="21"/>
      <c r="C223" s="23"/>
      <c r="D223" s="21"/>
      <c r="E223" s="21"/>
      <c r="F223" s="21"/>
      <c r="G223" s="21"/>
      <c r="H223" s="21"/>
      <c r="I223" s="21" t="str">
        <f>IF(G223="","",VLOOKUP(G223,frecuencia[#ALL],2,0))</f>
        <v/>
      </c>
      <c r="J223" s="21" t="str">
        <f>IF(H223="","",VLOOKUP(H223,tipo_donante[#ALL],2,0))</f>
        <v/>
      </c>
      <c r="K223" s="24"/>
    </row>
    <row r="224">
      <c r="A224" s="21"/>
      <c r="B224" s="21"/>
      <c r="C224" s="23"/>
      <c r="D224" s="21"/>
      <c r="E224" s="21"/>
      <c r="F224" s="21"/>
      <c r="G224" s="21"/>
      <c r="H224" s="21"/>
      <c r="I224" s="21" t="str">
        <f>IF(G224="","",VLOOKUP(G224,frecuencia[#ALL],2,0))</f>
        <v/>
      </c>
      <c r="J224" s="21" t="str">
        <f>IF(H224="","",VLOOKUP(H224,tipo_donante[#ALL],2,0))</f>
        <v/>
      </c>
      <c r="K224" s="24"/>
    </row>
    <row r="225">
      <c r="A225" s="21"/>
      <c r="B225" s="21"/>
      <c r="C225" s="23"/>
      <c r="D225" s="21"/>
      <c r="E225" s="21"/>
      <c r="F225" s="21"/>
      <c r="G225" s="21"/>
      <c r="H225" s="21"/>
      <c r="I225" s="21" t="str">
        <f>IF(G225="","",VLOOKUP(G225,frecuencia[#ALL],2,0))</f>
        <v/>
      </c>
      <c r="J225" s="21" t="str">
        <f>IF(H225="","",VLOOKUP(H225,tipo_donante[#ALL],2,0))</f>
        <v/>
      </c>
      <c r="K225" s="24"/>
    </row>
    <row r="226">
      <c r="A226" s="21"/>
      <c r="B226" s="21"/>
      <c r="C226" s="23"/>
      <c r="D226" s="21"/>
      <c r="E226" s="21"/>
      <c r="F226" s="21"/>
      <c r="G226" s="21"/>
      <c r="H226" s="21"/>
      <c r="I226" s="21" t="str">
        <f>IF(G226="","",VLOOKUP(G226,frecuencia[#ALL],2,0))</f>
        <v/>
      </c>
      <c r="J226" s="21" t="str">
        <f>IF(H226="","",VLOOKUP(H226,tipo_donante[#ALL],2,0))</f>
        <v/>
      </c>
      <c r="K226" s="24"/>
    </row>
    <row r="227">
      <c r="A227" s="21"/>
      <c r="B227" s="21"/>
      <c r="C227" s="23"/>
      <c r="D227" s="21"/>
      <c r="E227" s="21"/>
      <c r="F227" s="21"/>
      <c r="G227" s="21"/>
      <c r="H227" s="21"/>
      <c r="I227" s="21" t="str">
        <f>IF(G227="","",VLOOKUP(G227,frecuencia[#ALL],2,0))</f>
        <v/>
      </c>
      <c r="J227" s="21" t="str">
        <f>IF(H227="","",VLOOKUP(H227,tipo_donante[#ALL],2,0))</f>
        <v/>
      </c>
      <c r="K227" s="24"/>
    </row>
    <row r="228">
      <c r="A228" s="21"/>
      <c r="B228" s="21"/>
      <c r="C228" s="23"/>
      <c r="D228" s="21"/>
      <c r="E228" s="21"/>
      <c r="F228" s="21"/>
      <c r="G228" s="21"/>
      <c r="H228" s="21"/>
      <c r="I228" s="21" t="str">
        <f>IF(G228="","",VLOOKUP(G228,frecuencia[#ALL],2,0))</f>
        <v/>
      </c>
      <c r="J228" s="21" t="str">
        <f>IF(H228="","",VLOOKUP(H228,tipo_donante[#ALL],2,0))</f>
        <v/>
      </c>
      <c r="K228" s="24"/>
    </row>
    <row r="229">
      <c r="A229" s="21"/>
      <c r="B229" s="21"/>
      <c r="C229" s="23"/>
      <c r="D229" s="21"/>
      <c r="E229" s="21"/>
      <c r="F229" s="21"/>
      <c r="G229" s="21"/>
      <c r="H229" s="21"/>
      <c r="I229" s="21" t="str">
        <f>IF(G229="","",VLOOKUP(G229,frecuencia[#ALL],2,0))</f>
        <v/>
      </c>
      <c r="J229" s="21" t="str">
        <f>IF(H229="","",VLOOKUP(H229,tipo_donante[#ALL],2,0))</f>
        <v/>
      </c>
      <c r="K229" s="24"/>
    </row>
    <row r="230">
      <c r="A230" s="21"/>
      <c r="B230" s="21"/>
      <c r="C230" s="23"/>
      <c r="D230" s="21"/>
      <c r="E230" s="21"/>
      <c r="F230" s="21"/>
      <c r="G230" s="21"/>
      <c r="H230" s="21"/>
      <c r="I230" s="21" t="str">
        <f>IF(G230="","",VLOOKUP(G230,frecuencia[#ALL],2,0))</f>
        <v/>
      </c>
      <c r="J230" s="21" t="str">
        <f>IF(H230="","",VLOOKUP(H230,tipo_donante[#ALL],2,0))</f>
        <v/>
      </c>
      <c r="K230" s="24"/>
    </row>
    <row r="231">
      <c r="A231" s="21"/>
      <c r="B231" s="21"/>
      <c r="C231" s="23"/>
      <c r="D231" s="21"/>
      <c r="E231" s="21"/>
      <c r="F231" s="21"/>
      <c r="G231" s="21"/>
      <c r="H231" s="21"/>
      <c r="I231" s="21" t="str">
        <f>IF(G231="","",VLOOKUP(G231,frecuencia[#ALL],2,0))</f>
        <v/>
      </c>
      <c r="J231" s="21" t="str">
        <f>IF(H231="","",VLOOKUP(H231,tipo_donante[#ALL],2,0))</f>
        <v/>
      </c>
      <c r="K231" s="24"/>
    </row>
    <row r="232">
      <c r="A232" s="21"/>
      <c r="B232" s="21"/>
      <c r="C232" s="23"/>
      <c r="D232" s="21"/>
      <c r="E232" s="21"/>
      <c r="F232" s="21"/>
      <c r="G232" s="21"/>
      <c r="H232" s="21"/>
      <c r="I232" s="21" t="str">
        <f>IF(G232="","",VLOOKUP(G232,frecuencia[#ALL],2,0))</f>
        <v/>
      </c>
      <c r="J232" s="21" t="str">
        <f>IF(H232="","",VLOOKUP(H232,tipo_donante[#ALL],2,0))</f>
        <v/>
      </c>
      <c r="K232" s="24"/>
    </row>
    <row r="233">
      <c r="A233" s="21"/>
      <c r="B233" s="21"/>
      <c r="C233" s="23"/>
      <c r="D233" s="21"/>
      <c r="E233" s="21"/>
      <c r="F233" s="21"/>
      <c r="G233" s="21"/>
      <c r="H233" s="21"/>
      <c r="I233" s="21" t="str">
        <f>IF(G233="","",VLOOKUP(G233,frecuencia[#ALL],2,0))</f>
        <v/>
      </c>
      <c r="J233" s="21" t="str">
        <f>IF(H233="","",VLOOKUP(H233,tipo_donante[#ALL],2,0))</f>
        <v/>
      </c>
      <c r="K233" s="24"/>
    </row>
    <row r="234">
      <c r="A234" s="21"/>
      <c r="B234" s="21"/>
      <c r="C234" s="23"/>
      <c r="D234" s="21"/>
      <c r="E234" s="21"/>
      <c r="F234" s="21"/>
      <c r="G234" s="21"/>
      <c r="H234" s="21"/>
      <c r="I234" s="21" t="str">
        <f>IF(G234="","",VLOOKUP(G234,frecuencia[#ALL],2,0))</f>
        <v/>
      </c>
      <c r="J234" s="21" t="str">
        <f>IF(H234="","",VLOOKUP(H234,tipo_donante[#ALL],2,0))</f>
        <v/>
      </c>
      <c r="K234" s="24"/>
    </row>
    <row r="235">
      <c r="A235" s="21"/>
      <c r="B235" s="21"/>
      <c r="C235" s="23"/>
      <c r="D235" s="21"/>
      <c r="E235" s="21"/>
      <c r="F235" s="21"/>
      <c r="G235" s="21"/>
      <c r="H235" s="21"/>
      <c r="I235" s="21" t="str">
        <f>IF(G235="","",VLOOKUP(G235,frecuencia[#ALL],2,0))</f>
        <v/>
      </c>
      <c r="J235" s="21" t="str">
        <f>IF(H235="","",VLOOKUP(H235,tipo_donante[#ALL],2,0))</f>
        <v/>
      </c>
      <c r="K235" s="24"/>
    </row>
    <row r="236">
      <c r="A236" s="21"/>
      <c r="B236" s="21"/>
      <c r="C236" s="23"/>
      <c r="D236" s="21"/>
      <c r="E236" s="21"/>
      <c r="F236" s="21"/>
      <c r="G236" s="21"/>
      <c r="H236" s="21"/>
      <c r="I236" s="21" t="str">
        <f>IF(G236="","",VLOOKUP(G236,frecuencia[#ALL],2,0))</f>
        <v/>
      </c>
      <c r="J236" s="21" t="str">
        <f>IF(H236="","",VLOOKUP(H236,tipo_donante[#ALL],2,0))</f>
        <v/>
      </c>
      <c r="K236" s="24"/>
    </row>
    <row r="237">
      <c r="A237" s="21"/>
      <c r="B237" s="21"/>
      <c r="C237" s="23"/>
      <c r="D237" s="21"/>
      <c r="E237" s="21"/>
      <c r="F237" s="21"/>
      <c r="G237" s="21"/>
      <c r="H237" s="21"/>
      <c r="I237" s="21" t="str">
        <f>IF(G237="","",VLOOKUP(G237,frecuencia[#ALL],2,0))</f>
        <v/>
      </c>
      <c r="J237" s="21" t="str">
        <f>IF(H237="","",VLOOKUP(H237,tipo_donante[#ALL],2,0))</f>
        <v/>
      </c>
      <c r="K237" s="24"/>
    </row>
    <row r="238">
      <c r="A238" s="21"/>
      <c r="B238" s="21"/>
      <c r="C238" s="23"/>
      <c r="D238" s="21"/>
      <c r="E238" s="21"/>
      <c r="F238" s="21"/>
      <c r="G238" s="21"/>
      <c r="H238" s="21"/>
      <c r="I238" s="21" t="str">
        <f>IF(G238="","",VLOOKUP(G238,frecuencia[#ALL],2,0))</f>
        <v/>
      </c>
      <c r="J238" s="21" t="str">
        <f>IF(H238="","",VLOOKUP(H238,tipo_donante[#ALL],2,0))</f>
        <v/>
      </c>
      <c r="K238" s="24"/>
    </row>
    <row r="239">
      <c r="A239" s="21"/>
      <c r="B239" s="21"/>
      <c r="C239" s="23"/>
      <c r="D239" s="21"/>
      <c r="E239" s="21"/>
      <c r="F239" s="21"/>
      <c r="G239" s="21"/>
      <c r="H239" s="21"/>
      <c r="I239" s="21" t="str">
        <f>IF(G239="","",VLOOKUP(G239,frecuencia[#ALL],2,0))</f>
        <v/>
      </c>
      <c r="J239" s="21" t="str">
        <f>IF(H239="","",VLOOKUP(H239,tipo_donante[#ALL],2,0))</f>
        <v/>
      </c>
      <c r="K239" s="24"/>
    </row>
    <row r="240">
      <c r="A240" s="21"/>
      <c r="B240" s="21"/>
      <c r="C240" s="23"/>
      <c r="D240" s="21"/>
      <c r="E240" s="21"/>
      <c r="F240" s="21"/>
      <c r="G240" s="21"/>
      <c r="H240" s="21"/>
      <c r="I240" s="21" t="str">
        <f>IF(G240="","",VLOOKUP(G240,frecuencia[#ALL],2,0))</f>
        <v/>
      </c>
      <c r="J240" s="21" t="str">
        <f>IF(H240="","",VLOOKUP(H240,tipo_donante[#ALL],2,0))</f>
        <v/>
      </c>
      <c r="K240" s="24"/>
    </row>
    <row r="241">
      <c r="A241" s="21"/>
      <c r="B241" s="21"/>
      <c r="C241" s="23"/>
      <c r="D241" s="21"/>
      <c r="E241" s="21"/>
      <c r="F241" s="21"/>
      <c r="G241" s="21"/>
      <c r="H241" s="21"/>
      <c r="I241" s="21" t="str">
        <f>IF(G241="","",VLOOKUP(G241,frecuencia[#ALL],2,0))</f>
        <v/>
      </c>
      <c r="J241" s="21" t="str">
        <f>IF(H241="","",VLOOKUP(H241,tipo_donante[#ALL],2,0))</f>
        <v/>
      </c>
      <c r="K241" s="24"/>
    </row>
    <row r="242">
      <c r="A242" s="21"/>
      <c r="B242" s="21"/>
      <c r="C242" s="23"/>
      <c r="D242" s="21"/>
      <c r="E242" s="21"/>
      <c r="F242" s="21"/>
      <c r="G242" s="21"/>
      <c r="H242" s="21"/>
      <c r="I242" s="21" t="str">
        <f>IF(G242="","",VLOOKUP(G242,frecuencia[#ALL],2,0))</f>
        <v/>
      </c>
      <c r="J242" s="21" t="str">
        <f>IF(H242="","",VLOOKUP(H242,tipo_donante[#ALL],2,0))</f>
        <v/>
      </c>
      <c r="K242" s="24"/>
    </row>
    <row r="243">
      <c r="A243" s="21"/>
      <c r="B243" s="21"/>
      <c r="C243" s="23"/>
      <c r="D243" s="21"/>
      <c r="E243" s="21"/>
      <c r="F243" s="21"/>
      <c r="G243" s="21"/>
      <c r="H243" s="21"/>
      <c r="I243" s="21" t="str">
        <f>IF(G243="","",VLOOKUP(G243,frecuencia[#ALL],2,0))</f>
        <v/>
      </c>
      <c r="J243" s="21" t="str">
        <f>IF(H243="","",VLOOKUP(H243,tipo_donante[#ALL],2,0))</f>
        <v/>
      </c>
      <c r="K243" s="24"/>
    </row>
    <row r="244">
      <c r="A244" s="21"/>
      <c r="B244" s="21"/>
      <c r="C244" s="23"/>
      <c r="D244" s="21"/>
      <c r="E244" s="21"/>
      <c r="F244" s="21"/>
      <c r="G244" s="21"/>
      <c r="H244" s="21"/>
      <c r="I244" s="21" t="str">
        <f>IF(G244="","",VLOOKUP(G244,frecuencia[#ALL],2,0))</f>
        <v/>
      </c>
      <c r="J244" s="21" t="str">
        <f>IF(H244="","",VLOOKUP(H244,tipo_donante[#ALL],2,0))</f>
        <v/>
      </c>
      <c r="K244" s="24"/>
    </row>
    <row r="245">
      <c r="A245" s="21"/>
      <c r="B245" s="21"/>
      <c r="C245" s="23"/>
      <c r="D245" s="21"/>
      <c r="E245" s="21"/>
      <c r="F245" s="21"/>
      <c r="G245" s="21"/>
      <c r="H245" s="21"/>
      <c r="I245" s="21" t="str">
        <f>IF(G245="","",VLOOKUP(G245,frecuencia[#ALL],2,0))</f>
        <v/>
      </c>
      <c r="J245" s="21" t="str">
        <f>IF(H245="","",VLOOKUP(H245,tipo_donante[#ALL],2,0))</f>
        <v/>
      </c>
      <c r="K245" s="24"/>
    </row>
    <row r="246">
      <c r="A246" s="21"/>
      <c r="B246" s="21"/>
      <c r="C246" s="23"/>
      <c r="D246" s="21"/>
      <c r="E246" s="21"/>
      <c r="F246" s="21"/>
      <c r="G246" s="21"/>
      <c r="H246" s="21"/>
      <c r="I246" s="21" t="str">
        <f>IF(G246="","",VLOOKUP(G246,frecuencia[#ALL],2,0))</f>
        <v/>
      </c>
      <c r="J246" s="21" t="str">
        <f>IF(H246="","",VLOOKUP(H246,tipo_donante[#ALL],2,0))</f>
        <v/>
      </c>
      <c r="K246" s="24"/>
    </row>
    <row r="247">
      <c r="A247" s="21"/>
      <c r="B247" s="21"/>
      <c r="C247" s="23"/>
      <c r="D247" s="21"/>
      <c r="E247" s="21"/>
      <c r="F247" s="21"/>
      <c r="G247" s="21"/>
      <c r="H247" s="21"/>
      <c r="I247" s="21" t="str">
        <f>IF(G247="","",VLOOKUP(G247,frecuencia[#ALL],2,0))</f>
        <v/>
      </c>
      <c r="J247" s="21" t="str">
        <f>IF(H247="","",VLOOKUP(H247,tipo_donante[#ALL],2,0))</f>
        <v/>
      </c>
      <c r="K247" s="24"/>
    </row>
    <row r="248">
      <c r="A248" s="21"/>
      <c r="B248" s="21"/>
      <c r="C248" s="23"/>
      <c r="D248" s="21"/>
      <c r="E248" s="21"/>
      <c r="F248" s="21"/>
      <c r="G248" s="21"/>
      <c r="H248" s="21"/>
      <c r="I248" s="21" t="str">
        <f>IF(G248="","",VLOOKUP(G248,frecuencia[#ALL],2,0))</f>
        <v/>
      </c>
      <c r="J248" s="21" t="str">
        <f>IF(H248="","",VLOOKUP(H248,tipo_donante[#ALL],2,0))</f>
        <v/>
      </c>
      <c r="K248" s="24"/>
    </row>
    <row r="249">
      <c r="A249" s="21"/>
      <c r="B249" s="21"/>
      <c r="C249" s="23"/>
      <c r="D249" s="21"/>
      <c r="E249" s="21"/>
      <c r="F249" s="21"/>
      <c r="G249" s="21"/>
      <c r="H249" s="21"/>
      <c r="I249" s="21" t="str">
        <f>IF(G249="","",VLOOKUP(G249,frecuencia[#ALL],2,0))</f>
        <v/>
      </c>
      <c r="J249" s="21" t="str">
        <f>IF(H249="","",VLOOKUP(H249,tipo_donante[#ALL],2,0))</f>
        <v/>
      </c>
      <c r="K249" s="24"/>
    </row>
    <row r="250">
      <c r="A250" s="21"/>
      <c r="B250" s="21"/>
      <c r="C250" s="23"/>
      <c r="D250" s="21"/>
      <c r="E250" s="21"/>
      <c r="F250" s="21"/>
      <c r="G250" s="21"/>
      <c r="H250" s="21"/>
      <c r="I250" s="21" t="str">
        <f>IF(G250="","",VLOOKUP(G250,frecuencia[#ALL],2,0))</f>
        <v/>
      </c>
      <c r="J250" s="21" t="str">
        <f>IF(H250="","",VLOOKUP(H250,tipo_donante[#ALL],2,0))</f>
        <v/>
      </c>
      <c r="K250" s="24"/>
    </row>
    <row r="251">
      <c r="A251" s="21"/>
      <c r="B251" s="21"/>
      <c r="C251" s="23"/>
      <c r="D251" s="21"/>
      <c r="E251" s="21"/>
      <c r="F251" s="21"/>
      <c r="G251" s="21"/>
      <c r="H251" s="21"/>
      <c r="I251" s="21" t="str">
        <f>IF(G251="","",VLOOKUP(G251,frecuencia[#ALL],2,0))</f>
        <v/>
      </c>
      <c r="J251" s="21" t="str">
        <f>IF(H251="","",VLOOKUP(H251,tipo_donante[#ALL],2,0))</f>
        <v/>
      </c>
      <c r="K251" s="24"/>
    </row>
    <row r="252">
      <c r="A252" s="21"/>
      <c r="B252" s="21"/>
      <c r="C252" s="23"/>
      <c r="D252" s="21"/>
      <c r="E252" s="21"/>
      <c r="F252" s="21"/>
      <c r="G252" s="21"/>
      <c r="H252" s="21"/>
      <c r="I252" s="21" t="str">
        <f>IF(G252="","",VLOOKUP(G252,frecuencia[#ALL],2,0))</f>
        <v/>
      </c>
      <c r="J252" s="21" t="str">
        <f>IF(H252="","",VLOOKUP(H252,tipo_donante[#ALL],2,0))</f>
        <v/>
      </c>
      <c r="K252" s="24"/>
    </row>
    <row r="253">
      <c r="A253" s="21"/>
      <c r="B253" s="21"/>
      <c r="C253" s="23"/>
      <c r="D253" s="21"/>
      <c r="E253" s="21"/>
      <c r="F253" s="21"/>
      <c r="G253" s="21"/>
      <c r="H253" s="21"/>
      <c r="I253" s="21" t="str">
        <f>IF(G253="","",VLOOKUP(G253,frecuencia[#ALL],2,0))</f>
        <v/>
      </c>
      <c r="J253" s="21" t="str">
        <f>IF(H253="","",VLOOKUP(H253,tipo_donante[#ALL],2,0))</f>
        <v/>
      </c>
      <c r="K253" s="24"/>
    </row>
    <row r="254">
      <c r="A254" s="21"/>
      <c r="B254" s="21"/>
      <c r="C254" s="23"/>
      <c r="D254" s="21"/>
      <c r="E254" s="21"/>
      <c r="F254" s="21"/>
      <c r="G254" s="21"/>
      <c r="H254" s="21"/>
      <c r="I254" s="21" t="str">
        <f>IF(G254="","",VLOOKUP(G254,frecuencia[#ALL],2,0))</f>
        <v/>
      </c>
      <c r="J254" s="21" t="str">
        <f>IF(H254="","",VLOOKUP(H254,tipo_donante[#ALL],2,0))</f>
        <v/>
      </c>
      <c r="K254" s="24"/>
    </row>
    <row r="255">
      <c r="A255" s="21"/>
      <c r="B255" s="21"/>
      <c r="C255" s="23"/>
      <c r="D255" s="21"/>
      <c r="E255" s="21"/>
      <c r="F255" s="21"/>
      <c r="G255" s="21"/>
      <c r="H255" s="21"/>
      <c r="I255" s="21" t="str">
        <f>IF(G255="","",VLOOKUP(G255,frecuencia[#ALL],2,0))</f>
        <v/>
      </c>
      <c r="J255" s="21" t="str">
        <f>IF(H255="","",VLOOKUP(H255,tipo_donante[#ALL],2,0))</f>
        <v/>
      </c>
      <c r="K255" s="24"/>
    </row>
    <row r="256">
      <c r="A256" s="21"/>
      <c r="B256" s="21"/>
      <c r="C256" s="23"/>
      <c r="D256" s="21"/>
      <c r="E256" s="21"/>
      <c r="F256" s="21"/>
      <c r="G256" s="21"/>
      <c r="H256" s="21"/>
      <c r="I256" s="21" t="str">
        <f>IF(G256="","",VLOOKUP(G256,frecuencia[#ALL],2,0))</f>
        <v/>
      </c>
      <c r="J256" s="21" t="str">
        <f>IF(H256="","",VLOOKUP(H256,tipo_donante[#ALL],2,0))</f>
        <v/>
      </c>
      <c r="K256" s="24"/>
    </row>
    <row r="257">
      <c r="A257" s="21"/>
      <c r="B257" s="21"/>
      <c r="C257" s="23"/>
      <c r="D257" s="21"/>
      <c r="E257" s="21"/>
      <c r="F257" s="21"/>
      <c r="G257" s="21"/>
      <c r="H257" s="21"/>
      <c r="I257" s="21" t="str">
        <f>IF(G257="","",VLOOKUP(G257,frecuencia[#ALL],2,0))</f>
        <v/>
      </c>
      <c r="J257" s="21" t="str">
        <f>IF(H257="","",VLOOKUP(H257,tipo_donante[#ALL],2,0))</f>
        <v/>
      </c>
      <c r="K257" s="24"/>
    </row>
    <row r="258">
      <c r="A258" s="21"/>
      <c r="B258" s="21"/>
      <c r="C258" s="23"/>
      <c r="D258" s="21"/>
      <c r="E258" s="21"/>
      <c r="F258" s="21"/>
      <c r="G258" s="21"/>
      <c r="H258" s="21"/>
      <c r="I258" s="21" t="str">
        <f>IF(G258="","",VLOOKUP(G258,frecuencia[#ALL],2,0))</f>
        <v/>
      </c>
      <c r="J258" s="21" t="str">
        <f>IF(H258="","",VLOOKUP(H258,tipo_donante[#ALL],2,0))</f>
        <v/>
      </c>
      <c r="K258" s="24"/>
    </row>
    <row r="259">
      <c r="A259" s="21"/>
      <c r="B259" s="21"/>
      <c r="C259" s="23"/>
      <c r="D259" s="21"/>
      <c r="E259" s="21"/>
      <c r="F259" s="21"/>
      <c r="G259" s="21"/>
      <c r="H259" s="21"/>
      <c r="I259" s="21" t="str">
        <f>IF(G259="","",VLOOKUP(G259,frecuencia[#ALL],2,0))</f>
        <v/>
      </c>
      <c r="J259" s="21" t="str">
        <f>IF(H259="","",VLOOKUP(H259,tipo_donante[#ALL],2,0))</f>
        <v/>
      </c>
      <c r="K259" s="24"/>
    </row>
    <row r="260">
      <c r="A260" s="21"/>
      <c r="B260" s="21"/>
      <c r="C260" s="23"/>
      <c r="D260" s="21"/>
      <c r="E260" s="21"/>
      <c r="F260" s="21"/>
      <c r="G260" s="21"/>
      <c r="H260" s="21"/>
      <c r="I260" s="21" t="str">
        <f>IF(G260="","",VLOOKUP(G260,frecuencia[#ALL],2,0))</f>
        <v/>
      </c>
      <c r="J260" s="21" t="str">
        <f>IF(H260="","",VLOOKUP(H260,tipo_donante[#ALL],2,0))</f>
        <v/>
      </c>
      <c r="K260" s="24"/>
    </row>
    <row r="261">
      <c r="A261" s="21"/>
      <c r="B261" s="21"/>
      <c r="C261" s="23"/>
      <c r="D261" s="21"/>
      <c r="E261" s="21"/>
      <c r="F261" s="21"/>
      <c r="G261" s="21"/>
      <c r="H261" s="21"/>
      <c r="I261" s="21" t="str">
        <f>IF(G261="","",VLOOKUP(G261,frecuencia[#ALL],2,0))</f>
        <v/>
      </c>
      <c r="J261" s="21" t="str">
        <f>IF(H261="","",VLOOKUP(H261,tipo_donante[#ALL],2,0))</f>
        <v/>
      </c>
      <c r="K261" s="24"/>
    </row>
    <row r="262">
      <c r="A262" s="21"/>
      <c r="B262" s="21"/>
      <c r="C262" s="23"/>
      <c r="D262" s="21"/>
      <c r="E262" s="21"/>
      <c r="F262" s="21"/>
      <c r="G262" s="21"/>
      <c r="H262" s="21"/>
      <c r="I262" s="21" t="str">
        <f>IF(G262="","",VLOOKUP(G262,frecuencia[#ALL],2,0))</f>
        <v/>
      </c>
      <c r="J262" s="21" t="str">
        <f>IF(H262="","",VLOOKUP(H262,tipo_donante[#ALL],2,0))</f>
        <v/>
      </c>
      <c r="K262" s="24"/>
    </row>
    <row r="263">
      <c r="A263" s="21"/>
      <c r="B263" s="21"/>
      <c r="C263" s="23"/>
      <c r="D263" s="21"/>
      <c r="E263" s="21"/>
      <c r="F263" s="21"/>
      <c r="G263" s="21"/>
      <c r="H263" s="21"/>
      <c r="I263" s="21" t="str">
        <f>IF(G263="","",VLOOKUP(G263,frecuencia[#ALL],2,0))</f>
        <v/>
      </c>
      <c r="J263" s="21" t="str">
        <f>IF(H263="","",VLOOKUP(H263,tipo_donante[#ALL],2,0))</f>
        <v/>
      </c>
      <c r="K263" s="24"/>
    </row>
    <row r="264">
      <c r="A264" s="21"/>
      <c r="B264" s="21"/>
      <c r="C264" s="23"/>
      <c r="D264" s="21"/>
      <c r="E264" s="21"/>
      <c r="F264" s="21"/>
      <c r="G264" s="21"/>
      <c r="H264" s="21"/>
      <c r="I264" s="21" t="str">
        <f>IF(G264="","",VLOOKUP(G264,frecuencia[#ALL],2,0))</f>
        <v/>
      </c>
      <c r="J264" s="21" t="str">
        <f>IF(H264="","",VLOOKUP(H264,tipo_donante[#ALL],2,0))</f>
        <v/>
      </c>
      <c r="K264" s="24"/>
    </row>
    <row r="265">
      <c r="A265" s="21"/>
      <c r="B265" s="21"/>
      <c r="C265" s="23"/>
      <c r="D265" s="21"/>
      <c r="E265" s="21"/>
      <c r="F265" s="21"/>
      <c r="G265" s="21"/>
      <c r="H265" s="21"/>
      <c r="I265" s="21" t="str">
        <f>IF(G265="","",VLOOKUP(G265,frecuencia[#ALL],2,0))</f>
        <v/>
      </c>
      <c r="J265" s="21" t="str">
        <f>IF(H265="","",VLOOKUP(H265,tipo_donante[#ALL],2,0))</f>
        <v/>
      </c>
      <c r="K265" s="24"/>
    </row>
    <row r="266">
      <c r="A266" s="21"/>
      <c r="B266" s="21"/>
      <c r="C266" s="23"/>
      <c r="D266" s="21"/>
      <c r="E266" s="21"/>
      <c r="F266" s="21"/>
      <c r="G266" s="21"/>
      <c r="H266" s="21"/>
      <c r="I266" s="21" t="str">
        <f>IF(G266="","",VLOOKUP(G266,frecuencia[#ALL],2,0))</f>
        <v/>
      </c>
      <c r="J266" s="21" t="str">
        <f>IF(H266="","",VLOOKUP(H266,tipo_donante[#ALL],2,0))</f>
        <v/>
      </c>
      <c r="K266" s="24"/>
    </row>
    <row r="267">
      <c r="A267" s="21"/>
      <c r="B267" s="21"/>
      <c r="C267" s="23"/>
      <c r="D267" s="21"/>
      <c r="E267" s="21"/>
      <c r="F267" s="21"/>
      <c r="G267" s="21"/>
      <c r="H267" s="21"/>
      <c r="I267" s="21" t="str">
        <f>IF(G267="","",VLOOKUP(G267,frecuencia[#ALL],2,0))</f>
        <v/>
      </c>
      <c r="J267" s="21" t="str">
        <f>IF(H267="","",VLOOKUP(H267,tipo_donante[#ALL],2,0))</f>
        <v/>
      </c>
      <c r="K267" s="24"/>
    </row>
    <row r="268">
      <c r="A268" s="21"/>
      <c r="B268" s="21"/>
      <c r="C268" s="23"/>
      <c r="D268" s="21"/>
      <c r="E268" s="21"/>
      <c r="F268" s="21"/>
      <c r="G268" s="21"/>
      <c r="H268" s="21"/>
      <c r="I268" s="21" t="str">
        <f>IF(G268="","",VLOOKUP(G268,frecuencia[#ALL],2,0))</f>
        <v/>
      </c>
      <c r="J268" s="21" t="str">
        <f>IF(H268="","",VLOOKUP(H268,tipo_donante[#ALL],2,0))</f>
        <v/>
      </c>
      <c r="K268" s="24"/>
    </row>
    <row r="269">
      <c r="A269" s="21"/>
      <c r="B269" s="21"/>
      <c r="C269" s="23"/>
      <c r="D269" s="21"/>
      <c r="E269" s="21"/>
      <c r="F269" s="21"/>
      <c r="G269" s="21"/>
      <c r="H269" s="21"/>
      <c r="I269" s="21" t="str">
        <f>IF(G269="","",VLOOKUP(G269,frecuencia[#ALL],2,0))</f>
        <v/>
      </c>
      <c r="J269" s="21" t="str">
        <f>IF(H269="","",VLOOKUP(H269,tipo_donante[#ALL],2,0))</f>
        <v/>
      </c>
      <c r="K269" s="24"/>
    </row>
    <row r="270">
      <c r="A270" s="21"/>
      <c r="B270" s="21"/>
      <c r="C270" s="23"/>
      <c r="D270" s="21"/>
      <c r="E270" s="21"/>
      <c r="F270" s="21"/>
      <c r="G270" s="21"/>
      <c r="H270" s="21"/>
      <c r="I270" s="21" t="str">
        <f>IF(G270="","",VLOOKUP(G270,frecuencia[#ALL],2,0))</f>
        <v/>
      </c>
      <c r="J270" s="21" t="str">
        <f>IF(H270="","",VLOOKUP(H270,tipo_donante[#ALL],2,0))</f>
        <v/>
      </c>
      <c r="K270" s="24"/>
    </row>
    <row r="271">
      <c r="A271" s="21"/>
      <c r="B271" s="21"/>
      <c r="C271" s="23"/>
      <c r="D271" s="21"/>
      <c r="E271" s="21"/>
      <c r="F271" s="21"/>
      <c r="G271" s="21"/>
      <c r="H271" s="21"/>
      <c r="I271" s="21" t="str">
        <f>IF(G271="","",VLOOKUP(G271,frecuencia[#ALL],2,0))</f>
        <v/>
      </c>
      <c r="J271" s="21" t="str">
        <f>IF(H271="","",VLOOKUP(H271,tipo_donante[#ALL],2,0))</f>
        <v/>
      </c>
      <c r="K271" s="24"/>
    </row>
    <row r="272">
      <c r="A272" s="21"/>
      <c r="B272" s="21"/>
      <c r="C272" s="23"/>
      <c r="D272" s="21"/>
      <c r="E272" s="21"/>
      <c r="F272" s="21"/>
      <c r="G272" s="21"/>
      <c r="H272" s="21"/>
      <c r="I272" s="21" t="str">
        <f>IF(G272="","",VLOOKUP(G272,frecuencia[#ALL],2,0))</f>
        <v/>
      </c>
      <c r="J272" s="21" t="str">
        <f>IF(H272="","",VLOOKUP(H272,tipo_donante[#ALL],2,0))</f>
        <v/>
      </c>
      <c r="K272" s="24"/>
    </row>
    <row r="273">
      <c r="A273" s="21"/>
      <c r="B273" s="21"/>
      <c r="C273" s="23"/>
      <c r="D273" s="21"/>
      <c r="E273" s="21"/>
      <c r="F273" s="21"/>
      <c r="G273" s="21"/>
      <c r="H273" s="21"/>
      <c r="I273" s="21" t="str">
        <f>IF(G273="","",VLOOKUP(G273,frecuencia[#ALL],2,0))</f>
        <v/>
      </c>
      <c r="J273" s="21" t="str">
        <f>IF(H273="","",VLOOKUP(H273,tipo_donante[#ALL],2,0))</f>
        <v/>
      </c>
      <c r="K273" s="24"/>
    </row>
    <row r="274">
      <c r="A274" s="21"/>
      <c r="B274" s="21"/>
      <c r="C274" s="23"/>
      <c r="D274" s="21"/>
      <c r="E274" s="21"/>
      <c r="F274" s="21"/>
      <c r="G274" s="21"/>
      <c r="H274" s="21"/>
      <c r="I274" s="21" t="str">
        <f>IF(G274="","",VLOOKUP(G274,frecuencia[#ALL],2,0))</f>
        <v/>
      </c>
      <c r="J274" s="21" t="str">
        <f>IF(H274="","",VLOOKUP(H274,tipo_donante[#ALL],2,0))</f>
        <v/>
      </c>
      <c r="K274" s="24"/>
    </row>
    <row r="275">
      <c r="A275" s="21"/>
      <c r="B275" s="21"/>
      <c r="C275" s="23"/>
      <c r="D275" s="21"/>
      <c r="E275" s="21"/>
      <c r="F275" s="21"/>
      <c r="G275" s="21"/>
      <c r="H275" s="21"/>
      <c r="I275" s="21" t="str">
        <f>IF(G275="","",VLOOKUP(G275,frecuencia[#ALL],2,0))</f>
        <v/>
      </c>
      <c r="J275" s="21" t="str">
        <f>IF(H275="","",VLOOKUP(H275,tipo_donante[#ALL],2,0))</f>
        <v/>
      </c>
      <c r="K275" s="24"/>
    </row>
    <row r="276">
      <c r="A276" s="21"/>
      <c r="B276" s="21"/>
      <c r="C276" s="23"/>
      <c r="D276" s="21"/>
      <c r="E276" s="21"/>
      <c r="F276" s="21"/>
      <c r="G276" s="21"/>
      <c r="H276" s="21"/>
      <c r="I276" s="21" t="str">
        <f>IF(G276="","",VLOOKUP(G276,frecuencia[#ALL],2,0))</f>
        <v/>
      </c>
      <c r="J276" s="21" t="str">
        <f>IF(H276="","",VLOOKUP(H276,tipo_donante[#ALL],2,0))</f>
        <v/>
      </c>
      <c r="K276" s="24"/>
    </row>
    <row r="277">
      <c r="A277" s="21"/>
      <c r="B277" s="21"/>
      <c r="C277" s="23"/>
      <c r="D277" s="21"/>
      <c r="E277" s="21"/>
      <c r="F277" s="21"/>
      <c r="G277" s="21"/>
      <c r="H277" s="21"/>
      <c r="I277" s="21" t="str">
        <f>IF(G277="","",VLOOKUP(G277,frecuencia[#ALL],2,0))</f>
        <v/>
      </c>
      <c r="J277" s="21" t="str">
        <f>IF(H277="","",VLOOKUP(H277,tipo_donante[#ALL],2,0))</f>
        <v/>
      </c>
      <c r="K277" s="24"/>
    </row>
    <row r="278">
      <c r="A278" s="21"/>
      <c r="B278" s="21"/>
      <c r="C278" s="23"/>
      <c r="D278" s="21"/>
      <c r="E278" s="21"/>
      <c r="F278" s="21"/>
      <c r="G278" s="21"/>
      <c r="H278" s="21"/>
      <c r="I278" s="21" t="str">
        <f>IF(G278="","",VLOOKUP(G278,frecuencia[#ALL],2,0))</f>
        <v/>
      </c>
      <c r="J278" s="21" t="str">
        <f>IF(H278="","",VLOOKUP(H278,tipo_donante[#ALL],2,0))</f>
        <v/>
      </c>
      <c r="K278" s="24"/>
    </row>
    <row r="279">
      <c r="A279" s="21"/>
      <c r="B279" s="21"/>
      <c r="C279" s="23"/>
      <c r="D279" s="21"/>
      <c r="E279" s="21"/>
      <c r="F279" s="21"/>
      <c r="G279" s="21"/>
      <c r="H279" s="21"/>
      <c r="I279" s="21" t="str">
        <f>IF(G279="","",VLOOKUP(G279,frecuencia[#ALL],2,0))</f>
        <v/>
      </c>
      <c r="J279" s="21" t="str">
        <f>IF(H279="","",VLOOKUP(H279,tipo_donante[#ALL],2,0))</f>
        <v/>
      </c>
      <c r="K279" s="24"/>
    </row>
    <row r="280">
      <c r="A280" s="21"/>
      <c r="B280" s="21"/>
      <c r="C280" s="23"/>
      <c r="D280" s="21"/>
      <c r="E280" s="21"/>
      <c r="F280" s="21"/>
      <c r="G280" s="21"/>
      <c r="H280" s="21"/>
      <c r="I280" s="21" t="str">
        <f>IF(G280="","",VLOOKUP(G280,frecuencia[#ALL],2,0))</f>
        <v/>
      </c>
      <c r="J280" s="21" t="str">
        <f>IF(H280="","",VLOOKUP(H280,tipo_donante[#ALL],2,0))</f>
        <v/>
      </c>
      <c r="K280" s="24"/>
    </row>
    <row r="281">
      <c r="A281" s="21"/>
      <c r="B281" s="21"/>
      <c r="C281" s="23"/>
      <c r="D281" s="21"/>
      <c r="E281" s="21"/>
      <c r="F281" s="21"/>
      <c r="G281" s="21"/>
      <c r="H281" s="21"/>
      <c r="I281" s="21" t="str">
        <f>IF(G281="","",VLOOKUP(G281,frecuencia[#ALL],2,0))</f>
        <v/>
      </c>
      <c r="J281" s="21" t="str">
        <f>IF(H281="","",VLOOKUP(H281,tipo_donante[#ALL],2,0))</f>
        <v/>
      </c>
      <c r="K281" s="24"/>
    </row>
    <row r="282">
      <c r="A282" s="21"/>
      <c r="B282" s="21"/>
      <c r="C282" s="23"/>
      <c r="D282" s="21"/>
      <c r="E282" s="21"/>
      <c r="F282" s="21"/>
      <c r="G282" s="21"/>
      <c r="H282" s="21"/>
      <c r="I282" s="21" t="str">
        <f>IF(G282="","",VLOOKUP(G282,frecuencia[#ALL],2,0))</f>
        <v/>
      </c>
      <c r="J282" s="21" t="str">
        <f>IF(H282="","",VLOOKUP(H282,tipo_donante[#ALL],2,0))</f>
        <v/>
      </c>
      <c r="K282" s="24"/>
    </row>
    <row r="283">
      <c r="A283" s="21"/>
      <c r="B283" s="21"/>
      <c r="C283" s="23"/>
      <c r="D283" s="21"/>
      <c r="E283" s="21"/>
      <c r="F283" s="21"/>
      <c r="G283" s="21"/>
      <c r="H283" s="21"/>
      <c r="I283" s="21" t="str">
        <f>IF(G283="","",VLOOKUP(G283,frecuencia[#ALL],2,0))</f>
        <v/>
      </c>
      <c r="J283" s="21" t="str">
        <f>IF(H283="","",VLOOKUP(H283,tipo_donante[#ALL],2,0))</f>
        <v/>
      </c>
      <c r="K283" s="24"/>
    </row>
    <row r="284">
      <c r="A284" s="21"/>
      <c r="B284" s="21"/>
      <c r="C284" s="23"/>
      <c r="D284" s="21"/>
      <c r="E284" s="21"/>
      <c r="F284" s="21"/>
      <c r="G284" s="21"/>
      <c r="H284" s="21"/>
      <c r="I284" s="21" t="str">
        <f>IF(G284="","",VLOOKUP(G284,frecuencia[#ALL],2,0))</f>
        <v/>
      </c>
      <c r="J284" s="21" t="str">
        <f>IF(H284="","",VLOOKUP(H284,tipo_donante[#ALL],2,0))</f>
        <v/>
      </c>
      <c r="K284" s="24"/>
    </row>
    <row r="285">
      <c r="A285" s="21"/>
      <c r="B285" s="21"/>
      <c r="C285" s="23"/>
      <c r="D285" s="21"/>
      <c r="E285" s="21"/>
      <c r="F285" s="21"/>
      <c r="G285" s="21"/>
      <c r="H285" s="21"/>
      <c r="I285" s="21" t="str">
        <f>IF(G285="","",VLOOKUP(G285,frecuencia[#ALL],2,0))</f>
        <v/>
      </c>
      <c r="J285" s="21" t="str">
        <f>IF(H285="","",VLOOKUP(H285,tipo_donante[#ALL],2,0))</f>
        <v/>
      </c>
      <c r="K285" s="24"/>
    </row>
    <row r="286">
      <c r="A286" s="21"/>
      <c r="B286" s="21"/>
      <c r="C286" s="23"/>
      <c r="D286" s="21"/>
      <c r="E286" s="21"/>
      <c r="F286" s="21"/>
      <c r="G286" s="21"/>
      <c r="H286" s="21"/>
      <c r="I286" s="21" t="str">
        <f>IF(G286="","",VLOOKUP(G286,frecuencia[#ALL],2,0))</f>
        <v/>
      </c>
      <c r="J286" s="21" t="str">
        <f>IF(H286="","",VLOOKUP(H286,tipo_donante[#ALL],2,0))</f>
        <v/>
      </c>
      <c r="K286" s="24"/>
    </row>
    <row r="287">
      <c r="A287" s="21"/>
      <c r="B287" s="21"/>
      <c r="C287" s="23"/>
      <c r="D287" s="21"/>
      <c r="E287" s="21"/>
      <c r="F287" s="21"/>
      <c r="G287" s="21"/>
      <c r="H287" s="21"/>
      <c r="I287" s="21" t="str">
        <f>IF(G287="","",VLOOKUP(G287,frecuencia[#ALL],2,0))</f>
        <v/>
      </c>
      <c r="J287" s="21" t="str">
        <f>IF(H287="","",VLOOKUP(H287,tipo_donante[#ALL],2,0))</f>
        <v/>
      </c>
      <c r="K287" s="24"/>
    </row>
    <row r="288">
      <c r="A288" s="21"/>
      <c r="B288" s="21"/>
      <c r="C288" s="23"/>
      <c r="D288" s="21"/>
      <c r="E288" s="21"/>
      <c r="F288" s="21"/>
      <c r="G288" s="21"/>
      <c r="H288" s="21"/>
      <c r="I288" s="21" t="str">
        <f>IF(G288="","",VLOOKUP(G288,frecuencia[#ALL],2,0))</f>
        <v/>
      </c>
      <c r="J288" s="21" t="str">
        <f>IF(H288="","",VLOOKUP(H288,tipo_donante[#ALL],2,0))</f>
        <v/>
      </c>
      <c r="K288" s="24"/>
    </row>
    <row r="289">
      <c r="A289" s="21"/>
      <c r="B289" s="21"/>
      <c r="C289" s="23"/>
      <c r="D289" s="21"/>
      <c r="E289" s="21"/>
      <c r="F289" s="21"/>
      <c r="G289" s="21"/>
      <c r="H289" s="21"/>
      <c r="I289" s="21" t="str">
        <f>IF(G289="","",VLOOKUP(G289,frecuencia[#ALL],2,0))</f>
        <v/>
      </c>
      <c r="J289" s="21" t="str">
        <f>IF(H289="","",VLOOKUP(H289,tipo_donante[#ALL],2,0))</f>
        <v/>
      </c>
      <c r="K289" s="24"/>
    </row>
    <row r="290">
      <c r="A290" s="21"/>
      <c r="B290" s="21"/>
      <c r="C290" s="23"/>
      <c r="D290" s="21"/>
      <c r="E290" s="21"/>
      <c r="F290" s="21"/>
      <c r="G290" s="21"/>
      <c r="H290" s="21"/>
      <c r="I290" s="21" t="str">
        <f>IF(G290="","",VLOOKUP(G290,frecuencia[#ALL],2,0))</f>
        <v/>
      </c>
      <c r="J290" s="21" t="str">
        <f>IF(H290="","",VLOOKUP(H290,tipo_donante[#ALL],2,0))</f>
        <v/>
      </c>
      <c r="K290" s="24"/>
    </row>
    <row r="291">
      <c r="A291" s="21"/>
      <c r="B291" s="21"/>
      <c r="C291" s="23"/>
      <c r="D291" s="21"/>
      <c r="E291" s="21"/>
      <c r="F291" s="21"/>
      <c r="G291" s="21"/>
      <c r="H291" s="21"/>
      <c r="I291" s="21" t="str">
        <f>IF(G291="","",VLOOKUP(G291,frecuencia[#ALL],2,0))</f>
        <v/>
      </c>
      <c r="J291" s="21" t="str">
        <f>IF(H291="","",VLOOKUP(H291,tipo_donante[#ALL],2,0))</f>
        <v/>
      </c>
      <c r="K291" s="24"/>
    </row>
    <row r="292">
      <c r="A292" s="21"/>
      <c r="B292" s="21"/>
      <c r="C292" s="23"/>
      <c r="D292" s="21"/>
      <c r="E292" s="21"/>
      <c r="F292" s="21"/>
      <c r="G292" s="21"/>
      <c r="H292" s="21"/>
      <c r="I292" s="21" t="str">
        <f>IF(G292="","",VLOOKUP(G292,frecuencia[#ALL],2,0))</f>
        <v/>
      </c>
      <c r="J292" s="21" t="str">
        <f>IF(H292="","",VLOOKUP(H292,tipo_donante[#ALL],2,0))</f>
        <v/>
      </c>
      <c r="K292" s="24"/>
    </row>
    <row r="293">
      <c r="A293" s="21"/>
      <c r="B293" s="21"/>
      <c r="C293" s="23"/>
      <c r="D293" s="21"/>
      <c r="E293" s="21"/>
      <c r="F293" s="21"/>
      <c r="G293" s="21"/>
      <c r="H293" s="21"/>
      <c r="I293" s="21" t="str">
        <f>IF(G293="","",VLOOKUP(G293,frecuencia[#ALL],2,0))</f>
        <v/>
      </c>
      <c r="J293" s="21" t="str">
        <f>IF(H293="","",VLOOKUP(H293,tipo_donante[#ALL],2,0))</f>
        <v/>
      </c>
      <c r="K293" s="24"/>
    </row>
    <row r="294">
      <c r="A294" s="21"/>
      <c r="B294" s="21"/>
      <c r="C294" s="23"/>
      <c r="D294" s="21"/>
      <c r="E294" s="21"/>
      <c r="F294" s="21"/>
      <c r="G294" s="21"/>
      <c r="H294" s="21"/>
      <c r="I294" s="21" t="str">
        <f>IF(G294="","",VLOOKUP(G294,frecuencia[#ALL],2,0))</f>
        <v/>
      </c>
      <c r="J294" s="21" t="str">
        <f>IF(H294="","",VLOOKUP(H294,tipo_donante[#ALL],2,0))</f>
        <v/>
      </c>
      <c r="K294" s="24"/>
    </row>
    <row r="295">
      <c r="A295" s="21"/>
      <c r="B295" s="21"/>
      <c r="C295" s="23"/>
      <c r="D295" s="21"/>
      <c r="E295" s="21"/>
      <c r="F295" s="21"/>
      <c r="G295" s="21"/>
      <c r="H295" s="21"/>
      <c r="I295" s="21" t="str">
        <f>IF(G295="","",VLOOKUP(G295,frecuencia[#ALL],2,0))</f>
        <v/>
      </c>
      <c r="J295" s="21" t="str">
        <f>IF(H295="","",VLOOKUP(H295,tipo_donante[#ALL],2,0))</f>
        <v/>
      </c>
      <c r="K295" s="24"/>
    </row>
    <row r="296">
      <c r="A296" s="21"/>
      <c r="B296" s="21"/>
      <c r="C296" s="23"/>
      <c r="D296" s="21"/>
      <c r="E296" s="21"/>
      <c r="F296" s="21"/>
      <c r="G296" s="21"/>
      <c r="H296" s="21"/>
      <c r="I296" s="21" t="str">
        <f>IF(G296="","",VLOOKUP(G296,frecuencia[#ALL],2,0))</f>
        <v/>
      </c>
      <c r="J296" s="21" t="str">
        <f>IF(H296="","",VLOOKUP(H296,tipo_donante[#ALL],2,0))</f>
        <v/>
      </c>
      <c r="K296" s="24"/>
    </row>
    <row r="297">
      <c r="A297" s="21"/>
      <c r="B297" s="21"/>
      <c r="C297" s="23"/>
      <c r="D297" s="21"/>
      <c r="E297" s="21"/>
      <c r="F297" s="21"/>
      <c r="G297" s="21"/>
      <c r="H297" s="21"/>
      <c r="I297" s="21" t="str">
        <f>IF(G297="","",VLOOKUP(G297,frecuencia[#ALL],2,0))</f>
        <v/>
      </c>
      <c r="J297" s="21" t="str">
        <f>IF(H297="","",VLOOKUP(H297,tipo_donante[#ALL],2,0))</f>
        <v/>
      </c>
      <c r="K297" s="24"/>
    </row>
    <row r="298">
      <c r="A298" s="21"/>
      <c r="B298" s="21"/>
      <c r="C298" s="23"/>
      <c r="D298" s="21"/>
      <c r="E298" s="21"/>
      <c r="F298" s="21"/>
      <c r="G298" s="21"/>
      <c r="H298" s="21"/>
      <c r="I298" s="21" t="str">
        <f>IF(G298="","",VLOOKUP(G298,frecuencia[#ALL],2,0))</f>
        <v/>
      </c>
      <c r="J298" s="21" t="str">
        <f>IF(H298="","",VLOOKUP(H298,tipo_donante[#ALL],2,0))</f>
        <v/>
      </c>
      <c r="K298" s="24"/>
    </row>
    <row r="299">
      <c r="A299" s="21"/>
      <c r="B299" s="21"/>
      <c r="C299" s="23"/>
      <c r="D299" s="21"/>
      <c r="E299" s="21"/>
      <c r="F299" s="21"/>
      <c r="G299" s="21"/>
      <c r="H299" s="21"/>
      <c r="I299" s="21" t="str">
        <f>IF(G299="","",VLOOKUP(G299,frecuencia[#ALL],2,0))</f>
        <v/>
      </c>
      <c r="J299" s="21" t="str">
        <f>IF(H299="","",VLOOKUP(H299,tipo_donante[#ALL],2,0))</f>
        <v/>
      </c>
      <c r="K299" s="24"/>
    </row>
    <row r="300">
      <c r="A300" s="21"/>
      <c r="B300" s="21"/>
      <c r="C300" s="23"/>
      <c r="D300" s="21"/>
      <c r="E300" s="21"/>
      <c r="F300" s="21"/>
      <c r="G300" s="21"/>
      <c r="H300" s="21"/>
      <c r="I300" s="21" t="str">
        <f>IF(G300="","",VLOOKUP(G300,frecuencia[#ALL],2,0))</f>
        <v/>
      </c>
      <c r="J300" s="21" t="str">
        <f>IF(H300="","",VLOOKUP(H300,tipo_donante[#ALL],2,0))</f>
        <v/>
      </c>
      <c r="K300" s="24"/>
    </row>
    <row r="301">
      <c r="A301" s="21"/>
      <c r="B301" s="21"/>
      <c r="C301" s="23"/>
      <c r="D301" s="21"/>
      <c r="E301" s="21"/>
      <c r="F301" s="21"/>
      <c r="G301" s="21"/>
      <c r="H301" s="21"/>
      <c r="I301" s="21" t="str">
        <f>IF(G301="","",VLOOKUP(G301,frecuencia[#ALL],2,0))</f>
        <v/>
      </c>
      <c r="J301" s="21" t="str">
        <f>IF(H301="","",VLOOKUP(H301,tipo_donante[#ALL],2,0))</f>
        <v/>
      </c>
      <c r="K301" s="24"/>
    </row>
    <row r="302">
      <c r="A302" s="21"/>
      <c r="B302" s="21"/>
      <c r="C302" s="23"/>
      <c r="D302" s="21"/>
      <c r="E302" s="21"/>
      <c r="F302" s="21"/>
      <c r="G302" s="21"/>
      <c r="H302" s="21"/>
      <c r="I302" s="21" t="str">
        <f>IF(G302="","",VLOOKUP(G302,frecuencia[#ALL],2,0))</f>
        <v/>
      </c>
      <c r="J302" s="21" t="str">
        <f>IF(H302="","",VLOOKUP(H302,tipo_donante[#ALL],2,0))</f>
        <v/>
      </c>
      <c r="K302" s="24"/>
    </row>
    <row r="303">
      <c r="A303" s="21"/>
      <c r="B303" s="21"/>
      <c r="C303" s="23"/>
      <c r="D303" s="21"/>
      <c r="E303" s="21"/>
      <c r="F303" s="21"/>
      <c r="G303" s="21"/>
      <c r="H303" s="21"/>
      <c r="I303" s="21" t="str">
        <f>IF(G303="","",VLOOKUP(G303,frecuencia[#ALL],2,0))</f>
        <v/>
      </c>
      <c r="J303" s="21" t="str">
        <f>IF(H303="","",VLOOKUP(H303,tipo_donante[#ALL],2,0))</f>
        <v/>
      </c>
      <c r="K303" s="24"/>
    </row>
    <row r="304">
      <c r="A304" s="21"/>
      <c r="B304" s="21"/>
      <c r="C304" s="23"/>
      <c r="D304" s="21"/>
      <c r="E304" s="21"/>
      <c r="F304" s="21"/>
      <c r="G304" s="21"/>
      <c r="H304" s="21"/>
      <c r="I304" s="21" t="str">
        <f>IF(G304="","",VLOOKUP(G304,frecuencia[#ALL],2,0))</f>
        <v/>
      </c>
      <c r="J304" s="21" t="str">
        <f>IF(H304="","",VLOOKUP(H304,tipo_donante[#ALL],2,0))</f>
        <v/>
      </c>
      <c r="K304" s="24"/>
    </row>
    <row r="305">
      <c r="A305" s="21"/>
      <c r="B305" s="21"/>
      <c r="C305" s="23"/>
      <c r="D305" s="21"/>
      <c r="E305" s="21"/>
      <c r="F305" s="21"/>
      <c r="G305" s="21"/>
      <c r="H305" s="21"/>
      <c r="I305" s="21" t="str">
        <f>IF(G305="","",VLOOKUP(G305,frecuencia[#ALL],2,0))</f>
        <v/>
      </c>
      <c r="J305" s="21" t="str">
        <f>IF(H305="","",VLOOKUP(H305,tipo_donante[#ALL],2,0))</f>
        <v/>
      </c>
      <c r="K305" s="24"/>
    </row>
    <row r="306">
      <c r="A306" s="21"/>
      <c r="B306" s="21"/>
      <c r="C306" s="23"/>
      <c r="D306" s="21"/>
      <c r="E306" s="21"/>
      <c r="F306" s="21"/>
      <c r="G306" s="21"/>
      <c r="H306" s="21"/>
      <c r="I306" s="21" t="str">
        <f>IF(G306="","",VLOOKUP(G306,frecuencia[#ALL],2,0))</f>
        <v/>
      </c>
      <c r="J306" s="21" t="str">
        <f>IF(H306="","",VLOOKUP(H306,tipo_donante[#ALL],2,0))</f>
        <v/>
      </c>
      <c r="K306" s="24"/>
    </row>
    <row r="307">
      <c r="A307" s="21"/>
      <c r="B307" s="21"/>
      <c r="C307" s="23"/>
      <c r="D307" s="21"/>
      <c r="E307" s="21"/>
      <c r="F307" s="21"/>
      <c r="G307" s="21"/>
      <c r="H307" s="21"/>
      <c r="I307" s="21" t="str">
        <f>IF(G307="","",VLOOKUP(G307,frecuencia[#ALL],2,0))</f>
        <v/>
      </c>
      <c r="J307" s="21" t="str">
        <f>IF(H307="","",VLOOKUP(H307,tipo_donante[#ALL],2,0))</f>
        <v/>
      </c>
      <c r="K307" s="24"/>
    </row>
    <row r="308">
      <c r="A308" s="21"/>
      <c r="B308" s="21"/>
      <c r="C308" s="23"/>
      <c r="D308" s="21"/>
      <c r="E308" s="21"/>
      <c r="F308" s="21"/>
      <c r="G308" s="21"/>
      <c r="H308" s="21"/>
      <c r="I308" s="21" t="str">
        <f>IF(G308="","",VLOOKUP(G308,frecuencia[#ALL],2,0))</f>
        <v/>
      </c>
      <c r="J308" s="21" t="str">
        <f>IF(H308="","",VLOOKUP(H308,tipo_donante[#ALL],2,0))</f>
        <v/>
      </c>
      <c r="K308" s="24"/>
    </row>
    <row r="309">
      <c r="A309" s="21"/>
      <c r="B309" s="21"/>
      <c r="C309" s="23"/>
      <c r="D309" s="21"/>
      <c r="E309" s="21"/>
      <c r="F309" s="21"/>
      <c r="G309" s="21"/>
      <c r="H309" s="21"/>
      <c r="I309" s="21" t="str">
        <f>IF(G309="","",VLOOKUP(G309,frecuencia[#ALL],2,0))</f>
        <v/>
      </c>
      <c r="J309" s="21" t="str">
        <f>IF(H309="","",VLOOKUP(H309,tipo_donante[#ALL],2,0))</f>
        <v/>
      </c>
      <c r="K309" s="24"/>
    </row>
    <row r="310">
      <c r="A310" s="21"/>
      <c r="B310" s="21"/>
      <c r="C310" s="23"/>
      <c r="D310" s="21"/>
      <c r="E310" s="21"/>
      <c r="F310" s="21"/>
      <c r="G310" s="21"/>
      <c r="H310" s="21"/>
      <c r="I310" s="21" t="str">
        <f>IF(G310="","",VLOOKUP(G310,frecuencia[#ALL],2,0))</f>
        <v/>
      </c>
      <c r="J310" s="21" t="str">
        <f>IF(H310="","",VLOOKUP(H310,tipo_donante[#ALL],2,0))</f>
        <v/>
      </c>
      <c r="K310" s="24"/>
    </row>
    <row r="311">
      <c r="A311" s="21"/>
      <c r="B311" s="21"/>
      <c r="C311" s="23"/>
      <c r="D311" s="21"/>
      <c r="E311" s="21"/>
      <c r="F311" s="21"/>
      <c r="G311" s="21"/>
      <c r="H311" s="21"/>
      <c r="I311" s="21" t="str">
        <f>IF(G311="","",VLOOKUP(G311,frecuencia[#ALL],2,0))</f>
        <v/>
      </c>
      <c r="J311" s="21" t="str">
        <f>IF(H311="","",VLOOKUP(H311,tipo_donante[#ALL],2,0))</f>
        <v/>
      </c>
      <c r="K311" s="24"/>
    </row>
    <row r="312">
      <c r="A312" s="21"/>
      <c r="B312" s="21"/>
      <c r="C312" s="23"/>
      <c r="D312" s="21"/>
      <c r="E312" s="21"/>
      <c r="F312" s="21"/>
      <c r="G312" s="21"/>
      <c r="H312" s="21"/>
      <c r="I312" s="21" t="str">
        <f>IF(G312="","",VLOOKUP(G312,frecuencia[#ALL],2,0))</f>
        <v/>
      </c>
      <c r="J312" s="21" t="str">
        <f>IF(H312="","",VLOOKUP(H312,tipo_donante[#ALL],2,0))</f>
        <v/>
      </c>
      <c r="K312" s="24"/>
    </row>
    <row r="313">
      <c r="A313" s="21"/>
      <c r="B313" s="21"/>
      <c r="C313" s="23"/>
      <c r="D313" s="21"/>
      <c r="E313" s="21"/>
      <c r="F313" s="21"/>
      <c r="G313" s="21"/>
      <c r="H313" s="21"/>
      <c r="I313" s="21" t="str">
        <f>IF(G313="","",VLOOKUP(G313,frecuencia[#ALL],2,0))</f>
        <v/>
      </c>
      <c r="J313" s="21" t="str">
        <f>IF(H313="","",VLOOKUP(H313,tipo_donante[#ALL],2,0))</f>
        <v/>
      </c>
      <c r="K313" s="24"/>
    </row>
    <row r="314">
      <c r="A314" s="21"/>
      <c r="B314" s="21"/>
      <c r="C314" s="23"/>
      <c r="D314" s="21"/>
      <c r="E314" s="21"/>
      <c r="F314" s="21"/>
      <c r="G314" s="21"/>
      <c r="H314" s="21"/>
      <c r="I314" s="21" t="str">
        <f>IF(G314="","",VLOOKUP(G314,frecuencia[#ALL],2,0))</f>
        <v/>
      </c>
      <c r="J314" s="21" t="str">
        <f>IF(H314="","",VLOOKUP(H314,tipo_donante[#ALL],2,0))</f>
        <v/>
      </c>
      <c r="K314" s="24"/>
    </row>
    <row r="315">
      <c r="A315" s="21"/>
      <c r="B315" s="21"/>
      <c r="C315" s="23"/>
      <c r="D315" s="21"/>
      <c r="E315" s="21"/>
      <c r="F315" s="21"/>
      <c r="G315" s="21"/>
      <c r="H315" s="21"/>
      <c r="I315" s="21" t="str">
        <f>IF(G315="","",VLOOKUP(G315,frecuencia[#ALL],2,0))</f>
        <v/>
      </c>
      <c r="J315" s="21" t="str">
        <f>IF(H315="","",VLOOKUP(H315,tipo_donante[#ALL],2,0))</f>
        <v/>
      </c>
      <c r="K315" s="24"/>
    </row>
    <row r="316">
      <c r="A316" s="21"/>
      <c r="B316" s="21"/>
      <c r="C316" s="23"/>
      <c r="D316" s="21"/>
      <c r="E316" s="21"/>
      <c r="F316" s="21"/>
      <c r="G316" s="21"/>
      <c r="H316" s="21"/>
      <c r="I316" s="21" t="str">
        <f>IF(G316="","",VLOOKUP(G316,frecuencia[#ALL],2,0))</f>
        <v/>
      </c>
      <c r="J316" s="21" t="str">
        <f>IF(H316="","",VLOOKUP(H316,tipo_donante[#ALL],2,0))</f>
        <v/>
      </c>
      <c r="K316" s="24"/>
    </row>
    <row r="317">
      <c r="A317" s="21"/>
      <c r="B317" s="21"/>
      <c r="C317" s="23"/>
      <c r="D317" s="21"/>
      <c r="E317" s="21"/>
      <c r="F317" s="21"/>
      <c r="G317" s="21"/>
      <c r="H317" s="21"/>
      <c r="I317" s="21" t="str">
        <f>IF(G317="","",VLOOKUP(G317,frecuencia[#ALL],2,0))</f>
        <v/>
      </c>
      <c r="J317" s="21" t="str">
        <f>IF(H317="","",VLOOKUP(H317,tipo_donante[#ALL],2,0))</f>
        <v/>
      </c>
      <c r="K317" s="24"/>
    </row>
    <row r="318">
      <c r="A318" s="21"/>
      <c r="B318" s="21"/>
      <c r="C318" s="23"/>
      <c r="D318" s="21"/>
      <c r="E318" s="21"/>
      <c r="F318" s="21"/>
      <c r="G318" s="21"/>
      <c r="H318" s="21"/>
      <c r="I318" s="21" t="str">
        <f>IF(G318="","",VLOOKUP(G318,frecuencia[#ALL],2,0))</f>
        <v/>
      </c>
      <c r="J318" s="21" t="str">
        <f>IF(H318="","",VLOOKUP(H318,tipo_donante[#ALL],2,0))</f>
        <v/>
      </c>
      <c r="K318" s="24"/>
    </row>
    <row r="319">
      <c r="A319" s="21"/>
      <c r="B319" s="21"/>
      <c r="C319" s="23"/>
      <c r="D319" s="21"/>
      <c r="E319" s="21"/>
      <c r="F319" s="21"/>
      <c r="G319" s="21"/>
      <c r="H319" s="21"/>
      <c r="I319" s="21" t="str">
        <f>IF(G319="","",VLOOKUP(G319,frecuencia[#ALL],2,0))</f>
        <v/>
      </c>
      <c r="J319" s="21" t="str">
        <f>IF(H319="","",VLOOKUP(H319,tipo_donante[#ALL],2,0))</f>
        <v/>
      </c>
      <c r="K319" s="24"/>
    </row>
    <row r="320">
      <c r="A320" s="21"/>
      <c r="B320" s="21"/>
      <c r="C320" s="23"/>
      <c r="D320" s="21"/>
      <c r="E320" s="21"/>
      <c r="F320" s="21"/>
      <c r="G320" s="21"/>
      <c r="H320" s="21"/>
      <c r="I320" s="21" t="str">
        <f>IF(G320="","",VLOOKUP(G320,frecuencia[#ALL],2,0))</f>
        <v/>
      </c>
      <c r="J320" s="21" t="str">
        <f>IF(H320="","",VLOOKUP(H320,tipo_donante[#ALL],2,0))</f>
        <v/>
      </c>
      <c r="K320" s="24"/>
    </row>
    <row r="321">
      <c r="A321" s="21"/>
      <c r="B321" s="21"/>
      <c r="C321" s="23"/>
      <c r="D321" s="21"/>
      <c r="E321" s="21"/>
      <c r="F321" s="21"/>
      <c r="G321" s="21"/>
      <c r="H321" s="21"/>
      <c r="I321" s="21" t="str">
        <f>IF(G321="","",VLOOKUP(G321,frecuencia[#ALL],2,0))</f>
        <v/>
      </c>
      <c r="J321" s="21" t="str">
        <f>IF(H321="","",VLOOKUP(H321,tipo_donante[#ALL],2,0))</f>
        <v/>
      </c>
      <c r="K321" s="24"/>
    </row>
    <row r="322">
      <c r="A322" s="21"/>
      <c r="B322" s="21"/>
      <c r="C322" s="23"/>
      <c r="D322" s="21"/>
      <c r="E322" s="21"/>
      <c r="F322" s="21"/>
      <c r="G322" s="21"/>
      <c r="H322" s="21"/>
      <c r="I322" s="21" t="str">
        <f>IF(G322="","",VLOOKUP(G322,frecuencia[#ALL],2,0))</f>
        <v/>
      </c>
      <c r="J322" s="21" t="str">
        <f>IF(H322="","",VLOOKUP(H322,tipo_donante[#ALL],2,0))</f>
        <v/>
      </c>
      <c r="K322" s="24"/>
    </row>
    <row r="323">
      <c r="A323" s="21"/>
      <c r="B323" s="21"/>
      <c r="C323" s="23"/>
      <c r="D323" s="21"/>
      <c r="E323" s="21"/>
      <c r="F323" s="21"/>
      <c r="G323" s="21"/>
      <c r="H323" s="21"/>
      <c r="I323" s="21" t="str">
        <f>IF(G323="","",VLOOKUP(G323,frecuencia[#ALL],2,0))</f>
        <v/>
      </c>
      <c r="J323" s="21" t="str">
        <f>IF(H323="","",VLOOKUP(H323,tipo_donante[#ALL],2,0))</f>
        <v/>
      </c>
      <c r="K323" s="24"/>
    </row>
    <row r="324">
      <c r="A324" s="21"/>
      <c r="B324" s="21"/>
      <c r="C324" s="23"/>
      <c r="D324" s="21"/>
      <c r="E324" s="21"/>
      <c r="F324" s="21"/>
      <c r="G324" s="21"/>
      <c r="H324" s="21"/>
      <c r="I324" s="21" t="str">
        <f>IF(G324="","",VLOOKUP(G324,frecuencia[#ALL],2,0))</f>
        <v/>
      </c>
      <c r="J324" s="21" t="str">
        <f>IF(H324="","",VLOOKUP(H324,tipo_donante[#ALL],2,0))</f>
        <v/>
      </c>
      <c r="K324" s="24"/>
    </row>
    <row r="325">
      <c r="A325" s="21"/>
      <c r="B325" s="21"/>
      <c r="C325" s="23"/>
      <c r="D325" s="21"/>
      <c r="E325" s="21"/>
      <c r="F325" s="21"/>
      <c r="G325" s="21"/>
      <c r="H325" s="21"/>
      <c r="I325" s="21" t="str">
        <f>IF(G325="","",VLOOKUP(G325,frecuencia[#ALL],2,0))</f>
        <v/>
      </c>
      <c r="J325" s="21" t="str">
        <f>IF(H325="","",VLOOKUP(H325,tipo_donante[#ALL],2,0))</f>
        <v/>
      </c>
      <c r="K325" s="24"/>
    </row>
    <row r="326">
      <c r="A326" s="21"/>
      <c r="B326" s="21"/>
      <c r="C326" s="23"/>
      <c r="D326" s="21"/>
      <c r="E326" s="21"/>
      <c r="F326" s="21"/>
      <c r="G326" s="21"/>
      <c r="H326" s="21"/>
      <c r="I326" s="21" t="str">
        <f>IF(G326="","",VLOOKUP(G326,frecuencia[#ALL],2,0))</f>
        <v/>
      </c>
      <c r="J326" s="21" t="str">
        <f>IF(H326="","",VLOOKUP(H326,tipo_donante[#ALL],2,0))</f>
        <v/>
      </c>
      <c r="K326" s="24"/>
    </row>
    <row r="327">
      <c r="A327" s="21"/>
      <c r="B327" s="21"/>
      <c r="C327" s="23"/>
      <c r="D327" s="21"/>
      <c r="E327" s="21"/>
      <c r="F327" s="21"/>
      <c r="G327" s="21"/>
      <c r="H327" s="21"/>
      <c r="I327" s="21" t="str">
        <f>IF(G327="","",VLOOKUP(G327,frecuencia[#ALL],2,0))</f>
        <v/>
      </c>
      <c r="J327" s="21" t="str">
        <f>IF(H327="","",VLOOKUP(H327,tipo_donante[#ALL],2,0))</f>
        <v/>
      </c>
      <c r="K327" s="24"/>
    </row>
    <row r="328">
      <c r="A328" s="21"/>
      <c r="B328" s="21"/>
      <c r="C328" s="23"/>
      <c r="D328" s="21"/>
      <c r="E328" s="21"/>
      <c r="F328" s="21"/>
      <c r="G328" s="21"/>
      <c r="H328" s="21"/>
      <c r="I328" s="21" t="str">
        <f>IF(G328="","",VLOOKUP(G328,frecuencia[#ALL],2,0))</f>
        <v/>
      </c>
      <c r="J328" s="21" t="str">
        <f>IF(H328="","",VLOOKUP(H328,tipo_donante[#ALL],2,0))</f>
        <v/>
      </c>
      <c r="K328" s="24"/>
    </row>
    <row r="329">
      <c r="A329" s="21"/>
      <c r="B329" s="21"/>
      <c r="C329" s="23"/>
      <c r="D329" s="21"/>
      <c r="E329" s="21"/>
      <c r="F329" s="21"/>
      <c r="G329" s="21"/>
      <c r="H329" s="21"/>
      <c r="I329" s="21" t="str">
        <f>IF(G329="","",VLOOKUP(G329,frecuencia[#ALL],2,0))</f>
        <v/>
      </c>
      <c r="J329" s="21" t="str">
        <f>IF(H329="","",VLOOKUP(H329,tipo_donante[#ALL],2,0))</f>
        <v/>
      </c>
      <c r="K329" s="24"/>
    </row>
    <row r="330">
      <c r="A330" s="21"/>
      <c r="B330" s="21"/>
      <c r="C330" s="23"/>
      <c r="D330" s="21"/>
      <c r="E330" s="21"/>
      <c r="F330" s="21"/>
      <c r="G330" s="21"/>
      <c r="H330" s="21"/>
      <c r="I330" s="21" t="str">
        <f>IF(G330="","",VLOOKUP(G330,frecuencia[#ALL],2,0))</f>
        <v/>
      </c>
      <c r="J330" s="21" t="str">
        <f>IF(H330="","",VLOOKUP(H330,tipo_donante[#ALL],2,0))</f>
        <v/>
      </c>
      <c r="K330" s="24"/>
    </row>
    <row r="331">
      <c r="A331" s="21"/>
      <c r="B331" s="21"/>
      <c r="C331" s="23"/>
      <c r="D331" s="21"/>
      <c r="E331" s="21"/>
      <c r="F331" s="21"/>
      <c r="G331" s="21"/>
      <c r="H331" s="21"/>
      <c r="I331" s="21" t="str">
        <f>IF(G331="","",VLOOKUP(G331,frecuencia[#ALL],2,0))</f>
        <v/>
      </c>
      <c r="J331" s="21" t="str">
        <f>IF(H331="","",VLOOKUP(H331,tipo_donante[#ALL],2,0))</f>
        <v/>
      </c>
      <c r="K331" s="24"/>
    </row>
    <row r="332">
      <c r="A332" s="21"/>
      <c r="B332" s="21"/>
      <c r="C332" s="23"/>
      <c r="D332" s="21"/>
      <c r="E332" s="21"/>
      <c r="F332" s="21"/>
      <c r="G332" s="21"/>
      <c r="H332" s="21"/>
      <c r="I332" s="21" t="str">
        <f>IF(G332="","",VLOOKUP(G332,frecuencia[#ALL],2,0))</f>
        <v/>
      </c>
      <c r="J332" s="21" t="str">
        <f>IF(H332="","",VLOOKUP(H332,tipo_donante[#ALL],2,0))</f>
        <v/>
      </c>
      <c r="K332" s="24"/>
    </row>
    <row r="333">
      <c r="A333" s="21"/>
      <c r="B333" s="21"/>
      <c r="C333" s="23"/>
      <c r="D333" s="21"/>
      <c r="E333" s="21"/>
      <c r="F333" s="21"/>
      <c r="G333" s="21"/>
      <c r="H333" s="21"/>
      <c r="I333" s="21" t="str">
        <f>IF(G333="","",VLOOKUP(G333,frecuencia[#ALL],2,0))</f>
        <v/>
      </c>
      <c r="J333" s="21" t="str">
        <f>IF(H333="","",VLOOKUP(H333,tipo_donante[#ALL],2,0))</f>
        <v/>
      </c>
      <c r="K333" s="24"/>
    </row>
    <row r="334">
      <c r="A334" s="21"/>
      <c r="B334" s="21"/>
      <c r="C334" s="23"/>
      <c r="D334" s="21"/>
      <c r="E334" s="21"/>
      <c r="F334" s="21"/>
      <c r="G334" s="21"/>
      <c r="H334" s="21"/>
      <c r="I334" s="21" t="str">
        <f>IF(G334="","",VLOOKUP(G334,frecuencia[#ALL],2,0))</f>
        <v/>
      </c>
      <c r="J334" s="21" t="str">
        <f>IF(H334="","",VLOOKUP(H334,tipo_donante[#ALL],2,0))</f>
        <v/>
      </c>
      <c r="K334" s="24"/>
    </row>
    <row r="335">
      <c r="A335" s="21"/>
      <c r="B335" s="21"/>
      <c r="C335" s="23"/>
      <c r="D335" s="21"/>
      <c r="E335" s="21"/>
      <c r="F335" s="21"/>
      <c r="G335" s="21"/>
      <c r="H335" s="21"/>
      <c r="I335" s="21" t="str">
        <f>IF(G335="","",VLOOKUP(G335,frecuencia[#ALL],2,0))</f>
        <v/>
      </c>
      <c r="J335" s="21" t="str">
        <f>IF(H335="","",VLOOKUP(H335,tipo_donante[#ALL],2,0))</f>
        <v/>
      </c>
      <c r="K335" s="24"/>
    </row>
    <row r="336">
      <c r="A336" s="21"/>
      <c r="B336" s="21"/>
      <c r="C336" s="23"/>
      <c r="D336" s="21"/>
      <c r="E336" s="21"/>
      <c r="F336" s="21"/>
      <c r="G336" s="21"/>
      <c r="H336" s="21"/>
      <c r="I336" s="21" t="str">
        <f>IF(G336="","",VLOOKUP(G336,frecuencia[#ALL],2,0))</f>
        <v/>
      </c>
      <c r="J336" s="21" t="str">
        <f>IF(H336="","",VLOOKUP(H336,tipo_donante[#ALL],2,0))</f>
        <v/>
      </c>
      <c r="K336" s="24"/>
    </row>
    <row r="337">
      <c r="A337" s="21"/>
      <c r="B337" s="21"/>
      <c r="C337" s="23"/>
      <c r="D337" s="21"/>
      <c r="E337" s="21"/>
      <c r="F337" s="21"/>
      <c r="G337" s="21"/>
      <c r="H337" s="21"/>
      <c r="I337" s="21" t="str">
        <f>IF(G337="","",VLOOKUP(G337,frecuencia[#ALL],2,0))</f>
        <v/>
      </c>
      <c r="J337" s="21" t="str">
        <f>IF(H337="","",VLOOKUP(H337,tipo_donante[#ALL],2,0))</f>
        <v/>
      </c>
      <c r="K337" s="24"/>
    </row>
    <row r="338">
      <c r="A338" s="21"/>
      <c r="B338" s="21"/>
      <c r="C338" s="23"/>
      <c r="D338" s="21"/>
      <c r="E338" s="21"/>
      <c r="F338" s="21"/>
      <c r="G338" s="21"/>
      <c r="H338" s="21"/>
      <c r="I338" s="21" t="str">
        <f>IF(G338="","",VLOOKUP(G338,frecuencia[#ALL],2,0))</f>
        <v/>
      </c>
      <c r="J338" s="21" t="str">
        <f>IF(H338="","",VLOOKUP(H338,tipo_donante[#ALL],2,0))</f>
        <v/>
      </c>
      <c r="K338" s="24"/>
    </row>
    <row r="339">
      <c r="A339" s="21"/>
      <c r="B339" s="21"/>
      <c r="C339" s="23"/>
      <c r="D339" s="21"/>
      <c r="E339" s="21"/>
      <c r="F339" s="21"/>
      <c r="G339" s="21"/>
      <c r="H339" s="21"/>
      <c r="I339" s="21" t="str">
        <f>IF(G339="","",VLOOKUP(G339,frecuencia[#ALL],2,0))</f>
        <v/>
      </c>
      <c r="J339" s="21" t="str">
        <f>IF(H339="","",VLOOKUP(H339,tipo_donante[#ALL],2,0))</f>
        <v/>
      </c>
      <c r="K339" s="24"/>
    </row>
    <row r="340">
      <c r="A340" s="21"/>
      <c r="B340" s="21"/>
      <c r="C340" s="23"/>
      <c r="D340" s="21"/>
      <c r="E340" s="21"/>
      <c r="F340" s="21"/>
      <c r="G340" s="21"/>
      <c r="H340" s="21"/>
      <c r="I340" s="21" t="str">
        <f>IF(G340="","",VLOOKUP(G340,frecuencia[#ALL],2,0))</f>
        <v/>
      </c>
      <c r="J340" s="21" t="str">
        <f>IF(H340="","",VLOOKUP(H340,tipo_donante[#ALL],2,0))</f>
        <v/>
      </c>
      <c r="K340" s="24"/>
    </row>
    <row r="341">
      <c r="A341" s="21"/>
      <c r="B341" s="21"/>
      <c r="C341" s="23"/>
      <c r="D341" s="21"/>
      <c r="E341" s="21"/>
      <c r="F341" s="21"/>
      <c r="G341" s="21"/>
      <c r="H341" s="21"/>
      <c r="I341" s="21" t="str">
        <f>IF(G341="","",VLOOKUP(G341,frecuencia[#ALL],2,0))</f>
        <v/>
      </c>
      <c r="J341" s="21" t="str">
        <f>IF(H341="","",VLOOKUP(H341,tipo_donante[#ALL],2,0))</f>
        <v/>
      </c>
      <c r="K341" s="24"/>
    </row>
    <row r="342">
      <c r="A342" s="21"/>
      <c r="B342" s="21"/>
      <c r="C342" s="23"/>
      <c r="D342" s="21"/>
      <c r="E342" s="21"/>
      <c r="F342" s="21"/>
      <c r="G342" s="21"/>
      <c r="H342" s="21"/>
      <c r="I342" s="21" t="str">
        <f>IF(G342="","",VLOOKUP(G342,frecuencia[#ALL],2,0))</f>
        <v/>
      </c>
      <c r="J342" s="21" t="str">
        <f>IF(H342="","",VLOOKUP(H342,tipo_donante[#ALL],2,0))</f>
        <v/>
      </c>
      <c r="K342" s="24"/>
    </row>
    <row r="343">
      <c r="A343" s="21"/>
      <c r="B343" s="21"/>
      <c r="C343" s="23"/>
      <c r="D343" s="21"/>
      <c r="E343" s="21"/>
      <c r="F343" s="21"/>
      <c r="G343" s="21"/>
      <c r="H343" s="21"/>
      <c r="I343" s="21" t="str">
        <f>IF(G343="","",VLOOKUP(G343,frecuencia[#ALL],2,0))</f>
        <v/>
      </c>
      <c r="J343" s="21" t="str">
        <f>IF(H343="","",VLOOKUP(H343,tipo_donante[#ALL],2,0))</f>
        <v/>
      </c>
      <c r="K343" s="24"/>
    </row>
    <row r="344">
      <c r="A344" s="21"/>
      <c r="B344" s="21"/>
      <c r="C344" s="23"/>
      <c r="D344" s="21"/>
      <c r="E344" s="21"/>
      <c r="F344" s="21"/>
      <c r="G344" s="21"/>
      <c r="H344" s="21"/>
      <c r="I344" s="21" t="str">
        <f>IF(G344="","",VLOOKUP(G344,frecuencia[#ALL],2,0))</f>
        <v/>
      </c>
      <c r="J344" s="21" t="str">
        <f>IF(H344="","",VLOOKUP(H344,tipo_donante[#ALL],2,0))</f>
        <v/>
      </c>
      <c r="K344" s="24"/>
    </row>
    <row r="345">
      <c r="A345" s="21"/>
      <c r="B345" s="21"/>
      <c r="C345" s="23"/>
      <c r="D345" s="21"/>
      <c r="E345" s="21"/>
      <c r="F345" s="21"/>
      <c r="G345" s="21"/>
      <c r="H345" s="21"/>
      <c r="I345" s="21" t="str">
        <f>IF(G345="","",VLOOKUP(G345,frecuencia[#ALL],2,0))</f>
        <v/>
      </c>
      <c r="J345" s="21" t="str">
        <f>IF(H345="","",VLOOKUP(H345,tipo_donante[#ALL],2,0))</f>
        <v/>
      </c>
      <c r="K345" s="24"/>
    </row>
    <row r="346">
      <c r="A346" s="21"/>
      <c r="B346" s="21"/>
      <c r="C346" s="23"/>
      <c r="D346" s="21"/>
      <c r="E346" s="21"/>
      <c r="F346" s="21"/>
      <c r="G346" s="21"/>
      <c r="H346" s="21"/>
      <c r="I346" s="21" t="str">
        <f>IF(G346="","",VLOOKUP(G346,frecuencia[#ALL],2,0))</f>
        <v/>
      </c>
      <c r="J346" s="21" t="str">
        <f>IF(H346="","",VLOOKUP(H346,tipo_donante[#ALL],2,0))</f>
        <v/>
      </c>
      <c r="K346" s="24"/>
    </row>
    <row r="347">
      <c r="A347" s="21"/>
      <c r="B347" s="21"/>
      <c r="C347" s="23"/>
      <c r="D347" s="21"/>
      <c r="E347" s="21"/>
      <c r="F347" s="21"/>
      <c r="G347" s="21"/>
      <c r="H347" s="21"/>
      <c r="I347" s="21" t="str">
        <f>IF(G347="","",VLOOKUP(G347,frecuencia[#ALL],2,0))</f>
        <v/>
      </c>
      <c r="J347" s="21" t="str">
        <f>IF(H347="","",VLOOKUP(H347,tipo_donante[#ALL],2,0))</f>
        <v/>
      </c>
      <c r="K347" s="24"/>
    </row>
    <row r="348">
      <c r="A348" s="21"/>
      <c r="B348" s="21"/>
      <c r="C348" s="23"/>
      <c r="D348" s="21"/>
      <c r="E348" s="21"/>
      <c r="F348" s="21"/>
      <c r="G348" s="21"/>
      <c r="H348" s="21"/>
      <c r="I348" s="21" t="str">
        <f>IF(G348="","",VLOOKUP(G348,frecuencia[#ALL],2,0))</f>
        <v/>
      </c>
      <c r="J348" s="21" t="str">
        <f>IF(H348="","",VLOOKUP(H348,tipo_donante[#ALL],2,0))</f>
        <v/>
      </c>
      <c r="K348" s="24"/>
    </row>
    <row r="349">
      <c r="A349" s="21"/>
      <c r="B349" s="21"/>
      <c r="C349" s="23"/>
      <c r="D349" s="21"/>
      <c r="E349" s="21"/>
      <c r="F349" s="21"/>
      <c r="G349" s="21"/>
      <c r="H349" s="21"/>
      <c r="I349" s="21" t="str">
        <f>IF(G349="","",VLOOKUP(G349,frecuencia[#ALL],2,0))</f>
        <v/>
      </c>
      <c r="J349" s="21" t="str">
        <f>IF(H349="","",VLOOKUP(H349,tipo_donante[#ALL],2,0))</f>
        <v/>
      </c>
      <c r="K349" s="24"/>
    </row>
    <row r="350">
      <c r="A350" s="21"/>
      <c r="B350" s="21"/>
      <c r="C350" s="23"/>
      <c r="D350" s="21"/>
      <c r="E350" s="21"/>
      <c r="F350" s="21"/>
      <c r="G350" s="21"/>
      <c r="H350" s="21"/>
      <c r="I350" s="21" t="str">
        <f>IF(G350="","",VLOOKUP(G350,frecuencia[#ALL],2,0))</f>
        <v/>
      </c>
      <c r="J350" s="21" t="str">
        <f>IF(H350="","",VLOOKUP(H350,tipo_donante[#ALL],2,0))</f>
        <v/>
      </c>
      <c r="K350" s="24"/>
    </row>
    <row r="351">
      <c r="A351" s="21"/>
      <c r="B351" s="21"/>
      <c r="C351" s="23"/>
      <c r="D351" s="21"/>
      <c r="E351" s="21"/>
      <c r="F351" s="21"/>
      <c r="G351" s="21"/>
      <c r="H351" s="21"/>
      <c r="I351" s="21" t="str">
        <f>IF(G351="","",VLOOKUP(G351,frecuencia[#ALL],2,0))</f>
        <v/>
      </c>
      <c r="J351" s="21" t="str">
        <f>IF(H351="","",VLOOKUP(H351,tipo_donante[#ALL],2,0))</f>
        <v/>
      </c>
      <c r="K351" s="24"/>
    </row>
    <row r="352">
      <c r="A352" s="21"/>
      <c r="B352" s="21"/>
      <c r="C352" s="23"/>
      <c r="D352" s="21"/>
      <c r="E352" s="21"/>
      <c r="F352" s="21"/>
      <c r="G352" s="21"/>
      <c r="H352" s="21"/>
      <c r="I352" s="21" t="str">
        <f>IF(G352="","",VLOOKUP(G352,frecuencia[#ALL],2,0))</f>
        <v/>
      </c>
      <c r="J352" s="21" t="str">
        <f>IF(H352="","",VLOOKUP(H352,tipo_donante[#ALL],2,0))</f>
        <v/>
      </c>
      <c r="K352" s="24"/>
    </row>
    <row r="353">
      <c r="A353" s="21"/>
      <c r="B353" s="21"/>
      <c r="C353" s="23"/>
      <c r="D353" s="21"/>
      <c r="E353" s="21"/>
      <c r="F353" s="21"/>
      <c r="G353" s="21"/>
      <c r="H353" s="21"/>
      <c r="I353" s="21" t="str">
        <f>IF(G353="","",VLOOKUP(G353,frecuencia[#ALL],2,0))</f>
        <v/>
      </c>
      <c r="J353" s="21" t="str">
        <f>IF(H353="","",VLOOKUP(H353,tipo_donante[#ALL],2,0))</f>
        <v/>
      </c>
      <c r="K353" s="24"/>
    </row>
    <row r="354">
      <c r="A354" s="21"/>
      <c r="B354" s="21"/>
      <c r="C354" s="23"/>
      <c r="D354" s="21"/>
      <c r="E354" s="21"/>
      <c r="F354" s="21"/>
      <c r="G354" s="21"/>
      <c r="H354" s="21"/>
      <c r="I354" s="21" t="str">
        <f>IF(G354="","",VLOOKUP(G354,frecuencia[#ALL],2,0))</f>
        <v/>
      </c>
      <c r="J354" s="21" t="str">
        <f>IF(H354="","",VLOOKUP(H354,tipo_donante[#ALL],2,0))</f>
        <v/>
      </c>
      <c r="K354" s="24"/>
    </row>
    <row r="355">
      <c r="A355" s="21"/>
      <c r="B355" s="21"/>
      <c r="C355" s="23"/>
      <c r="D355" s="21"/>
      <c r="E355" s="21"/>
      <c r="F355" s="21"/>
      <c r="G355" s="21"/>
      <c r="H355" s="21"/>
      <c r="I355" s="21" t="str">
        <f>IF(G355="","",VLOOKUP(G355,frecuencia[#ALL],2,0))</f>
        <v/>
      </c>
      <c r="J355" s="21" t="str">
        <f>IF(H355="","",VLOOKUP(H355,tipo_donante[#ALL],2,0))</f>
        <v/>
      </c>
      <c r="K355" s="24"/>
    </row>
    <row r="356">
      <c r="A356" s="21"/>
      <c r="B356" s="21"/>
      <c r="C356" s="23"/>
      <c r="D356" s="21"/>
      <c r="E356" s="21"/>
      <c r="F356" s="21"/>
      <c r="G356" s="21"/>
      <c r="H356" s="21"/>
      <c r="I356" s="21" t="str">
        <f>IF(G356="","",VLOOKUP(G356,frecuencia[#ALL],2,0))</f>
        <v/>
      </c>
      <c r="J356" s="21" t="str">
        <f>IF(H356="","",VLOOKUP(H356,tipo_donante[#ALL],2,0))</f>
        <v/>
      </c>
      <c r="K356" s="24"/>
    </row>
    <row r="357">
      <c r="A357" s="21"/>
      <c r="B357" s="21"/>
      <c r="C357" s="23"/>
      <c r="D357" s="21"/>
      <c r="E357" s="21"/>
      <c r="F357" s="21"/>
      <c r="G357" s="21"/>
      <c r="H357" s="21"/>
      <c r="I357" s="21" t="str">
        <f>IF(G357="","",VLOOKUP(G357,frecuencia[#ALL],2,0))</f>
        <v/>
      </c>
      <c r="J357" s="21" t="str">
        <f>IF(H357="","",VLOOKUP(H357,tipo_donante[#ALL],2,0))</f>
        <v/>
      </c>
      <c r="K357" s="24"/>
    </row>
    <row r="358">
      <c r="A358" s="21"/>
      <c r="B358" s="21"/>
      <c r="C358" s="23"/>
      <c r="D358" s="21"/>
      <c r="E358" s="21"/>
      <c r="F358" s="21"/>
      <c r="G358" s="21"/>
      <c r="H358" s="21"/>
      <c r="I358" s="21" t="str">
        <f>IF(G358="","",VLOOKUP(G358,frecuencia[#ALL],2,0))</f>
        <v/>
      </c>
      <c r="J358" s="21" t="str">
        <f>IF(H358="","",VLOOKUP(H358,tipo_donante[#ALL],2,0))</f>
        <v/>
      </c>
      <c r="K358" s="24"/>
    </row>
    <row r="359">
      <c r="A359" s="21"/>
      <c r="B359" s="21"/>
      <c r="C359" s="23"/>
      <c r="D359" s="21"/>
      <c r="E359" s="21"/>
      <c r="F359" s="21"/>
      <c r="G359" s="21"/>
      <c r="H359" s="21"/>
      <c r="I359" s="21" t="str">
        <f>IF(G359="","",VLOOKUP(G359,frecuencia[#ALL],2,0))</f>
        <v/>
      </c>
      <c r="J359" s="21" t="str">
        <f>IF(H359="","",VLOOKUP(H359,tipo_donante[#ALL],2,0))</f>
        <v/>
      </c>
      <c r="K359" s="24"/>
    </row>
    <row r="360">
      <c r="A360" s="21"/>
      <c r="B360" s="21"/>
      <c r="C360" s="23"/>
      <c r="D360" s="21"/>
      <c r="E360" s="21"/>
      <c r="F360" s="21"/>
      <c r="G360" s="21"/>
      <c r="H360" s="21"/>
      <c r="I360" s="21" t="str">
        <f>IF(G360="","",VLOOKUP(G360,frecuencia[#ALL],2,0))</f>
        <v/>
      </c>
      <c r="J360" s="21" t="str">
        <f>IF(H360="","",VLOOKUP(H360,tipo_donante[#ALL],2,0))</f>
        <v/>
      </c>
      <c r="K360" s="24"/>
    </row>
    <row r="361">
      <c r="A361" s="21"/>
      <c r="B361" s="21"/>
      <c r="C361" s="23"/>
      <c r="D361" s="21"/>
      <c r="E361" s="21"/>
      <c r="F361" s="21"/>
      <c r="G361" s="21"/>
      <c r="H361" s="21"/>
      <c r="I361" s="21" t="str">
        <f>IF(G361="","",VLOOKUP(G361,frecuencia[#ALL],2,0))</f>
        <v/>
      </c>
      <c r="J361" s="21" t="str">
        <f>IF(H361="","",VLOOKUP(H361,tipo_donante[#ALL],2,0))</f>
        <v/>
      </c>
      <c r="K361" s="24"/>
    </row>
    <row r="362">
      <c r="A362" s="21"/>
      <c r="B362" s="21"/>
      <c r="C362" s="23"/>
      <c r="D362" s="21"/>
      <c r="E362" s="21"/>
      <c r="F362" s="21"/>
      <c r="G362" s="21"/>
      <c r="H362" s="21"/>
      <c r="I362" s="21" t="str">
        <f>IF(G362="","",VLOOKUP(G362,frecuencia[#ALL],2,0))</f>
        <v/>
      </c>
      <c r="J362" s="21" t="str">
        <f>IF(H362="","",VLOOKUP(H362,tipo_donante[#ALL],2,0))</f>
        <v/>
      </c>
      <c r="K362" s="24"/>
    </row>
    <row r="363">
      <c r="A363" s="21"/>
      <c r="B363" s="21"/>
      <c r="C363" s="23"/>
      <c r="D363" s="21"/>
      <c r="E363" s="21"/>
      <c r="F363" s="21"/>
      <c r="G363" s="21"/>
      <c r="H363" s="21"/>
      <c r="I363" s="21" t="str">
        <f>IF(G363="","",VLOOKUP(G363,frecuencia[#ALL],2,0))</f>
        <v/>
      </c>
      <c r="J363" s="21" t="str">
        <f>IF(H363="","",VLOOKUP(H363,tipo_donante[#ALL],2,0))</f>
        <v/>
      </c>
      <c r="K363" s="24"/>
    </row>
    <row r="364">
      <c r="A364" s="21"/>
      <c r="B364" s="21"/>
      <c r="C364" s="23"/>
      <c r="D364" s="21"/>
      <c r="E364" s="21"/>
      <c r="F364" s="21"/>
      <c r="G364" s="21"/>
      <c r="H364" s="21"/>
      <c r="I364" s="21" t="str">
        <f>IF(G364="","",VLOOKUP(G364,frecuencia[#ALL],2,0))</f>
        <v/>
      </c>
      <c r="J364" s="21" t="str">
        <f>IF(H364="","",VLOOKUP(H364,tipo_donante[#ALL],2,0))</f>
        <v/>
      </c>
      <c r="K364" s="24"/>
    </row>
    <row r="365">
      <c r="A365" s="21"/>
      <c r="B365" s="21"/>
      <c r="C365" s="23"/>
      <c r="D365" s="21"/>
      <c r="E365" s="21"/>
      <c r="F365" s="21"/>
      <c r="G365" s="21"/>
      <c r="H365" s="21"/>
      <c r="I365" s="21" t="str">
        <f>IF(G365="","",VLOOKUP(G365,frecuencia[#ALL],2,0))</f>
        <v/>
      </c>
      <c r="J365" s="21" t="str">
        <f>IF(H365="","",VLOOKUP(H365,tipo_donante[#ALL],2,0))</f>
        <v/>
      </c>
      <c r="K365" s="24"/>
    </row>
    <row r="366">
      <c r="A366" s="21"/>
      <c r="B366" s="21"/>
      <c r="C366" s="23"/>
      <c r="D366" s="21"/>
      <c r="E366" s="21"/>
      <c r="F366" s="21"/>
      <c r="G366" s="21"/>
      <c r="H366" s="21"/>
      <c r="I366" s="21" t="str">
        <f>IF(G366="","",VLOOKUP(G366,frecuencia[#ALL],2,0))</f>
        <v/>
      </c>
      <c r="J366" s="21" t="str">
        <f>IF(H366="","",VLOOKUP(H366,tipo_donante[#ALL],2,0))</f>
        <v/>
      </c>
      <c r="K366" s="24"/>
    </row>
    <row r="367">
      <c r="A367" s="21"/>
      <c r="B367" s="21"/>
      <c r="C367" s="23"/>
      <c r="D367" s="21"/>
      <c r="E367" s="21"/>
      <c r="F367" s="21"/>
      <c r="G367" s="21"/>
      <c r="H367" s="21"/>
      <c r="I367" s="21" t="str">
        <f>IF(G367="","",VLOOKUP(G367,frecuencia[#ALL],2,0))</f>
        <v/>
      </c>
      <c r="J367" s="21" t="str">
        <f>IF(H367="","",VLOOKUP(H367,tipo_donante[#ALL],2,0))</f>
        <v/>
      </c>
      <c r="K367" s="24"/>
    </row>
    <row r="368">
      <c r="A368" s="21"/>
      <c r="B368" s="21"/>
      <c r="C368" s="23"/>
      <c r="D368" s="21"/>
      <c r="E368" s="21"/>
      <c r="F368" s="21"/>
      <c r="G368" s="21"/>
      <c r="H368" s="21"/>
      <c r="I368" s="21" t="str">
        <f>IF(G368="","",VLOOKUP(G368,frecuencia[#ALL],2,0))</f>
        <v/>
      </c>
      <c r="J368" s="21" t="str">
        <f>IF(H368="","",VLOOKUP(H368,tipo_donante[#ALL],2,0))</f>
        <v/>
      </c>
      <c r="K368" s="24"/>
    </row>
    <row r="369">
      <c r="A369" s="21"/>
      <c r="B369" s="21"/>
      <c r="C369" s="23"/>
      <c r="D369" s="21"/>
      <c r="E369" s="21"/>
      <c r="F369" s="21"/>
      <c r="G369" s="21"/>
      <c r="H369" s="21"/>
      <c r="I369" s="21" t="str">
        <f>IF(G369="","",VLOOKUP(G369,frecuencia[#ALL],2,0))</f>
        <v/>
      </c>
      <c r="J369" s="21" t="str">
        <f>IF(H369="","",VLOOKUP(H369,tipo_donante[#ALL],2,0))</f>
        <v/>
      </c>
      <c r="K369" s="24"/>
    </row>
    <row r="370">
      <c r="A370" s="21"/>
      <c r="B370" s="21"/>
      <c r="C370" s="23"/>
      <c r="D370" s="21"/>
      <c r="E370" s="21"/>
      <c r="F370" s="21"/>
      <c r="G370" s="21"/>
      <c r="H370" s="21"/>
      <c r="I370" s="21" t="str">
        <f>IF(G370="","",VLOOKUP(G370,frecuencia[#ALL],2,0))</f>
        <v/>
      </c>
      <c r="J370" s="21" t="str">
        <f>IF(H370="","",VLOOKUP(H370,tipo_donante[#ALL],2,0))</f>
        <v/>
      </c>
      <c r="K370" s="24"/>
    </row>
    <row r="371">
      <c r="A371" s="21"/>
      <c r="B371" s="21"/>
      <c r="C371" s="23"/>
      <c r="D371" s="21"/>
      <c r="E371" s="21"/>
      <c r="F371" s="21"/>
      <c r="G371" s="21"/>
      <c r="H371" s="21"/>
      <c r="I371" s="21" t="str">
        <f>IF(G371="","",VLOOKUP(G371,frecuencia[#ALL],2,0))</f>
        <v/>
      </c>
      <c r="J371" s="21" t="str">
        <f>IF(H371="","",VLOOKUP(H371,tipo_donante[#ALL],2,0))</f>
        <v/>
      </c>
      <c r="K371" s="24"/>
    </row>
    <row r="372">
      <c r="A372" s="21"/>
      <c r="B372" s="21"/>
      <c r="C372" s="23"/>
      <c r="D372" s="21"/>
      <c r="E372" s="21"/>
      <c r="F372" s="21"/>
      <c r="G372" s="21"/>
      <c r="H372" s="21"/>
      <c r="I372" s="21" t="str">
        <f>IF(G372="","",VLOOKUP(G372,frecuencia[#ALL],2,0))</f>
        <v/>
      </c>
      <c r="J372" s="21" t="str">
        <f>IF(H372="","",VLOOKUP(H372,tipo_donante[#ALL],2,0))</f>
        <v/>
      </c>
      <c r="K372" s="24"/>
    </row>
    <row r="373">
      <c r="A373" s="21"/>
      <c r="B373" s="21"/>
      <c r="C373" s="23"/>
      <c r="D373" s="21"/>
      <c r="E373" s="21"/>
      <c r="F373" s="21"/>
      <c r="G373" s="21"/>
      <c r="H373" s="21"/>
      <c r="I373" s="21" t="str">
        <f>IF(G373="","",VLOOKUP(G373,frecuencia[#ALL],2,0))</f>
        <v/>
      </c>
      <c r="J373" s="21" t="str">
        <f>IF(H373="","",VLOOKUP(H373,tipo_donante[#ALL],2,0))</f>
        <v/>
      </c>
      <c r="K373" s="24"/>
    </row>
    <row r="374">
      <c r="A374" s="21"/>
      <c r="B374" s="21"/>
      <c r="C374" s="23"/>
      <c r="D374" s="21"/>
      <c r="E374" s="21"/>
      <c r="F374" s="21"/>
      <c r="G374" s="21"/>
      <c r="H374" s="21"/>
      <c r="I374" s="21" t="str">
        <f>IF(G374="","",VLOOKUP(G374,frecuencia[#ALL],2,0))</f>
        <v/>
      </c>
      <c r="J374" s="21" t="str">
        <f>IF(H374="","",VLOOKUP(H374,tipo_donante[#ALL],2,0))</f>
        <v/>
      </c>
      <c r="K374" s="24"/>
    </row>
    <row r="375">
      <c r="A375" s="21"/>
      <c r="B375" s="21"/>
      <c r="C375" s="23"/>
      <c r="D375" s="21"/>
      <c r="E375" s="21"/>
      <c r="F375" s="21"/>
      <c r="G375" s="21"/>
      <c r="H375" s="21"/>
      <c r="I375" s="21" t="str">
        <f>IF(G375="","",VLOOKUP(G375,frecuencia[#ALL],2,0))</f>
        <v/>
      </c>
      <c r="J375" s="21" t="str">
        <f>IF(H375="","",VLOOKUP(H375,tipo_donante[#ALL],2,0))</f>
        <v/>
      </c>
      <c r="K375" s="24"/>
    </row>
    <row r="376">
      <c r="A376" s="21"/>
      <c r="B376" s="21"/>
      <c r="C376" s="23"/>
      <c r="D376" s="21"/>
      <c r="E376" s="21"/>
      <c r="F376" s="21"/>
      <c r="G376" s="21"/>
      <c r="H376" s="21"/>
      <c r="I376" s="21" t="str">
        <f>IF(G376="","",VLOOKUP(G376,frecuencia[#ALL],2,0))</f>
        <v/>
      </c>
      <c r="J376" s="21" t="str">
        <f>IF(H376="","",VLOOKUP(H376,tipo_donante[#ALL],2,0))</f>
        <v/>
      </c>
      <c r="K376" s="24"/>
    </row>
    <row r="377">
      <c r="A377" s="21"/>
      <c r="B377" s="21"/>
      <c r="C377" s="23"/>
      <c r="D377" s="21"/>
      <c r="E377" s="21"/>
      <c r="F377" s="21"/>
      <c r="G377" s="21"/>
      <c r="H377" s="21"/>
      <c r="I377" s="21" t="str">
        <f>IF(G377="","",VLOOKUP(G377,frecuencia[#ALL],2,0))</f>
        <v/>
      </c>
      <c r="J377" s="21" t="str">
        <f>IF(H377="","",VLOOKUP(H377,tipo_donante[#ALL],2,0))</f>
        <v/>
      </c>
      <c r="K377" s="24"/>
    </row>
    <row r="378">
      <c r="A378" s="21"/>
      <c r="B378" s="21"/>
      <c r="C378" s="23"/>
      <c r="D378" s="21"/>
      <c r="E378" s="21"/>
      <c r="F378" s="21"/>
      <c r="G378" s="21"/>
      <c r="H378" s="21"/>
      <c r="I378" s="21" t="str">
        <f>IF(G378="","",VLOOKUP(G378,frecuencia[#ALL],2,0))</f>
        <v/>
      </c>
      <c r="J378" s="21" t="str">
        <f>IF(H378="","",VLOOKUP(H378,tipo_donante[#ALL],2,0))</f>
        <v/>
      </c>
      <c r="K378" s="24"/>
    </row>
    <row r="379">
      <c r="A379" s="21"/>
      <c r="B379" s="21"/>
      <c r="C379" s="23"/>
      <c r="D379" s="21"/>
      <c r="E379" s="21"/>
      <c r="F379" s="21"/>
      <c r="G379" s="21"/>
      <c r="H379" s="21"/>
      <c r="I379" s="21" t="str">
        <f>IF(G379="","",VLOOKUP(G379,frecuencia[#ALL],2,0))</f>
        <v/>
      </c>
      <c r="J379" s="21" t="str">
        <f>IF(H379="","",VLOOKUP(H379,tipo_donante[#ALL],2,0))</f>
        <v/>
      </c>
      <c r="K379" s="24"/>
    </row>
    <row r="380">
      <c r="A380" s="21"/>
      <c r="B380" s="21"/>
      <c r="C380" s="23"/>
      <c r="D380" s="21"/>
      <c r="E380" s="21"/>
      <c r="F380" s="21"/>
      <c r="G380" s="21"/>
      <c r="H380" s="21"/>
      <c r="I380" s="21" t="str">
        <f>IF(G380="","",VLOOKUP(G380,frecuencia[#ALL],2,0))</f>
        <v/>
      </c>
      <c r="J380" s="21" t="str">
        <f>IF(H380="","",VLOOKUP(H380,tipo_donante[#ALL],2,0))</f>
        <v/>
      </c>
      <c r="K380" s="24"/>
    </row>
    <row r="381">
      <c r="A381" s="21"/>
      <c r="B381" s="21"/>
      <c r="C381" s="23"/>
      <c r="D381" s="21"/>
      <c r="E381" s="21"/>
      <c r="F381" s="21"/>
      <c r="G381" s="21"/>
      <c r="H381" s="21"/>
      <c r="I381" s="21" t="str">
        <f>IF(G381="","",VLOOKUP(G381,frecuencia[#ALL],2,0))</f>
        <v/>
      </c>
      <c r="J381" s="21" t="str">
        <f>IF(H381="","",VLOOKUP(H381,tipo_donante[#ALL],2,0))</f>
        <v/>
      </c>
      <c r="K381" s="24"/>
    </row>
    <row r="382">
      <c r="A382" s="21"/>
      <c r="B382" s="21"/>
      <c r="C382" s="23"/>
      <c r="D382" s="21"/>
      <c r="E382" s="21"/>
      <c r="F382" s="21"/>
      <c r="G382" s="21"/>
      <c r="H382" s="21"/>
      <c r="I382" s="21" t="str">
        <f>IF(G382="","",VLOOKUP(G382,frecuencia[#ALL],2,0))</f>
        <v/>
      </c>
      <c r="J382" s="21" t="str">
        <f>IF(H382="","",VLOOKUP(H382,tipo_donante[#ALL],2,0))</f>
        <v/>
      </c>
      <c r="K382" s="24"/>
    </row>
    <row r="383">
      <c r="A383" s="21"/>
      <c r="B383" s="21"/>
      <c r="C383" s="23"/>
      <c r="D383" s="21"/>
      <c r="E383" s="21"/>
      <c r="F383" s="21"/>
      <c r="G383" s="21"/>
      <c r="H383" s="21"/>
      <c r="I383" s="21" t="str">
        <f>IF(G383="","",VLOOKUP(G383,frecuencia[#ALL],2,0))</f>
        <v/>
      </c>
      <c r="J383" s="21" t="str">
        <f>IF(H383="","",VLOOKUP(H383,tipo_donante[#ALL],2,0))</f>
        <v/>
      </c>
      <c r="K383" s="24"/>
    </row>
    <row r="384">
      <c r="A384" s="21"/>
      <c r="B384" s="21"/>
      <c r="C384" s="23"/>
      <c r="D384" s="21"/>
      <c r="E384" s="21"/>
      <c r="F384" s="21"/>
      <c r="G384" s="21"/>
      <c r="H384" s="21"/>
      <c r="I384" s="21" t="str">
        <f>IF(G384="","",VLOOKUP(G384,frecuencia[#ALL],2,0))</f>
        <v/>
      </c>
      <c r="J384" s="21" t="str">
        <f>IF(H384="","",VLOOKUP(H384,tipo_donante[#ALL],2,0))</f>
        <v/>
      </c>
      <c r="K384" s="24"/>
    </row>
    <row r="385">
      <c r="A385" s="21"/>
      <c r="B385" s="21"/>
      <c r="C385" s="23"/>
      <c r="D385" s="21"/>
      <c r="E385" s="21"/>
      <c r="F385" s="21"/>
      <c r="G385" s="21"/>
      <c r="H385" s="21"/>
      <c r="I385" s="21" t="str">
        <f>IF(G385="","",VLOOKUP(G385,frecuencia[#ALL],2,0))</f>
        <v/>
      </c>
      <c r="J385" s="21" t="str">
        <f>IF(H385="","",VLOOKUP(H385,tipo_donante[#ALL],2,0))</f>
        <v/>
      </c>
      <c r="K385" s="24"/>
    </row>
    <row r="386">
      <c r="A386" s="21"/>
      <c r="B386" s="21"/>
      <c r="C386" s="23"/>
      <c r="D386" s="21"/>
      <c r="E386" s="21"/>
      <c r="F386" s="21"/>
      <c r="G386" s="21"/>
      <c r="H386" s="21"/>
      <c r="I386" s="21" t="str">
        <f>IF(G386="","",VLOOKUP(G386,frecuencia[#ALL],2,0))</f>
        <v/>
      </c>
      <c r="J386" s="21" t="str">
        <f>IF(H386="","",VLOOKUP(H386,tipo_donante[#ALL],2,0))</f>
        <v/>
      </c>
      <c r="K386" s="24"/>
    </row>
    <row r="387">
      <c r="A387" s="21"/>
      <c r="B387" s="21"/>
      <c r="C387" s="23"/>
      <c r="D387" s="21"/>
      <c r="E387" s="21"/>
      <c r="F387" s="21"/>
      <c r="G387" s="21"/>
      <c r="H387" s="21"/>
      <c r="I387" s="21" t="str">
        <f>IF(G387="","",VLOOKUP(G387,frecuencia[#ALL],2,0))</f>
        <v/>
      </c>
      <c r="J387" s="21" t="str">
        <f>IF(H387="","",VLOOKUP(H387,tipo_donante[#ALL],2,0))</f>
        <v/>
      </c>
      <c r="K387" s="24"/>
    </row>
    <row r="388">
      <c r="A388" s="21"/>
      <c r="B388" s="21"/>
      <c r="C388" s="23"/>
      <c r="D388" s="21"/>
      <c r="E388" s="21"/>
      <c r="F388" s="21"/>
      <c r="G388" s="21"/>
      <c r="H388" s="21"/>
      <c r="I388" s="21" t="str">
        <f>IF(G388="","",VLOOKUP(G388,frecuencia[#ALL],2,0))</f>
        <v/>
      </c>
      <c r="J388" s="21" t="str">
        <f>IF(H388="","",VLOOKUP(H388,tipo_donante[#ALL],2,0))</f>
        <v/>
      </c>
      <c r="K388" s="24"/>
    </row>
    <row r="389">
      <c r="A389" s="21"/>
      <c r="B389" s="21"/>
      <c r="C389" s="23"/>
      <c r="D389" s="21"/>
      <c r="E389" s="21"/>
      <c r="F389" s="21"/>
      <c r="G389" s="21"/>
      <c r="H389" s="21"/>
      <c r="I389" s="21" t="str">
        <f>IF(G389="","",VLOOKUP(G389,frecuencia[#ALL],2,0))</f>
        <v/>
      </c>
      <c r="J389" s="21" t="str">
        <f>IF(H389="","",VLOOKUP(H389,tipo_donante[#ALL],2,0))</f>
        <v/>
      </c>
      <c r="K389" s="24"/>
    </row>
    <row r="390">
      <c r="A390" s="21"/>
      <c r="B390" s="21"/>
      <c r="C390" s="23"/>
      <c r="D390" s="21"/>
      <c r="E390" s="21"/>
      <c r="F390" s="21"/>
      <c r="G390" s="21"/>
      <c r="H390" s="21"/>
      <c r="I390" s="21" t="str">
        <f>IF(G390="","",VLOOKUP(G390,frecuencia[#ALL],2,0))</f>
        <v/>
      </c>
      <c r="J390" s="21" t="str">
        <f>IF(H390="","",VLOOKUP(H390,tipo_donante[#ALL],2,0))</f>
        <v/>
      </c>
      <c r="K390" s="24"/>
    </row>
    <row r="391">
      <c r="A391" s="21"/>
      <c r="B391" s="21"/>
      <c r="C391" s="23"/>
      <c r="D391" s="21"/>
      <c r="E391" s="21"/>
      <c r="F391" s="21"/>
      <c r="G391" s="21"/>
      <c r="H391" s="21"/>
      <c r="I391" s="21" t="str">
        <f>IF(G391="","",VLOOKUP(G391,frecuencia[#ALL],2,0))</f>
        <v/>
      </c>
      <c r="J391" s="21" t="str">
        <f>IF(H391="","",VLOOKUP(H391,tipo_donante[#ALL],2,0))</f>
        <v/>
      </c>
      <c r="K391" s="24"/>
    </row>
    <row r="392">
      <c r="A392" s="21"/>
      <c r="B392" s="21"/>
      <c r="C392" s="23"/>
      <c r="D392" s="21"/>
      <c r="E392" s="21"/>
      <c r="F392" s="21"/>
      <c r="G392" s="21"/>
      <c r="H392" s="21"/>
      <c r="I392" s="21" t="str">
        <f>IF(G392="","",VLOOKUP(G392,frecuencia[#ALL],2,0))</f>
        <v/>
      </c>
      <c r="J392" s="21" t="str">
        <f>IF(H392="","",VLOOKUP(H392,tipo_donante[#ALL],2,0))</f>
        <v/>
      </c>
      <c r="K392" s="24"/>
    </row>
    <row r="393">
      <c r="A393" s="21"/>
      <c r="B393" s="21"/>
      <c r="C393" s="23"/>
      <c r="D393" s="21"/>
      <c r="E393" s="21"/>
      <c r="F393" s="21"/>
      <c r="G393" s="21"/>
      <c r="H393" s="21"/>
      <c r="I393" s="21" t="str">
        <f>IF(G393="","",VLOOKUP(G393,frecuencia[#ALL],2,0))</f>
        <v/>
      </c>
      <c r="J393" s="21" t="str">
        <f>IF(H393="","",VLOOKUP(H393,tipo_donante[#ALL],2,0))</f>
        <v/>
      </c>
      <c r="K393" s="24"/>
    </row>
    <row r="394">
      <c r="A394" s="21"/>
      <c r="B394" s="21"/>
      <c r="C394" s="23"/>
      <c r="D394" s="21"/>
      <c r="E394" s="21"/>
      <c r="F394" s="21"/>
      <c r="G394" s="21"/>
      <c r="H394" s="21"/>
      <c r="I394" s="21" t="str">
        <f>IF(G394="","",VLOOKUP(G394,frecuencia[#ALL],2,0))</f>
        <v/>
      </c>
      <c r="J394" s="21" t="str">
        <f>IF(H394="","",VLOOKUP(H394,tipo_donante[#ALL],2,0))</f>
        <v/>
      </c>
      <c r="K394" s="24"/>
    </row>
    <row r="395">
      <c r="A395" s="21"/>
      <c r="B395" s="21"/>
      <c r="C395" s="23"/>
      <c r="D395" s="21"/>
      <c r="E395" s="21"/>
      <c r="F395" s="21"/>
      <c r="G395" s="21"/>
      <c r="H395" s="21"/>
      <c r="I395" s="21" t="str">
        <f>IF(G395="","",VLOOKUP(G395,frecuencia[#ALL],2,0))</f>
        <v/>
      </c>
      <c r="J395" s="21" t="str">
        <f>IF(H395="","",VLOOKUP(H395,tipo_donante[#ALL],2,0))</f>
        <v/>
      </c>
      <c r="K395" s="24"/>
    </row>
    <row r="396">
      <c r="A396" s="21"/>
      <c r="B396" s="21"/>
      <c r="C396" s="23"/>
      <c r="D396" s="21"/>
      <c r="E396" s="21"/>
      <c r="F396" s="21"/>
      <c r="G396" s="21"/>
      <c r="H396" s="21"/>
      <c r="I396" s="21" t="str">
        <f>IF(G396="","",VLOOKUP(G396,frecuencia[#ALL],2,0))</f>
        <v/>
      </c>
      <c r="J396" s="21" t="str">
        <f>IF(H396="","",VLOOKUP(H396,tipo_donante[#ALL],2,0))</f>
        <v/>
      </c>
      <c r="K396" s="24"/>
    </row>
    <row r="397">
      <c r="A397" s="21"/>
      <c r="B397" s="21"/>
      <c r="C397" s="23"/>
      <c r="D397" s="21"/>
      <c r="E397" s="21"/>
      <c r="F397" s="21"/>
      <c r="G397" s="21"/>
      <c r="H397" s="21"/>
      <c r="I397" s="21" t="str">
        <f>IF(G397="","",VLOOKUP(G397,frecuencia[#ALL],2,0))</f>
        <v/>
      </c>
      <c r="J397" s="21" t="str">
        <f>IF(H397="","",VLOOKUP(H397,tipo_donante[#ALL],2,0))</f>
        <v/>
      </c>
      <c r="K397" s="24"/>
    </row>
    <row r="398">
      <c r="A398" s="21"/>
      <c r="B398" s="21"/>
      <c r="C398" s="23"/>
      <c r="D398" s="21"/>
      <c r="E398" s="21"/>
      <c r="F398" s="21"/>
      <c r="G398" s="21"/>
      <c r="H398" s="21"/>
      <c r="I398" s="21" t="str">
        <f>IF(G398="","",VLOOKUP(G398,frecuencia[#ALL],2,0))</f>
        <v/>
      </c>
      <c r="J398" s="21" t="str">
        <f>IF(H398="","",VLOOKUP(H398,tipo_donante[#ALL],2,0))</f>
        <v/>
      </c>
      <c r="K398" s="24"/>
    </row>
    <row r="399">
      <c r="A399" s="21"/>
      <c r="B399" s="21"/>
      <c r="C399" s="23"/>
      <c r="D399" s="21"/>
      <c r="E399" s="21"/>
      <c r="F399" s="21"/>
      <c r="G399" s="21"/>
      <c r="H399" s="21"/>
      <c r="I399" s="21" t="str">
        <f>IF(G399="","",VLOOKUP(G399,frecuencia[#ALL],2,0))</f>
        <v/>
      </c>
      <c r="J399" s="21" t="str">
        <f>IF(H399="","",VLOOKUP(H399,tipo_donante[#ALL],2,0))</f>
        <v/>
      </c>
      <c r="K399" s="24"/>
    </row>
    <row r="400">
      <c r="A400" s="21"/>
      <c r="B400" s="21"/>
      <c r="C400" s="23"/>
      <c r="D400" s="21"/>
      <c r="E400" s="21"/>
      <c r="F400" s="21"/>
      <c r="G400" s="21"/>
      <c r="H400" s="21"/>
      <c r="I400" s="21" t="str">
        <f>IF(G400="","",VLOOKUP(G400,frecuencia[#ALL],2,0))</f>
        <v/>
      </c>
      <c r="J400" s="21" t="str">
        <f>IF(H400="","",VLOOKUP(H400,tipo_donante[#ALL],2,0))</f>
        <v/>
      </c>
      <c r="K400" s="24"/>
    </row>
    <row r="401">
      <c r="A401" s="21"/>
      <c r="B401" s="21"/>
      <c r="C401" s="23"/>
      <c r="D401" s="21"/>
      <c r="E401" s="21"/>
      <c r="F401" s="21"/>
      <c r="G401" s="21"/>
      <c r="H401" s="21"/>
      <c r="I401" s="21" t="str">
        <f>IF(G401="","",VLOOKUP(G401,frecuencia[#ALL],2,0))</f>
        <v/>
      </c>
      <c r="J401" s="21" t="str">
        <f>IF(H401="","",VLOOKUP(H401,tipo_donante[#ALL],2,0))</f>
        <v/>
      </c>
      <c r="K401" s="24"/>
    </row>
    <row r="402">
      <c r="A402" s="21"/>
      <c r="B402" s="21"/>
      <c r="C402" s="23"/>
      <c r="D402" s="21"/>
      <c r="E402" s="21"/>
      <c r="F402" s="21"/>
      <c r="G402" s="21"/>
      <c r="H402" s="21"/>
      <c r="I402" s="21" t="str">
        <f>IF(G402="","",VLOOKUP(G402,frecuencia[#ALL],2,0))</f>
        <v/>
      </c>
      <c r="J402" s="21" t="str">
        <f>IF(H402="","",VLOOKUP(H402,tipo_donante[#ALL],2,0))</f>
        <v/>
      </c>
      <c r="K402" s="24"/>
    </row>
    <row r="403">
      <c r="A403" s="21"/>
      <c r="B403" s="21"/>
      <c r="C403" s="23"/>
      <c r="D403" s="21"/>
      <c r="E403" s="21"/>
      <c r="F403" s="21"/>
      <c r="G403" s="21"/>
      <c r="H403" s="21"/>
      <c r="I403" s="21" t="str">
        <f>IF(G403="","",VLOOKUP(G403,frecuencia[#ALL],2,0))</f>
        <v/>
      </c>
      <c r="J403" s="21" t="str">
        <f>IF(H403="","",VLOOKUP(H403,tipo_donante[#ALL],2,0))</f>
        <v/>
      </c>
      <c r="K403" s="24"/>
    </row>
    <row r="404">
      <c r="A404" s="21"/>
      <c r="B404" s="21"/>
      <c r="C404" s="23"/>
      <c r="D404" s="21"/>
      <c r="E404" s="21"/>
      <c r="F404" s="21"/>
      <c r="G404" s="21"/>
      <c r="H404" s="21"/>
      <c r="I404" s="21" t="str">
        <f>IF(G404="","",VLOOKUP(G404,frecuencia[#ALL],2,0))</f>
        <v/>
      </c>
      <c r="J404" s="21" t="str">
        <f>IF(H404="","",VLOOKUP(H404,tipo_donante[#ALL],2,0))</f>
        <v/>
      </c>
      <c r="K404" s="24"/>
    </row>
    <row r="405">
      <c r="A405" s="21"/>
      <c r="B405" s="21"/>
      <c r="C405" s="23"/>
      <c r="D405" s="21"/>
      <c r="E405" s="21"/>
      <c r="F405" s="21"/>
      <c r="G405" s="21"/>
      <c r="H405" s="21"/>
      <c r="I405" s="21" t="str">
        <f>IF(G405="","",VLOOKUP(G405,frecuencia[#ALL],2,0))</f>
        <v/>
      </c>
      <c r="J405" s="21" t="str">
        <f>IF(H405="","",VLOOKUP(H405,tipo_donante[#ALL],2,0))</f>
        <v/>
      </c>
      <c r="K405" s="24"/>
    </row>
    <row r="406">
      <c r="A406" s="21"/>
      <c r="B406" s="21"/>
      <c r="C406" s="23"/>
      <c r="D406" s="21"/>
      <c r="E406" s="21"/>
      <c r="F406" s="21"/>
      <c r="G406" s="21"/>
      <c r="H406" s="21"/>
      <c r="I406" s="21" t="str">
        <f>IF(G406="","",VLOOKUP(G406,frecuencia[#ALL],2,0))</f>
        <v/>
      </c>
      <c r="J406" s="21" t="str">
        <f>IF(H406="","",VLOOKUP(H406,tipo_donante[#ALL],2,0))</f>
        <v/>
      </c>
      <c r="K406" s="24"/>
    </row>
    <row r="407">
      <c r="A407" s="21"/>
      <c r="B407" s="21"/>
      <c r="C407" s="23"/>
      <c r="D407" s="21"/>
      <c r="E407" s="21"/>
      <c r="F407" s="21"/>
      <c r="G407" s="21"/>
      <c r="H407" s="21"/>
      <c r="I407" s="21" t="str">
        <f>IF(G407="","",VLOOKUP(G407,frecuencia[#ALL],2,0))</f>
        <v/>
      </c>
      <c r="J407" s="21" t="str">
        <f>IF(H407="","",VLOOKUP(H407,tipo_donante[#ALL],2,0))</f>
        <v/>
      </c>
      <c r="K407" s="24"/>
    </row>
    <row r="408">
      <c r="A408" s="21"/>
      <c r="B408" s="21"/>
      <c r="C408" s="23"/>
      <c r="D408" s="21"/>
      <c r="E408" s="21"/>
      <c r="F408" s="21"/>
      <c r="G408" s="21"/>
      <c r="H408" s="21"/>
      <c r="I408" s="21" t="str">
        <f>IF(G408="","",VLOOKUP(G408,frecuencia[#ALL],2,0))</f>
        <v/>
      </c>
      <c r="J408" s="21" t="str">
        <f>IF(H408="","",VLOOKUP(H408,tipo_donante[#ALL],2,0))</f>
        <v/>
      </c>
      <c r="K408" s="24"/>
    </row>
    <row r="409">
      <c r="A409" s="21"/>
      <c r="B409" s="21"/>
      <c r="C409" s="23"/>
      <c r="D409" s="21"/>
      <c r="E409" s="21"/>
      <c r="F409" s="21"/>
      <c r="G409" s="21"/>
      <c r="H409" s="21"/>
      <c r="I409" s="21" t="str">
        <f>IF(G409="","",VLOOKUP(G409,frecuencia[#ALL],2,0))</f>
        <v/>
      </c>
      <c r="J409" s="21" t="str">
        <f>IF(H409="","",VLOOKUP(H409,tipo_donante[#ALL],2,0))</f>
        <v/>
      </c>
      <c r="K409" s="24"/>
    </row>
    <row r="410">
      <c r="A410" s="21"/>
      <c r="B410" s="21"/>
      <c r="C410" s="23"/>
      <c r="D410" s="21"/>
      <c r="E410" s="21"/>
      <c r="F410" s="21"/>
      <c r="G410" s="21"/>
      <c r="H410" s="21"/>
      <c r="I410" s="21" t="str">
        <f>IF(G410="","",VLOOKUP(G410,frecuencia[#ALL],2,0))</f>
        <v/>
      </c>
      <c r="J410" s="21" t="str">
        <f>IF(H410="","",VLOOKUP(H410,tipo_donante[#ALL],2,0))</f>
        <v/>
      </c>
      <c r="K410" s="24"/>
    </row>
    <row r="411">
      <c r="A411" s="21"/>
      <c r="B411" s="21"/>
      <c r="C411" s="23"/>
      <c r="D411" s="21"/>
      <c r="E411" s="21"/>
      <c r="F411" s="21"/>
      <c r="G411" s="21"/>
      <c r="H411" s="21"/>
      <c r="I411" s="21" t="str">
        <f>IF(G411="","",VLOOKUP(G411,frecuencia[#ALL],2,0))</f>
        <v/>
      </c>
      <c r="J411" s="21" t="str">
        <f>IF(H411="","",VLOOKUP(H411,tipo_donante[#ALL],2,0))</f>
        <v/>
      </c>
      <c r="K411" s="24"/>
    </row>
    <row r="412">
      <c r="A412" s="21"/>
      <c r="B412" s="21"/>
      <c r="C412" s="23"/>
      <c r="D412" s="21"/>
      <c r="E412" s="21"/>
      <c r="F412" s="21"/>
      <c r="G412" s="21"/>
      <c r="H412" s="21"/>
      <c r="I412" s="21" t="str">
        <f>IF(G412="","",VLOOKUP(G412,frecuencia[#ALL],2,0))</f>
        <v/>
      </c>
      <c r="J412" s="21" t="str">
        <f>IF(H412="","",VLOOKUP(H412,tipo_donante[#ALL],2,0))</f>
        <v/>
      </c>
      <c r="K412" s="24"/>
    </row>
    <row r="413">
      <c r="A413" s="21"/>
      <c r="B413" s="21"/>
      <c r="C413" s="23"/>
      <c r="D413" s="21"/>
      <c r="E413" s="21"/>
      <c r="F413" s="21"/>
      <c r="G413" s="21"/>
      <c r="H413" s="21"/>
      <c r="I413" s="21" t="str">
        <f>IF(G413="","",VLOOKUP(G413,frecuencia[#ALL],2,0))</f>
        <v/>
      </c>
      <c r="J413" s="21" t="str">
        <f>IF(H413="","",VLOOKUP(H413,tipo_donante[#ALL],2,0))</f>
        <v/>
      </c>
      <c r="K413" s="24"/>
    </row>
    <row r="414">
      <c r="A414" s="21"/>
      <c r="B414" s="21"/>
      <c r="C414" s="23"/>
      <c r="D414" s="21"/>
      <c r="E414" s="21"/>
      <c r="F414" s="21"/>
      <c r="G414" s="21"/>
      <c r="H414" s="21"/>
      <c r="I414" s="21" t="str">
        <f>IF(G414="","",VLOOKUP(G414,frecuencia[#ALL],2,0))</f>
        <v/>
      </c>
      <c r="J414" s="21" t="str">
        <f>IF(H414="","",VLOOKUP(H414,tipo_donante[#ALL],2,0))</f>
        <v/>
      </c>
      <c r="K414" s="24"/>
    </row>
    <row r="415">
      <c r="A415" s="21"/>
      <c r="B415" s="21"/>
      <c r="C415" s="23"/>
      <c r="D415" s="21"/>
      <c r="E415" s="21"/>
      <c r="F415" s="21"/>
      <c r="G415" s="21"/>
      <c r="H415" s="21"/>
      <c r="I415" s="21" t="str">
        <f>IF(G415="","",VLOOKUP(G415,frecuencia[#ALL],2,0))</f>
        <v/>
      </c>
      <c r="J415" s="21" t="str">
        <f>IF(H415="","",VLOOKUP(H415,tipo_donante[#ALL],2,0))</f>
        <v/>
      </c>
      <c r="K415" s="24"/>
    </row>
    <row r="416">
      <c r="A416" s="21"/>
      <c r="B416" s="21"/>
      <c r="C416" s="23"/>
      <c r="D416" s="21"/>
      <c r="E416" s="21"/>
      <c r="F416" s="21"/>
      <c r="G416" s="21"/>
      <c r="H416" s="21"/>
      <c r="I416" s="21" t="str">
        <f>IF(G416="","",VLOOKUP(G416,frecuencia[#ALL],2,0))</f>
        <v/>
      </c>
      <c r="J416" s="21" t="str">
        <f>IF(H416="","",VLOOKUP(H416,tipo_donante[#ALL],2,0))</f>
        <v/>
      </c>
      <c r="K416" s="24"/>
    </row>
    <row r="417">
      <c r="A417" s="21"/>
      <c r="B417" s="21"/>
      <c r="C417" s="23"/>
      <c r="D417" s="21"/>
      <c r="E417" s="21"/>
      <c r="F417" s="21"/>
      <c r="G417" s="21"/>
      <c r="H417" s="21"/>
      <c r="I417" s="21" t="str">
        <f>IF(G417="","",VLOOKUP(G417,frecuencia[#ALL],2,0))</f>
        <v/>
      </c>
      <c r="J417" s="21" t="str">
        <f>IF(H417="","",VLOOKUP(H417,tipo_donante[#ALL],2,0))</f>
        <v/>
      </c>
      <c r="K417" s="24"/>
    </row>
    <row r="418">
      <c r="A418" s="21"/>
      <c r="B418" s="21"/>
      <c r="C418" s="23"/>
      <c r="D418" s="21"/>
      <c r="E418" s="21"/>
      <c r="F418" s="21"/>
      <c r="G418" s="21"/>
      <c r="H418" s="21"/>
      <c r="I418" s="21" t="str">
        <f>IF(G418="","",VLOOKUP(G418,frecuencia[#ALL],2,0))</f>
        <v/>
      </c>
      <c r="J418" s="21" t="str">
        <f>IF(H418="","",VLOOKUP(H418,tipo_donante[#ALL],2,0))</f>
        <v/>
      </c>
      <c r="K418" s="24"/>
    </row>
    <row r="419">
      <c r="A419" s="21"/>
      <c r="B419" s="21"/>
      <c r="C419" s="23"/>
      <c r="D419" s="21"/>
      <c r="E419" s="21"/>
      <c r="F419" s="21"/>
      <c r="G419" s="21"/>
      <c r="H419" s="21"/>
      <c r="I419" s="21" t="str">
        <f>IF(G419="","",VLOOKUP(G419,frecuencia[#ALL],2,0))</f>
        <v/>
      </c>
      <c r="J419" s="21" t="str">
        <f>IF(H419="","",VLOOKUP(H419,tipo_donante[#ALL],2,0))</f>
        <v/>
      </c>
      <c r="K419" s="24"/>
    </row>
    <row r="420">
      <c r="A420" s="21"/>
      <c r="B420" s="21"/>
      <c r="C420" s="23"/>
      <c r="D420" s="21"/>
      <c r="E420" s="21"/>
      <c r="F420" s="21"/>
      <c r="G420" s="21"/>
      <c r="H420" s="21"/>
      <c r="I420" s="21" t="str">
        <f>IF(G420="","",VLOOKUP(G420,frecuencia[#ALL],2,0))</f>
        <v/>
      </c>
      <c r="J420" s="21" t="str">
        <f>IF(H420="","",VLOOKUP(H420,tipo_donante[#ALL],2,0))</f>
        <v/>
      </c>
      <c r="K420" s="24"/>
    </row>
    <row r="421">
      <c r="A421" s="21"/>
      <c r="B421" s="21"/>
      <c r="C421" s="23"/>
      <c r="D421" s="21"/>
      <c r="E421" s="21"/>
      <c r="F421" s="21"/>
      <c r="G421" s="21"/>
      <c r="H421" s="21"/>
      <c r="I421" s="21" t="str">
        <f>IF(G421="","",VLOOKUP(G421,frecuencia[#ALL],2,0))</f>
        <v/>
      </c>
      <c r="J421" s="21" t="str">
        <f>IF(H421="","",VLOOKUP(H421,tipo_donante[#ALL],2,0))</f>
        <v/>
      </c>
      <c r="K421" s="24"/>
    </row>
    <row r="422">
      <c r="A422" s="21"/>
      <c r="B422" s="21"/>
      <c r="C422" s="23"/>
      <c r="D422" s="21"/>
      <c r="E422" s="21"/>
      <c r="F422" s="21"/>
      <c r="G422" s="21"/>
      <c r="H422" s="21"/>
      <c r="I422" s="21" t="str">
        <f>IF(G422="","",VLOOKUP(G422,frecuencia[#ALL],2,0))</f>
        <v/>
      </c>
      <c r="J422" s="21" t="str">
        <f>IF(H422="","",VLOOKUP(H422,tipo_donante[#ALL],2,0))</f>
        <v/>
      </c>
      <c r="K422" s="24"/>
    </row>
    <row r="423">
      <c r="A423" s="21"/>
      <c r="B423" s="21"/>
      <c r="C423" s="23"/>
      <c r="D423" s="21"/>
      <c r="E423" s="21"/>
      <c r="F423" s="21"/>
      <c r="G423" s="21"/>
      <c r="H423" s="21"/>
      <c r="I423" s="21" t="str">
        <f>IF(G423="","",VLOOKUP(G423,frecuencia[#ALL],2,0))</f>
        <v/>
      </c>
      <c r="J423" s="21" t="str">
        <f>IF(H423="","",VLOOKUP(H423,tipo_donante[#ALL],2,0))</f>
        <v/>
      </c>
      <c r="K423" s="24"/>
    </row>
    <row r="424">
      <c r="A424" s="21"/>
      <c r="B424" s="21"/>
      <c r="C424" s="23"/>
      <c r="D424" s="21"/>
      <c r="E424" s="21"/>
      <c r="F424" s="21"/>
      <c r="G424" s="21"/>
      <c r="H424" s="21"/>
      <c r="I424" s="21" t="str">
        <f>IF(G424="","",VLOOKUP(G424,frecuencia[#ALL],2,0))</f>
        <v/>
      </c>
      <c r="J424" s="21" t="str">
        <f>IF(H424="","",VLOOKUP(H424,tipo_donante[#ALL],2,0))</f>
        <v/>
      </c>
      <c r="K424" s="24"/>
    </row>
    <row r="425">
      <c r="A425" s="21"/>
      <c r="B425" s="21"/>
      <c r="C425" s="23"/>
      <c r="D425" s="21"/>
      <c r="E425" s="21"/>
      <c r="F425" s="21"/>
      <c r="G425" s="21"/>
      <c r="H425" s="21"/>
      <c r="I425" s="21" t="str">
        <f>IF(G425="","",VLOOKUP(G425,frecuencia[#ALL],2,0))</f>
        <v/>
      </c>
      <c r="J425" s="21" t="str">
        <f>IF(H425="","",VLOOKUP(H425,tipo_donante[#ALL],2,0))</f>
        <v/>
      </c>
      <c r="K425" s="24"/>
    </row>
    <row r="426">
      <c r="A426" s="21"/>
      <c r="B426" s="21"/>
      <c r="C426" s="23"/>
      <c r="D426" s="21"/>
      <c r="E426" s="21"/>
      <c r="F426" s="21"/>
      <c r="G426" s="21"/>
      <c r="H426" s="21"/>
      <c r="I426" s="21" t="str">
        <f>IF(G426="","",VLOOKUP(G426,frecuencia[#ALL],2,0))</f>
        <v/>
      </c>
      <c r="J426" s="21" t="str">
        <f>IF(H426="","",VLOOKUP(H426,tipo_donante[#ALL],2,0))</f>
        <v/>
      </c>
      <c r="K426" s="24"/>
    </row>
    <row r="427">
      <c r="A427" s="21"/>
      <c r="B427" s="21"/>
      <c r="C427" s="23"/>
      <c r="D427" s="21"/>
      <c r="E427" s="21"/>
      <c r="F427" s="21"/>
      <c r="G427" s="21"/>
      <c r="H427" s="21"/>
      <c r="I427" s="21" t="str">
        <f>IF(G427="","",VLOOKUP(G427,frecuencia[#ALL],2,0))</f>
        <v/>
      </c>
      <c r="J427" s="21" t="str">
        <f>IF(H427="","",VLOOKUP(H427,tipo_donante[#ALL],2,0))</f>
        <v/>
      </c>
      <c r="K427" s="24"/>
    </row>
    <row r="428">
      <c r="A428" s="21"/>
      <c r="B428" s="21"/>
      <c r="C428" s="23"/>
      <c r="D428" s="21"/>
      <c r="E428" s="21"/>
      <c r="F428" s="21"/>
      <c r="G428" s="21"/>
      <c r="H428" s="21"/>
      <c r="I428" s="21" t="str">
        <f>IF(G428="","",VLOOKUP(G428,frecuencia[#ALL],2,0))</f>
        <v/>
      </c>
      <c r="J428" s="21" t="str">
        <f>IF(H428="","",VLOOKUP(H428,tipo_donante[#ALL],2,0))</f>
        <v/>
      </c>
      <c r="K428" s="24"/>
    </row>
    <row r="429">
      <c r="A429" s="21"/>
      <c r="B429" s="21"/>
      <c r="C429" s="23"/>
      <c r="D429" s="21"/>
      <c r="E429" s="21"/>
      <c r="F429" s="21"/>
      <c r="G429" s="21"/>
      <c r="H429" s="21"/>
      <c r="I429" s="21" t="str">
        <f>IF(G429="","",VLOOKUP(G429,frecuencia[#ALL],2,0))</f>
        <v/>
      </c>
      <c r="J429" s="21" t="str">
        <f>IF(H429="","",VLOOKUP(H429,tipo_donante[#ALL],2,0))</f>
        <v/>
      </c>
      <c r="K429" s="24"/>
    </row>
    <row r="430">
      <c r="A430" s="21"/>
      <c r="B430" s="21"/>
      <c r="C430" s="23"/>
      <c r="D430" s="21"/>
      <c r="E430" s="21"/>
      <c r="F430" s="21"/>
      <c r="G430" s="21"/>
      <c r="H430" s="21"/>
      <c r="I430" s="21" t="str">
        <f>IF(G430="","",VLOOKUP(G430,frecuencia[#ALL],2,0))</f>
        <v/>
      </c>
      <c r="J430" s="21" t="str">
        <f>IF(H430="","",VLOOKUP(H430,tipo_donante[#ALL],2,0))</f>
        <v/>
      </c>
      <c r="K430" s="24"/>
    </row>
    <row r="431">
      <c r="A431" s="21"/>
      <c r="B431" s="21"/>
      <c r="C431" s="23"/>
      <c r="D431" s="21"/>
      <c r="E431" s="21"/>
      <c r="F431" s="21"/>
      <c r="G431" s="21"/>
      <c r="H431" s="21"/>
      <c r="I431" s="21" t="str">
        <f>IF(G431="","",VLOOKUP(G431,frecuencia[#ALL],2,0))</f>
        <v/>
      </c>
      <c r="J431" s="21" t="str">
        <f>IF(H431="","",VLOOKUP(H431,tipo_donante[#ALL],2,0))</f>
        <v/>
      </c>
      <c r="K431" s="24"/>
    </row>
    <row r="432">
      <c r="A432" s="21"/>
      <c r="B432" s="21"/>
      <c r="C432" s="23"/>
      <c r="D432" s="21"/>
      <c r="E432" s="21"/>
      <c r="F432" s="21"/>
      <c r="G432" s="21"/>
      <c r="H432" s="21"/>
      <c r="I432" s="21" t="str">
        <f>IF(G432="","",VLOOKUP(G432,frecuencia[#ALL],2,0))</f>
        <v/>
      </c>
      <c r="J432" s="21" t="str">
        <f>IF(H432="","",VLOOKUP(H432,tipo_donante[#ALL],2,0))</f>
        <v/>
      </c>
      <c r="K432" s="24"/>
    </row>
    <row r="433">
      <c r="A433" s="21"/>
      <c r="B433" s="21"/>
      <c r="C433" s="23"/>
      <c r="D433" s="21"/>
      <c r="E433" s="21"/>
      <c r="F433" s="21"/>
      <c r="G433" s="21"/>
      <c r="H433" s="21"/>
      <c r="I433" s="21" t="str">
        <f>IF(G433="","",VLOOKUP(G433,frecuencia[#ALL],2,0))</f>
        <v/>
      </c>
      <c r="J433" s="21" t="str">
        <f>IF(H433="","",VLOOKUP(H433,tipo_donante[#ALL],2,0))</f>
        <v/>
      </c>
      <c r="K433" s="24"/>
    </row>
    <row r="434">
      <c r="A434" s="21"/>
      <c r="B434" s="21"/>
      <c r="C434" s="23"/>
      <c r="D434" s="21"/>
      <c r="E434" s="21"/>
      <c r="F434" s="21"/>
      <c r="G434" s="21"/>
      <c r="H434" s="21"/>
      <c r="I434" s="21" t="str">
        <f>IF(G434="","",VLOOKUP(G434,frecuencia[#ALL],2,0))</f>
        <v/>
      </c>
      <c r="J434" s="21" t="str">
        <f>IF(H434="","",VLOOKUP(H434,tipo_donante[#ALL],2,0))</f>
        <v/>
      </c>
      <c r="K434" s="24"/>
    </row>
    <row r="435">
      <c r="A435" s="21"/>
      <c r="B435" s="21"/>
      <c r="C435" s="23"/>
      <c r="D435" s="21"/>
      <c r="E435" s="21"/>
      <c r="F435" s="21"/>
      <c r="G435" s="21"/>
      <c r="H435" s="21"/>
      <c r="I435" s="21" t="str">
        <f>IF(G435="","",VLOOKUP(G435,frecuencia[#ALL],2,0))</f>
        <v/>
      </c>
      <c r="J435" s="21" t="str">
        <f>IF(H435="","",VLOOKUP(H435,tipo_donante[#ALL],2,0))</f>
        <v/>
      </c>
      <c r="K435" s="24"/>
    </row>
    <row r="436">
      <c r="A436" s="21"/>
      <c r="B436" s="21"/>
      <c r="C436" s="23"/>
      <c r="D436" s="21"/>
      <c r="E436" s="21"/>
      <c r="F436" s="21"/>
      <c r="G436" s="21"/>
      <c r="H436" s="21"/>
      <c r="I436" s="21" t="str">
        <f>IF(G436="","",VLOOKUP(G436,frecuencia[#ALL],2,0))</f>
        <v/>
      </c>
      <c r="J436" s="21" t="str">
        <f>IF(H436="","",VLOOKUP(H436,tipo_donante[#ALL],2,0))</f>
        <v/>
      </c>
      <c r="K436" s="24"/>
    </row>
    <row r="437">
      <c r="A437" s="21"/>
      <c r="B437" s="21"/>
      <c r="C437" s="23"/>
      <c r="D437" s="21"/>
      <c r="E437" s="21"/>
      <c r="F437" s="21"/>
      <c r="G437" s="21"/>
      <c r="H437" s="21"/>
      <c r="I437" s="21" t="str">
        <f>IF(G437="","",VLOOKUP(G437,frecuencia[#ALL],2,0))</f>
        <v/>
      </c>
      <c r="J437" s="21" t="str">
        <f>IF(H437="","",VLOOKUP(H437,tipo_donante[#ALL],2,0))</f>
        <v/>
      </c>
      <c r="K437" s="24"/>
    </row>
    <row r="438">
      <c r="A438" s="21"/>
      <c r="B438" s="21"/>
      <c r="C438" s="23"/>
      <c r="D438" s="21"/>
      <c r="E438" s="21"/>
      <c r="F438" s="21"/>
      <c r="G438" s="21"/>
      <c r="H438" s="21"/>
      <c r="I438" s="21" t="str">
        <f>IF(G438="","",VLOOKUP(G438,frecuencia[#ALL],2,0))</f>
        <v/>
      </c>
      <c r="J438" s="21" t="str">
        <f>IF(H438="","",VLOOKUP(H438,tipo_donante[#ALL],2,0))</f>
        <v/>
      </c>
      <c r="K438" s="24"/>
    </row>
    <row r="439">
      <c r="A439" s="21"/>
      <c r="B439" s="21"/>
      <c r="C439" s="23"/>
      <c r="D439" s="21"/>
      <c r="E439" s="21"/>
      <c r="F439" s="21"/>
      <c r="G439" s="21"/>
      <c r="H439" s="21"/>
      <c r="I439" s="21" t="str">
        <f>IF(G439="","",VLOOKUP(G439,frecuencia[#ALL],2,0))</f>
        <v/>
      </c>
      <c r="J439" s="21" t="str">
        <f>IF(H439="","",VLOOKUP(H439,tipo_donante[#ALL],2,0))</f>
        <v/>
      </c>
      <c r="K439" s="24"/>
    </row>
    <row r="440">
      <c r="A440" s="21"/>
      <c r="B440" s="21"/>
      <c r="C440" s="23"/>
      <c r="D440" s="21"/>
      <c r="E440" s="21"/>
      <c r="F440" s="21"/>
      <c r="G440" s="21"/>
      <c r="H440" s="21"/>
      <c r="I440" s="21" t="str">
        <f>IF(G440="","",VLOOKUP(G440,frecuencia[#ALL],2,0))</f>
        <v/>
      </c>
      <c r="J440" s="21" t="str">
        <f>IF(H440="","",VLOOKUP(H440,tipo_donante[#ALL],2,0))</f>
        <v/>
      </c>
      <c r="K440" s="24"/>
    </row>
    <row r="441">
      <c r="A441" s="21"/>
      <c r="B441" s="21"/>
      <c r="C441" s="23"/>
      <c r="D441" s="21"/>
      <c r="E441" s="21"/>
      <c r="F441" s="21"/>
      <c r="G441" s="21"/>
      <c r="H441" s="21"/>
      <c r="I441" s="21" t="str">
        <f>IF(G441="","",VLOOKUP(G441,frecuencia[#ALL],2,0))</f>
        <v/>
      </c>
      <c r="J441" s="21" t="str">
        <f>IF(H441="","",VLOOKUP(H441,tipo_donante[#ALL],2,0))</f>
        <v/>
      </c>
      <c r="K441" s="24"/>
    </row>
    <row r="442">
      <c r="A442" s="21"/>
      <c r="B442" s="21"/>
      <c r="C442" s="23"/>
      <c r="D442" s="21"/>
      <c r="E442" s="21"/>
      <c r="F442" s="21"/>
      <c r="G442" s="21"/>
      <c r="H442" s="21"/>
      <c r="I442" s="21" t="str">
        <f>IF(G442="","",VLOOKUP(G442,frecuencia[#ALL],2,0))</f>
        <v/>
      </c>
      <c r="J442" s="21" t="str">
        <f>IF(H442="","",VLOOKUP(H442,tipo_donante[#ALL],2,0))</f>
        <v/>
      </c>
      <c r="K442" s="24"/>
    </row>
    <row r="443">
      <c r="A443" s="21"/>
      <c r="B443" s="21"/>
      <c r="C443" s="23"/>
      <c r="D443" s="21"/>
      <c r="E443" s="21"/>
      <c r="F443" s="21"/>
      <c r="G443" s="21"/>
      <c r="H443" s="21"/>
      <c r="I443" s="21" t="str">
        <f>IF(G443="","",VLOOKUP(G443,frecuencia[#ALL],2,0))</f>
        <v/>
      </c>
      <c r="J443" s="21" t="str">
        <f>IF(H443="","",VLOOKUP(H443,tipo_donante[#ALL],2,0))</f>
        <v/>
      </c>
      <c r="K443" s="24"/>
    </row>
    <row r="444">
      <c r="A444" s="21"/>
      <c r="B444" s="21"/>
      <c r="C444" s="23"/>
      <c r="D444" s="21"/>
      <c r="E444" s="21"/>
      <c r="F444" s="21"/>
      <c r="G444" s="21"/>
      <c r="H444" s="21"/>
      <c r="I444" s="21" t="str">
        <f>IF(G444="","",VLOOKUP(G444,frecuencia[#ALL],2,0))</f>
        <v/>
      </c>
      <c r="J444" s="21" t="str">
        <f>IF(H444="","",VLOOKUP(H444,tipo_donante[#ALL],2,0))</f>
        <v/>
      </c>
      <c r="K444" s="24"/>
    </row>
    <row r="445">
      <c r="A445" s="21"/>
      <c r="B445" s="21"/>
      <c r="C445" s="23"/>
      <c r="D445" s="21"/>
      <c r="E445" s="21"/>
      <c r="F445" s="21"/>
      <c r="G445" s="21"/>
      <c r="H445" s="21"/>
      <c r="I445" s="21" t="str">
        <f>IF(G445="","",VLOOKUP(G445,frecuencia[#ALL],2,0))</f>
        <v/>
      </c>
      <c r="J445" s="21" t="str">
        <f>IF(H445="","",VLOOKUP(H445,tipo_donante[#ALL],2,0))</f>
        <v/>
      </c>
      <c r="K445" s="24"/>
    </row>
    <row r="446">
      <c r="A446" s="21"/>
      <c r="B446" s="21"/>
      <c r="C446" s="23"/>
      <c r="D446" s="21"/>
      <c r="E446" s="21"/>
      <c r="F446" s="21"/>
      <c r="G446" s="21"/>
      <c r="H446" s="21"/>
      <c r="I446" s="21" t="str">
        <f>IF(G446="","",VLOOKUP(G446,frecuencia[#ALL],2,0))</f>
        <v/>
      </c>
      <c r="J446" s="21" t="str">
        <f>IF(H446="","",VLOOKUP(H446,tipo_donante[#ALL],2,0))</f>
        <v/>
      </c>
      <c r="K446" s="24"/>
    </row>
    <row r="447">
      <c r="A447" s="21"/>
      <c r="B447" s="21"/>
      <c r="C447" s="23"/>
      <c r="D447" s="21"/>
      <c r="E447" s="21"/>
      <c r="F447" s="21"/>
      <c r="G447" s="21"/>
      <c r="H447" s="21"/>
      <c r="I447" s="21" t="str">
        <f>IF(G447="","",VLOOKUP(G447,frecuencia[#ALL],2,0))</f>
        <v/>
      </c>
      <c r="J447" s="21" t="str">
        <f>IF(H447="","",VLOOKUP(H447,tipo_donante[#ALL],2,0))</f>
        <v/>
      </c>
      <c r="K447" s="24"/>
    </row>
    <row r="448">
      <c r="A448" s="21"/>
      <c r="B448" s="21"/>
      <c r="C448" s="23"/>
      <c r="D448" s="21"/>
      <c r="E448" s="21"/>
      <c r="F448" s="21"/>
      <c r="G448" s="21"/>
      <c r="H448" s="21"/>
      <c r="I448" s="21" t="str">
        <f>IF(G448="","",VLOOKUP(G448,frecuencia[#ALL],2,0))</f>
        <v/>
      </c>
      <c r="J448" s="21" t="str">
        <f>IF(H448="","",VLOOKUP(H448,tipo_donante[#ALL],2,0))</f>
        <v/>
      </c>
      <c r="K448" s="24"/>
    </row>
    <row r="449">
      <c r="A449" s="21"/>
      <c r="B449" s="21"/>
      <c r="C449" s="23"/>
      <c r="D449" s="21"/>
      <c r="E449" s="21"/>
      <c r="F449" s="21"/>
      <c r="G449" s="21"/>
      <c r="H449" s="21"/>
      <c r="I449" s="21" t="str">
        <f>IF(G449="","",VLOOKUP(G449,frecuencia[#ALL],2,0))</f>
        <v/>
      </c>
      <c r="J449" s="21" t="str">
        <f>IF(H449="","",VLOOKUP(H449,tipo_donante[#ALL],2,0))</f>
        <v/>
      </c>
      <c r="K449" s="24"/>
    </row>
    <row r="450">
      <c r="A450" s="21"/>
      <c r="B450" s="21"/>
      <c r="C450" s="23"/>
      <c r="D450" s="21"/>
      <c r="E450" s="21"/>
      <c r="F450" s="21"/>
      <c r="G450" s="21"/>
      <c r="H450" s="21"/>
      <c r="I450" s="21" t="str">
        <f>IF(G450="","",VLOOKUP(G450,frecuencia[#ALL],2,0))</f>
        <v/>
      </c>
      <c r="J450" s="21" t="str">
        <f>IF(H450="","",VLOOKUP(H450,tipo_donante[#ALL],2,0))</f>
        <v/>
      </c>
      <c r="K450" s="24"/>
    </row>
    <row r="451">
      <c r="A451" s="21"/>
      <c r="B451" s="21"/>
      <c r="C451" s="23"/>
      <c r="D451" s="21"/>
      <c r="E451" s="21"/>
      <c r="F451" s="21"/>
      <c r="G451" s="21"/>
      <c r="H451" s="21"/>
      <c r="I451" s="21" t="str">
        <f>IF(G451="","",VLOOKUP(G451,frecuencia[#ALL],2,0))</f>
        <v/>
      </c>
      <c r="J451" s="21" t="str">
        <f>IF(H451="","",VLOOKUP(H451,tipo_donante[#ALL],2,0))</f>
        <v/>
      </c>
      <c r="K451" s="24"/>
    </row>
    <row r="452">
      <c r="A452" s="21"/>
      <c r="B452" s="21"/>
      <c r="C452" s="23"/>
      <c r="D452" s="21"/>
      <c r="E452" s="21"/>
      <c r="F452" s="21"/>
      <c r="G452" s="21"/>
      <c r="H452" s="21"/>
      <c r="I452" s="21" t="str">
        <f>IF(G452="","",VLOOKUP(G452,frecuencia[#ALL],2,0))</f>
        <v/>
      </c>
      <c r="J452" s="21" t="str">
        <f>IF(H452="","",VLOOKUP(H452,tipo_donante[#ALL],2,0))</f>
        <v/>
      </c>
      <c r="K452" s="24"/>
    </row>
    <row r="453">
      <c r="A453" s="21"/>
      <c r="B453" s="21"/>
      <c r="C453" s="23"/>
      <c r="D453" s="21"/>
      <c r="E453" s="21"/>
      <c r="F453" s="21"/>
      <c r="G453" s="21"/>
      <c r="H453" s="21"/>
      <c r="I453" s="21" t="str">
        <f>IF(G453="","",VLOOKUP(G453,frecuencia[#ALL],2,0))</f>
        <v/>
      </c>
      <c r="J453" s="21" t="str">
        <f>IF(H453="","",VLOOKUP(H453,tipo_donante[#ALL],2,0))</f>
        <v/>
      </c>
      <c r="K453" s="24"/>
    </row>
    <row r="454">
      <c r="A454" s="21"/>
      <c r="B454" s="21"/>
      <c r="C454" s="23"/>
      <c r="D454" s="21"/>
      <c r="E454" s="21"/>
      <c r="F454" s="21"/>
      <c r="G454" s="21"/>
      <c r="H454" s="21"/>
      <c r="I454" s="21" t="str">
        <f>IF(G454="","",VLOOKUP(G454,frecuencia[#ALL],2,0))</f>
        <v/>
      </c>
      <c r="J454" s="21" t="str">
        <f>IF(H454="","",VLOOKUP(H454,tipo_donante[#ALL],2,0))</f>
        <v/>
      </c>
      <c r="K454" s="24"/>
    </row>
    <row r="455">
      <c r="A455" s="21"/>
      <c r="B455" s="21"/>
      <c r="C455" s="23"/>
      <c r="D455" s="21"/>
      <c r="E455" s="21"/>
      <c r="F455" s="21"/>
      <c r="G455" s="21"/>
      <c r="H455" s="21"/>
      <c r="I455" s="21" t="str">
        <f>IF(G455="","",VLOOKUP(G455,frecuencia[#ALL],2,0))</f>
        <v/>
      </c>
      <c r="J455" s="21" t="str">
        <f>IF(H455="","",VLOOKUP(H455,tipo_donante[#ALL],2,0))</f>
        <v/>
      </c>
      <c r="K455" s="24"/>
    </row>
    <row r="456">
      <c r="A456" s="21"/>
      <c r="B456" s="21"/>
      <c r="C456" s="23"/>
      <c r="D456" s="21"/>
      <c r="E456" s="21"/>
      <c r="F456" s="21"/>
      <c r="G456" s="21"/>
      <c r="H456" s="21"/>
      <c r="I456" s="21" t="str">
        <f>IF(G456="","",VLOOKUP(G456,frecuencia[#ALL],2,0))</f>
        <v/>
      </c>
      <c r="J456" s="21" t="str">
        <f>IF(H456="","",VLOOKUP(H456,tipo_donante[#ALL],2,0))</f>
        <v/>
      </c>
      <c r="K456" s="24"/>
    </row>
    <row r="457">
      <c r="A457" s="21"/>
      <c r="B457" s="21"/>
      <c r="C457" s="23"/>
      <c r="D457" s="21"/>
      <c r="E457" s="21"/>
      <c r="F457" s="21"/>
      <c r="G457" s="21"/>
      <c r="H457" s="21"/>
      <c r="I457" s="21" t="str">
        <f>IF(G457="","",VLOOKUP(G457,frecuencia[#ALL],2,0))</f>
        <v/>
      </c>
      <c r="J457" s="21" t="str">
        <f>IF(H457="","",VLOOKUP(H457,tipo_donante[#ALL],2,0))</f>
        <v/>
      </c>
      <c r="K457" s="24"/>
    </row>
    <row r="458">
      <c r="A458" s="21"/>
      <c r="B458" s="21"/>
      <c r="C458" s="23"/>
      <c r="D458" s="21"/>
      <c r="E458" s="21"/>
      <c r="F458" s="21"/>
      <c r="G458" s="21"/>
      <c r="H458" s="21"/>
      <c r="I458" s="21" t="str">
        <f>IF(G458="","",VLOOKUP(G458,frecuencia[#ALL],2,0))</f>
        <v/>
      </c>
      <c r="J458" s="21" t="str">
        <f>IF(H458="","",VLOOKUP(H458,tipo_donante[#ALL],2,0))</f>
        <v/>
      </c>
      <c r="K458" s="24"/>
    </row>
    <row r="459">
      <c r="A459" s="21"/>
      <c r="B459" s="21"/>
      <c r="C459" s="23"/>
      <c r="D459" s="21"/>
      <c r="E459" s="21"/>
      <c r="F459" s="21"/>
      <c r="G459" s="21"/>
      <c r="H459" s="21"/>
      <c r="I459" s="21" t="str">
        <f>IF(G459="","",VLOOKUP(G459,frecuencia[#ALL],2,0))</f>
        <v/>
      </c>
      <c r="J459" s="21" t="str">
        <f>IF(H459="","",VLOOKUP(H459,tipo_donante[#ALL],2,0))</f>
        <v/>
      </c>
      <c r="K459" s="24"/>
    </row>
    <row r="460">
      <c r="A460" s="21"/>
      <c r="B460" s="21"/>
      <c r="C460" s="23"/>
      <c r="D460" s="21"/>
      <c r="E460" s="21"/>
      <c r="F460" s="21"/>
      <c r="G460" s="21"/>
      <c r="H460" s="21"/>
      <c r="I460" s="21" t="str">
        <f>IF(G460="","",VLOOKUP(G460,frecuencia[#ALL],2,0))</f>
        <v/>
      </c>
      <c r="J460" s="21" t="str">
        <f>IF(H460="","",VLOOKUP(H460,tipo_donante[#ALL],2,0))</f>
        <v/>
      </c>
      <c r="K460" s="24"/>
    </row>
    <row r="461">
      <c r="A461" s="21"/>
      <c r="B461" s="21"/>
      <c r="C461" s="23"/>
      <c r="D461" s="21"/>
      <c r="E461" s="21"/>
      <c r="F461" s="21"/>
      <c r="G461" s="21"/>
      <c r="H461" s="21"/>
      <c r="I461" s="21" t="str">
        <f>IF(G461="","",VLOOKUP(G461,frecuencia[#ALL],2,0))</f>
        <v/>
      </c>
      <c r="J461" s="21" t="str">
        <f>IF(H461="","",VLOOKUP(H461,tipo_donante[#ALL],2,0))</f>
        <v/>
      </c>
      <c r="K461" s="24"/>
    </row>
    <row r="462">
      <c r="A462" s="21"/>
      <c r="B462" s="21"/>
      <c r="C462" s="23"/>
      <c r="D462" s="21"/>
      <c r="E462" s="21"/>
      <c r="F462" s="21"/>
      <c r="G462" s="21"/>
      <c r="H462" s="21"/>
      <c r="I462" s="21" t="str">
        <f>IF(G462="","",VLOOKUP(G462,frecuencia[#ALL],2,0))</f>
        <v/>
      </c>
      <c r="J462" s="21" t="str">
        <f>IF(H462="","",VLOOKUP(H462,tipo_donante[#ALL],2,0))</f>
        <v/>
      </c>
      <c r="K462" s="24"/>
    </row>
    <row r="463">
      <c r="A463" s="21"/>
      <c r="B463" s="21"/>
      <c r="C463" s="23"/>
      <c r="D463" s="21"/>
      <c r="E463" s="21"/>
      <c r="F463" s="21"/>
      <c r="G463" s="21"/>
      <c r="H463" s="21"/>
      <c r="I463" s="21" t="str">
        <f>IF(G463="","",VLOOKUP(G463,frecuencia[#ALL],2,0))</f>
        <v/>
      </c>
      <c r="J463" s="21" t="str">
        <f>IF(H463="","",VLOOKUP(H463,tipo_donante[#ALL],2,0))</f>
        <v/>
      </c>
      <c r="K463" s="24"/>
    </row>
    <row r="464">
      <c r="A464" s="21"/>
      <c r="B464" s="21"/>
      <c r="C464" s="23"/>
      <c r="D464" s="21"/>
      <c r="E464" s="21"/>
      <c r="F464" s="21"/>
      <c r="G464" s="21"/>
      <c r="H464" s="21"/>
      <c r="I464" s="21" t="str">
        <f>IF(G464="","",VLOOKUP(G464,frecuencia[#ALL],2,0))</f>
        <v/>
      </c>
      <c r="J464" s="21" t="str">
        <f>IF(H464="","",VLOOKUP(H464,tipo_donante[#ALL],2,0))</f>
        <v/>
      </c>
      <c r="K464" s="24"/>
    </row>
    <row r="465">
      <c r="A465" s="21"/>
      <c r="B465" s="21"/>
      <c r="C465" s="23"/>
      <c r="D465" s="21"/>
      <c r="E465" s="21"/>
      <c r="F465" s="21"/>
      <c r="G465" s="21"/>
      <c r="H465" s="21"/>
      <c r="I465" s="21" t="str">
        <f>IF(G465="","",VLOOKUP(G465,frecuencia[#ALL],2,0))</f>
        <v/>
      </c>
      <c r="J465" s="21" t="str">
        <f>IF(H465="","",VLOOKUP(H465,tipo_donante[#ALL],2,0))</f>
        <v/>
      </c>
      <c r="K465" s="24"/>
    </row>
    <row r="466">
      <c r="A466" s="21"/>
      <c r="B466" s="21"/>
      <c r="C466" s="23"/>
      <c r="D466" s="21"/>
      <c r="E466" s="21"/>
      <c r="F466" s="21"/>
      <c r="G466" s="21"/>
      <c r="H466" s="21"/>
      <c r="I466" s="21" t="str">
        <f>IF(G466="","",VLOOKUP(G466,frecuencia[#ALL],2,0))</f>
        <v/>
      </c>
      <c r="J466" s="21" t="str">
        <f>IF(H466="","",VLOOKUP(H466,tipo_donante[#ALL],2,0))</f>
        <v/>
      </c>
      <c r="K466" s="24"/>
    </row>
    <row r="467">
      <c r="A467" s="21"/>
      <c r="B467" s="21"/>
      <c r="C467" s="23"/>
      <c r="D467" s="21"/>
      <c r="E467" s="21"/>
      <c r="F467" s="21"/>
      <c r="G467" s="21"/>
      <c r="H467" s="21"/>
      <c r="I467" s="21" t="str">
        <f>IF(G467="","",VLOOKUP(G467,frecuencia[#ALL],2,0))</f>
        <v/>
      </c>
      <c r="J467" s="21" t="str">
        <f>IF(H467="","",VLOOKUP(H467,tipo_donante[#ALL],2,0))</f>
        <v/>
      </c>
      <c r="K467" s="24"/>
    </row>
    <row r="468">
      <c r="A468" s="21"/>
      <c r="B468" s="21"/>
      <c r="C468" s="23"/>
      <c r="D468" s="21"/>
      <c r="E468" s="21"/>
      <c r="F468" s="21"/>
      <c r="G468" s="21"/>
      <c r="H468" s="21"/>
      <c r="I468" s="21" t="str">
        <f>IF(G468="","",VLOOKUP(G468,frecuencia[#ALL],2,0))</f>
        <v/>
      </c>
      <c r="J468" s="21" t="str">
        <f>IF(H468="","",VLOOKUP(H468,tipo_donante[#ALL],2,0))</f>
        <v/>
      </c>
      <c r="K468" s="24"/>
    </row>
    <row r="469">
      <c r="A469" s="21"/>
      <c r="B469" s="21"/>
      <c r="C469" s="23"/>
      <c r="D469" s="21"/>
      <c r="E469" s="21"/>
      <c r="F469" s="21"/>
      <c r="G469" s="21"/>
      <c r="H469" s="21"/>
      <c r="I469" s="21" t="str">
        <f>IF(G469="","",VLOOKUP(G469,frecuencia[#ALL],2,0))</f>
        <v/>
      </c>
      <c r="J469" s="21" t="str">
        <f>IF(H469="","",VLOOKUP(H469,tipo_donante[#ALL],2,0))</f>
        <v/>
      </c>
      <c r="K469" s="24"/>
    </row>
    <row r="470">
      <c r="A470" s="21"/>
      <c r="B470" s="21"/>
      <c r="C470" s="23"/>
      <c r="D470" s="21"/>
      <c r="E470" s="21"/>
      <c r="F470" s="21"/>
      <c r="G470" s="21"/>
      <c r="H470" s="21"/>
      <c r="I470" s="21" t="str">
        <f>IF(G470="","",VLOOKUP(G470,frecuencia[#ALL],2,0))</f>
        <v/>
      </c>
      <c r="J470" s="21" t="str">
        <f>IF(H470="","",VLOOKUP(H470,tipo_donante[#ALL],2,0))</f>
        <v/>
      </c>
      <c r="K470" s="24"/>
    </row>
    <row r="471">
      <c r="A471" s="21"/>
      <c r="B471" s="21"/>
      <c r="C471" s="23"/>
      <c r="D471" s="21"/>
      <c r="E471" s="21"/>
      <c r="F471" s="21"/>
      <c r="G471" s="21"/>
      <c r="H471" s="21"/>
      <c r="I471" s="21" t="str">
        <f>IF(G471="","",VLOOKUP(G471,frecuencia[#ALL],2,0))</f>
        <v/>
      </c>
      <c r="J471" s="21" t="str">
        <f>IF(H471="","",VLOOKUP(H471,tipo_donante[#ALL],2,0))</f>
        <v/>
      </c>
      <c r="K471" s="24"/>
    </row>
    <row r="472">
      <c r="A472" s="21"/>
      <c r="B472" s="21"/>
      <c r="C472" s="23"/>
      <c r="D472" s="21"/>
      <c r="E472" s="21"/>
      <c r="F472" s="21"/>
      <c r="G472" s="21"/>
      <c r="H472" s="21"/>
      <c r="I472" s="21" t="str">
        <f>IF(G472="","",VLOOKUP(G472,frecuencia[#ALL],2,0))</f>
        <v/>
      </c>
      <c r="J472" s="21" t="str">
        <f>IF(H472="","",VLOOKUP(H472,tipo_donante[#ALL],2,0))</f>
        <v/>
      </c>
      <c r="K472" s="24"/>
    </row>
    <row r="473">
      <c r="A473" s="21"/>
      <c r="B473" s="21"/>
      <c r="C473" s="23"/>
      <c r="D473" s="21"/>
      <c r="E473" s="21"/>
      <c r="F473" s="21"/>
      <c r="G473" s="21"/>
      <c r="H473" s="21"/>
      <c r="I473" s="21" t="str">
        <f>IF(G473="","",VLOOKUP(G473,frecuencia[#ALL],2,0))</f>
        <v/>
      </c>
      <c r="J473" s="21" t="str">
        <f>IF(H473="","",VLOOKUP(H473,tipo_donante[#ALL],2,0))</f>
        <v/>
      </c>
      <c r="K473" s="24"/>
    </row>
    <row r="474">
      <c r="A474" s="21"/>
      <c r="B474" s="21"/>
      <c r="C474" s="23"/>
      <c r="D474" s="21"/>
      <c r="E474" s="21"/>
      <c r="F474" s="21"/>
      <c r="G474" s="21"/>
      <c r="H474" s="21"/>
      <c r="I474" s="21" t="str">
        <f>IF(G474="","",VLOOKUP(G474,frecuencia[#ALL],2,0))</f>
        <v/>
      </c>
      <c r="J474" s="21" t="str">
        <f>IF(H474="","",VLOOKUP(H474,tipo_donante[#ALL],2,0))</f>
        <v/>
      </c>
      <c r="K474" s="24"/>
    </row>
    <row r="475">
      <c r="A475" s="21"/>
      <c r="B475" s="21"/>
      <c r="C475" s="23"/>
      <c r="D475" s="21"/>
      <c r="E475" s="21"/>
      <c r="F475" s="21"/>
      <c r="G475" s="21"/>
      <c r="H475" s="21"/>
      <c r="I475" s="21" t="str">
        <f>IF(G475="","",VLOOKUP(G475,frecuencia[#ALL],2,0))</f>
        <v/>
      </c>
      <c r="J475" s="21" t="str">
        <f>IF(H475="","",VLOOKUP(H475,tipo_donante[#ALL],2,0))</f>
        <v/>
      </c>
      <c r="K475" s="24"/>
    </row>
    <row r="476">
      <c r="A476" s="21"/>
      <c r="B476" s="21"/>
      <c r="C476" s="23"/>
      <c r="D476" s="21"/>
      <c r="E476" s="21"/>
      <c r="F476" s="21"/>
      <c r="G476" s="21"/>
      <c r="H476" s="21"/>
      <c r="I476" s="21" t="str">
        <f>IF(G476="","",VLOOKUP(G476,frecuencia[#ALL],2,0))</f>
        <v/>
      </c>
      <c r="J476" s="21" t="str">
        <f>IF(H476="","",VLOOKUP(H476,tipo_donante[#ALL],2,0))</f>
        <v/>
      </c>
      <c r="K476" s="24"/>
    </row>
    <row r="477">
      <c r="A477" s="21"/>
      <c r="B477" s="21"/>
      <c r="C477" s="23"/>
      <c r="D477" s="21"/>
      <c r="E477" s="21"/>
      <c r="F477" s="21"/>
      <c r="G477" s="21"/>
      <c r="H477" s="21"/>
      <c r="I477" s="21" t="str">
        <f>IF(G477="","",VLOOKUP(G477,frecuencia[#ALL],2,0))</f>
        <v/>
      </c>
      <c r="J477" s="21" t="str">
        <f>IF(H477="","",VLOOKUP(H477,tipo_donante[#ALL],2,0))</f>
        <v/>
      </c>
      <c r="K477" s="24"/>
    </row>
    <row r="478">
      <c r="A478" s="21"/>
      <c r="B478" s="21"/>
      <c r="C478" s="23"/>
      <c r="D478" s="21"/>
      <c r="E478" s="21"/>
      <c r="F478" s="21"/>
      <c r="G478" s="21"/>
      <c r="H478" s="21"/>
      <c r="I478" s="21" t="str">
        <f>IF(G478="","",VLOOKUP(G478,frecuencia[#ALL],2,0))</f>
        <v/>
      </c>
      <c r="J478" s="21" t="str">
        <f>IF(H478="","",VLOOKUP(H478,tipo_donante[#ALL],2,0))</f>
        <v/>
      </c>
      <c r="K478" s="24"/>
    </row>
    <row r="479">
      <c r="A479" s="21"/>
      <c r="B479" s="21"/>
      <c r="C479" s="23"/>
      <c r="D479" s="21"/>
      <c r="E479" s="21"/>
      <c r="F479" s="21"/>
      <c r="G479" s="21"/>
      <c r="H479" s="21"/>
      <c r="I479" s="21" t="str">
        <f>IF(G479="","",VLOOKUP(G479,frecuencia[#ALL],2,0))</f>
        <v/>
      </c>
      <c r="J479" s="21" t="str">
        <f>IF(H479="","",VLOOKUP(H479,tipo_donante[#ALL],2,0))</f>
        <v/>
      </c>
      <c r="K479" s="24"/>
    </row>
    <row r="480">
      <c r="A480" s="21"/>
      <c r="B480" s="21"/>
      <c r="C480" s="23"/>
      <c r="D480" s="21"/>
      <c r="E480" s="21"/>
      <c r="F480" s="21"/>
      <c r="G480" s="21"/>
      <c r="H480" s="21"/>
      <c r="I480" s="21" t="str">
        <f>IF(G480="","",VLOOKUP(G480,frecuencia[#ALL],2,0))</f>
        <v/>
      </c>
      <c r="J480" s="21" t="str">
        <f>IF(H480="","",VLOOKUP(H480,tipo_donante[#ALL],2,0))</f>
        <v/>
      </c>
      <c r="K480" s="24"/>
    </row>
    <row r="481">
      <c r="A481" s="21"/>
      <c r="B481" s="21"/>
      <c r="C481" s="23"/>
      <c r="D481" s="21"/>
      <c r="E481" s="21"/>
      <c r="F481" s="21"/>
      <c r="G481" s="21"/>
      <c r="H481" s="21"/>
      <c r="I481" s="21" t="str">
        <f>IF(G481="","",VLOOKUP(G481,frecuencia[#ALL],2,0))</f>
        <v/>
      </c>
      <c r="J481" s="21" t="str">
        <f>IF(H481="","",VLOOKUP(H481,tipo_donante[#ALL],2,0))</f>
        <v/>
      </c>
      <c r="K481" s="24"/>
    </row>
    <row r="482">
      <c r="A482" s="21"/>
      <c r="B482" s="21"/>
      <c r="C482" s="23"/>
      <c r="D482" s="21"/>
      <c r="E482" s="21"/>
      <c r="F482" s="21"/>
      <c r="G482" s="21"/>
      <c r="H482" s="21"/>
      <c r="I482" s="21" t="str">
        <f>IF(G482="","",VLOOKUP(G482,frecuencia[#ALL],2,0))</f>
        <v/>
      </c>
      <c r="J482" s="21" t="str">
        <f>IF(H482="","",VLOOKUP(H482,tipo_donante[#ALL],2,0))</f>
        <v/>
      </c>
      <c r="K482" s="24"/>
    </row>
    <row r="483">
      <c r="A483" s="21"/>
      <c r="B483" s="21"/>
      <c r="C483" s="23"/>
      <c r="D483" s="21"/>
      <c r="E483" s="21"/>
      <c r="F483" s="21"/>
      <c r="G483" s="21"/>
      <c r="H483" s="21"/>
      <c r="I483" s="21" t="str">
        <f>IF(G483="","",VLOOKUP(G483,frecuencia[#ALL],2,0))</f>
        <v/>
      </c>
      <c r="J483" s="21" t="str">
        <f>IF(H483="","",VLOOKUP(H483,tipo_donante[#ALL],2,0))</f>
        <v/>
      </c>
      <c r="K483" s="24"/>
    </row>
    <row r="484">
      <c r="A484" s="21"/>
      <c r="B484" s="21"/>
      <c r="C484" s="23"/>
      <c r="D484" s="21"/>
      <c r="E484" s="21"/>
      <c r="F484" s="21"/>
      <c r="G484" s="21"/>
      <c r="H484" s="21"/>
      <c r="I484" s="21" t="str">
        <f>IF(G484="","",VLOOKUP(G484,frecuencia[#ALL],2,0))</f>
        <v/>
      </c>
      <c r="J484" s="21" t="str">
        <f>IF(H484="","",VLOOKUP(H484,tipo_donante[#ALL],2,0))</f>
        <v/>
      </c>
      <c r="K484" s="24"/>
    </row>
    <row r="485">
      <c r="A485" s="21"/>
      <c r="B485" s="21"/>
      <c r="C485" s="23"/>
      <c r="D485" s="21"/>
      <c r="E485" s="21"/>
      <c r="F485" s="21"/>
      <c r="G485" s="21"/>
      <c r="H485" s="21"/>
      <c r="I485" s="21" t="str">
        <f>IF(G485="","",VLOOKUP(G485,frecuencia[#ALL],2,0))</f>
        <v/>
      </c>
      <c r="J485" s="21" t="str">
        <f>IF(H485="","",VLOOKUP(H485,tipo_donante[#ALL],2,0))</f>
        <v/>
      </c>
      <c r="K485" s="24"/>
    </row>
    <row r="486">
      <c r="A486" s="21"/>
      <c r="B486" s="21"/>
      <c r="C486" s="23"/>
      <c r="D486" s="21"/>
      <c r="E486" s="21"/>
      <c r="F486" s="21"/>
      <c r="G486" s="21"/>
      <c r="H486" s="21"/>
      <c r="I486" s="21" t="str">
        <f>IF(G486="","",VLOOKUP(G486,frecuencia[#ALL],2,0))</f>
        <v/>
      </c>
      <c r="J486" s="21" t="str">
        <f>IF(H486="","",VLOOKUP(H486,tipo_donante[#ALL],2,0))</f>
        <v/>
      </c>
      <c r="K486" s="24"/>
    </row>
    <row r="487">
      <c r="A487" s="21"/>
      <c r="B487" s="21"/>
      <c r="C487" s="23"/>
      <c r="D487" s="21"/>
      <c r="E487" s="21"/>
      <c r="F487" s="21"/>
      <c r="G487" s="21"/>
      <c r="H487" s="21"/>
      <c r="I487" s="21" t="str">
        <f>IF(G487="","",VLOOKUP(G487,frecuencia[#ALL],2,0))</f>
        <v/>
      </c>
      <c r="J487" s="21" t="str">
        <f>IF(H487="","",VLOOKUP(H487,tipo_donante[#ALL],2,0))</f>
        <v/>
      </c>
      <c r="K487" s="24"/>
    </row>
    <row r="488">
      <c r="A488" s="21"/>
      <c r="B488" s="21"/>
      <c r="C488" s="23"/>
      <c r="D488" s="21"/>
      <c r="E488" s="21"/>
      <c r="F488" s="21"/>
      <c r="G488" s="21"/>
      <c r="H488" s="21"/>
      <c r="I488" s="21" t="str">
        <f>IF(G488="","",VLOOKUP(G488,frecuencia[#ALL],2,0))</f>
        <v/>
      </c>
      <c r="J488" s="21" t="str">
        <f>IF(H488="","",VLOOKUP(H488,tipo_donante[#ALL],2,0))</f>
        <v/>
      </c>
      <c r="K488" s="24"/>
    </row>
    <row r="489">
      <c r="A489" s="21"/>
      <c r="B489" s="21"/>
      <c r="C489" s="23"/>
      <c r="D489" s="21"/>
      <c r="E489" s="21"/>
      <c r="F489" s="21"/>
      <c r="G489" s="21"/>
      <c r="H489" s="21"/>
      <c r="I489" s="21" t="str">
        <f>IF(G489="","",VLOOKUP(G489,frecuencia[#ALL],2,0))</f>
        <v/>
      </c>
      <c r="J489" s="21" t="str">
        <f>IF(H489="","",VLOOKUP(H489,tipo_donante[#ALL],2,0))</f>
        <v/>
      </c>
      <c r="K489" s="24"/>
    </row>
    <row r="490">
      <c r="A490" s="21"/>
      <c r="B490" s="21"/>
      <c r="C490" s="23"/>
      <c r="D490" s="21"/>
      <c r="E490" s="21"/>
      <c r="F490" s="21"/>
      <c r="G490" s="21"/>
      <c r="H490" s="21"/>
      <c r="I490" s="21" t="str">
        <f>IF(G490="","",VLOOKUP(G490,frecuencia[#ALL],2,0))</f>
        <v/>
      </c>
      <c r="J490" s="21" t="str">
        <f>IF(H490="","",VLOOKUP(H490,tipo_donante[#ALL],2,0))</f>
        <v/>
      </c>
      <c r="K490" s="24"/>
    </row>
    <row r="491">
      <c r="A491" s="21"/>
      <c r="B491" s="21"/>
      <c r="C491" s="23"/>
      <c r="D491" s="21"/>
      <c r="E491" s="21"/>
      <c r="F491" s="21"/>
      <c r="G491" s="21"/>
      <c r="H491" s="21"/>
      <c r="I491" s="21" t="str">
        <f>IF(G491="","",VLOOKUP(G491,frecuencia[#ALL],2,0))</f>
        <v/>
      </c>
      <c r="J491" s="21" t="str">
        <f>IF(H491="","",VLOOKUP(H491,tipo_donante[#ALL],2,0))</f>
        <v/>
      </c>
      <c r="K491" s="24"/>
    </row>
    <row r="492">
      <c r="A492" s="21"/>
      <c r="B492" s="21"/>
      <c r="C492" s="23"/>
      <c r="D492" s="21"/>
      <c r="E492" s="21"/>
      <c r="F492" s="21"/>
      <c r="G492" s="21"/>
      <c r="H492" s="21"/>
      <c r="I492" s="21" t="str">
        <f>IF(G492="","",VLOOKUP(G492,frecuencia[#ALL],2,0))</f>
        <v/>
      </c>
      <c r="J492" s="21" t="str">
        <f>IF(H492="","",VLOOKUP(H492,tipo_donante[#ALL],2,0))</f>
        <v/>
      </c>
      <c r="K492" s="24"/>
    </row>
    <row r="493">
      <c r="A493" s="21"/>
      <c r="B493" s="21"/>
      <c r="C493" s="23"/>
      <c r="D493" s="21"/>
      <c r="E493" s="21"/>
      <c r="F493" s="21"/>
      <c r="G493" s="21"/>
      <c r="H493" s="21"/>
      <c r="I493" s="21" t="str">
        <f>IF(G493="","",VLOOKUP(G493,frecuencia[#ALL],2,0))</f>
        <v/>
      </c>
      <c r="J493" s="21" t="str">
        <f>IF(H493="","",VLOOKUP(H493,tipo_donante[#ALL],2,0))</f>
        <v/>
      </c>
      <c r="K493" s="24"/>
    </row>
    <row r="494">
      <c r="A494" s="21"/>
      <c r="B494" s="21"/>
      <c r="C494" s="23"/>
      <c r="D494" s="21"/>
      <c r="E494" s="21"/>
      <c r="F494" s="21"/>
      <c r="G494" s="21"/>
      <c r="H494" s="21"/>
      <c r="I494" s="21" t="str">
        <f>IF(G494="","",VLOOKUP(G494,frecuencia[#ALL],2,0))</f>
        <v/>
      </c>
      <c r="J494" s="21" t="str">
        <f>IF(H494="","",VLOOKUP(H494,tipo_donante[#ALL],2,0))</f>
        <v/>
      </c>
      <c r="K494" s="24"/>
    </row>
    <row r="495">
      <c r="A495" s="21"/>
      <c r="B495" s="21"/>
      <c r="C495" s="23"/>
      <c r="D495" s="21"/>
      <c r="E495" s="21"/>
      <c r="F495" s="21"/>
      <c r="G495" s="21"/>
      <c r="H495" s="21"/>
      <c r="I495" s="21" t="str">
        <f>IF(G495="","",VLOOKUP(G495,frecuencia[#ALL],2,0))</f>
        <v/>
      </c>
      <c r="J495" s="21" t="str">
        <f>IF(H495="","",VLOOKUP(H495,tipo_donante[#ALL],2,0))</f>
        <v/>
      </c>
      <c r="K495" s="24"/>
    </row>
    <row r="496">
      <c r="A496" s="21"/>
      <c r="B496" s="21"/>
      <c r="C496" s="23"/>
      <c r="D496" s="21"/>
      <c r="E496" s="21"/>
      <c r="F496" s="21"/>
      <c r="G496" s="21"/>
      <c r="H496" s="21"/>
      <c r="I496" s="21" t="str">
        <f>IF(G496="","",VLOOKUP(G496,frecuencia[#ALL],2,0))</f>
        <v/>
      </c>
      <c r="J496" s="21" t="str">
        <f>IF(H496="","",VLOOKUP(H496,tipo_donante[#ALL],2,0))</f>
        <v/>
      </c>
      <c r="K496" s="24"/>
    </row>
    <row r="497">
      <c r="A497" s="21"/>
      <c r="B497" s="21"/>
      <c r="C497" s="23"/>
      <c r="D497" s="21"/>
      <c r="E497" s="21"/>
      <c r="F497" s="21"/>
      <c r="G497" s="21"/>
      <c r="H497" s="21"/>
      <c r="I497" s="21" t="str">
        <f>IF(G497="","",VLOOKUP(G497,frecuencia[#ALL],2,0))</f>
        <v/>
      </c>
      <c r="J497" s="21" t="str">
        <f>IF(H497="","",VLOOKUP(H497,tipo_donante[#ALL],2,0))</f>
        <v/>
      </c>
      <c r="K497" s="24"/>
    </row>
    <row r="498">
      <c r="A498" s="21"/>
      <c r="B498" s="21"/>
      <c r="C498" s="23"/>
      <c r="D498" s="21"/>
      <c r="E498" s="21"/>
      <c r="F498" s="21"/>
      <c r="G498" s="21"/>
      <c r="H498" s="21"/>
      <c r="I498" s="21" t="str">
        <f>IF(G498="","",VLOOKUP(G498,frecuencia[#ALL],2,0))</f>
        <v/>
      </c>
      <c r="J498" s="21" t="str">
        <f>IF(H498="","",VLOOKUP(H498,tipo_donante[#ALL],2,0))</f>
        <v/>
      </c>
      <c r="K498" s="24"/>
    </row>
    <row r="499">
      <c r="A499" s="21"/>
      <c r="B499" s="21"/>
      <c r="C499" s="23"/>
      <c r="D499" s="21"/>
      <c r="E499" s="21"/>
      <c r="F499" s="21"/>
      <c r="G499" s="21"/>
      <c r="H499" s="21"/>
      <c r="I499" s="21" t="str">
        <f>IF(G499="","",VLOOKUP(G499,frecuencia[#ALL],2,0))</f>
        <v/>
      </c>
      <c r="J499" s="21" t="str">
        <f>IF(H499="","",VLOOKUP(H499,tipo_donante[#ALL],2,0))</f>
        <v/>
      </c>
      <c r="K499" s="24"/>
    </row>
    <row r="500">
      <c r="A500" s="21"/>
      <c r="B500" s="21"/>
      <c r="C500" s="23"/>
      <c r="D500" s="21"/>
      <c r="E500" s="21"/>
      <c r="F500" s="21"/>
      <c r="G500" s="21"/>
      <c r="H500" s="21"/>
      <c r="I500" s="21" t="str">
        <f>IF(G500="","",VLOOKUP(G500,frecuencia[#ALL],2,0))</f>
        <v/>
      </c>
      <c r="J500" s="21" t="str">
        <f>IF(H500="","",VLOOKUP(H500,tipo_donante[#ALL],2,0))</f>
        <v/>
      </c>
      <c r="K500" s="24"/>
    </row>
    <row r="501">
      <c r="A501" s="21"/>
      <c r="B501" s="21"/>
      <c r="C501" s="23"/>
      <c r="D501" s="21"/>
      <c r="E501" s="21"/>
      <c r="F501" s="21"/>
      <c r="G501" s="21"/>
      <c r="H501" s="21"/>
      <c r="I501" s="21" t="str">
        <f>IF(G501="","",VLOOKUP(G501,frecuencia[#ALL],2,0))</f>
        <v/>
      </c>
      <c r="J501" s="21" t="str">
        <f>IF(H501="","",VLOOKUP(H501,tipo_donante[#ALL],2,0))</f>
        <v/>
      </c>
      <c r="K501" s="24"/>
    </row>
    <row r="502">
      <c r="A502" s="21"/>
      <c r="B502" s="21"/>
      <c r="C502" s="23"/>
      <c r="D502" s="21"/>
      <c r="E502" s="21"/>
      <c r="F502" s="21"/>
      <c r="G502" s="21"/>
      <c r="H502" s="21"/>
      <c r="I502" s="21" t="str">
        <f>IF(G502="","",VLOOKUP(G502,frecuencia[#ALL],2,0))</f>
        <v/>
      </c>
      <c r="J502" s="21" t="str">
        <f>IF(H502="","",VLOOKUP(H502,tipo_donante[#ALL],2,0))</f>
        <v/>
      </c>
      <c r="K502" s="24"/>
    </row>
    <row r="503">
      <c r="A503" s="21"/>
      <c r="B503" s="21"/>
      <c r="C503" s="23"/>
      <c r="D503" s="21"/>
      <c r="E503" s="21"/>
      <c r="F503" s="21"/>
      <c r="G503" s="21"/>
      <c r="H503" s="21"/>
      <c r="I503" s="21" t="str">
        <f>IF(G503="","",VLOOKUP(G503,frecuencia[#ALL],2,0))</f>
        <v/>
      </c>
      <c r="J503" s="21" t="str">
        <f>IF(H503="","",VLOOKUP(H503,tipo_donante[#ALL],2,0))</f>
        <v/>
      </c>
      <c r="K503" s="24"/>
    </row>
    <row r="504">
      <c r="A504" s="21"/>
      <c r="B504" s="21"/>
      <c r="C504" s="23"/>
      <c r="D504" s="21"/>
      <c r="E504" s="21"/>
      <c r="F504" s="21"/>
      <c r="G504" s="21"/>
      <c r="H504" s="21"/>
      <c r="I504" s="21" t="str">
        <f>IF(G504="","",VLOOKUP(G504,frecuencia[#ALL],2,0))</f>
        <v/>
      </c>
      <c r="J504" s="21" t="str">
        <f>IF(H504="","",VLOOKUP(H504,tipo_donante[#ALL],2,0))</f>
        <v/>
      </c>
      <c r="K504" s="24"/>
    </row>
    <row r="505">
      <c r="A505" s="21"/>
      <c r="B505" s="21"/>
      <c r="C505" s="23"/>
      <c r="D505" s="21"/>
      <c r="E505" s="21"/>
      <c r="F505" s="21"/>
      <c r="G505" s="21"/>
      <c r="H505" s="21"/>
      <c r="I505" s="21" t="str">
        <f>IF(G505="","",VLOOKUP(G505,frecuencia[#ALL],2,0))</f>
        <v/>
      </c>
      <c r="J505" s="21" t="str">
        <f>IF(H505="","",VLOOKUP(H505,tipo_donante[#ALL],2,0))</f>
        <v/>
      </c>
      <c r="K505" s="24"/>
    </row>
    <row r="506">
      <c r="A506" s="21"/>
      <c r="B506" s="21"/>
      <c r="C506" s="23"/>
      <c r="D506" s="21"/>
      <c r="E506" s="21"/>
      <c r="F506" s="21"/>
      <c r="G506" s="21"/>
      <c r="H506" s="21"/>
      <c r="I506" s="21" t="str">
        <f>IF(G506="","",VLOOKUP(G506,frecuencia[#ALL],2,0))</f>
        <v/>
      </c>
      <c r="J506" s="21" t="str">
        <f>IF(H506="","",VLOOKUP(H506,tipo_donante[#ALL],2,0))</f>
        <v/>
      </c>
      <c r="K506" s="24"/>
    </row>
    <row r="507">
      <c r="A507" s="21"/>
      <c r="B507" s="21"/>
      <c r="C507" s="23"/>
      <c r="D507" s="21"/>
      <c r="E507" s="21"/>
      <c r="F507" s="21"/>
      <c r="G507" s="21"/>
      <c r="H507" s="21"/>
      <c r="I507" s="21" t="str">
        <f>IF(G507="","",VLOOKUP(G507,frecuencia[#ALL],2,0))</f>
        <v/>
      </c>
      <c r="J507" s="21" t="str">
        <f>IF(H507="","",VLOOKUP(H507,tipo_donante[#ALL],2,0))</f>
        <v/>
      </c>
      <c r="K507" s="24"/>
    </row>
    <row r="508">
      <c r="A508" s="21"/>
      <c r="B508" s="21"/>
      <c r="C508" s="23"/>
      <c r="D508" s="21"/>
      <c r="E508" s="21"/>
      <c r="F508" s="21"/>
      <c r="G508" s="21"/>
      <c r="H508" s="21"/>
      <c r="I508" s="21" t="str">
        <f>IF(G508="","",VLOOKUP(G508,frecuencia[#ALL],2,0))</f>
        <v/>
      </c>
      <c r="J508" s="21" t="str">
        <f>IF(H508="","",VLOOKUP(H508,tipo_donante[#ALL],2,0))</f>
        <v/>
      </c>
      <c r="K508" s="24"/>
    </row>
    <row r="509">
      <c r="A509" s="21"/>
      <c r="B509" s="21"/>
      <c r="C509" s="23"/>
      <c r="D509" s="21"/>
      <c r="E509" s="21"/>
      <c r="F509" s="21"/>
      <c r="G509" s="21"/>
      <c r="H509" s="21"/>
      <c r="I509" s="21" t="str">
        <f>IF(G509="","",VLOOKUP(G509,frecuencia[#ALL],2,0))</f>
        <v/>
      </c>
      <c r="J509" s="21" t="str">
        <f>IF(H509="","",VLOOKUP(H509,tipo_donante[#ALL],2,0))</f>
        <v/>
      </c>
      <c r="K509" s="24"/>
    </row>
    <row r="510">
      <c r="A510" s="21"/>
      <c r="B510" s="21"/>
      <c r="C510" s="23"/>
      <c r="D510" s="21"/>
      <c r="E510" s="21"/>
      <c r="F510" s="21"/>
      <c r="G510" s="21"/>
      <c r="H510" s="21"/>
      <c r="I510" s="21" t="str">
        <f>IF(G510="","",VLOOKUP(G510,frecuencia[#ALL],2,0))</f>
        <v/>
      </c>
      <c r="J510" s="21" t="str">
        <f>IF(H510="","",VLOOKUP(H510,tipo_donante[#ALL],2,0))</f>
        <v/>
      </c>
      <c r="K510" s="24"/>
    </row>
    <row r="511">
      <c r="A511" s="21"/>
      <c r="B511" s="21"/>
      <c r="C511" s="23"/>
      <c r="D511" s="21"/>
      <c r="E511" s="21"/>
      <c r="F511" s="21"/>
      <c r="G511" s="21"/>
      <c r="H511" s="21"/>
      <c r="I511" s="21" t="str">
        <f>IF(G511="","",VLOOKUP(G511,frecuencia[#ALL],2,0))</f>
        <v/>
      </c>
      <c r="J511" s="21" t="str">
        <f>IF(H511="","",VLOOKUP(H511,tipo_donante[#ALL],2,0))</f>
        <v/>
      </c>
      <c r="K511" s="24"/>
    </row>
    <row r="512">
      <c r="A512" s="21"/>
      <c r="B512" s="21"/>
      <c r="C512" s="23"/>
      <c r="D512" s="21"/>
      <c r="E512" s="21"/>
      <c r="F512" s="21"/>
      <c r="G512" s="21"/>
      <c r="H512" s="21"/>
      <c r="I512" s="21" t="str">
        <f>IF(G512="","",VLOOKUP(G512,frecuencia[#ALL],2,0))</f>
        <v/>
      </c>
      <c r="J512" s="21" t="str">
        <f>IF(H512="","",VLOOKUP(H512,tipo_donante[#ALL],2,0))</f>
        <v/>
      </c>
      <c r="K512" s="24"/>
    </row>
    <row r="513">
      <c r="A513" s="21"/>
      <c r="B513" s="21"/>
      <c r="C513" s="23"/>
      <c r="D513" s="21"/>
      <c r="E513" s="21"/>
      <c r="F513" s="21"/>
      <c r="G513" s="21"/>
      <c r="H513" s="21"/>
      <c r="I513" s="21" t="str">
        <f>IF(G513="","",VLOOKUP(G513,frecuencia[#ALL],2,0))</f>
        <v/>
      </c>
      <c r="J513" s="21" t="str">
        <f>IF(H513="","",VLOOKUP(H513,tipo_donante[#ALL],2,0))</f>
        <v/>
      </c>
      <c r="K513" s="24"/>
    </row>
    <row r="514">
      <c r="A514" s="21"/>
      <c r="B514" s="21"/>
      <c r="C514" s="23"/>
      <c r="D514" s="21"/>
      <c r="E514" s="21"/>
      <c r="F514" s="21"/>
      <c r="G514" s="21"/>
      <c r="H514" s="21"/>
      <c r="I514" s="21" t="str">
        <f>IF(G514="","",VLOOKUP(G514,frecuencia[#ALL],2,0))</f>
        <v/>
      </c>
      <c r="J514" s="21" t="str">
        <f>IF(H514="","",VLOOKUP(H514,tipo_donante[#ALL],2,0))</f>
        <v/>
      </c>
      <c r="K514" s="24"/>
    </row>
    <row r="515">
      <c r="A515" s="21"/>
      <c r="B515" s="21"/>
      <c r="C515" s="23"/>
      <c r="D515" s="21"/>
      <c r="E515" s="21"/>
      <c r="F515" s="21"/>
      <c r="G515" s="21"/>
      <c r="H515" s="21"/>
      <c r="I515" s="21" t="str">
        <f>IF(G515="","",VLOOKUP(G515,frecuencia[#ALL],2,0))</f>
        <v/>
      </c>
      <c r="J515" s="21" t="str">
        <f>IF(H515="","",VLOOKUP(H515,tipo_donante[#ALL],2,0))</f>
        <v/>
      </c>
      <c r="K515" s="24"/>
    </row>
    <row r="516">
      <c r="A516" s="21"/>
      <c r="B516" s="21"/>
      <c r="C516" s="23"/>
      <c r="D516" s="21"/>
      <c r="E516" s="21"/>
      <c r="F516" s="21"/>
      <c r="G516" s="21"/>
      <c r="H516" s="21"/>
      <c r="I516" s="21" t="str">
        <f>IF(G516="","",VLOOKUP(G516,frecuencia[#ALL],2,0))</f>
        <v/>
      </c>
      <c r="J516" s="21" t="str">
        <f>IF(H516="","",VLOOKUP(H516,tipo_donante[#ALL],2,0))</f>
        <v/>
      </c>
      <c r="K516" s="24"/>
    </row>
    <row r="517">
      <c r="A517" s="21"/>
      <c r="B517" s="21"/>
      <c r="C517" s="23"/>
      <c r="D517" s="21"/>
      <c r="E517" s="21"/>
      <c r="F517" s="21"/>
      <c r="G517" s="21"/>
      <c r="H517" s="21"/>
      <c r="I517" s="21" t="str">
        <f>IF(G517="","",VLOOKUP(G517,frecuencia[#ALL],2,0))</f>
        <v/>
      </c>
      <c r="J517" s="21" t="str">
        <f>IF(H517="","",VLOOKUP(H517,tipo_donante[#ALL],2,0))</f>
        <v/>
      </c>
      <c r="K517" s="24"/>
    </row>
    <row r="518">
      <c r="A518" s="21"/>
      <c r="B518" s="21"/>
      <c r="C518" s="23"/>
      <c r="D518" s="21"/>
      <c r="E518" s="21"/>
      <c r="F518" s="21"/>
      <c r="G518" s="21"/>
      <c r="H518" s="21"/>
      <c r="I518" s="21" t="str">
        <f>IF(G518="","",VLOOKUP(G518,frecuencia[#ALL],2,0))</f>
        <v/>
      </c>
      <c r="J518" s="21" t="str">
        <f>IF(H518="","",VLOOKUP(H518,tipo_donante[#ALL],2,0))</f>
        <v/>
      </c>
      <c r="K518" s="24"/>
    </row>
    <row r="519">
      <c r="A519" s="21"/>
      <c r="B519" s="21"/>
      <c r="C519" s="23"/>
      <c r="D519" s="21"/>
      <c r="E519" s="21"/>
      <c r="F519" s="21"/>
      <c r="G519" s="21"/>
      <c r="H519" s="21"/>
      <c r="I519" s="21" t="str">
        <f>IF(G519="","",VLOOKUP(G519,frecuencia[#ALL],2,0))</f>
        <v/>
      </c>
      <c r="J519" s="21" t="str">
        <f>IF(H519="","",VLOOKUP(H519,tipo_donante[#ALL],2,0))</f>
        <v/>
      </c>
      <c r="K519" s="24"/>
    </row>
    <row r="520">
      <c r="A520" s="21"/>
      <c r="B520" s="21"/>
      <c r="C520" s="23"/>
      <c r="D520" s="21"/>
      <c r="E520" s="21"/>
      <c r="F520" s="21"/>
      <c r="G520" s="21"/>
      <c r="H520" s="21"/>
      <c r="I520" s="21" t="str">
        <f>IF(G520="","",VLOOKUP(G520,frecuencia[#ALL],2,0))</f>
        <v/>
      </c>
      <c r="J520" s="21" t="str">
        <f>IF(H520="","",VLOOKUP(H520,tipo_donante[#ALL],2,0))</f>
        <v/>
      </c>
      <c r="K520" s="24"/>
    </row>
    <row r="521">
      <c r="A521" s="21"/>
      <c r="B521" s="21"/>
      <c r="C521" s="23"/>
      <c r="D521" s="21"/>
      <c r="E521" s="21"/>
      <c r="F521" s="21"/>
      <c r="G521" s="21"/>
      <c r="H521" s="21"/>
      <c r="I521" s="21" t="str">
        <f>IF(G521="","",VLOOKUP(G521,frecuencia[#ALL],2,0))</f>
        <v/>
      </c>
      <c r="J521" s="21" t="str">
        <f>IF(H521="","",VLOOKUP(H521,tipo_donante[#ALL],2,0))</f>
        <v/>
      </c>
      <c r="K521" s="24"/>
    </row>
    <row r="522">
      <c r="A522" s="21"/>
      <c r="B522" s="21"/>
      <c r="C522" s="23"/>
      <c r="D522" s="21"/>
      <c r="E522" s="21"/>
      <c r="F522" s="21"/>
      <c r="G522" s="21"/>
      <c r="H522" s="21"/>
      <c r="I522" s="21" t="str">
        <f>IF(G522="","",VLOOKUP(G522,frecuencia[#ALL],2,0))</f>
        <v/>
      </c>
      <c r="J522" s="21" t="str">
        <f>IF(H522="","",VLOOKUP(H522,tipo_donante[#ALL],2,0))</f>
        <v/>
      </c>
      <c r="K522" s="24"/>
    </row>
    <row r="523">
      <c r="A523" s="21"/>
      <c r="B523" s="21"/>
      <c r="C523" s="23"/>
      <c r="D523" s="21"/>
      <c r="E523" s="21"/>
      <c r="F523" s="21"/>
      <c r="G523" s="21"/>
      <c r="H523" s="21"/>
      <c r="I523" s="21" t="str">
        <f>IF(G523="","",VLOOKUP(G523,frecuencia[#ALL],2,0))</f>
        <v/>
      </c>
      <c r="J523" s="21" t="str">
        <f>IF(H523="","",VLOOKUP(H523,tipo_donante[#ALL],2,0))</f>
        <v/>
      </c>
      <c r="K523" s="24"/>
    </row>
    <row r="524">
      <c r="A524" s="21"/>
      <c r="B524" s="21"/>
      <c r="C524" s="23"/>
      <c r="D524" s="21"/>
      <c r="E524" s="21"/>
      <c r="F524" s="21"/>
      <c r="G524" s="21"/>
      <c r="H524" s="21"/>
      <c r="I524" s="21" t="str">
        <f>IF(G524="","",VLOOKUP(G524,frecuencia[#ALL],2,0))</f>
        <v/>
      </c>
      <c r="J524" s="21" t="str">
        <f>IF(H524="","",VLOOKUP(H524,tipo_donante[#ALL],2,0))</f>
        <v/>
      </c>
      <c r="K524" s="24"/>
    </row>
    <row r="525">
      <c r="A525" s="21"/>
      <c r="B525" s="21"/>
      <c r="C525" s="23"/>
      <c r="D525" s="21"/>
      <c r="E525" s="21"/>
      <c r="F525" s="21"/>
      <c r="G525" s="21"/>
      <c r="H525" s="21"/>
      <c r="I525" s="21" t="str">
        <f>IF(G525="","",VLOOKUP(G525,frecuencia[#ALL],2,0))</f>
        <v/>
      </c>
      <c r="J525" s="21" t="str">
        <f>IF(H525="","",VLOOKUP(H525,tipo_donante[#ALL],2,0))</f>
        <v/>
      </c>
      <c r="K525" s="24"/>
    </row>
    <row r="526">
      <c r="A526" s="21"/>
      <c r="B526" s="21"/>
      <c r="C526" s="23"/>
      <c r="D526" s="21"/>
      <c r="E526" s="21"/>
      <c r="F526" s="21"/>
      <c r="G526" s="21"/>
      <c r="H526" s="21"/>
      <c r="I526" s="21" t="str">
        <f>IF(G526="","",VLOOKUP(G526,frecuencia[#ALL],2,0))</f>
        <v/>
      </c>
      <c r="J526" s="21" t="str">
        <f>IF(H526="","",VLOOKUP(H526,tipo_donante[#ALL],2,0))</f>
        <v/>
      </c>
      <c r="K526" s="24"/>
    </row>
    <row r="527">
      <c r="A527" s="21"/>
      <c r="B527" s="21"/>
      <c r="C527" s="23"/>
      <c r="D527" s="21"/>
      <c r="E527" s="21"/>
      <c r="F527" s="21"/>
      <c r="G527" s="21"/>
      <c r="H527" s="21"/>
      <c r="I527" s="21" t="str">
        <f>IF(G527="","",VLOOKUP(G527,frecuencia[#ALL],2,0))</f>
        <v/>
      </c>
      <c r="J527" s="21" t="str">
        <f>IF(H527="","",VLOOKUP(H527,tipo_donante[#ALL],2,0))</f>
        <v/>
      </c>
      <c r="K527" s="24"/>
    </row>
    <row r="528">
      <c r="A528" s="21"/>
      <c r="B528" s="21"/>
      <c r="C528" s="23"/>
      <c r="D528" s="21"/>
      <c r="E528" s="21"/>
      <c r="F528" s="21"/>
      <c r="G528" s="21"/>
      <c r="H528" s="21"/>
      <c r="I528" s="21" t="str">
        <f>IF(G528="","",VLOOKUP(G528,frecuencia[#ALL],2,0))</f>
        <v/>
      </c>
      <c r="J528" s="21" t="str">
        <f>IF(H528="","",VLOOKUP(H528,tipo_donante[#ALL],2,0))</f>
        <v/>
      </c>
      <c r="K528" s="24"/>
    </row>
    <row r="529">
      <c r="A529" s="21"/>
      <c r="B529" s="21"/>
      <c r="C529" s="23"/>
      <c r="D529" s="21"/>
      <c r="E529" s="21"/>
      <c r="F529" s="21"/>
      <c r="G529" s="21"/>
      <c r="H529" s="21"/>
      <c r="I529" s="21" t="str">
        <f>IF(G529="","",VLOOKUP(G529,frecuencia[#ALL],2,0))</f>
        <v/>
      </c>
      <c r="J529" s="21" t="str">
        <f>IF(H529="","",VLOOKUP(H529,tipo_donante[#ALL],2,0))</f>
        <v/>
      </c>
      <c r="K529" s="24"/>
    </row>
    <row r="530">
      <c r="A530" s="21"/>
      <c r="B530" s="21"/>
      <c r="C530" s="23"/>
      <c r="D530" s="21"/>
      <c r="E530" s="21"/>
      <c r="F530" s="21"/>
      <c r="G530" s="21"/>
      <c r="H530" s="21"/>
      <c r="I530" s="21" t="str">
        <f>IF(G530="","",VLOOKUP(G530,frecuencia[#ALL],2,0))</f>
        <v/>
      </c>
      <c r="J530" s="21" t="str">
        <f>IF(H530="","",VLOOKUP(H530,tipo_donante[#ALL],2,0))</f>
        <v/>
      </c>
      <c r="K530" s="24"/>
    </row>
    <row r="531">
      <c r="A531" s="21"/>
      <c r="B531" s="21"/>
      <c r="C531" s="23"/>
      <c r="D531" s="21"/>
      <c r="E531" s="21"/>
      <c r="F531" s="21"/>
      <c r="G531" s="21"/>
      <c r="H531" s="21"/>
      <c r="I531" s="21" t="str">
        <f>IF(G531="","",VLOOKUP(G531,frecuencia[#ALL],2,0))</f>
        <v/>
      </c>
      <c r="J531" s="21" t="str">
        <f>IF(H531="","",VLOOKUP(H531,tipo_donante[#ALL],2,0))</f>
        <v/>
      </c>
      <c r="K531" s="24"/>
    </row>
    <row r="532">
      <c r="A532" s="21"/>
      <c r="B532" s="21"/>
      <c r="C532" s="23"/>
      <c r="D532" s="21"/>
      <c r="E532" s="21"/>
      <c r="F532" s="21"/>
      <c r="G532" s="21"/>
      <c r="H532" s="21"/>
      <c r="I532" s="21" t="str">
        <f>IF(G532="","",VLOOKUP(G532,frecuencia[#ALL],2,0))</f>
        <v/>
      </c>
      <c r="J532" s="21" t="str">
        <f>IF(H532="","",VLOOKUP(H532,tipo_donante[#ALL],2,0))</f>
        <v/>
      </c>
      <c r="K532" s="24"/>
    </row>
    <row r="533">
      <c r="A533" s="21"/>
      <c r="B533" s="21"/>
      <c r="C533" s="23"/>
      <c r="D533" s="21"/>
      <c r="E533" s="21"/>
      <c r="F533" s="21"/>
      <c r="G533" s="21"/>
      <c r="H533" s="21"/>
      <c r="I533" s="21" t="str">
        <f>IF(G533="","",VLOOKUP(G533,frecuencia[#ALL],2,0))</f>
        <v/>
      </c>
      <c r="J533" s="21" t="str">
        <f>IF(H533="","",VLOOKUP(H533,tipo_donante[#ALL],2,0))</f>
        <v/>
      </c>
      <c r="K533" s="24"/>
    </row>
    <row r="534">
      <c r="A534" s="21"/>
      <c r="B534" s="21"/>
      <c r="C534" s="23"/>
      <c r="D534" s="21"/>
      <c r="E534" s="21"/>
      <c r="F534" s="21"/>
      <c r="G534" s="21"/>
      <c r="H534" s="21"/>
      <c r="I534" s="21" t="str">
        <f>IF(G534="","",VLOOKUP(G534,frecuencia[#ALL],2,0))</f>
        <v/>
      </c>
      <c r="J534" s="21" t="str">
        <f>IF(H534="","",VLOOKUP(H534,tipo_donante[#ALL],2,0))</f>
        <v/>
      </c>
      <c r="K534" s="24"/>
    </row>
    <row r="535">
      <c r="A535" s="21"/>
      <c r="B535" s="21"/>
      <c r="C535" s="23"/>
      <c r="D535" s="21"/>
      <c r="E535" s="21"/>
      <c r="F535" s="21"/>
      <c r="G535" s="21"/>
      <c r="H535" s="21"/>
      <c r="I535" s="21" t="str">
        <f>IF(G535="","",VLOOKUP(G535,frecuencia[#ALL],2,0))</f>
        <v/>
      </c>
      <c r="J535" s="21" t="str">
        <f>IF(H535="","",VLOOKUP(H535,tipo_donante[#ALL],2,0))</f>
        <v/>
      </c>
      <c r="K535" s="24"/>
    </row>
    <row r="536">
      <c r="A536" s="21"/>
      <c r="B536" s="21"/>
      <c r="C536" s="23"/>
      <c r="D536" s="21"/>
      <c r="E536" s="21"/>
      <c r="F536" s="21"/>
      <c r="G536" s="21"/>
      <c r="H536" s="21"/>
      <c r="I536" s="21" t="str">
        <f>IF(G536="","",VLOOKUP(G536,frecuencia[#ALL],2,0))</f>
        <v/>
      </c>
      <c r="J536" s="21" t="str">
        <f>IF(H536="","",VLOOKUP(H536,tipo_donante[#ALL],2,0))</f>
        <v/>
      </c>
      <c r="K536" s="24"/>
    </row>
    <row r="537">
      <c r="A537" s="21"/>
      <c r="B537" s="21"/>
      <c r="C537" s="23"/>
      <c r="D537" s="21"/>
      <c r="E537" s="21"/>
      <c r="F537" s="21"/>
      <c r="G537" s="21"/>
      <c r="H537" s="21"/>
      <c r="I537" s="21" t="str">
        <f>IF(G537="","",VLOOKUP(G537,frecuencia[#ALL],2,0))</f>
        <v/>
      </c>
      <c r="J537" s="21" t="str">
        <f>IF(H537="","",VLOOKUP(H537,tipo_donante[#ALL],2,0))</f>
        <v/>
      </c>
      <c r="K537" s="24"/>
    </row>
    <row r="538">
      <c r="A538" s="21"/>
      <c r="B538" s="21"/>
      <c r="C538" s="23"/>
      <c r="D538" s="21"/>
      <c r="E538" s="21"/>
      <c r="F538" s="21"/>
      <c r="G538" s="21"/>
      <c r="H538" s="21"/>
      <c r="I538" s="21" t="str">
        <f>IF(G538="","",VLOOKUP(G538,frecuencia[#ALL],2,0))</f>
        <v/>
      </c>
      <c r="J538" s="21" t="str">
        <f>IF(H538="","",VLOOKUP(H538,tipo_donante[#ALL],2,0))</f>
        <v/>
      </c>
      <c r="K538" s="24"/>
    </row>
    <row r="539">
      <c r="A539" s="21"/>
      <c r="B539" s="21"/>
      <c r="C539" s="23"/>
      <c r="D539" s="21"/>
      <c r="E539" s="21"/>
      <c r="F539" s="21"/>
      <c r="G539" s="21"/>
      <c r="H539" s="21"/>
      <c r="I539" s="21" t="str">
        <f>IF(G539="","",VLOOKUP(G539,frecuencia[#ALL],2,0))</f>
        <v/>
      </c>
      <c r="J539" s="21" t="str">
        <f>IF(H539="","",VLOOKUP(H539,tipo_donante[#ALL],2,0))</f>
        <v/>
      </c>
      <c r="K539" s="24"/>
    </row>
    <row r="540">
      <c r="A540" s="21"/>
      <c r="B540" s="21"/>
      <c r="C540" s="23"/>
      <c r="D540" s="21"/>
      <c r="E540" s="21"/>
      <c r="F540" s="21"/>
      <c r="G540" s="21"/>
      <c r="H540" s="21"/>
      <c r="I540" s="21" t="str">
        <f>IF(G540="","",VLOOKUP(G540,frecuencia[#ALL],2,0))</f>
        <v/>
      </c>
      <c r="J540" s="21" t="str">
        <f>IF(H540="","",VLOOKUP(H540,tipo_donante[#ALL],2,0))</f>
        <v/>
      </c>
      <c r="K540" s="24"/>
    </row>
    <row r="541">
      <c r="A541" s="21"/>
      <c r="B541" s="21"/>
      <c r="C541" s="23"/>
      <c r="D541" s="21"/>
      <c r="E541" s="21"/>
      <c r="F541" s="21"/>
      <c r="G541" s="21"/>
      <c r="H541" s="21"/>
      <c r="I541" s="21" t="str">
        <f>IF(G541="","",VLOOKUP(G541,frecuencia[#ALL],2,0))</f>
        <v/>
      </c>
      <c r="J541" s="21" t="str">
        <f>IF(H541="","",VLOOKUP(H541,tipo_donante[#ALL],2,0))</f>
        <v/>
      </c>
      <c r="K541" s="24"/>
    </row>
    <row r="542">
      <c r="A542" s="21"/>
      <c r="B542" s="21"/>
      <c r="C542" s="23"/>
      <c r="D542" s="21"/>
      <c r="E542" s="21"/>
      <c r="F542" s="21"/>
      <c r="G542" s="21"/>
      <c r="H542" s="21"/>
      <c r="I542" s="21" t="str">
        <f>IF(G542="","",VLOOKUP(G542,frecuencia[#ALL],2,0))</f>
        <v/>
      </c>
      <c r="J542" s="21" t="str">
        <f>IF(H542="","",VLOOKUP(H542,tipo_donante[#ALL],2,0))</f>
        <v/>
      </c>
      <c r="K542" s="24"/>
    </row>
    <row r="543">
      <c r="A543" s="21"/>
      <c r="B543" s="21"/>
      <c r="C543" s="23"/>
      <c r="D543" s="21"/>
      <c r="E543" s="21"/>
      <c r="F543" s="21"/>
      <c r="G543" s="21"/>
      <c r="H543" s="21"/>
      <c r="I543" s="21" t="str">
        <f>IF(G543="","",VLOOKUP(G543,frecuencia[#ALL],2,0))</f>
        <v/>
      </c>
      <c r="J543" s="21" t="str">
        <f>IF(H543="","",VLOOKUP(H543,tipo_donante[#ALL],2,0))</f>
        <v/>
      </c>
      <c r="K543" s="24"/>
    </row>
    <row r="544">
      <c r="A544" s="21"/>
      <c r="B544" s="21"/>
      <c r="C544" s="23"/>
      <c r="D544" s="21"/>
      <c r="E544" s="21"/>
      <c r="F544" s="21"/>
      <c r="G544" s="21"/>
      <c r="H544" s="21"/>
      <c r="I544" s="21" t="str">
        <f>IF(G544="","",VLOOKUP(G544,frecuencia[#ALL],2,0))</f>
        <v/>
      </c>
      <c r="J544" s="21" t="str">
        <f>IF(H544="","",VLOOKUP(H544,tipo_donante[#ALL],2,0))</f>
        <v/>
      </c>
      <c r="K544" s="24"/>
    </row>
    <row r="545">
      <c r="A545" s="21"/>
      <c r="B545" s="21"/>
      <c r="C545" s="23"/>
      <c r="D545" s="21"/>
      <c r="E545" s="21"/>
      <c r="F545" s="21"/>
      <c r="G545" s="21"/>
      <c r="H545" s="21"/>
      <c r="I545" s="21" t="str">
        <f>IF(G545="","",VLOOKUP(G545,frecuencia[#ALL],2,0))</f>
        <v/>
      </c>
      <c r="J545" s="21" t="str">
        <f>IF(H545="","",VLOOKUP(H545,tipo_donante[#ALL],2,0))</f>
        <v/>
      </c>
      <c r="K545" s="24"/>
    </row>
    <row r="546">
      <c r="A546" s="21"/>
      <c r="B546" s="21"/>
      <c r="C546" s="23"/>
      <c r="D546" s="21"/>
      <c r="E546" s="21"/>
      <c r="F546" s="21"/>
      <c r="G546" s="21"/>
      <c r="H546" s="21"/>
      <c r="I546" s="21" t="str">
        <f>IF(G546="","",VLOOKUP(G546,frecuencia[#ALL],2,0))</f>
        <v/>
      </c>
      <c r="J546" s="21" t="str">
        <f>IF(H546="","",VLOOKUP(H546,tipo_donante[#ALL],2,0))</f>
        <v/>
      </c>
      <c r="K546" s="24"/>
    </row>
    <row r="547">
      <c r="A547" s="21"/>
      <c r="B547" s="21"/>
      <c r="C547" s="23"/>
      <c r="D547" s="21"/>
      <c r="E547" s="21"/>
      <c r="F547" s="21"/>
      <c r="G547" s="21"/>
      <c r="H547" s="21"/>
      <c r="I547" s="21" t="str">
        <f>IF(G547="","",VLOOKUP(G547,frecuencia[#ALL],2,0))</f>
        <v/>
      </c>
      <c r="J547" s="21" t="str">
        <f>IF(H547="","",VLOOKUP(H547,tipo_donante[#ALL],2,0))</f>
        <v/>
      </c>
      <c r="K547" s="24"/>
    </row>
    <row r="548">
      <c r="A548" s="21"/>
      <c r="B548" s="21"/>
      <c r="C548" s="23"/>
      <c r="D548" s="21"/>
      <c r="E548" s="21"/>
      <c r="F548" s="21"/>
      <c r="G548" s="21"/>
      <c r="H548" s="21"/>
      <c r="I548" s="21" t="str">
        <f>IF(G548="","",VLOOKUP(G548,frecuencia[#ALL],2,0))</f>
        <v/>
      </c>
      <c r="J548" s="21" t="str">
        <f>IF(H548="","",VLOOKUP(H548,tipo_donante[#ALL],2,0))</f>
        <v/>
      </c>
      <c r="K548" s="24"/>
    </row>
    <row r="549">
      <c r="A549" s="21"/>
      <c r="B549" s="21"/>
      <c r="C549" s="23"/>
      <c r="D549" s="21"/>
      <c r="E549" s="21"/>
      <c r="F549" s="21"/>
      <c r="G549" s="21"/>
      <c r="H549" s="21"/>
      <c r="I549" s="21" t="str">
        <f>IF(G549="","",VLOOKUP(G549,frecuencia[#ALL],2,0))</f>
        <v/>
      </c>
      <c r="J549" s="21" t="str">
        <f>IF(H549="","",VLOOKUP(H549,tipo_donante[#ALL],2,0))</f>
        <v/>
      </c>
      <c r="K549" s="24"/>
    </row>
    <row r="550">
      <c r="A550" s="21"/>
      <c r="B550" s="21"/>
      <c r="C550" s="23"/>
      <c r="D550" s="21"/>
      <c r="E550" s="21"/>
      <c r="F550" s="21"/>
      <c r="G550" s="21"/>
      <c r="H550" s="21"/>
      <c r="I550" s="21" t="str">
        <f>IF(G550="","",VLOOKUP(G550,frecuencia[#ALL],2,0))</f>
        <v/>
      </c>
      <c r="J550" s="21" t="str">
        <f>IF(H550="","",VLOOKUP(H550,tipo_donante[#ALL],2,0))</f>
        <v/>
      </c>
      <c r="K550" s="24"/>
    </row>
    <row r="551">
      <c r="A551" s="21"/>
      <c r="B551" s="21"/>
      <c r="C551" s="23"/>
      <c r="D551" s="21"/>
      <c r="E551" s="21"/>
      <c r="F551" s="21"/>
      <c r="G551" s="21"/>
      <c r="H551" s="21"/>
      <c r="I551" s="21" t="str">
        <f>IF(G551="","",VLOOKUP(G551,frecuencia[#ALL],2,0))</f>
        <v/>
      </c>
      <c r="J551" s="21" t="str">
        <f>IF(H551="","",VLOOKUP(H551,tipo_donante[#ALL],2,0))</f>
        <v/>
      </c>
      <c r="K551" s="24"/>
    </row>
    <row r="552">
      <c r="A552" s="21"/>
      <c r="B552" s="21"/>
      <c r="C552" s="23"/>
      <c r="D552" s="21"/>
      <c r="E552" s="21"/>
      <c r="F552" s="21"/>
      <c r="G552" s="21"/>
      <c r="H552" s="21"/>
      <c r="I552" s="21" t="str">
        <f>IF(G552="","",VLOOKUP(G552,frecuencia[#ALL],2,0))</f>
        <v/>
      </c>
      <c r="J552" s="21" t="str">
        <f>IF(H552="","",VLOOKUP(H552,tipo_donante[#ALL],2,0))</f>
        <v/>
      </c>
      <c r="K552" s="24"/>
    </row>
    <row r="553">
      <c r="A553" s="21"/>
      <c r="B553" s="21"/>
      <c r="C553" s="23"/>
      <c r="D553" s="21"/>
      <c r="E553" s="21"/>
      <c r="F553" s="21"/>
      <c r="G553" s="21"/>
      <c r="H553" s="21"/>
      <c r="I553" s="21" t="str">
        <f>IF(G553="","",VLOOKUP(G553,frecuencia[#ALL],2,0))</f>
        <v/>
      </c>
      <c r="J553" s="21" t="str">
        <f>IF(H553="","",VLOOKUP(H553,tipo_donante[#ALL],2,0))</f>
        <v/>
      </c>
      <c r="K553" s="24"/>
    </row>
    <row r="554">
      <c r="A554" s="21"/>
      <c r="B554" s="21"/>
      <c r="C554" s="23"/>
      <c r="D554" s="21"/>
      <c r="E554" s="21"/>
      <c r="F554" s="21"/>
      <c r="G554" s="21"/>
      <c r="H554" s="21"/>
      <c r="I554" s="21" t="str">
        <f>IF(G554="","",VLOOKUP(G554,frecuencia[#ALL],2,0))</f>
        <v/>
      </c>
      <c r="J554" s="21" t="str">
        <f>IF(H554="","",VLOOKUP(H554,tipo_donante[#ALL],2,0))</f>
        <v/>
      </c>
      <c r="K554" s="24"/>
    </row>
    <row r="555">
      <c r="A555" s="21"/>
      <c r="B555" s="21"/>
      <c r="C555" s="23"/>
      <c r="D555" s="21"/>
      <c r="E555" s="21"/>
      <c r="F555" s="21"/>
      <c r="G555" s="21"/>
      <c r="H555" s="21"/>
      <c r="I555" s="21" t="str">
        <f>IF(G555="","",VLOOKUP(G555,frecuencia[#ALL],2,0))</f>
        <v/>
      </c>
      <c r="J555" s="21" t="str">
        <f>IF(H555="","",VLOOKUP(H555,tipo_donante[#ALL],2,0))</f>
        <v/>
      </c>
      <c r="K555" s="24"/>
    </row>
    <row r="556">
      <c r="A556" s="21"/>
      <c r="B556" s="21"/>
      <c r="C556" s="23"/>
      <c r="D556" s="21"/>
      <c r="E556" s="21"/>
      <c r="F556" s="21"/>
      <c r="G556" s="21"/>
      <c r="H556" s="21"/>
      <c r="I556" s="21" t="str">
        <f>IF(G556="","",VLOOKUP(G556,frecuencia[#ALL],2,0))</f>
        <v/>
      </c>
      <c r="J556" s="21" t="str">
        <f>IF(H556="","",VLOOKUP(H556,tipo_donante[#ALL],2,0))</f>
        <v/>
      </c>
      <c r="K556" s="24"/>
    </row>
    <row r="557">
      <c r="A557" s="21"/>
      <c r="B557" s="21"/>
      <c r="C557" s="23"/>
      <c r="D557" s="21"/>
      <c r="E557" s="21"/>
      <c r="F557" s="21"/>
      <c r="G557" s="21"/>
      <c r="H557" s="21"/>
      <c r="I557" s="21" t="str">
        <f>IF(G557="","",VLOOKUP(G557,frecuencia[#ALL],2,0))</f>
        <v/>
      </c>
      <c r="J557" s="21" t="str">
        <f>IF(H557="","",VLOOKUP(H557,tipo_donante[#ALL],2,0))</f>
        <v/>
      </c>
      <c r="K557" s="24"/>
    </row>
    <row r="558">
      <c r="A558" s="21"/>
      <c r="B558" s="21"/>
      <c r="C558" s="23"/>
      <c r="D558" s="21"/>
      <c r="E558" s="21"/>
      <c r="F558" s="21"/>
      <c r="G558" s="21"/>
      <c r="H558" s="21"/>
      <c r="I558" s="21" t="str">
        <f>IF(G558="","",VLOOKUP(G558,frecuencia[#ALL],2,0))</f>
        <v/>
      </c>
      <c r="J558" s="21" t="str">
        <f>IF(H558="","",VLOOKUP(H558,tipo_donante[#ALL],2,0))</f>
        <v/>
      </c>
      <c r="K558" s="24"/>
    </row>
    <row r="559">
      <c r="A559" s="21"/>
      <c r="B559" s="21"/>
      <c r="C559" s="23"/>
      <c r="D559" s="21"/>
      <c r="E559" s="21"/>
      <c r="F559" s="21"/>
      <c r="G559" s="21"/>
      <c r="H559" s="21"/>
      <c r="I559" s="21" t="str">
        <f>IF(G559="","",VLOOKUP(G559,frecuencia[#ALL],2,0))</f>
        <v/>
      </c>
      <c r="J559" s="21" t="str">
        <f>IF(H559="","",VLOOKUP(H559,tipo_donante[#ALL],2,0))</f>
        <v/>
      </c>
      <c r="K559" s="24"/>
    </row>
    <row r="560">
      <c r="A560" s="21"/>
      <c r="B560" s="21"/>
      <c r="C560" s="23"/>
      <c r="D560" s="21"/>
      <c r="E560" s="21"/>
      <c r="F560" s="21"/>
      <c r="G560" s="21"/>
      <c r="H560" s="21"/>
      <c r="I560" s="21" t="str">
        <f>IF(G560="","",VLOOKUP(G560,frecuencia[#ALL],2,0))</f>
        <v/>
      </c>
      <c r="J560" s="21" t="str">
        <f>IF(H560="","",VLOOKUP(H560,tipo_donante[#ALL],2,0))</f>
        <v/>
      </c>
      <c r="K560" s="24"/>
    </row>
    <row r="561">
      <c r="A561" s="21"/>
      <c r="B561" s="21"/>
      <c r="C561" s="23"/>
      <c r="D561" s="21"/>
      <c r="E561" s="21"/>
      <c r="F561" s="21"/>
      <c r="G561" s="21"/>
      <c r="H561" s="21"/>
      <c r="I561" s="21" t="str">
        <f>IF(G561="","",VLOOKUP(G561,frecuencia[#ALL],2,0))</f>
        <v/>
      </c>
      <c r="J561" s="21" t="str">
        <f>IF(H561="","",VLOOKUP(H561,tipo_donante[#ALL],2,0))</f>
        <v/>
      </c>
      <c r="K561" s="24"/>
    </row>
    <row r="562">
      <c r="A562" s="21"/>
      <c r="B562" s="21"/>
      <c r="C562" s="23"/>
      <c r="D562" s="21"/>
      <c r="E562" s="21"/>
      <c r="F562" s="21"/>
      <c r="G562" s="21"/>
      <c r="H562" s="21"/>
      <c r="I562" s="21" t="str">
        <f>IF(G562="","",VLOOKUP(G562,frecuencia[#ALL],2,0))</f>
        <v/>
      </c>
      <c r="J562" s="21" t="str">
        <f>IF(H562="","",VLOOKUP(H562,tipo_donante[#ALL],2,0))</f>
        <v/>
      </c>
      <c r="K562" s="24"/>
    </row>
    <row r="563">
      <c r="A563" s="21"/>
      <c r="B563" s="21"/>
      <c r="C563" s="23"/>
      <c r="D563" s="21"/>
      <c r="E563" s="21"/>
      <c r="F563" s="21"/>
      <c r="G563" s="21"/>
      <c r="H563" s="21"/>
      <c r="I563" s="21" t="str">
        <f>IF(G563="","",VLOOKUP(G563,frecuencia[#ALL],2,0))</f>
        <v/>
      </c>
      <c r="J563" s="21" t="str">
        <f>IF(H563="","",VLOOKUP(H563,tipo_donante[#ALL],2,0))</f>
        <v/>
      </c>
      <c r="K563" s="24"/>
    </row>
    <row r="564">
      <c r="A564" s="21"/>
      <c r="B564" s="21"/>
      <c r="C564" s="23"/>
      <c r="D564" s="21"/>
      <c r="E564" s="21"/>
      <c r="F564" s="21"/>
      <c r="G564" s="21"/>
      <c r="H564" s="21"/>
      <c r="I564" s="21" t="str">
        <f>IF(G564="","",VLOOKUP(G564,frecuencia[#ALL],2,0))</f>
        <v/>
      </c>
      <c r="J564" s="21" t="str">
        <f>IF(H564="","",VLOOKUP(H564,tipo_donante[#ALL],2,0))</f>
        <v/>
      </c>
      <c r="K564" s="24"/>
    </row>
    <row r="565">
      <c r="A565" s="21"/>
      <c r="B565" s="21"/>
      <c r="C565" s="23"/>
      <c r="D565" s="21"/>
      <c r="E565" s="21"/>
      <c r="F565" s="21"/>
      <c r="G565" s="21"/>
      <c r="H565" s="21"/>
      <c r="I565" s="21" t="str">
        <f>IF(G565="","",VLOOKUP(G565,frecuencia[#ALL],2,0))</f>
        <v/>
      </c>
      <c r="J565" s="21" t="str">
        <f>IF(H565="","",VLOOKUP(H565,tipo_donante[#ALL],2,0))</f>
        <v/>
      </c>
      <c r="K565" s="24"/>
    </row>
    <row r="566">
      <c r="A566" s="21"/>
      <c r="B566" s="21"/>
      <c r="C566" s="23"/>
      <c r="D566" s="21"/>
      <c r="E566" s="21"/>
      <c r="F566" s="21"/>
      <c r="G566" s="21"/>
      <c r="H566" s="21"/>
      <c r="I566" s="21" t="str">
        <f>IF(G566="","",VLOOKUP(G566,frecuencia[#ALL],2,0))</f>
        <v/>
      </c>
      <c r="J566" s="21" t="str">
        <f>IF(H566="","",VLOOKUP(H566,tipo_donante[#ALL],2,0))</f>
        <v/>
      </c>
      <c r="K566" s="24"/>
    </row>
    <row r="567">
      <c r="A567" s="21"/>
      <c r="B567" s="21"/>
      <c r="C567" s="23"/>
      <c r="D567" s="21"/>
      <c r="E567" s="21"/>
      <c r="F567" s="21"/>
      <c r="G567" s="21"/>
      <c r="H567" s="21"/>
      <c r="I567" s="21" t="str">
        <f>IF(G567="","",VLOOKUP(G567,frecuencia[#ALL],2,0))</f>
        <v/>
      </c>
      <c r="J567" s="21" t="str">
        <f>IF(H567="","",VLOOKUP(H567,tipo_donante[#ALL],2,0))</f>
        <v/>
      </c>
      <c r="K567" s="24"/>
    </row>
    <row r="568">
      <c r="A568" s="21"/>
      <c r="B568" s="21"/>
      <c r="C568" s="23"/>
      <c r="D568" s="21"/>
      <c r="E568" s="21"/>
      <c r="F568" s="21"/>
      <c r="G568" s="21"/>
      <c r="H568" s="21"/>
      <c r="I568" s="21" t="str">
        <f>IF(G568="","",VLOOKUP(G568,frecuencia[#ALL],2,0))</f>
        <v/>
      </c>
      <c r="J568" s="21" t="str">
        <f>IF(H568="","",VLOOKUP(H568,tipo_donante[#ALL],2,0))</f>
        <v/>
      </c>
      <c r="K568" s="24"/>
    </row>
    <row r="569">
      <c r="A569" s="21"/>
      <c r="B569" s="21"/>
      <c r="C569" s="23"/>
      <c r="D569" s="21"/>
      <c r="E569" s="21"/>
      <c r="F569" s="21"/>
      <c r="G569" s="21"/>
      <c r="H569" s="21"/>
      <c r="I569" s="21" t="str">
        <f>IF(G569="","",VLOOKUP(G569,frecuencia[#ALL],2,0))</f>
        <v/>
      </c>
      <c r="J569" s="21" t="str">
        <f>IF(H569="","",VLOOKUP(H569,tipo_donante[#ALL],2,0))</f>
        <v/>
      </c>
      <c r="K569" s="24"/>
    </row>
    <row r="570">
      <c r="A570" s="21"/>
      <c r="B570" s="21"/>
      <c r="C570" s="23"/>
      <c r="D570" s="21"/>
      <c r="E570" s="21"/>
      <c r="F570" s="21"/>
      <c r="G570" s="21"/>
      <c r="H570" s="21"/>
      <c r="I570" s="21" t="str">
        <f>IF(G570="","",VLOOKUP(G570,frecuencia[#ALL],2,0))</f>
        <v/>
      </c>
      <c r="J570" s="21" t="str">
        <f>IF(H570="","",VLOOKUP(H570,tipo_donante[#ALL],2,0))</f>
        <v/>
      </c>
      <c r="K570" s="24"/>
    </row>
    <row r="571">
      <c r="A571" s="21"/>
      <c r="B571" s="21"/>
      <c r="C571" s="23"/>
      <c r="D571" s="21"/>
      <c r="E571" s="21"/>
      <c r="F571" s="21"/>
      <c r="G571" s="21"/>
      <c r="H571" s="21"/>
      <c r="I571" s="21" t="str">
        <f>IF(G571="","",VLOOKUP(G571,frecuencia[#ALL],2,0))</f>
        <v/>
      </c>
      <c r="J571" s="21" t="str">
        <f>IF(H571="","",VLOOKUP(H571,tipo_donante[#ALL],2,0))</f>
        <v/>
      </c>
      <c r="K571" s="24"/>
    </row>
    <row r="572">
      <c r="A572" s="21"/>
      <c r="B572" s="21"/>
      <c r="C572" s="23"/>
      <c r="D572" s="21"/>
      <c r="E572" s="21"/>
      <c r="F572" s="21"/>
      <c r="G572" s="21"/>
      <c r="H572" s="21"/>
      <c r="I572" s="21" t="str">
        <f>IF(G572="","",VLOOKUP(G572,frecuencia[#ALL],2,0))</f>
        <v/>
      </c>
      <c r="J572" s="21" t="str">
        <f>IF(H572="","",VLOOKUP(H572,tipo_donante[#ALL],2,0))</f>
        <v/>
      </c>
      <c r="K572" s="24"/>
    </row>
    <row r="573">
      <c r="A573" s="21"/>
      <c r="B573" s="21"/>
      <c r="C573" s="23"/>
      <c r="D573" s="21"/>
      <c r="E573" s="21"/>
      <c r="F573" s="21"/>
      <c r="G573" s="21"/>
      <c r="H573" s="21"/>
      <c r="I573" s="21" t="str">
        <f>IF(G573="","",VLOOKUP(G573,frecuencia[#ALL],2,0))</f>
        <v/>
      </c>
      <c r="J573" s="21" t="str">
        <f>IF(H573="","",VLOOKUP(H573,tipo_donante[#ALL],2,0))</f>
        <v/>
      </c>
      <c r="K573" s="24"/>
    </row>
    <row r="574">
      <c r="A574" s="21"/>
      <c r="B574" s="21"/>
      <c r="C574" s="23"/>
      <c r="D574" s="21"/>
      <c r="E574" s="21"/>
      <c r="F574" s="21"/>
      <c r="G574" s="21"/>
      <c r="H574" s="21"/>
      <c r="I574" s="21" t="str">
        <f>IF(G574="","",VLOOKUP(G574,frecuencia[#ALL],2,0))</f>
        <v/>
      </c>
      <c r="J574" s="21" t="str">
        <f>IF(H574="","",VLOOKUP(H574,tipo_donante[#ALL],2,0))</f>
        <v/>
      </c>
      <c r="K574" s="24"/>
    </row>
    <row r="575">
      <c r="A575" s="21"/>
      <c r="B575" s="21"/>
      <c r="C575" s="23"/>
      <c r="D575" s="21"/>
      <c r="E575" s="21"/>
      <c r="F575" s="21"/>
      <c r="G575" s="21"/>
      <c r="H575" s="21"/>
      <c r="I575" s="21" t="str">
        <f>IF(G575="","",VLOOKUP(G575,frecuencia[#ALL],2,0))</f>
        <v/>
      </c>
      <c r="J575" s="21" t="str">
        <f>IF(H575="","",VLOOKUP(H575,tipo_donante[#ALL],2,0))</f>
        <v/>
      </c>
      <c r="K575" s="24"/>
    </row>
    <row r="576">
      <c r="A576" s="21"/>
      <c r="B576" s="21"/>
      <c r="C576" s="23"/>
      <c r="D576" s="21"/>
      <c r="E576" s="21"/>
      <c r="F576" s="21"/>
      <c r="G576" s="21"/>
      <c r="H576" s="21"/>
      <c r="I576" s="21" t="str">
        <f>IF(G576="","",VLOOKUP(G576,frecuencia[#ALL],2,0))</f>
        <v/>
      </c>
      <c r="J576" s="21" t="str">
        <f>IF(H576="","",VLOOKUP(H576,tipo_donante[#ALL],2,0))</f>
        <v/>
      </c>
      <c r="K576" s="24"/>
    </row>
    <row r="577">
      <c r="A577" s="21"/>
      <c r="B577" s="21"/>
      <c r="C577" s="23"/>
      <c r="D577" s="21"/>
      <c r="E577" s="21"/>
      <c r="F577" s="21"/>
      <c r="G577" s="21"/>
      <c r="H577" s="21"/>
      <c r="I577" s="21" t="str">
        <f>IF(G577="","",VLOOKUP(G577,frecuencia[#ALL],2,0))</f>
        <v/>
      </c>
      <c r="J577" s="21" t="str">
        <f>IF(H577="","",VLOOKUP(H577,tipo_donante[#ALL],2,0))</f>
        <v/>
      </c>
      <c r="K577" s="24"/>
    </row>
    <row r="578">
      <c r="A578" s="21"/>
      <c r="B578" s="21"/>
      <c r="C578" s="23"/>
      <c r="D578" s="21"/>
      <c r="E578" s="21"/>
      <c r="F578" s="21"/>
      <c r="G578" s="21"/>
      <c r="H578" s="21"/>
      <c r="I578" s="21" t="str">
        <f>IF(G578="","",VLOOKUP(G578,frecuencia[#ALL],2,0))</f>
        <v/>
      </c>
      <c r="J578" s="21" t="str">
        <f>IF(H578="","",VLOOKUP(H578,tipo_donante[#ALL],2,0))</f>
        <v/>
      </c>
      <c r="K578" s="24"/>
    </row>
    <row r="579">
      <c r="A579" s="21"/>
      <c r="B579" s="21"/>
      <c r="C579" s="23"/>
      <c r="D579" s="21"/>
      <c r="E579" s="21"/>
      <c r="F579" s="21"/>
      <c r="G579" s="21"/>
      <c r="H579" s="21"/>
      <c r="I579" s="21" t="str">
        <f>IF(G579="","",VLOOKUP(G579,frecuencia[#ALL],2,0))</f>
        <v/>
      </c>
      <c r="J579" s="21" t="str">
        <f>IF(H579="","",VLOOKUP(H579,tipo_donante[#ALL],2,0))</f>
        <v/>
      </c>
      <c r="K579" s="24"/>
    </row>
    <row r="580">
      <c r="A580" s="21"/>
      <c r="B580" s="21"/>
      <c r="C580" s="23"/>
      <c r="D580" s="21"/>
      <c r="E580" s="21"/>
      <c r="F580" s="21"/>
      <c r="G580" s="21"/>
      <c r="H580" s="21"/>
      <c r="I580" s="21" t="str">
        <f>IF(G580="","",VLOOKUP(G580,frecuencia[#ALL],2,0))</f>
        <v/>
      </c>
      <c r="J580" s="21" t="str">
        <f>IF(H580="","",VLOOKUP(H580,tipo_donante[#ALL],2,0))</f>
        <v/>
      </c>
      <c r="K580" s="24"/>
    </row>
    <row r="581">
      <c r="A581" s="21"/>
      <c r="B581" s="21"/>
      <c r="C581" s="23"/>
      <c r="D581" s="21"/>
      <c r="E581" s="21"/>
      <c r="F581" s="21"/>
      <c r="G581" s="21"/>
      <c r="H581" s="21"/>
      <c r="I581" s="21" t="str">
        <f>IF(G581="","",VLOOKUP(G581,frecuencia[#ALL],2,0))</f>
        <v/>
      </c>
      <c r="J581" s="21" t="str">
        <f>IF(H581="","",VLOOKUP(H581,tipo_donante[#ALL],2,0))</f>
        <v/>
      </c>
      <c r="K581" s="24"/>
    </row>
    <row r="582">
      <c r="A582" s="21"/>
      <c r="B582" s="21"/>
      <c r="C582" s="23"/>
      <c r="D582" s="21"/>
      <c r="E582" s="21"/>
      <c r="F582" s="21"/>
      <c r="G582" s="21"/>
      <c r="H582" s="21"/>
      <c r="I582" s="21" t="str">
        <f>IF(G582="","",VLOOKUP(G582,frecuencia[#ALL],2,0))</f>
        <v/>
      </c>
      <c r="J582" s="21" t="str">
        <f>IF(H582="","",VLOOKUP(H582,tipo_donante[#ALL],2,0))</f>
        <v/>
      </c>
      <c r="K582" s="24"/>
    </row>
    <row r="583">
      <c r="A583" s="21"/>
      <c r="B583" s="21"/>
      <c r="C583" s="23"/>
      <c r="D583" s="21"/>
      <c r="E583" s="21"/>
      <c r="F583" s="21"/>
      <c r="G583" s="21"/>
      <c r="H583" s="21"/>
      <c r="I583" s="21" t="str">
        <f>IF(G583="","",VLOOKUP(G583,frecuencia[#ALL],2,0))</f>
        <v/>
      </c>
      <c r="J583" s="21" t="str">
        <f>IF(H583="","",VLOOKUP(H583,tipo_donante[#ALL],2,0))</f>
        <v/>
      </c>
      <c r="K583" s="24"/>
    </row>
    <row r="584">
      <c r="A584" s="21"/>
      <c r="B584" s="21"/>
      <c r="C584" s="23"/>
      <c r="D584" s="21"/>
      <c r="E584" s="21"/>
      <c r="F584" s="21"/>
      <c r="G584" s="21"/>
      <c r="H584" s="21"/>
      <c r="I584" s="21" t="str">
        <f>IF(G584="","",VLOOKUP(G584,frecuencia[#ALL],2,0))</f>
        <v/>
      </c>
      <c r="J584" s="21" t="str">
        <f>IF(H584="","",VLOOKUP(H584,tipo_donante[#ALL],2,0))</f>
        <v/>
      </c>
      <c r="K584" s="24"/>
    </row>
    <row r="585">
      <c r="A585" s="21"/>
      <c r="B585" s="21"/>
      <c r="C585" s="23"/>
      <c r="D585" s="21"/>
      <c r="E585" s="21"/>
      <c r="F585" s="21"/>
      <c r="G585" s="21"/>
      <c r="H585" s="21"/>
      <c r="I585" s="21" t="str">
        <f>IF(G585="","",VLOOKUP(G585,frecuencia[#ALL],2,0))</f>
        <v/>
      </c>
      <c r="J585" s="21" t="str">
        <f>IF(H585="","",VLOOKUP(H585,tipo_donante[#ALL],2,0))</f>
        <v/>
      </c>
      <c r="K585" s="24"/>
    </row>
    <row r="586">
      <c r="A586" s="21"/>
      <c r="B586" s="21"/>
      <c r="C586" s="23"/>
      <c r="D586" s="21"/>
      <c r="E586" s="21"/>
      <c r="F586" s="21"/>
      <c r="G586" s="21"/>
      <c r="H586" s="21"/>
      <c r="I586" s="21" t="str">
        <f>IF(G586="","",VLOOKUP(G586,frecuencia[#ALL],2,0))</f>
        <v/>
      </c>
      <c r="J586" s="21" t="str">
        <f>IF(H586="","",VLOOKUP(H586,tipo_donante[#ALL],2,0))</f>
        <v/>
      </c>
      <c r="K586" s="24"/>
    </row>
    <row r="587">
      <c r="A587" s="21"/>
      <c r="B587" s="21"/>
      <c r="C587" s="23"/>
      <c r="D587" s="21"/>
      <c r="E587" s="21"/>
      <c r="F587" s="21"/>
      <c r="G587" s="21"/>
      <c r="H587" s="21"/>
      <c r="I587" s="21" t="str">
        <f>IF(G587="","",VLOOKUP(G587,frecuencia[#ALL],2,0))</f>
        <v/>
      </c>
      <c r="J587" s="21" t="str">
        <f>IF(H587="","",VLOOKUP(H587,tipo_donante[#ALL],2,0))</f>
        <v/>
      </c>
      <c r="K587" s="24"/>
    </row>
    <row r="588">
      <c r="A588" s="21"/>
      <c r="B588" s="21"/>
      <c r="C588" s="23"/>
      <c r="D588" s="21"/>
      <c r="E588" s="21"/>
      <c r="F588" s="21"/>
      <c r="G588" s="21"/>
      <c r="H588" s="21"/>
      <c r="I588" s="21" t="str">
        <f>IF(G588="","",VLOOKUP(G588,frecuencia[#ALL],2,0))</f>
        <v/>
      </c>
      <c r="J588" s="21" t="str">
        <f>IF(H588="","",VLOOKUP(H588,tipo_donante[#ALL],2,0))</f>
        <v/>
      </c>
      <c r="K588" s="24"/>
    </row>
    <row r="589">
      <c r="A589" s="21"/>
      <c r="B589" s="21"/>
      <c r="C589" s="23"/>
      <c r="D589" s="21"/>
      <c r="E589" s="21"/>
      <c r="F589" s="21"/>
      <c r="G589" s="21"/>
      <c r="H589" s="21"/>
      <c r="I589" s="21" t="str">
        <f>IF(G589="","",VLOOKUP(G589,frecuencia[#ALL],2,0))</f>
        <v/>
      </c>
      <c r="J589" s="21" t="str">
        <f>IF(H589="","",VLOOKUP(H589,tipo_donante[#ALL],2,0))</f>
        <v/>
      </c>
      <c r="K589" s="24"/>
    </row>
    <row r="590">
      <c r="A590" s="21"/>
      <c r="B590" s="21"/>
      <c r="C590" s="23"/>
      <c r="D590" s="21"/>
      <c r="E590" s="21"/>
      <c r="F590" s="21"/>
      <c r="G590" s="21"/>
      <c r="H590" s="21"/>
      <c r="I590" s="21" t="str">
        <f>IF(G590="","",VLOOKUP(G590,frecuencia[#ALL],2,0))</f>
        <v/>
      </c>
      <c r="J590" s="21" t="str">
        <f>IF(H590="","",VLOOKUP(H590,tipo_donante[#ALL],2,0))</f>
        <v/>
      </c>
      <c r="K590" s="24"/>
    </row>
    <row r="591">
      <c r="A591" s="21"/>
      <c r="B591" s="21"/>
      <c r="C591" s="23"/>
      <c r="D591" s="21"/>
      <c r="E591" s="21"/>
      <c r="F591" s="21"/>
      <c r="G591" s="21"/>
      <c r="H591" s="21"/>
      <c r="I591" s="21" t="str">
        <f>IF(G591="","",VLOOKUP(G591,frecuencia[#ALL],2,0))</f>
        <v/>
      </c>
      <c r="J591" s="21" t="str">
        <f>IF(H591="","",VLOOKUP(H591,tipo_donante[#ALL],2,0))</f>
        <v/>
      </c>
      <c r="K591" s="24"/>
    </row>
    <row r="592">
      <c r="A592" s="21"/>
      <c r="B592" s="21"/>
      <c r="C592" s="23"/>
      <c r="D592" s="21"/>
      <c r="E592" s="21"/>
      <c r="F592" s="21"/>
      <c r="G592" s="21"/>
      <c r="H592" s="21"/>
      <c r="I592" s="21" t="str">
        <f>IF(G592="","",VLOOKUP(G592,frecuencia[#ALL],2,0))</f>
        <v/>
      </c>
      <c r="J592" s="21" t="str">
        <f>IF(H592="","",VLOOKUP(H592,tipo_donante[#ALL],2,0))</f>
        <v/>
      </c>
      <c r="K592" s="24"/>
    </row>
    <row r="593">
      <c r="A593" s="21"/>
      <c r="B593" s="21"/>
      <c r="C593" s="23"/>
      <c r="D593" s="21"/>
      <c r="E593" s="21"/>
      <c r="F593" s="21"/>
      <c r="G593" s="21"/>
      <c r="H593" s="21"/>
      <c r="I593" s="21" t="str">
        <f>IF(G593="","",VLOOKUP(G593,frecuencia[#ALL],2,0))</f>
        <v/>
      </c>
      <c r="J593" s="21" t="str">
        <f>IF(H593="","",VLOOKUP(H593,tipo_donante[#ALL],2,0))</f>
        <v/>
      </c>
      <c r="K593" s="24"/>
    </row>
    <row r="594">
      <c r="A594" s="21"/>
      <c r="B594" s="21"/>
      <c r="C594" s="23"/>
      <c r="D594" s="21"/>
      <c r="E594" s="21"/>
      <c r="F594" s="21"/>
      <c r="G594" s="21"/>
      <c r="H594" s="21"/>
      <c r="I594" s="21" t="str">
        <f>IF(G594="","",VLOOKUP(G594,frecuencia[#ALL],2,0))</f>
        <v/>
      </c>
      <c r="J594" s="21" t="str">
        <f>IF(H594="","",VLOOKUP(H594,tipo_donante[#ALL],2,0))</f>
        <v/>
      </c>
      <c r="K594" s="24"/>
    </row>
    <row r="595">
      <c r="A595" s="21"/>
      <c r="B595" s="21"/>
      <c r="C595" s="23"/>
      <c r="D595" s="21"/>
      <c r="E595" s="21"/>
      <c r="F595" s="21"/>
      <c r="G595" s="21"/>
      <c r="H595" s="21"/>
      <c r="I595" s="21" t="str">
        <f>IF(G595="","",VLOOKUP(G595,frecuencia[#ALL],2,0))</f>
        <v/>
      </c>
      <c r="J595" s="21" t="str">
        <f>IF(H595="","",VLOOKUP(H595,tipo_donante[#ALL],2,0))</f>
        <v/>
      </c>
      <c r="K595" s="24"/>
    </row>
    <row r="596">
      <c r="A596" s="21"/>
      <c r="B596" s="21"/>
      <c r="C596" s="23"/>
      <c r="D596" s="21"/>
      <c r="E596" s="21"/>
      <c r="F596" s="21"/>
      <c r="G596" s="21"/>
      <c r="H596" s="21"/>
      <c r="I596" s="21" t="str">
        <f>IF(G596="","",VLOOKUP(G596,frecuencia[#ALL],2,0))</f>
        <v/>
      </c>
      <c r="J596" s="21" t="str">
        <f>IF(H596="","",VLOOKUP(H596,tipo_donante[#ALL],2,0))</f>
        <v/>
      </c>
      <c r="K596" s="24"/>
    </row>
    <row r="597">
      <c r="A597" s="21"/>
      <c r="B597" s="21"/>
      <c r="C597" s="23"/>
      <c r="D597" s="21"/>
      <c r="E597" s="21"/>
      <c r="F597" s="21"/>
      <c r="G597" s="21"/>
      <c r="H597" s="21"/>
      <c r="I597" s="21" t="str">
        <f>IF(G597="","",VLOOKUP(G597,frecuencia[#ALL],2,0))</f>
        <v/>
      </c>
      <c r="J597" s="21" t="str">
        <f>IF(H597="","",VLOOKUP(H597,tipo_donante[#ALL],2,0))</f>
        <v/>
      </c>
      <c r="K597" s="24"/>
    </row>
    <row r="598">
      <c r="A598" s="21"/>
      <c r="B598" s="21"/>
      <c r="C598" s="23"/>
      <c r="D598" s="21"/>
      <c r="E598" s="21"/>
      <c r="F598" s="21"/>
      <c r="G598" s="21"/>
      <c r="H598" s="21"/>
      <c r="I598" s="21" t="str">
        <f>IF(G598="","",VLOOKUP(G598,frecuencia[#ALL],2,0))</f>
        <v/>
      </c>
      <c r="J598" s="21" t="str">
        <f>IF(H598="","",VLOOKUP(H598,tipo_donante[#ALL],2,0))</f>
        <v/>
      </c>
      <c r="K598" s="24"/>
    </row>
    <row r="599">
      <c r="A599" s="21"/>
      <c r="B599" s="21"/>
      <c r="C599" s="23"/>
      <c r="D599" s="21"/>
      <c r="E599" s="21"/>
      <c r="F599" s="21"/>
      <c r="G599" s="21"/>
      <c r="H599" s="21"/>
      <c r="I599" s="21" t="str">
        <f>IF(G599="","",VLOOKUP(G599,frecuencia[#ALL],2,0))</f>
        <v/>
      </c>
      <c r="J599" s="21" t="str">
        <f>IF(H599="","",VLOOKUP(H599,tipo_donante[#ALL],2,0))</f>
        <v/>
      </c>
      <c r="K599" s="24"/>
    </row>
    <row r="600">
      <c r="A600" s="21"/>
      <c r="B600" s="21"/>
      <c r="C600" s="23"/>
      <c r="D600" s="21"/>
      <c r="E600" s="21"/>
      <c r="F600" s="21"/>
      <c r="G600" s="21"/>
      <c r="H600" s="21"/>
      <c r="I600" s="21" t="str">
        <f>IF(G600="","",VLOOKUP(G600,frecuencia[#ALL],2,0))</f>
        <v/>
      </c>
      <c r="J600" s="21" t="str">
        <f>IF(H600="","",VLOOKUP(H600,tipo_donante[#ALL],2,0))</f>
        <v/>
      </c>
      <c r="K600" s="24"/>
    </row>
    <row r="601">
      <c r="A601" s="21"/>
      <c r="B601" s="21"/>
      <c r="C601" s="23"/>
      <c r="D601" s="21"/>
      <c r="E601" s="21"/>
      <c r="F601" s="21"/>
      <c r="G601" s="21"/>
      <c r="H601" s="21"/>
      <c r="I601" s="21" t="str">
        <f>IF(G601="","",VLOOKUP(G601,frecuencia[#ALL],2,0))</f>
        <v/>
      </c>
      <c r="J601" s="21" t="str">
        <f>IF(H601="","",VLOOKUP(H601,tipo_donante[#ALL],2,0))</f>
        <v/>
      </c>
      <c r="K601" s="24"/>
    </row>
    <row r="602">
      <c r="A602" s="21"/>
      <c r="B602" s="21"/>
      <c r="C602" s="23"/>
      <c r="D602" s="21"/>
      <c r="E602" s="21"/>
      <c r="F602" s="21"/>
      <c r="G602" s="21"/>
      <c r="H602" s="21"/>
      <c r="I602" s="21" t="str">
        <f>IF(G602="","",VLOOKUP(G602,frecuencia[#ALL],2,0))</f>
        <v/>
      </c>
      <c r="J602" s="21" t="str">
        <f>IF(H602="","",VLOOKUP(H602,tipo_donante[#ALL],2,0))</f>
        <v/>
      </c>
      <c r="K602" s="24"/>
    </row>
    <row r="603">
      <c r="A603" s="21"/>
      <c r="B603" s="21"/>
      <c r="C603" s="23"/>
      <c r="D603" s="21"/>
      <c r="E603" s="21"/>
      <c r="F603" s="21"/>
      <c r="G603" s="21"/>
      <c r="H603" s="21"/>
      <c r="I603" s="21" t="str">
        <f>IF(G603="","",VLOOKUP(G603,frecuencia[#ALL],2,0))</f>
        <v/>
      </c>
      <c r="J603" s="21" t="str">
        <f>IF(H603="","",VLOOKUP(H603,tipo_donante[#ALL],2,0))</f>
        <v/>
      </c>
      <c r="K603" s="24"/>
    </row>
    <row r="604">
      <c r="A604" s="21"/>
      <c r="B604" s="21"/>
      <c r="C604" s="23"/>
      <c r="D604" s="21"/>
      <c r="E604" s="21"/>
      <c r="F604" s="21"/>
      <c r="G604" s="21"/>
      <c r="H604" s="21"/>
      <c r="I604" s="21" t="str">
        <f>IF(G604="","",VLOOKUP(G604,frecuencia[#ALL],2,0))</f>
        <v/>
      </c>
      <c r="J604" s="21" t="str">
        <f>IF(H604="","",VLOOKUP(H604,tipo_donante[#ALL],2,0))</f>
        <v/>
      </c>
      <c r="K604" s="24"/>
    </row>
    <row r="605">
      <c r="A605" s="21"/>
      <c r="B605" s="21"/>
      <c r="C605" s="23"/>
      <c r="D605" s="21"/>
      <c r="E605" s="21"/>
      <c r="F605" s="21"/>
      <c r="G605" s="21"/>
      <c r="H605" s="21"/>
      <c r="I605" s="21" t="str">
        <f>IF(G605="","",VLOOKUP(G605,frecuencia[#ALL],2,0))</f>
        <v/>
      </c>
      <c r="J605" s="21" t="str">
        <f>IF(H605="","",VLOOKUP(H605,tipo_donante[#ALL],2,0))</f>
        <v/>
      </c>
      <c r="K605" s="24"/>
    </row>
    <row r="606">
      <c r="A606" s="21"/>
      <c r="B606" s="21"/>
      <c r="C606" s="23"/>
      <c r="D606" s="21"/>
      <c r="E606" s="21"/>
      <c r="F606" s="21"/>
      <c r="G606" s="21"/>
      <c r="H606" s="21"/>
      <c r="I606" s="21" t="str">
        <f>IF(G606="","",VLOOKUP(G606,frecuencia[#ALL],2,0))</f>
        <v/>
      </c>
      <c r="J606" s="21" t="str">
        <f>IF(H606="","",VLOOKUP(H606,tipo_donante[#ALL],2,0))</f>
        <v/>
      </c>
      <c r="K606" s="24"/>
    </row>
    <row r="607">
      <c r="A607" s="21"/>
      <c r="B607" s="21"/>
      <c r="C607" s="23"/>
      <c r="D607" s="21"/>
      <c r="E607" s="21"/>
      <c r="F607" s="21"/>
      <c r="G607" s="21"/>
      <c r="H607" s="21"/>
      <c r="I607" s="21" t="str">
        <f>IF(G607="","",VLOOKUP(G607,frecuencia[#ALL],2,0))</f>
        <v/>
      </c>
      <c r="J607" s="21" t="str">
        <f>IF(H607="","",VLOOKUP(H607,tipo_donante[#ALL],2,0))</f>
        <v/>
      </c>
      <c r="K607" s="24"/>
    </row>
    <row r="608">
      <c r="A608" s="21"/>
      <c r="B608" s="21"/>
      <c r="C608" s="23"/>
      <c r="D608" s="21"/>
      <c r="E608" s="21"/>
      <c r="F608" s="21"/>
      <c r="G608" s="21"/>
      <c r="H608" s="21"/>
      <c r="I608" s="21" t="str">
        <f>IF(G608="","",VLOOKUP(G608,frecuencia[#ALL],2,0))</f>
        <v/>
      </c>
      <c r="J608" s="21" t="str">
        <f>IF(H608="","",VLOOKUP(H608,tipo_donante[#ALL],2,0))</f>
        <v/>
      </c>
      <c r="K608" s="24"/>
    </row>
    <row r="609">
      <c r="A609" s="21"/>
      <c r="B609" s="21"/>
      <c r="C609" s="23"/>
      <c r="D609" s="21"/>
      <c r="E609" s="21"/>
      <c r="F609" s="21"/>
      <c r="G609" s="21"/>
      <c r="H609" s="21"/>
      <c r="I609" s="21" t="str">
        <f>IF(G609="","",VLOOKUP(G609,frecuencia[#ALL],2,0))</f>
        <v/>
      </c>
      <c r="J609" s="21" t="str">
        <f>IF(H609="","",VLOOKUP(H609,tipo_donante[#ALL],2,0))</f>
        <v/>
      </c>
      <c r="K609" s="24"/>
    </row>
    <row r="610">
      <c r="A610" s="21"/>
      <c r="B610" s="21"/>
      <c r="C610" s="23"/>
      <c r="D610" s="21"/>
      <c r="E610" s="21"/>
      <c r="F610" s="21"/>
      <c r="G610" s="21"/>
      <c r="H610" s="21"/>
      <c r="I610" s="21" t="str">
        <f>IF(G610="","",VLOOKUP(G610,frecuencia[#ALL],2,0))</f>
        <v/>
      </c>
      <c r="J610" s="21" t="str">
        <f>IF(H610="","",VLOOKUP(H610,tipo_donante[#ALL],2,0))</f>
        <v/>
      </c>
      <c r="K610" s="24"/>
    </row>
    <row r="611">
      <c r="A611" s="21"/>
      <c r="B611" s="21"/>
      <c r="C611" s="23"/>
      <c r="D611" s="21"/>
      <c r="E611" s="21"/>
      <c r="F611" s="21"/>
      <c r="G611" s="21"/>
      <c r="H611" s="21"/>
      <c r="I611" s="21" t="str">
        <f>IF(G611="","",VLOOKUP(G611,frecuencia[#ALL],2,0))</f>
        <v/>
      </c>
      <c r="J611" s="21" t="str">
        <f>IF(H611="","",VLOOKUP(H611,tipo_donante[#ALL],2,0))</f>
        <v/>
      </c>
      <c r="K611" s="24"/>
    </row>
    <row r="612">
      <c r="A612" s="21"/>
      <c r="B612" s="21"/>
      <c r="C612" s="23"/>
      <c r="D612" s="21"/>
      <c r="E612" s="21"/>
      <c r="F612" s="21"/>
      <c r="G612" s="21"/>
      <c r="H612" s="21"/>
      <c r="I612" s="21" t="str">
        <f>IF(G612="","",VLOOKUP(G612,frecuencia[#ALL],2,0))</f>
        <v/>
      </c>
      <c r="J612" s="21" t="str">
        <f>IF(H612="","",VLOOKUP(H612,tipo_donante[#ALL],2,0))</f>
        <v/>
      </c>
      <c r="K612" s="24"/>
    </row>
    <row r="613">
      <c r="A613" s="21"/>
      <c r="B613" s="21"/>
      <c r="C613" s="23"/>
      <c r="D613" s="21"/>
      <c r="E613" s="21"/>
      <c r="F613" s="21"/>
      <c r="G613" s="21"/>
      <c r="H613" s="21"/>
      <c r="I613" s="21" t="str">
        <f>IF(G613="","",VLOOKUP(G613,frecuencia[#ALL],2,0))</f>
        <v/>
      </c>
      <c r="J613" s="21" t="str">
        <f>IF(H613="","",VLOOKUP(H613,tipo_donante[#ALL],2,0))</f>
        <v/>
      </c>
      <c r="K613" s="24"/>
    </row>
    <row r="614">
      <c r="A614" s="21"/>
      <c r="B614" s="21"/>
      <c r="C614" s="23"/>
      <c r="D614" s="21"/>
      <c r="E614" s="21"/>
      <c r="F614" s="21"/>
      <c r="G614" s="21"/>
      <c r="H614" s="21"/>
      <c r="I614" s="21" t="str">
        <f>IF(G614="","",VLOOKUP(G614,frecuencia[#ALL],2,0))</f>
        <v/>
      </c>
      <c r="J614" s="21" t="str">
        <f>IF(H614="","",VLOOKUP(H614,tipo_donante[#ALL],2,0))</f>
        <v/>
      </c>
      <c r="K614" s="24"/>
    </row>
    <row r="615">
      <c r="A615" s="21"/>
      <c r="B615" s="21"/>
      <c r="C615" s="23"/>
      <c r="D615" s="21"/>
      <c r="E615" s="21"/>
      <c r="F615" s="21"/>
      <c r="G615" s="21"/>
      <c r="H615" s="21"/>
      <c r="I615" s="21" t="str">
        <f>IF(G615="","",VLOOKUP(G615,frecuencia[#ALL],2,0))</f>
        <v/>
      </c>
      <c r="J615" s="21" t="str">
        <f>IF(H615="","",VLOOKUP(H615,tipo_donante[#ALL],2,0))</f>
        <v/>
      </c>
      <c r="K615" s="24"/>
    </row>
    <row r="616">
      <c r="A616" s="21"/>
      <c r="B616" s="21"/>
      <c r="C616" s="23"/>
      <c r="D616" s="21"/>
      <c r="E616" s="21"/>
      <c r="F616" s="21"/>
      <c r="G616" s="21"/>
      <c r="H616" s="21"/>
      <c r="I616" s="21" t="str">
        <f>IF(G616="","",VLOOKUP(G616,frecuencia[#ALL],2,0))</f>
        <v/>
      </c>
      <c r="J616" s="21" t="str">
        <f>IF(H616="","",VLOOKUP(H616,tipo_donante[#ALL],2,0))</f>
        <v/>
      </c>
      <c r="K616" s="24"/>
    </row>
    <row r="617">
      <c r="A617" s="21"/>
      <c r="B617" s="21"/>
      <c r="C617" s="23"/>
      <c r="D617" s="21"/>
      <c r="E617" s="21"/>
      <c r="F617" s="21"/>
      <c r="G617" s="21"/>
      <c r="H617" s="21"/>
      <c r="I617" s="21" t="str">
        <f>IF(G617="","",VLOOKUP(G617,frecuencia[#ALL],2,0))</f>
        <v/>
      </c>
      <c r="J617" s="21" t="str">
        <f>IF(H617="","",VLOOKUP(H617,tipo_donante[#ALL],2,0))</f>
        <v/>
      </c>
      <c r="K617" s="24"/>
    </row>
    <row r="618">
      <c r="A618" s="21"/>
      <c r="B618" s="21"/>
      <c r="C618" s="23"/>
      <c r="D618" s="21"/>
      <c r="E618" s="21"/>
      <c r="F618" s="21"/>
      <c r="G618" s="21"/>
      <c r="H618" s="21"/>
      <c r="I618" s="21" t="str">
        <f>IF(G618="","",VLOOKUP(G618,frecuencia[#ALL],2,0))</f>
        <v/>
      </c>
      <c r="J618" s="21" t="str">
        <f>IF(H618="","",VLOOKUP(H618,tipo_donante[#ALL],2,0))</f>
        <v/>
      </c>
      <c r="K618" s="24"/>
    </row>
    <row r="619">
      <c r="A619" s="21"/>
      <c r="B619" s="21"/>
      <c r="C619" s="23"/>
      <c r="D619" s="21"/>
      <c r="E619" s="21"/>
      <c r="F619" s="21"/>
      <c r="G619" s="21"/>
      <c r="H619" s="21"/>
      <c r="I619" s="21" t="str">
        <f>IF(G619="","",VLOOKUP(G619,frecuencia[#ALL],2,0))</f>
        <v/>
      </c>
      <c r="J619" s="21" t="str">
        <f>IF(H619="","",VLOOKUP(H619,tipo_donante[#ALL],2,0))</f>
        <v/>
      </c>
      <c r="K619" s="24"/>
    </row>
    <row r="620">
      <c r="A620" s="21"/>
      <c r="B620" s="21"/>
      <c r="C620" s="23"/>
      <c r="D620" s="21"/>
      <c r="E620" s="21"/>
      <c r="F620" s="21"/>
      <c r="G620" s="21"/>
      <c r="H620" s="21"/>
      <c r="I620" s="21" t="str">
        <f>IF(G620="","",VLOOKUP(G620,frecuencia[#ALL],2,0))</f>
        <v/>
      </c>
      <c r="J620" s="21" t="str">
        <f>IF(H620="","",VLOOKUP(H620,tipo_donante[#ALL],2,0))</f>
        <v/>
      </c>
      <c r="K620" s="24"/>
    </row>
    <row r="621">
      <c r="A621" s="21"/>
      <c r="B621" s="21"/>
      <c r="C621" s="23"/>
      <c r="D621" s="21"/>
      <c r="E621" s="21"/>
      <c r="F621" s="21"/>
      <c r="G621" s="21"/>
      <c r="H621" s="21"/>
      <c r="I621" s="21" t="str">
        <f>IF(G621="","",VLOOKUP(G621,frecuencia[#ALL],2,0))</f>
        <v/>
      </c>
      <c r="J621" s="21" t="str">
        <f>IF(H621="","",VLOOKUP(H621,tipo_donante[#ALL],2,0))</f>
        <v/>
      </c>
      <c r="K621" s="24"/>
    </row>
    <row r="622">
      <c r="A622" s="21"/>
      <c r="B622" s="21"/>
      <c r="C622" s="23"/>
      <c r="D622" s="21"/>
      <c r="E622" s="21"/>
      <c r="F622" s="21"/>
      <c r="G622" s="21"/>
      <c r="H622" s="21"/>
      <c r="I622" s="21" t="str">
        <f>IF(G622="","",VLOOKUP(G622,frecuencia[#ALL],2,0))</f>
        <v/>
      </c>
      <c r="J622" s="21" t="str">
        <f>IF(H622="","",VLOOKUP(H622,tipo_donante[#ALL],2,0))</f>
        <v/>
      </c>
      <c r="K622" s="24"/>
    </row>
    <row r="623">
      <c r="A623" s="21"/>
      <c r="B623" s="21"/>
      <c r="C623" s="23"/>
      <c r="D623" s="21"/>
      <c r="E623" s="21"/>
      <c r="F623" s="21"/>
      <c r="G623" s="21"/>
      <c r="H623" s="21"/>
      <c r="I623" s="21" t="str">
        <f>IF(G623="","",VLOOKUP(G623,frecuencia[#ALL],2,0))</f>
        <v/>
      </c>
      <c r="J623" s="21" t="str">
        <f>IF(H623="","",VLOOKUP(H623,tipo_donante[#ALL],2,0))</f>
        <v/>
      </c>
      <c r="K623" s="24"/>
    </row>
    <row r="624">
      <c r="A624" s="21"/>
      <c r="B624" s="21"/>
      <c r="C624" s="23"/>
      <c r="D624" s="21"/>
      <c r="E624" s="21"/>
      <c r="F624" s="21"/>
      <c r="G624" s="21"/>
      <c r="H624" s="21"/>
      <c r="I624" s="21" t="str">
        <f>IF(G624="","",VLOOKUP(G624,frecuencia[#ALL],2,0))</f>
        <v/>
      </c>
      <c r="J624" s="21" t="str">
        <f>IF(H624="","",VLOOKUP(H624,tipo_donante[#ALL],2,0))</f>
        <v/>
      </c>
      <c r="K624" s="24"/>
    </row>
    <row r="625">
      <c r="A625" s="21"/>
      <c r="B625" s="21"/>
      <c r="C625" s="23"/>
      <c r="D625" s="21"/>
      <c r="E625" s="21"/>
      <c r="F625" s="21"/>
      <c r="G625" s="21"/>
      <c r="H625" s="21"/>
      <c r="I625" s="21" t="str">
        <f>IF(G625="","",VLOOKUP(G625,frecuencia[#ALL],2,0))</f>
        <v/>
      </c>
      <c r="J625" s="21" t="str">
        <f>IF(H625="","",VLOOKUP(H625,tipo_donante[#ALL],2,0))</f>
        <v/>
      </c>
      <c r="K625" s="24"/>
    </row>
    <row r="626">
      <c r="A626" s="21"/>
      <c r="B626" s="21"/>
      <c r="C626" s="23"/>
      <c r="D626" s="21"/>
      <c r="E626" s="21"/>
      <c r="F626" s="21"/>
      <c r="G626" s="21"/>
      <c r="H626" s="21"/>
      <c r="I626" s="21" t="str">
        <f>IF(G626="","",VLOOKUP(G626,frecuencia[#ALL],2,0))</f>
        <v/>
      </c>
      <c r="J626" s="21" t="str">
        <f>IF(H626="","",VLOOKUP(H626,tipo_donante[#ALL],2,0))</f>
        <v/>
      </c>
      <c r="K626" s="24"/>
    </row>
    <row r="627">
      <c r="A627" s="21"/>
      <c r="B627" s="21"/>
      <c r="C627" s="23"/>
      <c r="D627" s="21"/>
      <c r="E627" s="21"/>
      <c r="F627" s="21"/>
      <c r="G627" s="21"/>
      <c r="H627" s="21"/>
      <c r="I627" s="21" t="str">
        <f>IF(G627="","",VLOOKUP(G627,frecuencia[#ALL],2,0))</f>
        <v/>
      </c>
      <c r="J627" s="21" t="str">
        <f>IF(H627="","",VLOOKUP(H627,tipo_donante[#ALL],2,0))</f>
        <v/>
      </c>
      <c r="K627" s="24"/>
    </row>
    <row r="628">
      <c r="A628" s="21"/>
      <c r="B628" s="21"/>
      <c r="C628" s="23"/>
      <c r="D628" s="21"/>
      <c r="E628" s="21"/>
      <c r="F628" s="21"/>
      <c r="G628" s="21"/>
      <c r="H628" s="21"/>
      <c r="I628" s="21" t="str">
        <f>IF(G628="","",VLOOKUP(G628,frecuencia[#ALL],2,0))</f>
        <v/>
      </c>
      <c r="J628" s="21" t="str">
        <f>IF(H628="","",VLOOKUP(H628,tipo_donante[#ALL],2,0))</f>
        <v/>
      </c>
      <c r="K628" s="24"/>
    </row>
    <row r="629">
      <c r="A629" s="21"/>
      <c r="B629" s="21"/>
      <c r="C629" s="23"/>
      <c r="D629" s="21"/>
      <c r="E629" s="21"/>
      <c r="F629" s="21"/>
      <c r="G629" s="21"/>
      <c r="H629" s="21"/>
      <c r="I629" s="21" t="str">
        <f>IF(G629="","",VLOOKUP(G629,frecuencia[#ALL],2,0))</f>
        <v/>
      </c>
      <c r="J629" s="21" t="str">
        <f>IF(H629="","",VLOOKUP(H629,tipo_donante[#ALL],2,0))</f>
        <v/>
      </c>
      <c r="K629" s="24"/>
    </row>
    <row r="630">
      <c r="A630" s="21"/>
      <c r="B630" s="21"/>
      <c r="C630" s="23"/>
      <c r="D630" s="21"/>
      <c r="E630" s="21"/>
      <c r="F630" s="21"/>
      <c r="G630" s="21"/>
      <c r="H630" s="21"/>
      <c r="I630" s="21" t="str">
        <f>IF(G630="","",VLOOKUP(G630,frecuencia[#ALL],2,0))</f>
        <v/>
      </c>
      <c r="J630" s="21" t="str">
        <f>IF(H630="","",VLOOKUP(H630,tipo_donante[#ALL],2,0))</f>
        <v/>
      </c>
      <c r="K630" s="24"/>
    </row>
    <row r="631">
      <c r="A631" s="21"/>
      <c r="B631" s="21"/>
      <c r="C631" s="23"/>
      <c r="D631" s="21"/>
      <c r="E631" s="21"/>
      <c r="F631" s="21"/>
      <c r="G631" s="21"/>
      <c r="H631" s="21"/>
      <c r="I631" s="21" t="str">
        <f>IF(G631="","",VLOOKUP(G631,frecuencia[#ALL],2,0))</f>
        <v/>
      </c>
      <c r="J631" s="21" t="str">
        <f>IF(H631="","",VLOOKUP(H631,tipo_donante[#ALL],2,0))</f>
        <v/>
      </c>
      <c r="K631" s="24"/>
    </row>
    <row r="632">
      <c r="A632" s="21"/>
      <c r="B632" s="21"/>
      <c r="C632" s="23"/>
      <c r="D632" s="21"/>
      <c r="E632" s="21"/>
      <c r="F632" s="21"/>
      <c r="G632" s="21"/>
      <c r="H632" s="21"/>
      <c r="I632" s="21" t="str">
        <f>IF(G632="","",VLOOKUP(G632,frecuencia[#ALL],2,0))</f>
        <v/>
      </c>
      <c r="J632" s="21" t="str">
        <f>IF(H632="","",VLOOKUP(H632,tipo_donante[#ALL],2,0))</f>
        <v/>
      </c>
      <c r="K632" s="24"/>
    </row>
    <row r="633">
      <c r="A633" s="21"/>
      <c r="B633" s="21"/>
      <c r="C633" s="23"/>
      <c r="D633" s="21"/>
      <c r="E633" s="21"/>
      <c r="F633" s="21"/>
      <c r="G633" s="21"/>
      <c r="H633" s="21"/>
      <c r="I633" s="21" t="str">
        <f>IF(G633="","",VLOOKUP(G633,frecuencia[#ALL],2,0))</f>
        <v/>
      </c>
      <c r="J633" s="21" t="str">
        <f>IF(H633="","",VLOOKUP(H633,tipo_donante[#ALL],2,0))</f>
        <v/>
      </c>
      <c r="K633" s="24"/>
    </row>
    <row r="634">
      <c r="A634" s="21"/>
      <c r="B634" s="21"/>
      <c r="C634" s="23"/>
      <c r="D634" s="21"/>
      <c r="E634" s="21"/>
      <c r="F634" s="21"/>
      <c r="G634" s="21"/>
      <c r="H634" s="21"/>
      <c r="I634" s="21" t="str">
        <f>IF(G634="","",VLOOKUP(G634,frecuencia[#ALL],2,0))</f>
        <v/>
      </c>
      <c r="J634" s="21" t="str">
        <f>IF(H634="","",VLOOKUP(H634,tipo_donante[#ALL],2,0))</f>
        <v/>
      </c>
      <c r="K634" s="24"/>
    </row>
    <row r="635">
      <c r="A635" s="21"/>
      <c r="B635" s="21"/>
      <c r="C635" s="23"/>
      <c r="D635" s="21"/>
      <c r="E635" s="21"/>
      <c r="F635" s="21"/>
      <c r="G635" s="21"/>
      <c r="H635" s="21"/>
      <c r="I635" s="21" t="str">
        <f>IF(G635="","",VLOOKUP(G635,frecuencia[#ALL],2,0))</f>
        <v/>
      </c>
      <c r="J635" s="21" t="str">
        <f>IF(H635="","",VLOOKUP(H635,tipo_donante[#ALL],2,0))</f>
        <v/>
      </c>
      <c r="K635" s="24"/>
    </row>
    <row r="636">
      <c r="A636" s="21"/>
      <c r="B636" s="21"/>
      <c r="C636" s="23"/>
      <c r="D636" s="21"/>
      <c r="E636" s="21"/>
      <c r="F636" s="21"/>
      <c r="G636" s="21"/>
      <c r="H636" s="21"/>
      <c r="I636" s="21" t="str">
        <f>IF(G636="","",VLOOKUP(G636,frecuencia[#ALL],2,0))</f>
        <v/>
      </c>
      <c r="J636" s="21" t="str">
        <f>IF(H636="","",VLOOKUP(H636,tipo_donante[#ALL],2,0))</f>
        <v/>
      </c>
      <c r="K636" s="24"/>
    </row>
    <row r="637">
      <c r="A637" s="21"/>
      <c r="B637" s="21"/>
      <c r="C637" s="23"/>
      <c r="D637" s="21"/>
      <c r="E637" s="21"/>
      <c r="F637" s="21"/>
      <c r="G637" s="21"/>
      <c r="H637" s="21"/>
      <c r="I637" s="21" t="str">
        <f>IF(G637="","",VLOOKUP(G637,frecuencia[#ALL],2,0))</f>
        <v/>
      </c>
      <c r="J637" s="21" t="str">
        <f>IF(H637="","",VLOOKUP(H637,tipo_donante[#ALL],2,0))</f>
        <v/>
      </c>
      <c r="K637" s="24"/>
    </row>
    <row r="638">
      <c r="A638" s="21"/>
      <c r="B638" s="21"/>
      <c r="C638" s="23"/>
      <c r="D638" s="21"/>
      <c r="E638" s="21"/>
      <c r="F638" s="21"/>
      <c r="G638" s="21"/>
      <c r="H638" s="21"/>
      <c r="I638" s="21" t="str">
        <f>IF(G638="","",VLOOKUP(G638,frecuencia[#ALL],2,0))</f>
        <v/>
      </c>
      <c r="J638" s="21" t="str">
        <f>IF(H638="","",VLOOKUP(H638,tipo_donante[#ALL],2,0))</f>
        <v/>
      </c>
      <c r="K638" s="24"/>
    </row>
    <row r="639">
      <c r="A639" s="21"/>
      <c r="B639" s="21"/>
      <c r="C639" s="23"/>
      <c r="D639" s="21"/>
      <c r="E639" s="21"/>
      <c r="F639" s="21"/>
      <c r="G639" s="21"/>
      <c r="H639" s="21"/>
      <c r="I639" s="21" t="str">
        <f>IF(G639="","",VLOOKUP(G639,frecuencia[#ALL],2,0))</f>
        <v/>
      </c>
      <c r="J639" s="21" t="str">
        <f>IF(H639="","",VLOOKUP(H639,tipo_donante[#ALL],2,0))</f>
        <v/>
      </c>
      <c r="K639" s="24"/>
    </row>
    <row r="640">
      <c r="A640" s="21"/>
      <c r="B640" s="21"/>
      <c r="C640" s="23"/>
      <c r="D640" s="21"/>
      <c r="E640" s="21"/>
      <c r="F640" s="21"/>
      <c r="G640" s="21"/>
      <c r="H640" s="21"/>
      <c r="I640" s="21" t="str">
        <f>IF(G640="","",VLOOKUP(G640,frecuencia[#ALL],2,0))</f>
        <v/>
      </c>
      <c r="J640" s="21" t="str">
        <f>IF(H640="","",VLOOKUP(H640,tipo_donante[#ALL],2,0))</f>
        <v/>
      </c>
      <c r="K640" s="24"/>
    </row>
    <row r="641">
      <c r="A641" s="21"/>
      <c r="B641" s="21"/>
      <c r="C641" s="23"/>
      <c r="D641" s="21"/>
      <c r="E641" s="21"/>
      <c r="F641" s="21"/>
      <c r="G641" s="21"/>
      <c r="H641" s="21"/>
      <c r="I641" s="21" t="str">
        <f>IF(G641="","",VLOOKUP(G641,frecuencia[#ALL],2,0))</f>
        <v/>
      </c>
      <c r="J641" s="21" t="str">
        <f>IF(H641="","",VLOOKUP(H641,tipo_donante[#ALL],2,0))</f>
        <v/>
      </c>
      <c r="K641" s="24"/>
    </row>
    <row r="642">
      <c r="A642" s="21"/>
      <c r="B642" s="21"/>
      <c r="C642" s="23"/>
      <c r="D642" s="21"/>
      <c r="E642" s="21"/>
      <c r="F642" s="21"/>
      <c r="G642" s="21"/>
      <c r="H642" s="21"/>
      <c r="I642" s="21" t="str">
        <f>IF(G642="","",VLOOKUP(G642,frecuencia[#ALL],2,0))</f>
        <v/>
      </c>
      <c r="J642" s="21" t="str">
        <f>IF(H642="","",VLOOKUP(H642,tipo_donante[#ALL],2,0))</f>
        <v/>
      </c>
      <c r="K642" s="24"/>
    </row>
    <row r="643">
      <c r="A643" s="21"/>
      <c r="B643" s="21"/>
      <c r="C643" s="23"/>
      <c r="D643" s="21"/>
      <c r="E643" s="21"/>
      <c r="F643" s="21"/>
      <c r="G643" s="21"/>
      <c r="H643" s="21"/>
      <c r="I643" s="21" t="str">
        <f>IF(G643="","",VLOOKUP(G643,frecuencia[#ALL],2,0))</f>
        <v/>
      </c>
      <c r="J643" s="21" t="str">
        <f>IF(H643="","",VLOOKUP(H643,tipo_donante[#ALL],2,0))</f>
        <v/>
      </c>
      <c r="K643" s="24"/>
    </row>
    <row r="644">
      <c r="A644" s="21"/>
      <c r="B644" s="21"/>
      <c r="C644" s="23"/>
      <c r="D644" s="21"/>
      <c r="E644" s="21"/>
      <c r="F644" s="21"/>
      <c r="G644" s="21"/>
      <c r="H644" s="21"/>
      <c r="I644" s="21" t="str">
        <f>IF(G644="","",VLOOKUP(G644,frecuencia[#ALL],2,0))</f>
        <v/>
      </c>
      <c r="J644" s="21" t="str">
        <f>IF(H644="","",VLOOKUP(H644,tipo_donante[#ALL],2,0))</f>
        <v/>
      </c>
      <c r="K644" s="24"/>
    </row>
    <row r="645">
      <c r="A645" s="21"/>
      <c r="B645" s="21"/>
      <c r="C645" s="23"/>
      <c r="D645" s="21"/>
      <c r="E645" s="21"/>
      <c r="F645" s="21"/>
      <c r="G645" s="21"/>
      <c r="H645" s="21"/>
      <c r="I645" s="21" t="str">
        <f>IF(G645="","",VLOOKUP(G645,frecuencia[#ALL],2,0))</f>
        <v/>
      </c>
      <c r="J645" s="21" t="str">
        <f>IF(H645="","",VLOOKUP(H645,tipo_donante[#ALL],2,0))</f>
        <v/>
      </c>
      <c r="K645" s="24"/>
    </row>
    <row r="646">
      <c r="A646" s="21"/>
      <c r="B646" s="21"/>
      <c r="C646" s="23"/>
      <c r="D646" s="21"/>
      <c r="E646" s="21"/>
      <c r="F646" s="21"/>
      <c r="G646" s="21"/>
      <c r="H646" s="21"/>
      <c r="I646" s="21" t="str">
        <f>IF(G646="","",VLOOKUP(G646,frecuencia[#ALL],2,0))</f>
        <v/>
      </c>
      <c r="J646" s="21" t="str">
        <f>IF(H646="","",VLOOKUP(H646,tipo_donante[#ALL],2,0))</f>
        <v/>
      </c>
      <c r="K646" s="24"/>
    </row>
    <row r="647">
      <c r="A647" s="21"/>
      <c r="B647" s="21"/>
      <c r="C647" s="23"/>
      <c r="D647" s="21"/>
      <c r="E647" s="21"/>
      <c r="F647" s="21"/>
      <c r="G647" s="21"/>
      <c r="H647" s="21"/>
      <c r="I647" s="21" t="str">
        <f>IF(G647="","",VLOOKUP(G647,frecuencia[#ALL],2,0))</f>
        <v/>
      </c>
      <c r="J647" s="21" t="str">
        <f>IF(H647="","",VLOOKUP(H647,tipo_donante[#ALL],2,0))</f>
        <v/>
      </c>
      <c r="K647" s="24"/>
    </row>
    <row r="648">
      <c r="A648" s="21"/>
      <c r="B648" s="21"/>
      <c r="C648" s="23"/>
      <c r="D648" s="21"/>
      <c r="E648" s="21"/>
      <c r="F648" s="21"/>
      <c r="G648" s="21"/>
      <c r="H648" s="21"/>
      <c r="I648" s="21" t="str">
        <f>IF(G648="","",VLOOKUP(G648,frecuencia[#ALL],2,0))</f>
        <v/>
      </c>
      <c r="J648" s="21" t="str">
        <f>IF(H648="","",VLOOKUP(H648,tipo_donante[#ALL],2,0))</f>
        <v/>
      </c>
      <c r="K648" s="24"/>
    </row>
    <row r="649">
      <c r="A649" s="21"/>
      <c r="B649" s="21"/>
      <c r="C649" s="23"/>
      <c r="D649" s="21"/>
      <c r="E649" s="21"/>
      <c r="F649" s="21"/>
      <c r="G649" s="21"/>
      <c r="H649" s="21"/>
      <c r="I649" s="21" t="str">
        <f>IF(G649="","",VLOOKUP(G649,frecuencia[#ALL],2,0))</f>
        <v/>
      </c>
      <c r="J649" s="21" t="str">
        <f>IF(H649="","",VLOOKUP(H649,tipo_donante[#ALL],2,0))</f>
        <v/>
      </c>
      <c r="K649" s="24"/>
    </row>
    <row r="650">
      <c r="A650" s="21"/>
      <c r="B650" s="21"/>
      <c r="C650" s="23"/>
      <c r="D650" s="21"/>
      <c r="E650" s="21"/>
      <c r="F650" s="21"/>
      <c r="G650" s="21"/>
      <c r="H650" s="21"/>
      <c r="I650" s="21" t="str">
        <f>IF(G650="","",VLOOKUP(G650,frecuencia[#ALL],2,0))</f>
        <v/>
      </c>
      <c r="J650" s="21" t="str">
        <f>IF(H650="","",VLOOKUP(H650,tipo_donante[#ALL],2,0))</f>
        <v/>
      </c>
      <c r="K650" s="24"/>
    </row>
    <row r="651">
      <c r="A651" s="21"/>
      <c r="B651" s="21"/>
      <c r="C651" s="23"/>
      <c r="D651" s="21"/>
      <c r="E651" s="21"/>
      <c r="F651" s="21"/>
      <c r="G651" s="21"/>
      <c r="H651" s="21"/>
      <c r="I651" s="21" t="str">
        <f>IF(G651="","",VLOOKUP(G651,frecuencia[#ALL],2,0))</f>
        <v/>
      </c>
      <c r="J651" s="21" t="str">
        <f>IF(H651="","",VLOOKUP(H651,tipo_donante[#ALL],2,0))</f>
        <v/>
      </c>
      <c r="K651" s="24"/>
    </row>
    <row r="652">
      <c r="A652" s="21"/>
      <c r="B652" s="21"/>
      <c r="C652" s="23"/>
      <c r="D652" s="21"/>
      <c r="E652" s="21"/>
      <c r="F652" s="21"/>
      <c r="G652" s="21"/>
      <c r="H652" s="21"/>
      <c r="I652" s="21" t="str">
        <f>IF(G652="","",VLOOKUP(G652,frecuencia[#ALL],2,0))</f>
        <v/>
      </c>
      <c r="J652" s="21" t="str">
        <f>IF(H652="","",VLOOKUP(H652,tipo_donante[#ALL],2,0))</f>
        <v/>
      </c>
      <c r="K652" s="24"/>
    </row>
    <row r="653">
      <c r="A653" s="21"/>
      <c r="B653" s="21"/>
      <c r="C653" s="23"/>
      <c r="D653" s="21"/>
      <c r="E653" s="21"/>
      <c r="F653" s="21"/>
      <c r="G653" s="21"/>
      <c r="H653" s="21"/>
      <c r="I653" s="21" t="str">
        <f>IF(G653="","",VLOOKUP(G653,frecuencia[#ALL],2,0))</f>
        <v/>
      </c>
      <c r="J653" s="21" t="str">
        <f>IF(H653="","",VLOOKUP(H653,tipo_donante[#ALL],2,0))</f>
        <v/>
      </c>
      <c r="K653" s="24"/>
    </row>
    <row r="654">
      <c r="A654" s="21"/>
      <c r="B654" s="21"/>
      <c r="C654" s="23"/>
      <c r="D654" s="21"/>
      <c r="E654" s="21"/>
      <c r="F654" s="21"/>
      <c r="G654" s="21"/>
      <c r="H654" s="21"/>
      <c r="I654" s="21" t="str">
        <f>IF(G654="","",VLOOKUP(G654,frecuencia[#ALL],2,0))</f>
        <v/>
      </c>
      <c r="J654" s="21" t="str">
        <f>IF(H654="","",VLOOKUP(H654,tipo_donante[#ALL],2,0))</f>
        <v/>
      </c>
      <c r="K654" s="24"/>
    </row>
    <row r="655">
      <c r="A655" s="21"/>
      <c r="B655" s="21"/>
      <c r="C655" s="23"/>
      <c r="D655" s="21"/>
      <c r="E655" s="21"/>
      <c r="F655" s="21"/>
      <c r="G655" s="21"/>
      <c r="H655" s="21"/>
      <c r="I655" s="21" t="str">
        <f>IF(G655="","",VLOOKUP(G655,frecuencia[#ALL],2,0))</f>
        <v/>
      </c>
      <c r="J655" s="21" t="str">
        <f>IF(H655="","",VLOOKUP(H655,tipo_donante[#ALL],2,0))</f>
        <v/>
      </c>
      <c r="K655" s="24"/>
    </row>
    <row r="656">
      <c r="A656" s="21"/>
      <c r="B656" s="21"/>
      <c r="C656" s="23"/>
      <c r="D656" s="21"/>
      <c r="E656" s="21"/>
      <c r="F656" s="21"/>
      <c r="G656" s="21"/>
      <c r="H656" s="21"/>
      <c r="I656" s="21" t="str">
        <f>IF(G656="","",VLOOKUP(G656,frecuencia[#ALL],2,0))</f>
        <v/>
      </c>
      <c r="J656" s="21" t="str">
        <f>IF(H656="","",VLOOKUP(H656,tipo_donante[#ALL],2,0))</f>
        <v/>
      </c>
      <c r="K656" s="24"/>
    </row>
    <row r="657">
      <c r="A657" s="21"/>
      <c r="B657" s="21"/>
      <c r="C657" s="23"/>
      <c r="D657" s="21"/>
      <c r="E657" s="21"/>
      <c r="F657" s="21"/>
      <c r="G657" s="21"/>
      <c r="H657" s="21"/>
      <c r="I657" s="21" t="str">
        <f>IF(G657="","",VLOOKUP(G657,frecuencia[#ALL],2,0))</f>
        <v/>
      </c>
      <c r="J657" s="21" t="str">
        <f>IF(H657="","",VLOOKUP(H657,tipo_donante[#ALL],2,0))</f>
        <v/>
      </c>
      <c r="K657" s="24"/>
    </row>
    <row r="658">
      <c r="A658" s="21"/>
      <c r="B658" s="21"/>
      <c r="C658" s="23"/>
      <c r="D658" s="21"/>
      <c r="E658" s="21"/>
      <c r="F658" s="21"/>
      <c r="G658" s="21"/>
      <c r="H658" s="21"/>
      <c r="I658" s="21" t="str">
        <f>IF(G658="","",VLOOKUP(G658,frecuencia[#ALL],2,0))</f>
        <v/>
      </c>
      <c r="J658" s="21" t="str">
        <f>IF(H658="","",VLOOKUP(H658,tipo_donante[#ALL],2,0))</f>
        <v/>
      </c>
      <c r="K658" s="24"/>
    </row>
    <row r="659">
      <c r="A659" s="21"/>
      <c r="B659" s="21"/>
      <c r="C659" s="23"/>
      <c r="D659" s="21"/>
      <c r="E659" s="21"/>
      <c r="F659" s="21"/>
      <c r="G659" s="21"/>
      <c r="H659" s="21"/>
      <c r="I659" s="21" t="str">
        <f>IF(G659="","",VLOOKUP(G659,frecuencia[#ALL],2,0))</f>
        <v/>
      </c>
      <c r="J659" s="21" t="str">
        <f>IF(H659="","",VLOOKUP(H659,tipo_donante[#ALL],2,0))</f>
        <v/>
      </c>
      <c r="K659" s="24"/>
    </row>
    <row r="660">
      <c r="A660" s="21"/>
      <c r="B660" s="21"/>
      <c r="C660" s="23"/>
      <c r="D660" s="21"/>
      <c r="E660" s="21"/>
      <c r="F660" s="21"/>
      <c r="G660" s="21"/>
      <c r="H660" s="21"/>
      <c r="I660" s="21" t="str">
        <f>IF(G660="","",VLOOKUP(G660,frecuencia[#ALL],2,0))</f>
        <v/>
      </c>
      <c r="J660" s="21" t="str">
        <f>IF(H660="","",VLOOKUP(H660,tipo_donante[#ALL],2,0))</f>
        <v/>
      </c>
      <c r="K660" s="24"/>
    </row>
    <row r="661">
      <c r="A661" s="21"/>
      <c r="B661" s="21"/>
      <c r="C661" s="23"/>
      <c r="D661" s="21"/>
      <c r="E661" s="21"/>
      <c r="F661" s="21"/>
      <c r="G661" s="21"/>
      <c r="H661" s="21"/>
      <c r="I661" s="21" t="str">
        <f>IF(G661="","",VLOOKUP(G661,frecuencia[#ALL],2,0))</f>
        <v/>
      </c>
      <c r="J661" s="21" t="str">
        <f>IF(H661="","",VLOOKUP(H661,tipo_donante[#ALL],2,0))</f>
        <v/>
      </c>
      <c r="K661" s="24"/>
    </row>
    <row r="662">
      <c r="A662" s="21"/>
      <c r="B662" s="21"/>
      <c r="C662" s="23"/>
      <c r="D662" s="21"/>
      <c r="E662" s="21"/>
      <c r="F662" s="21"/>
      <c r="G662" s="21"/>
      <c r="H662" s="21"/>
      <c r="I662" s="21" t="str">
        <f>IF(G662="","",VLOOKUP(G662,frecuencia[#ALL],2,0))</f>
        <v/>
      </c>
      <c r="J662" s="21" t="str">
        <f>IF(H662="","",VLOOKUP(H662,tipo_donante[#ALL],2,0))</f>
        <v/>
      </c>
      <c r="K662" s="24"/>
    </row>
    <row r="663">
      <c r="A663" s="21"/>
      <c r="B663" s="21"/>
      <c r="C663" s="23"/>
      <c r="D663" s="21"/>
      <c r="E663" s="21"/>
      <c r="F663" s="21"/>
      <c r="G663" s="21"/>
      <c r="H663" s="21"/>
      <c r="I663" s="21" t="str">
        <f>IF(G663="","",VLOOKUP(G663,frecuencia[#ALL],2,0))</f>
        <v/>
      </c>
      <c r="J663" s="21" t="str">
        <f>IF(H663="","",VLOOKUP(H663,tipo_donante[#ALL],2,0))</f>
        <v/>
      </c>
      <c r="K663" s="24"/>
    </row>
    <row r="664">
      <c r="A664" s="21"/>
      <c r="B664" s="21"/>
      <c r="C664" s="23"/>
      <c r="D664" s="21"/>
      <c r="E664" s="21"/>
      <c r="F664" s="21"/>
      <c r="G664" s="21"/>
      <c r="H664" s="21"/>
      <c r="I664" s="21" t="str">
        <f>IF(G664="","",VLOOKUP(G664,frecuencia[#ALL],2,0))</f>
        <v/>
      </c>
      <c r="J664" s="21" t="str">
        <f>IF(H664="","",VLOOKUP(H664,tipo_donante[#ALL],2,0))</f>
        <v/>
      </c>
      <c r="K664" s="24"/>
    </row>
    <row r="665">
      <c r="A665" s="21"/>
      <c r="B665" s="21"/>
      <c r="C665" s="23"/>
      <c r="D665" s="21"/>
      <c r="E665" s="21"/>
      <c r="F665" s="21"/>
      <c r="G665" s="21"/>
      <c r="H665" s="21"/>
      <c r="I665" s="21" t="str">
        <f>IF(G665="","",VLOOKUP(G665,frecuencia[#ALL],2,0))</f>
        <v/>
      </c>
      <c r="J665" s="21" t="str">
        <f>IF(H665="","",VLOOKUP(H665,tipo_donante[#ALL],2,0))</f>
        <v/>
      </c>
      <c r="K665" s="24"/>
    </row>
    <row r="666">
      <c r="A666" s="21"/>
      <c r="B666" s="21"/>
      <c r="C666" s="23"/>
      <c r="D666" s="21"/>
      <c r="E666" s="21"/>
      <c r="F666" s="21"/>
      <c r="G666" s="21"/>
      <c r="H666" s="21"/>
      <c r="I666" s="21" t="str">
        <f>IF(G666="","",VLOOKUP(G666,frecuencia[#ALL],2,0))</f>
        <v/>
      </c>
      <c r="J666" s="21" t="str">
        <f>IF(H666="","",VLOOKUP(H666,tipo_donante[#ALL],2,0))</f>
        <v/>
      </c>
      <c r="K666" s="24"/>
    </row>
    <row r="667">
      <c r="A667" s="21"/>
      <c r="B667" s="21"/>
      <c r="C667" s="23"/>
      <c r="D667" s="21"/>
      <c r="E667" s="21"/>
      <c r="F667" s="21"/>
      <c r="G667" s="21"/>
      <c r="H667" s="21"/>
      <c r="I667" s="21" t="str">
        <f>IF(G667="","",VLOOKUP(G667,frecuencia[#ALL],2,0))</f>
        <v/>
      </c>
      <c r="J667" s="21" t="str">
        <f>IF(H667="","",VLOOKUP(H667,tipo_donante[#ALL],2,0))</f>
        <v/>
      </c>
      <c r="K667" s="24"/>
    </row>
    <row r="668">
      <c r="A668" s="21"/>
      <c r="B668" s="21"/>
      <c r="C668" s="23"/>
      <c r="D668" s="21"/>
      <c r="E668" s="21"/>
      <c r="F668" s="21"/>
      <c r="G668" s="21"/>
      <c r="H668" s="21"/>
      <c r="I668" s="21" t="str">
        <f>IF(G668="","",VLOOKUP(G668,frecuencia[#ALL],2,0))</f>
        <v/>
      </c>
      <c r="J668" s="21" t="str">
        <f>IF(H668="","",VLOOKUP(H668,tipo_donante[#ALL],2,0))</f>
        <v/>
      </c>
      <c r="K668" s="24"/>
    </row>
    <row r="669">
      <c r="A669" s="21"/>
      <c r="B669" s="21"/>
      <c r="C669" s="23"/>
      <c r="D669" s="21"/>
      <c r="E669" s="21"/>
      <c r="F669" s="21"/>
      <c r="G669" s="21"/>
      <c r="H669" s="21"/>
      <c r="I669" s="21" t="str">
        <f>IF(G669="","",VLOOKUP(G669,frecuencia[#ALL],2,0))</f>
        <v/>
      </c>
      <c r="J669" s="21" t="str">
        <f>IF(H669="","",VLOOKUP(H669,tipo_donante[#ALL],2,0))</f>
        <v/>
      </c>
      <c r="K669" s="24"/>
    </row>
    <row r="670">
      <c r="A670" s="21"/>
      <c r="B670" s="21"/>
      <c r="C670" s="23"/>
      <c r="D670" s="21"/>
      <c r="E670" s="21"/>
      <c r="F670" s="21"/>
      <c r="G670" s="21"/>
      <c r="H670" s="21"/>
      <c r="I670" s="21" t="str">
        <f>IF(G670="","",VLOOKUP(G670,frecuencia[#ALL],2,0))</f>
        <v/>
      </c>
      <c r="J670" s="21" t="str">
        <f>IF(H670="","",VLOOKUP(H670,tipo_donante[#ALL],2,0))</f>
        <v/>
      </c>
      <c r="K670" s="24"/>
    </row>
    <row r="671">
      <c r="A671" s="21"/>
      <c r="B671" s="21"/>
      <c r="C671" s="23"/>
      <c r="D671" s="21"/>
      <c r="E671" s="21"/>
      <c r="F671" s="21"/>
      <c r="G671" s="21"/>
      <c r="H671" s="21"/>
      <c r="I671" s="21" t="str">
        <f>IF(G671="","",VLOOKUP(G671,frecuencia[#ALL],2,0))</f>
        <v/>
      </c>
      <c r="J671" s="21" t="str">
        <f>IF(H671="","",VLOOKUP(H671,tipo_donante[#ALL],2,0))</f>
        <v/>
      </c>
      <c r="K671" s="24"/>
    </row>
    <row r="672">
      <c r="A672" s="21"/>
      <c r="B672" s="21"/>
      <c r="C672" s="23"/>
      <c r="D672" s="21"/>
      <c r="E672" s="21"/>
      <c r="F672" s="21"/>
      <c r="G672" s="21"/>
      <c r="H672" s="21"/>
      <c r="I672" s="21" t="str">
        <f>IF(G672="","",VLOOKUP(G672,frecuencia[#ALL],2,0))</f>
        <v/>
      </c>
      <c r="J672" s="21" t="str">
        <f>IF(H672="","",VLOOKUP(H672,tipo_donante[#ALL],2,0))</f>
        <v/>
      </c>
      <c r="K672" s="24"/>
    </row>
    <row r="673">
      <c r="A673" s="21"/>
      <c r="B673" s="21"/>
      <c r="C673" s="23"/>
      <c r="D673" s="21"/>
      <c r="E673" s="21"/>
      <c r="F673" s="21"/>
      <c r="G673" s="21"/>
      <c r="H673" s="21"/>
      <c r="I673" s="21" t="str">
        <f>IF(G673="","",VLOOKUP(G673,frecuencia[#ALL],2,0))</f>
        <v/>
      </c>
      <c r="J673" s="21" t="str">
        <f>IF(H673="","",VLOOKUP(H673,tipo_donante[#ALL],2,0))</f>
        <v/>
      </c>
      <c r="K673" s="24"/>
    </row>
    <row r="674">
      <c r="A674" s="21"/>
      <c r="B674" s="21"/>
      <c r="C674" s="23"/>
      <c r="D674" s="21"/>
      <c r="E674" s="21"/>
      <c r="F674" s="21"/>
      <c r="G674" s="21"/>
      <c r="H674" s="21"/>
      <c r="I674" s="21" t="str">
        <f>IF(G674="","",VLOOKUP(G674,frecuencia[#ALL],2,0))</f>
        <v/>
      </c>
      <c r="J674" s="21" t="str">
        <f>IF(H674="","",VLOOKUP(H674,tipo_donante[#ALL],2,0))</f>
        <v/>
      </c>
      <c r="K674" s="24"/>
    </row>
    <row r="675">
      <c r="A675" s="21"/>
      <c r="B675" s="21"/>
      <c r="C675" s="23"/>
      <c r="D675" s="21"/>
      <c r="E675" s="21"/>
      <c r="F675" s="21"/>
      <c r="G675" s="21"/>
      <c r="H675" s="21"/>
      <c r="I675" s="21" t="str">
        <f>IF(G675="","",VLOOKUP(G675,frecuencia[#ALL],2,0))</f>
        <v/>
      </c>
      <c r="J675" s="21" t="str">
        <f>IF(H675="","",VLOOKUP(H675,tipo_donante[#ALL],2,0))</f>
        <v/>
      </c>
      <c r="K675" s="24"/>
    </row>
    <row r="676">
      <c r="A676" s="21"/>
      <c r="B676" s="21"/>
      <c r="C676" s="23"/>
      <c r="D676" s="21"/>
      <c r="E676" s="21"/>
      <c r="F676" s="21"/>
      <c r="G676" s="21"/>
      <c r="H676" s="21"/>
      <c r="I676" s="21" t="str">
        <f>IF(G676="","",VLOOKUP(G676,frecuencia[#ALL],2,0))</f>
        <v/>
      </c>
      <c r="J676" s="21" t="str">
        <f>IF(H676="","",VLOOKUP(H676,tipo_donante[#ALL],2,0))</f>
        <v/>
      </c>
      <c r="K676" s="24"/>
    </row>
    <row r="677">
      <c r="A677" s="21"/>
      <c r="B677" s="21"/>
      <c r="C677" s="23"/>
      <c r="D677" s="21"/>
      <c r="E677" s="21"/>
      <c r="F677" s="21"/>
      <c r="G677" s="21"/>
      <c r="H677" s="21"/>
      <c r="I677" s="21" t="str">
        <f>IF(G677="","",VLOOKUP(G677,frecuencia[#ALL],2,0))</f>
        <v/>
      </c>
      <c r="J677" s="21" t="str">
        <f>IF(H677="","",VLOOKUP(H677,tipo_donante[#ALL],2,0))</f>
        <v/>
      </c>
      <c r="K677" s="24"/>
    </row>
    <row r="678">
      <c r="A678" s="21"/>
      <c r="B678" s="21"/>
      <c r="C678" s="23"/>
      <c r="D678" s="21"/>
      <c r="E678" s="21"/>
      <c r="F678" s="21"/>
      <c r="G678" s="21"/>
      <c r="H678" s="21"/>
      <c r="I678" s="21" t="str">
        <f>IF(G678="","",VLOOKUP(G678,frecuencia[#ALL],2,0))</f>
        <v/>
      </c>
      <c r="J678" s="21" t="str">
        <f>IF(H678="","",VLOOKUP(H678,tipo_donante[#ALL],2,0))</f>
        <v/>
      </c>
      <c r="K678" s="24"/>
    </row>
    <row r="679">
      <c r="A679" s="21"/>
      <c r="B679" s="21"/>
      <c r="C679" s="23"/>
      <c r="D679" s="21"/>
      <c r="E679" s="21"/>
      <c r="F679" s="21"/>
      <c r="G679" s="21"/>
      <c r="H679" s="21"/>
      <c r="I679" s="21" t="str">
        <f>IF(G679="","",VLOOKUP(G679,frecuencia[#ALL],2,0))</f>
        <v/>
      </c>
      <c r="J679" s="21" t="str">
        <f>IF(H679="","",VLOOKUP(H679,tipo_donante[#ALL],2,0))</f>
        <v/>
      </c>
      <c r="K679" s="24"/>
    </row>
    <row r="680">
      <c r="A680" s="21"/>
      <c r="B680" s="21"/>
      <c r="C680" s="23"/>
      <c r="D680" s="21"/>
      <c r="E680" s="21"/>
      <c r="F680" s="21"/>
      <c r="G680" s="21"/>
      <c r="H680" s="21"/>
      <c r="I680" s="21" t="str">
        <f>IF(G680="","",VLOOKUP(G680,frecuencia[#ALL],2,0))</f>
        <v/>
      </c>
      <c r="J680" s="21" t="str">
        <f>IF(H680="","",VLOOKUP(H680,tipo_donante[#ALL],2,0))</f>
        <v/>
      </c>
      <c r="K680" s="24"/>
    </row>
    <row r="681">
      <c r="A681" s="21"/>
      <c r="B681" s="21"/>
      <c r="C681" s="23"/>
      <c r="D681" s="21"/>
      <c r="E681" s="21"/>
      <c r="F681" s="21"/>
      <c r="G681" s="21"/>
      <c r="H681" s="21"/>
      <c r="I681" s="21" t="str">
        <f>IF(G681="","",VLOOKUP(G681,frecuencia[#ALL],2,0))</f>
        <v/>
      </c>
      <c r="J681" s="21" t="str">
        <f>IF(H681="","",VLOOKUP(H681,tipo_donante[#ALL],2,0))</f>
        <v/>
      </c>
      <c r="K681" s="24"/>
    </row>
    <row r="682">
      <c r="A682" s="21"/>
      <c r="B682" s="21"/>
      <c r="C682" s="23"/>
      <c r="D682" s="21"/>
      <c r="E682" s="21"/>
      <c r="F682" s="21"/>
      <c r="G682" s="21"/>
      <c r="H682" s="21"/>
      <c r="I682" s="21" t="str">
        <f>IF(G682="","",VLOOKUP(G682,frecuencia[#ALL],2,0))</f>
        <v/>
      </c>
      <c r="J682" s="21" t="str">
        <f>IF(H682="","",VLOOKUP(H682,tipo_donante[#ALL],2,0))</f>
        <v/>
      </c>
      <c r="K682" s="24"/>
    </row>
    <row r="683">
      <c r="A683" s="21"/>
      <c r="B683" s="21"/>
      <c r="C683" s="23"/>
      <c r="D683" s="21"/>
      <c r="E683" s="21"/>
      <c r="F683" s="21"/>
      <c r="G683" s="21"/>
      <c r="H683" s="21"/>
      <c r="I683" s="21" t="str">
        <f>IF(G683="","",VLOOKUP(G683,frecuencia[#ALL],2,0))</f>
        <v/>
      </c>
      <c r="J683" s="21" t="str">
        <f>IF(H683="","",VLOOKUP(H683,tipo_donante[#ALL],2,0))</f>
        <v/>
      </c>
      <c r="K683" s="24"/>
    </row>
    <row r="684">
      <c r="A684" s="21"/>
      <c r="B684" s="21"/>
      <c r="C684" s="23"/>
      <c r="D684" s="21"/>
      <c r="E684" s="21"/>
      <c r="F684" s="21"/>
      <c r="G684" s="21"/>
      <c r="H684" s="21"/>
      <c r="I684" s="21" t="str">
        <f>IF(G684="","",VLOOKUP(G684,frecuencia[#ALL],2,0))</f>
        <v/>
      </c>
      <c r="J684" s="21" t="str">
        <f>IF(H684="","",VLOOKUP(H684,tipo_donante[#ALL],2,0))</f>
        <v/>
      </c>
      <c r="K684" s="24"/>
    </row>
    <row r="685">
      <c r="A685" s="21"/>
      <c r="B685" s="21"/>
      <c r="C685" s="23"/>
      <c r="D685" s="21"/>
      <c r="E685" s="21"/>
      <c r="F685" s="21"/>
      <c r="G685" s="21"/>
      <c r="H685" s="21"/>
      <c r="I685" s="21" t="str">
        <f>IF(G685="","",VLOOKUP(G685,frecuencia[#ALL],2,0))</f>
        <v/>
      </c>
      <c r="J685" s="21" t="str">
        <f>IF(H685="","",VLOOKUP(H685,tipo_donante[#ALL],2,0))</f>
        <v/>
      </c>
      <c r="K685" s="24"/>
    </row>
    <row r="686">
      <c r="A686" s="21"/>
      <c r="B686" s="21"/>
      <c r="C686" s="23"/>
      <c r="D686" s="21"/>
      <c r="E686" s="21"/>
      <c r="F686" s="21"/>
      <c r="G686" s="21"/>
      <c r="H686" s="21"/>
      <c r="I686" s="21" t="str">
        <f>IF(G686="","",VLOOKUP(G686,frecuencia[#ALL],2,0))</f>
        <v/>
      </c>
      <c r="J686" s="21" t="str">
        <f>IF(H686="","",VLOOKUP(H686,tipo_donante[#ALL],2,0))</f>
        <v/>
      </c>
      <c r="K686" s="24"/>
    </row>
    <row r="687">
      <c r="A687" s="21"/>
      <c r="B687" s="21"/>
      <c r="C687" s="23"/>
      <c r="D687" s="21"/>
      <c r="E687" s="21"/>
      <c r="F687" s="21"/>
      <c r="G687" s="21"/>
      <c r="H687" s="21"/>
      <c r="I687" s="21" t="str">
        <f>IF(G687="","",VLOOKUP(G687,frecuencia[#ALL],2,0))</f>
        <v/>
      </c>
      <c r="J687" s="21" t="str">
        <f>IF(H687="","",VLOOKUP(H687,tipo_donante[#ALL],2,0))</f>
        <v/>
      </c>
      <c r="K687" s="24"/>
    </row>
    <row r="688">
      <c r="A688" s="21"/>
      <c r="B688" s="21"/>
      <c r="C688" s="23"/>
      <c r="D688" s="21"/>
      <c r="E688" s="21"/>
      <c r="F688" s="21"/>
      <c r="G688" s="21"/>
      <c r="H688" s="21"/>
      <c r="I688" s="21" t="str">
        <f>IF(G688="","",VLOOKUP(G688,frecuencia[#ALL],2,0))</f>
        <v/>
      </c>
      <c r="J688" s="21" t="str">
        <f>IF(H688="","",VLOOKUP(H688,tipo_donante[#ALL],2,0))</f>
        <v/>
      </c>
      <c r="K688" s="24"/>
    </row>
    <row r="689">
      <c r="A689" s="21"/>
      <c r="B689" s="21"/>
      <c r="C689" s="23"/>
      <c r="D689" s="21"/>
      <c r="E689" s="21"/>
      <c r="F689" s="21"/>
      <c r="G689" s="21"/>
      <c r="H689" s="21"/>
      <c r="I689" s="21" t="str">
        <f>IF(G689="","",VLOOKUP(G689,frecuencia[#ALL],2,0))</f>
        <v/>
      </c>
      <c r="J689" s="21" t="str">
        <f>IF(H689="","",VLOOKUP(H689,tipo_donante[#ALL],2,0))</f>
        <v/>
      </c>
      <c r="K689" s="24"/>
    </row>
    <row r="690">
      <c r="A690" s="21"/>
      <c r="B690" s="21"/>
      <c r="C690" s="23"/>
      <c r="D690" s="21"/>
      <c r="E690" s="21"/>
      <c r="F690" s="21"/>
      <c r="G690" s="21"/>
      <c r="H690" s="21"/>
      <c r="I690" s="21" t="str">
        <f>IF(G690="","",VLOOKUP(G690,frecuencia[#ALL],2,0))</f>
        <v/>
      </c>
      <c r="J690" s="21" t="str">
        <f>IF(H690="","",VLOOKUP(H690,tipo_donante[#ALL],2,0))</f>
        <v/>
      </c>
      <c r="K690" s="24"/>
    </row>
    <row r="691">
      <c r="A691" s="21"/>
      <c r="B691" s="21"/>
      <c r="C691" s="23"/>
      <c r="D691" s="21"/>
      <c r="E691" s="21"/>
      <c r="F691" s="21"/>
      <c r="G691" s="21"/>
      <c r="H691" s="21"/>
      <c r="I691" s="21" t="str">
        <f>IF(G691="","",VLOOKUP(G691,frecuencia[#ALL],2,0))</f>
        <v/>
      </c>
      <c r="J691" s="21" t="str">
        <f>IF(H691="","",VLOOKUP(H691,tipo_donante[#ALL],2,0))</f>
        <v/>
      </c>
      <c r="K691" s="24"/>
    </row>
    <row r="692">
      <c r="A692" s="21"/>
      <c r="B692" s="21"/>
      <c r="C692" s="23"/>
      <c r="D692" s="21"/>
      <c r="E692" s="21"/>
      <c r="F692" s="21"/>
      <c r="G692" s="21"/>
      <c r="H692" s="21"/>
      <c r="I692" s="21" t="str">
        <f>IF(G692="","",VLOOKUP(G692,frecuencia[#ALL],2,0))</f>
        <v/>
      </c>
      <c r="J692" s="21" t="str">
        <f>IF(H692="","",VLOOKUP(H692,tipo_donante[#ALL],2,0))</f>
        <v/>
      </c>
      <c r="K692" s="24"/>
    </row>
    <row r="693">
      <c r="A693" s="21"/>
      <c r="B693" s="21"/>
      <c r="C693" s="23"/>
      <c r="D693" s="21"/>
      <c r="E693" s="21"/>
      <c r="F693" s="21"/>
      <c r="G693" s="21"/>
      <c r="H693" s="21"/>
      <c r="I693" s="21" t="str">
        <f>IF(G693="","",VLOOKUP(G693,frecuencia[#ALL],2,0))</f>
        <v/>
      </c>
      <c r="J693" s="21" t="str">
        <f>IF(H693="","",VLOOKUP(H693,tipo_donante[#ALL],2,0))</f>
        <v/>
      </c>
      <c r="K693" s="24"/>
    </row>
    <row r="694">
      <c r="A694" s="21"/>
      <c r="B694" s="21"/>
      <c r="C694" s="23"/>
      <c r="D694" s="21"/>
      <c r="E694" s="21"/>
      <c r="F694" s="21"/>
      <c r="G694" s="21"/>
      <c r="H694" s="21"/>
      <c r="I694" s="21" t="str">
        <f>IF(G694="","",VLOOKUP(G694,frecuencia[#ALL],2,0))</f>
        <v/>
      </c>
      <c r="J694" s="21" t="str">
        <f>IF(H694="","",VLOOKUP(H694,tipo_donante[#ALL],2,0))</f>
        <v/>
      </c>
      <c r="K694" s="24"/>
    </row>
    <row r="695">
      <c r="A695" s="21"/>
      <c r="B695" s="21"/>
      <c r="C695" s="23"/>
      <c r="D695" s="21"/>
      <c r="E695" s="21"/>
      <c r="F695" s="21"/>
      <c r="G695" s="21"/>
      <c r="H695" s="21"/>
      <c r="I695" s="21" t="str">
        <f>IF(G695="","",VLOOKUP(G695,frecuencia[#ALL],2,0))</f>
        <v/>
      </c>
      <c r="J695" s="21" t="str">
        <f>IF(H695="","",VLOOKUP(H695,tipo_donante[#ALL],2,0))</f>
        <v/>
      </c>
      <c r="K695" s="24"/>
    </row>
    <row r="696">
      <c r="A696" s="21"/>
      <c r="B696" s="21"/>
      <c r="C696" s="23"/>
      <c r="D696" s="21"/>
      <c r="E696" s="21"/>
      <c r="F696" s="21"/>
      <c r="G696" s="21"/>
      <c r="H696" s="21"/>
      <c r="I696" s="21" t="str">
        <f>IF(G696="","",VLOOKUP(G696,frecuencia[#ALL],2,0))</f>
        <v/>
      </c>
      <c r="J696" s="21" t="str">
        <f>IF(H696="","",VLOOKUP(H696,tipo_donante[#ALL],2,0))</f>
        <v/>
      </c>
      <c r="K696" s="24"/>
    </row>
    <row r="697">
      <c r="A697" s="21"/>
      <c r="B697" s="21"/>
      <c r="C697" s="23"/>
      <c r="D697" s="21"/>
      <c r="E697" s="21"/>
      <c r="F697" s="21"/>
      <c r="G697" s="21"/>
      <c r="H697" s="21"/>
      <c r="I697" s="21" t="str">
        <f>IF(G697="","",VLOOKUP(G697,frecuencia[#ALL],2,0))</f>
        <v/>
      </c>
      <c r="J697" s="21" t="str">
        <f>IF(H697="","",VLOOKUP(H697,tipo_donante[#ALL],2,0))</f>
        <v/>
      </c>
      <c r="K697" s="24"/>
    </row>
    <row r="698">
      <c r="A698" s="21"/>
      <c r="B698" s="21"/>
      <c r="C698" s="23"/>
      <c r="D698" s="21"/>
      <c r="E698" s="21"/>
      <c r="F698" s="21"/>
      <c r="G698" s="21"/>
      <c r="H698" s="21"/>
      <c r="I698" s="21" t="str">
        <f>IF(G698="","",VLOOKUP(G698,frecuencia[#ALL],2,0))</f>
        <v/>
      </c>
      <c r="J698" s="21" t="str">
        <f>IF(H698="","",VLOOKUP(H698,tipo_donante[#ALL],2,0))</f>
        <v/>
      </c>
      <c r="K698" s="24"/>
    </row>
    <row r="699">
      <c r="A699" s="21"/>
      <c r="B699" s="21"/>
      <c r="C699" s="23"/>
      <c r="D699" s="21"/>
      <c r="E699" s="21"/>
      <c r="F699" s="21"/>
      <c r="G699" s="21"/>
      <c r="H699" s="21"/>
      <c r="I699" s="21" t="str">
        <f>IF(G699="","",VLOOKUP(G699,frecuencia[#ALL],2,0))</f>
        <v/>
      </c>
      <c r="J699" s="21" t="str">
        <f>IF(H699="","",VLOOKUP(H699,tipo_donante[#ALL],2,0))</f>
        <v/>
      </c>
      <c r="K699" s="24"/>
    </row>
    <row r="700">
      <c r="A700" s="21"/>
      <c r="B700" s="21"/>
      <c r="C700" s="23"/>
      <c r="D700" s="21"/>
      <c r="E700" s="21"/>
      <c r="F700" s="21"/>
      <c r="G700" s="21"/>
      <c r="H700" s="21"/>
      <c r="I700" s="21" t="str">
        <f>IF(G700="","",VLOOKUP(G700,frecuencia[#ALL],2,0))</f>
        <v/>
      </c>
      <c r="J700" s="21" t="str">
        <f>IF(H700="","",VLOOKUP(H700,tipo_donante[#ALL],2,0))</f>
        <v/>
      </c>
      <c r="K700" s="24"/>
    </row>
    <row r="701">
      <c r="A701" s="21"/>
      <c r="B701" s="21"/>
      <c r="C701" s="23"/>
      <c r="D701" s="21"/>
      <c r="E701" s="21"/>
      <c r="F701" s="21"/>
      <c r="G701" s="21"/>
      <c r="H701" s="21"/>
      <c r="I701" s="21" t="str">
        <f>IF(G701="","",VLOOKUP(G701,frecuencia[#ALL],2,0))</f>
        <v/>
      </c>
      <c r="J701" s="21" t="str">
        <f>IF(H701="","",VLOOKUP(H701,tipo_donante[#ALL],2,0))</f>
        <v/>
      </c>
      <c r="K701" s="24"/>
    </row>
    <row r="702">
      <c r="A702" s="21"/>
      <c r="B702" s="21"/>
      <c r="C702" s="23"/>
      <c r="D702" s="21"/>
      <c r="E702" s="21"/>
      <c r="F702" s="21"/>
      <c r="G702" s="21"/>
      <c r="H702" s="21"/>
      <c r="I702" s="21" t="str">
        <f>IF(G702="","",VLOOKUP(G702,frecuencia[#ALL],2,0))</f>
        <v/>
      </c>
      <c r="J702" s="21" t="str">
        <f>IF(H702="","",VLOOKUP(H702,tipo_donante[#ALL],2,0))</f>
        <v/>
      </c>
      <c r="K702" s="24"/>
    </row>
    <row r="703">
      <c r="A703" s="21"/>
      <c r="B703" s="21"/>
      <c r="C703" s="23"/>
      <c r="D703" s="21"/>
      <c r="E703" s="21"/>
      <c r="F703" s="21"/>
      <c r="G703" s="21"/>
      <c r="H703" s="21"/>
      <c r="I703" s="21" t="str">
        <f>IF(G703="","",VLOOKUP(G703,frecuencia[#ALL],2,0))</f>
        <v/>
      </c>
      <c r="J703" s="21" t="str">
        <f>IF(H703="","",VLOOKUP(H703,tipo_donante[#ALL],2,0))</f>
        <v/>
      </c>
      <c r="K703" s="24"/>
    </row>
    <row r="704">
      <c r="A704" s="21"/>
      <c r="B704" s="21"/>
      <c r="C704" s="23"/>
      <c r="D704" s="21"/>
      <c r="E704" s="21"/>
      <c r="F704" s="21"/>
      <c r="G704" s="21"/>
      <c r="H704" s="21"/>
      <c r="I704" s="21" t="str">
        <f>IF(G704="","",VLOOKUP(G704,frecuencia[#ALL],2,0))</f>
        <v/>
      </c>
      <c r="J704" s="21" t="str">
        <f>IF(H704="","",VLOOKUP(H704,tipo_donante[#ALL],2,0))</f>
        <v/>
      </c>
      <c r="K704" s="24"/>
    </row>
    <row r="705">
      <c r="A705" s="21"/>
      <c r="B705" s="21"/>
      <c r="C705" s="23"/>
      <c r="D705" s="21"/>
      <c r="E705" s="21"/>
      <c r="F705" s="21"/>
      <c r="G705" s="21"/>
      <c r="H705" s="21"/>
      <c r="I705" s="21" t="str">
        <f>IF(G705="","",VLOOKUP(G705,frecuencia[#ALL],2,0))</f>
        <v/>
      </c>
      <c r="J705" s="21" t="str">
        <f>IF(H705="","",VLOOKUP(H705,tipo_donante[#ALL],2,0))</f>
        <v/>
      </c>
      <c r="K705" s="24"/>
    </row>
    <row r="706">
      <c r="A706" s="21"/>
      <c r="B706" s="21"/>
      <c r="C706" s="23"/>
      <c r="D706" s="21"/>
      <c r="E706" s="21"/>
      <c r="F706" s="21"/>
      <c r="G706" s="21"/>
      <c r="H706" s="21"/>
      <c r="I706" s="21" t="str">
        <f>IF(G706="","",VLOOKUP(G706,frecuencia[#ALL],2,0))</f>
        <v/>
      </c>
      <c r="J706" s="21" t="str">
        <f>IF(H706="","",VLOOKUP(H706,tipo_donante[#ALL],2,0))</f>
        <v/>
      </c>
      <c r="K706" s="24"/>
    </row>
    <row r="707">
      <c r="A707" s="21"/>
      <c r="B707" s="21"/>
      <c r="C707" s="23"/>
      <c r="D707" s="21"/>
      <c r="E707" s="21"/>
      <c r="F707" s="21"/>
      <c r="G707" s="21"/>
      <c r="H707" s="21"/>
      <c r="I707" s="21" t="str">
        <f>IF(G707="","",VLOOKUP(G707,frecuencia[#ALL],2,0))</f>
        <v/>
      </c>
      <c r="J707" s="21" t="str">
        <f>IF(H707="","",VLOOKUP(H707,tipo_donante[#ALL],2,0))</f>
        <v/>
      </c>
      <c r="K707" s="24"/>
    </row>
    <row r="708">
      <c r="A708" s="21"/>
      <c r="B708" s="21"/>
      <c r="C708" s="23"/>
      <c r="D708" s="21"/>
      <c r="E708" s="21"/>
      <c r="F708" s="21"/>
      <c r="G708" s="21"/>
      <c r="H708" s="21"/>
      <c r="I708" s="21" t="str">
        <f>IF(G708="","",VLOOKUP(G708,frecuencia[#ALL],2,0))</f>
        <v/>
      </c>
      <c r="J708" s="21" t="str">
        <f>IF(H708="","",VLOOKUP(H708,tipo_donante[#ALL],2,0))</f>
        <v/>
      </c>
      <c r="K708" s="24"/>
    </row>
    <row r="709">
      <c r="A709" s="21"/>
      <c r="B709" s="21"/>
      <c r="C709" s="23"/>
      <c r="D709" s="21"/>
      <c r="E709" s="21"/>
      <c r="F709" s="21"/>
      <c r="G709" s="21"/>
      <c r="H709" s="21"/>
      <c r="I709" s="21" t="str">
        <f>IF(G709="","",VLOOKUP(G709,frecuencia[#ALL],2,0))</f>
        <v/>
      </c>
      <c r="J709" s="21" t="str">
        <f>IF(H709="","",VLOOKUP(H709,tipo_donante[#ALL],2,0))</f>
        <v/>
      </c>
      <c r="K709" s="24"/>
    </row>
    <row r="710">
      <c r="A710" s="21"/>
      <c r="B710" s="21"/>
      <c r="C710" s="23"/>
      <c r="D710" s="21"/>
      <c r="E710" s="21"/>
      <c r="F710" s="21"/>
      <c r="G710" s="21"/>
      <c r="H710" s="21"/>
      <c r="I710" s="21" t="str">
        <f>IF(G710="","",VLOOKUP(G710,frecuencia[#ALL],2,0))</f>
        <v/>
      </c>
      <c r="J710" s="21" t="str">
        <f>IF(H710="","",VLOOKUP(H710,tipo_donante[#ALL],2,0))</f>
        <v/>
      </c>
      <c r="K710" s="24"/>
    </row>
    <row r="711">
      <c r="A711" s="21"/>
      <c r="B711" s="21"/>
      <c r="C711" s="23"/>
      <c r="D711" s="21"/>
      <c r="E711" s="21"/>
      <c r="F711" s="21"/>
      <c r="G711" s="21"/>
      <c r="H711" s="21"/>
      <c r="I711" s="21" t="str">
        <f>IF(G711="","",VLOOKUP(G711,frecuencia[#ALL],2,0))</f>
        <v/>
      </c>
      <c r="J711" s="21" t="str">
        <f>IF(H711="","",VLOOKUP(H711,tipo_donante[#ALL],2,0))</f>
        <v/>
      </c>
      <c r="K711" s="24"/>
    </row>
    <row r="712">
      <c r="A712" s="21"/>
      <c r="B712" s="21"/>
      <c r="C712" s="23"/>
      <c r="D712" s="21"/>
      <c r="E712" s="21"/>
      <c r="F712" s="21"/>
      <c r="G712" s="21"/>
      <c r="H712" s="21"/>
      <c r="I712" s="21" t="str">
        <f>IF(G712="","",VLOOKUP(G712,frecuencia[#ALL],2,0))</f>
        <v/>
      </c>
      <c r="J712" s="21" t="str">
        <f>IF(H712="","",VLOOKUP(H712,tipo_donante[#ALL],2,0))</f>
        <v/>
      </c>
      <c r="K712" s="24"/>
    </row>
    <row r="713">
      <c r="A713" s="21"/>
      <c r="B713" s="21"/>
      <c r="C713" s="23"/>
      <c r="D713" s="21"/>
      <c r="E713" s="21"/>
      <c r="F713" s="21"/>
      <c r="G713" s="21"/>
      <c r="H713" s="21"/>
      <c r="I713" s="21" t="str">
        <f>IF(G713="","",VLOOKUP(G713,frecuencia[#ALL],2,0))</f>
        <v/>
      </c>
      <c r="J713" s="21" t="str">
        <f>IF(H713="","",VLOOKUP(H713,tipo_donante[#ALL],2,0))</f>
        <v/>
      </c>
      <c r="K713" s="24"/>
    </row>
    <row r="714">
      <c r="A714" s="21"/>
      <c r="B714" s="21"/>
      <c r="C714" s="23"/>
      <c r="D714" s="21"/>
      <c r="E714" s="21"/>
      <c r="F714" s="21"/>
      <c r="G714" s="21"/>
      <c r="H714" s="21"/>
      <c r="I714" s="21" t="str">
        <f>IF(G714="","",VLOOKUP(G714,frecuencia[#ALL],2,0))</f>
        <v/>
      </c>
      <c r="J714" s="21" t="str">
        <f>IF(H714="","",VLOOKUP(H714,tipo_donante[#ALL],2,0))</f>
        <v/>
      </c>
      <c r="K714" s="24"/>
    </row>
    <row r="715">
      <c r="A715" s="21"/>
      <c r="B715" s="21"/>
      <c r="C715" s="23"/>
      <c r="D715" s="21"/>
      <c r="E715" s="21"/>
      <c r="F715" s="21"/>
      <c r="G715" s="21"/>
      <c r="H715" s="21"/>
      <c r="I715" s="21" t="str">
        <f>IF(G715="","",VLOOKUP(G715,frecuencia[#ALL],2,0))</f>
        <v/>
      </c>
      <c r="J715" s="21" t="str">
        <f>IF(H715="","",VLOOKUP(H715,tipo_donante[#ALL],2,0))</f>
        <v/>
      </c>
      <c r="K715" s="24"/>
    </row>
    <row r="716">
      <c r="A716" s="21"/>
      <c r="B716" s="21"/>
      <c r="C716" s="23"/>
      <c r="D716" s="21"/>
      <c r="E716" s="21"/>
      <c r="F716" s="21"/>
      <c r="G716" s="21"/>
      <c r="H716" s="21"/>
      <c r="I716" s="21" t="str">
        <f>IF(G716="","",VLOOKUP(G716,frecuencia[#ALL],2,0))</f>
        <v/>
      </c>
      <c r="J716" s="21" t="str">
        <f>IF(H716="","",VLOOKUP(H716,tipo_donante[#ALL],2,0))</f>
        <v/>
      </c>
      <c r="K716" s="24"/>
    </row>
    <row r="717">
      <c r="A717" s="21"/>
      <c r="B717" s="21"/>
      <c r="C717" s="23"/>
      <c r="D717" s="21"/>
      <c r="E717" s="21"/>
      <c r="F717" s="21"/>
      <c r="G717" s="21"/>
      <c r="H717" s="21"/>
      <c r="I717" s="21" t="str">
        <f>IF(G717="","",VLOOKUP(G717,frecuencia[#ALL],2,0))</f>
        <v/>
      </c>
      <c r="J717" s="21" t="str">
        <f>IF(H717="","",VLOOKUP(H717,tipo_donante[#ALL],2,0))</f>
        <v/>
      </c>
      <c r="K717" s="24"/>
    </row>
    <row r="718">
      <c r="A718" s="21"/>
      <c r="B718" s="21"/>
      <c r="C718" s="23"/>
      <c r="D718" s="21"/>
      <c r="E718" s="21"/>
      <c r="F718" s="21"/>
      <c r="G718" s="21"/>
      <c r="H718" s="21"/>
      <c r="I718" s="21" t="str">
        <f>IF(G718="","",VLOOKUP(G718,frecuencia[#ALL],2,0))</f>
        <v/>
      </c>
      <c r="J718" s="21" t="str">
        <f>IF(H718="","",VLOOKUP(H718,tipo_donante[#ALL],2,0))</f>
        <v/>
      </c>
      <c r="K718" s="24"/>
    </row>
    <row r="719">
      <c r="A719" s="21"/>
      <c r="B719" s="21"/>
      <c r="C719" s="23"/>
      <c r="D719" s="21"/>
      <c r="E719" s="21"/>
      <c r="F719" s="21"/>
      <c r="G719" s="21"/>
      <c r="H719" s="21"/>
      <c r="I719" s="21" t="str">
        <f>IF(G719="","",VLOOKUP(G719,frecuencia[#ALL],2,0))</f>
        <v/>
      </c>
      <c r="J719" s="21" t="str">
        <f>IF(H719="","",VLOOKUP(H719,tipo_donante[#ALL],2,0))</f>
        <v/>
      </c>
      <c r="K719" s="24"/>
    </row>
    <row r="720">
      <c r="A720" s="21"/>
      <c r="B720" s="21"/>
      <c r="C720" s="23"/>
      <c r="D720" s="21"/>
      <c r="E720" s="21"/>
      <c r="F720" s="21"/>
      <c r="G720" s="21"/>
      <c r="H720" s="21"/>
      <c r="I720" s="21" t="str">
        <f>IF(G720="","",VLOOKUP(G720,frecuencia[#ALL],2,0))</f>
        <v/>
      </c>
      <c r="J720" s="21" t="str">
        <f>IF(H720="","",VLOOKUP(H720,tipo_donante[#ALL],2,0))</f>
        <v/>
      </c>
      <c r="K720" s="24"/>
    </row>
    <row r="721">
      <c r="A721" s="21"/>
      <c r="B721" s="21"/>
      <c r="C721" s="23"/>
      <c r="D721" s="21"/>
      <c r="E721" s="21"/>
      <c r="F721" s="21"/>
      <c r="G721" s="21"/>
      <c r="H721" s="21"/>
      <c r="I721" s="21" t="str">
        <f>IF(G721="","",VLOOKUP(G721,frecuencia[#ALL],2,0))</f>
        <v/>
      </c>
      <c r="J721" s="21" t="str">
        <f>IF(H721="","",VLOOKUP(H721,tipo_donante[#ALL],2,0))</f>
        <v/>
      </c>
      <c r="K721" s="24"/>
    </row>
    <row r="722">
      <c r="A722" s="21"/>
      <c r="B722" s="21"/>
      <c r="C722" s="23"/>
      <c r="D722" s="21"/>
      <c r="E722" s="21"/>
      <c r="F722" s="21"/>
      <c r="G722" s="21"/>
      <c r="H722" s="21"/>
      <c r="I722" s="21" t="str">
        <f>IF(G722="","",VLOOKUP(G722,frecuencia[#ALL],2,0))</f>
        <v/>
      </c>
      <c r="J722" s="21" t="str">
        <f>IF(H722="","",VLOOKUP(H722,tipo_donante[#ALL],2,0))</f>
        <v/>
      </c>
      <c r="K722" s="24"/>
    </row>
    <row r="723">
      <c r="A723" s="21"/>
      <c r="B723" s="21"/>
      <c r="C723" s="23"/>
      <c r="D723" s="21"/>
      <c r="E723" s="21"/>
      <c r="F723" s="21"/>
      <c r="G723" s="21"/>
      <c r="H723" s="21"/>
      <c r="I723" s="21" t="str">
        <f>IF(G723="","",VLOOKUP(G723,frecuencia[#ALL],2,0))</f>
        <v/>
      </c>
      <c r="J723" s="21" t="str">
        <f>IF(H723="","",VLOOKUP(H723,tipo_donante[#ALL],2,0))</f>
        <v/>
      </c>
      <c r="K723" s="24"/>
    </row>
    <row r="724">
      <c r="A724" s="21"/>
      <c r="B724" s="21"/>
      <c r="C724" s="23"/>
      <c r="D724" s="21"/>
      <c r="E724" s="21"/>
      <c r="F724" s="21"/>
      <c r="G724" s="21"/>
      <c r="H724" s="21"/>
      <c r="I724" s="21" t="str">
        <f>IF(G724="","",VLOOKUP(G724,frecuencia[#ALL],2,0))</f>
        <v/>
      </c>
      <c r="J724" s="21" t="str">
        <f>IF(H724="","",VLOOKUP(H724,tipo_donante[#ALL],2,0))</f>
        <v/>
      </c>
      <c r="K724" s="24"/>
    </row>
    <row r="725">
      <c r="A725" s="21"/>
      <c r="B725" s="21"/>
      <c r="C725" s="23"/>
      <c r="D725" s="21"/>
      <c r="E725" s="21"/>
      <c r="F725" s="21"/>
      <c r="G725" s="21"/>
      <c r="H725" s="21"/>
      <c r="I725" s="21" t="str">
        <f>IF(G725="","",VLOOKUP(G725,frecuencia[#ALL],2,0))</f>
        <v/>
      </c>
      <c r="J725" s="21" t="str">
        <f>IF(H725="","",VLOOKUP(H725,tipo_donante[#ALL],2,0))</f>
        <v/>
      </c>
      <c r="K725" s="24"/>
    </row>
    <row r="726">
      <c r="A726" s="21"/>
      <c r="B726" s="21"/>
      <c r="C726" s="23"/>
      <c r="D726" s="21"/>
      <c r="E726" s="21"/>
      <c r="F726" s="21"/>
      <c r="G726" s="21"/>
      <c r="H726" s="21"/>
      <c r="I726" s="21" t="str">
        <f>IF(G726="","",VLOOKUP(G726,frecuencia[#ALL],2,0))</f>
        <v/>
      </c>
      <c r="J726" s="21" t="str">
        <f>IF(H726="","",VLOOKUP(H726,tipo_donante[#ALL],2,0))</f>
        <v/>
      </c>
      <c r="K726" s="24"/>
    </row>
    <row r="727">
      <c r="A727" s="21"/>
      <c r="B727" s="21"/>
      <c r="C727" s="23"/>
      <c r="D727" s="21"/>
      <c r="E727" s="21"/>
      <c r="F727" s="21"/>
      <c r="G727" s="21"/>
      <c r="H727" s="21"/>
      <c r="I727" s="21" t="str">
        <f>IF(G727="","",VLOOKUP(G727,frecuencia[#ALL],2,0))</f>
        <v/>
      </c>
      <c r="J727" s="21" t="str">
        <f>IF(H727="","",VLOOKUP(H727,tipo_donante[#ALL],2,0))</f>
        <v/>
      </c>
      <c r="K727" s="24"/>
    </row>
    <row r="728">
      <c r="A728" s="21"/>
      <c r="B728" s="21"/>
      <c r="C728" s="23"/>
      <c r="D728" s="21"/>
      <c r="E728" s="21"/>
      <c r="F728" s="21"/>
      <c r="G728" s="21"/>
      <c r="H728" s="21"/>
      <c r="I728" s="21" t="str">
        <f>IF(G728="","",VLOOKUP(G728,frecuencia[#ALL],2,0))</f>
        <v/>
      </c>
      <c r="J728" s="21" t="str">
        <f>IF(H728="","",VLOOKUP(H728,tipo_donante[#ALL],2,0))</f>
        <v/>
      </c>
      <c r="K728" s="24"/>
    </row>
    <row r="729">
      <c r="A729" s="21"/>
      <c r="B729" s="21"/>
      <c r="C729" s="23"/>
      <c r="D729" s="21"/>
      <c r="E729" s="21"/>
      <c r="F729" s="21"/>
      <c r="G729" s="21"/>
      <c r="H729" s="21"/>
      <c r="I729" s="21" t="str">
        <f>IF(G729="","",VLOOKUP(G729,frecuencia[#ALL],2,0))</f>
        <v/>
      </c>
      <c r="J729" s="21" t="str">
        <f>IF(H729="","",VLOOKUP(H729,tipo_donante[#ALL],2,0))</f>
        <v/>
      </c>
      <c r="K729" s="24"/>
    </row>
    <row r="730">
      <c r="A730" s="21"/>
      <c r="B730" s="21"/>
      <c r="C730" s="23"/>
      <c r="D730" s="21"/>
      <c r="E730" s="21"/>
      <c r="F730" s="21"/>
      <c r="G730" s="21"/>
      <c r="H730" s="21"/>
      <c r="I730" s="21" t="str">
        <f>IF(G730="","",VLOOKUP(G730,frecuencia[#ALL],2,0))</f>
        <v/>
      </c>
      <c r="J730" s="21" t="str">
        <f>IF(H730="","",VLOOKUP(H730,tipo_donante[#ALL],2,0))</f>
        <v/>
      </c>
      <c r="K730" s="24"/>
    </row>
    <row r="731">
      <c r="A731" s="21"/>
      <c r="B731" s="21"/>
      <c r="C731" s="23"/>
      <c r="D731" s="21"/>
      <c r="E731" s="21"/>
      <c r="F731" s="21"/>
      <c r="G731" s="21"/>
      <c r="H731" s="21"/>
      <c r="I731" s="21" t="str">
        <f>IF(G731="","",VLOOKUP(G731,frecuencia[#ALL],2,0))</f>
        <v/>
      </c>
      <c r="J731" s="21" t="str">
        <f>IF(H731="","",VLOOKUP(H731,tipo_donante[#ALL],2,0))</f>
        <v/>
      </c>
      <c r="K731" s="24"/>
    </row>
    <row r="732">
      <c r="A732" s="21"/>
      <c r="B732" s="21"/>
      <c r="C732" s="23"/>
      <c r="D732" s="21"/>
      <c r="E732" s="21"/>
      <c r="F732" s="21"/>
      <c r="G732" s="21"/>
      <c r="H732" s="21"/>
      <c r="I732" s="21" t="str">
        <f>IF(G732="","",VLOOKUP(G732,frecuencia[#ALL],2,0))</f>
        <v/>
      </c>
      <c r="J732" s="21" t="str">
        <f>IF(H732="","",VLOOKUP(H732,tipo_donante[#ALL],2,0))</f>
        <v/>
      </c>
      <c r="K732" s="24"/>
    </row>
    <row r="733">
      <c r="A733" s="21"/>
      <c r="B733" s="21"/>
      <c r="C733" s="23"/>
      <c r="D733" s="21"/>
      <c r="E733" s="21"/>
      <c r="F733" s="21"/>
      <c r="G733" s="21"/>
      <c r="H733" s="21"/>
      <c r="I733" s="21" t="str">
        <f>IF(G733="","",VLOOKUP(G733,frecuencia[#ALL],2,0))</f>
        <v/>
      </c>
      <c r="J733" s="21" t="str">
        <f>IF(H733="","",VLOOKUP(H733,tipo_donante[#ALL],2,0))</f>
        <v/>
      </c>
      <c r="K733" s="24"/>
    </row>
    <row r="734">
      <c r="A734" s="21"/>
      <c r="B734" s="21"/>
      <c r="C734" s="23"/>
      <c r="D734" s="21"/>
      <c r="E734" s="21"/>
      <c r="F734" s="21"/>
      <c r="G734" s="21"/>
      <c r="H734" s="21"/>
      <c r="I734" s="21" t="str">
        <f>IF(G734="","",VLOOKUP(G734,frecuencia[#ALL],2,0))</f>
        <v/>
      </c>
      <c r="J734" s="21" t="str">
        <f>IF(H734="","",VLOOKUP(H734,tipo_donante[#ALL],2,0))</f>
        <v/>
      </c>
      <c r="K734" s="24"/>
    </row>
    <row r="735">
      <c r="A735" s="21"/>
      <c r="B735" s="21"/>
      <c r="C735" s="23"/>
      <c r="D735" s="21"/>
      <c r="E735" s="21"/>
      <c r="F735" s="21"/>
      <c r="G735" s="21"/>
      <c r="H735" s="21"/>
      <c r="I735" s="21" t="str">
        <f>IF(G735="","",VLOOKUP(G735,frecuencia[#ALL],2,0))</f>
        <v/>
      </c>
      <c r="J735" s="21" t="str">
        <f>IF(H735="","",VLOOKUP(H735,tipo_donante[#ALL],2,0))</f>
        <v/>
      </c>
      <c r="K735" s="24"/>
    </row>
    <row r="736">
      <c r="A736" s="21"/>
      <c r="B736" s="21"/>
      <c r="C736" s="23"/>
      <c r="D736" s="21"/>
      <c r="E736" s="21"/>
      <c r="F736" s="21"/>
      <c r="G736" s="21"/>
      <c r="H736" s="21"/>
      <c r="I736" s="21" t="str">
        <f>IF(G736="","",VLOOKUP(G736,frecuencia[#ALL],2,0))</f>
        <v/>
      </c>
      <c r="J736" s="21" t="str">
        <f>IF(H736="","",VLOOKUP(H736,tipo_donante[#ALL],2,0))</f>
        <v/>
      </c>
      <c r="K736" s="24"/>
    </row>
    <row r="737">
      <c r="A737" s="21"/>
      <c r="B737" s="21"/>
      <c r="C737" s="23"/>
      <c r="D737" s="21"/>
      <c r="E737" s="21"/>
      <c r="F737" s="21"/>
      <c r="G737" s="21"/>
      <c r="H737" s="21"/>
      <c r="I737" s="21" t="str">
        <f>IF(G737="","",VLOOKUP(G737,frecuencia[#ALL],2,0))</f>
        <v/>
      </c>
      <c r="J737" s="21" t="str">
        <f>IF(H737="","",VLOOKUP(H737,tipo_donante[#ALL],2,0))</f>
        <v/>
      </c>
      <c r="K737" s="24"/>
    </row>
    <row r="738">
      <c r="A738" s="21"/>
      <c r="B738" s="21"/>
      <c r="C738" s="23"/>
      <c r="D738" s="21"/>
      <c r="E738" s="21"/>
      <c r="F738" s="21"/>
      <c r="G738" s="21"/>
      <c r="H738" s="21"/>
      <c r="I738" s="21" t="str">
        <f>IF(G738="","",VLOOKUP(G738,frecuencia[#ALL],2,0))</f>
        <v/>
      </c>
      <c r="J738" s="21" t="str">
        <f>IF(H738="","",VLOOKUP(H738,tipo_donante[#ALL],2,0))</f>
        <v/>
      </c>
      <c r="K738" s="24"/>
    </row>
    <row r="739">
      <c r="A739" s="21"/>
      <c r="B739" s="21"/>
      <c r="C739" s="23"/>
      <c r="D739" s="21"/>
      <c r="E739" s="21"/>
      <c r="F739" s="21"/>
      <c r="G739" s="21"/>
      <c r="H739" s="21"/>
      <c r="I739" s="21" t="str">
        <f>IF(G739="","",VLOOKUP(G739,frecuencia[#ALL],2,0))</f>
        <v/>
      </c>
      <c r="J739" s="21" t="str">
        <f>IF(H739="","",VLOOKUP(H739,tipo_donante[#ALL],2,0))</f>
        <v/>
      </c>
      <c r="K739" s="24"/>
    </row>
    <row r="740">
      <c r="A740" s="21"/>
      <c r="B740" s="21"/>
      <c r="C740" s="23"/>
      <c r="D740" s="21"/>
      <c r="E740" s="21"/>
      <c r="F740" s="21"/>
      <c r="G740" s="21"/>
      <c r="H740" s="21"/>
      <c r="I740" s="21" t="str">
        <f>IF(G740="","",VLOOKUP(G740,frecuencia[#ALL],2,0))</f>
        <v/>
      </c>
      <c r="J740" s="21" t="str">
        <f>IF(H740="","",VLOOKUP(H740,tipo_donante[#ALL],2,0))</f>
        <v/>
      </c>
      <c r="K740" s="24"/>
    </row>
    <row r="741">
      <c r="A741" s="21"/>
      <c r="B741" s="21"/>
      <c r="C741" s="23"/>
      <c r="D741" s="21"/>
      <c r="E741" s="21"/>
      <c r="F741" s="21"/>
      <c r="G741" s="21"/>
      <c r="H741" s="21"/>
      <c r="I741" s="21" t="str">
        <f>IF(G741="","",VLOOKUP(G741,frecuencia[#ALL],2,0))</f>
        <v/>
      </c>
      <c r="J741" s="21" t="str">
        <f>IF(H741="","",VLOOKUP(H741,tipo_donante[#ALL],2,0))</f>
        <v/>
      </c>
      <c r="K741" s="24"/>
    </row>
    <row r="742">
      <c r="A742" s="21"/>
      <c r="B742" s="21"/>
      <c r="C742" s="23"/>
      <c r="D742" s="21"/>
      <c r="E742" s="21"/>
      <c r="F742" s="21"/>
      <c r="G742" s="21"/>
      <c r="H742" s="21"/>
      <c r="I742" s="21" t="str">
        <f>IF(G742="","",VLOOKUP(G742,frecuencia[#ALL],2,0))</f>
        <v/>
      </c>
      <c r="J742" s="21" t="str">
        <f>IF(H742="","",VLOOKUP(H742,tipo_donante[#ALL],2,0))</f>
        <v/>
      </c>
      <c r="K742" s="24"/>
    </row>
    <row r="743">
      <c r="A743" s="21"/>
      <c r="B743" s="21"/>
      <c r="C743" s="23"/>
      <c r="D743" s="21"/>
      <c r="E743" s="21"/>
      <c r="F743" s="21"/>
      <c r="G743" s="21"/>
      <c r="H743" s="21"/>
      <c r="I743" s="21" t="str">
        <f>IF(G743="","",VLOOKUP(G743,frecuencia[#ALL],2,0))</f>
        <v/>
      </c>
      <c r="J743" s="21" t="str">
        <f>IF(H743="","",VLOOKUP(H743,tipo_donante[#ALL],2,0))</f>
        <v/>
      </c>
      <c r="K743" s="24"/>
    </row>
    <row r="744">
      <c r="A744" s="21"/>
      <c r="B744" s="21"/>
      <c r="C744" s="23"/>
      <c r="D744" s="21"/>
      <c r="E744" s="21"/>
      <c r="F744" s="21"/>
      <c r="G744" s="21"/>
      <c r="H744" s="21"/>
      <c r="I744" s="21" t="str">
        <f>IF(G744="","",VLOOKUP(G744,frecuencia[#ALL],2,0))</f>
        <v/>
      </c>
      <c r="J744" s="21" t="str">
        <f>IF(H744="","",VLOOKUP(H744,tipo_donante[#ALL],2,0))</f>
        <v/>
      </c>
      <c r="K744" s="24"/>
    </row>
    <row r="745">
      <c r="A745" s="21"/>
      <c r="B745" s="21"/>
      <c r="C745" s="23"/>
      <c r="D745" s="21"/>
      <c r="E745" s="21"/>
      <c r="F745" s="21"/>
      <c r="G745" s="21"/>
      <c r="H745" s="21"/>
      <c r="I745" s="21" t="str">
        <f>IF(G745="","",VLOOKUP(G745,frecuencia[#ALL],2,0))</f>
        <v/>
      </c>
      <c r="J745" s="21" t="str">
        <f>IF(H745="","",VLOOKUP(H745,tipo_donante[#ALL],2,0))</f>
        <v/>
      </c>
      <c r="K745" s="24"/>
    </row>
    <row r="746">
      <c r="A746" s="21"/>
      <c r="B746" s="21"/>
      <c r="C746" s="23"/>
      <c r="D746" s="21"/>
      <c r="E746" s="21"/>
      <c r="F746" s="21"/>
      <c r="G746" s="21"/>
      <c r="H746" s="21"/>
      <c r="I746" s="21" t="str">
        <f>IF(G746="","",VLOOKUP(G746,frecuencia[#ALL],2,0))</f>
        <v/>
      </c>
      <c r="J746" s="21" t="str">
        <f>IF(H746="","",VLOOKUP(H746,tipo_donante[#ALL],2,0))</f>
        <v/>
      </c>
      <c r="K746" s="24"/>
    </row>
    <row r="747">
      <c r="A747" s="21"/>
      <c r="B747" s="21"/>
      <c r="C747" s="23"/>
      <c r="D747" s="21"/>
      <c r="E747" s="21"/>
      <c r="F747" s="21"/>
      <c r="G747" s="21"/>
      <c r="H747" s="21"/>
      <c r="I747" s="21" t="str">
        <f>IF(G747="","",VLOOKUP(G747,frecuencia[#ALL],2,0))</f>
        <v/>
      </c>
      <c r="J747" s="21" t="str">
        <f>IF(H747="","",VLOOKUP(H747,tipo_donante[#ALL],2,0))</f>
        <v/>
      </c>
      <c r="K747" s="24"/>
    </row>
    <row r="748">
      <c r="A748" s="21"/>
      <c r="B748" s="21"/>
      <c r="C748" s="23"/>
      <c r="D748" s="21"/>
      <c r="E748" s="21"/>
      <c r="F748" s="21"/>
      <c r="G748" s="21"/>
      <c r="H748" s="21"/>
      <c r="I748" s="21" t="str">
        <f>IF(G748="","",VLOOKUP(G748,frecuencia[#ALL],2,0))</f>
        <v/>
      </c>
      <c r="J748" s="21" t="str">
        <f>IF(H748="","",VLOOKUP(H748,tipo_donante[#ALL],2,0))</f>
        <v/>
      </c>
      <c r="K748" s="24"/>
    </row>
    <row r="749">
      <c r="A749" s="21"/>
      <c r="B749" s="21"/>
      <c r="C749" s="23"/>
      <c r="D749" s="21"/>
      <c r="E749" s="21"/>
      <c r="F749" s="21"/>
      <c r="G749" s="21"/>
      <c r="H749" s="21"/>
      <c r="I749" s="21" t="str">
        <f>IF(G749="","",VLOOKUP(G749,frecuencia[#ALL],2,0))</f>
        <v/>
      </c>
      <c r="J749" s="21" t="str">
        <f>IF(H749="","",VLOOKUP(H749,tipo_donante[#ALL],2,0))</f>
        <v/>
      </c>
      <c r="K749" s="24"/>
    </row>
    <row r="750">
      <c r="A750" s="21"/>
      <c r="B750" s="21"/>
      <c r="C750" s="23"/>
      <c r="D750" s="21"/>
      <c r="E750" s="21"/>
      <c r="F750" s="21"/>
      <c r="G750" s="21"/>
      <c r="H750" s="21"/>
      <c r="I750" s="21" t="str">
        <f>IF(G750="","",VLOOKUP(G750,frecuencia[#ALL],2,0))</f>
        <v/>
      </c>
      <c r="J750" s="21" t="str">
        <f>IF(H750="","",VLOOKUP(H750,tipo_donante[#ALL],2,0))</f>
        <v/>
      </c>
      <c r="K750" s="24"/>
    </row>
    <row r="751">
      <c r="A751" s="21"/>
      <c r="B751" s="21"/>
      <c r="C751" s="23"/>
      <c r="D751" s="21"/>
      <c r="E751" s="21"/>
      <c r="F751" s="21"/>
      <c r="G751" s="21"/>
      <c r="H751" s="21"/>
      <c r="I751" s="21" t="str">
        <f>IF(G751="","",VLOOKUP(G751,frecuencia[#ALL],2,0))</f>
        <v/>
      </c>
      <c r="J751" s="21" t="str">
        <f>IF(H751="","",VLOOKUP(H751,tipo_donante[#ALL],2,0))</f>
        <v/>
      </c>
      <c r="K751" s="24"/>
    </row>
    <row r="752">
      <c r="A752" s="21"/>
      <c r="B752" s="21"/>
      <c r="C752" s="23"/>
      <c r="D752" s="21"/>
      <c r="E752" s="21"/>
      <c r="F752" s="21"/>
      <c r="G752" s="21"/>
      <c r="H752" s="21"/>
      <c r="I752" s="21" t="str">
        <f>IF(G752="","",VLOOKUP(G752,frecuencia[#ALL],2,0))</f>
        <v/>
      </c>
      <c r="J752" s="21" t="str">
        <f>IF(H752="","",VLOOKUP(H752,tipo_donante[#ALL],2,0))</f>
        <v/>
      </c>
      <c r="K752" s="24"/>
    </row>
    <row r="753">
      <c r="A753" s="21"/>
      <c r="B753" s="21"/>
      <c r="C753" s="23"/>
      <c r="D753" s="21"/>
      <c r="E753" s="21"/>
      <c r="F753" s="21"/>
      <c r="G753" s="21"/>
      <c r="H753" s="21"/>
      <c r="I753" s="21" t="str">
        <f>IF(G753="","",VLOOKUP(G753,frecuencia[#ALL],2,0))</f>
        <v/>
      </c>
      <c r="J753" s="21" t="str">
        <f>IF(H753="","",VLOOKUP(H753,tipo_donante[#ALL],2,0))</f>
        <v/>
      </c>
      <c r="K753" s="24"/>
    </row>
    <row r="754">
      <c r="A754" s="21"/>
      <c r="B754" s="21"/>
      <c r="C754" s="23"/>
      <c r="D754" s="21"/>
      <c r="E754" s="21"/>
      <c r="F754" s="21"/>
      <c r="G754" s="21"/>
      <c r="H754" s="21"/>
      <c r="I754" s="21" t="str">
        <f>IF(G754="","",VLOOKUP(G754,frecuencia[#ALL],2,0))</f>
        <v/>
      </c>
      <c r="J754" s="21" t="str">
        <f>IF(H754="","",VLOOKUP(H754,tipo_donante[#ALL],2,0))</f>
        <v/>
      </c>
      <c r="K754" s="24"/>
    </row>
    <row r="755">
      <c r="A755" s="21"/>
      <c r="B755" s="21"/>
      <c r="C755" s="23"/>
      <c r="D755" s="21"/>
      <c r="E755" s="21"/>
      <c r="F755" s="21"/>
      <c r="G755" s="21"/>
      <c r="H755" s="21"/>
      <c r="I755" s="21" t="str">
        <f>IF(G755="","",VLOOKUP(G755,frecuencia[#ALL],2,0))</f>
        <v/>
      </c>
      <c r="J755" s="21" t="str">
        <f>IF(H755="","",VLOOKUP(H755,tipo_donante[#ALL],2,0))</f>
        <v/>
      </c>
      <c r="K755" s="24"/>
    </row>
    <row r="756">
      <c r="A756" s="21"/>
      <c r="B756" s="21"/>
      <c r="C756" s="23"/>
      <c r="D756" s="21"/>
      <c r="E756" s="21"/>
      <c r="F756" s="21"/>
      <c r="G756" s="21"/>
      <c r="H756" s="21"/>
      <c r="I756" s="21" t="str">
        <f>IF(G756="","",VLOOKUP(G756,frecuencia[#ALL],2,0))</f>
        <v/>
      </c>
      <c r="J756" s="21" t="str">
        <f>IF(H756="","",VLOOKUP(H756,tipo_donante[#ALL],2,0))</f>
        <v/>
      </c>
      <c r="K756" s="24"/>
    </row>
    <row r="757">
      <c r="A757" s="21"/>
      <c r="B757" s="21"/>
      <c r="C757" s="23"/>
      <c r="D757" s="21"/>
      <c r="E757" s="21"/>
      <c r="F757" s="21"/>
      <c r="G757" s="21"/>
      <c r="H757" s="21"/>
      <c r="I757" s="21" t="str">
        <f>IF(G757="","",VLOOKUP(G757,frecuencia[#ALL],2,0))</f>
        <v/>
      </c>
      <c r="J757" s="21" t="str">
        <f>IF(H757="","",VLOOKUP(H757,tipo_donante[#ALL],2,0))</f>
        <v/>
      </c>
      <c r="K757" s="24"/>
    </row>
    <row r="758">
      <c r="A758" s="21"/>
      <c r="B758" s="21"/>
      <c r="C758" s="23"/>
      <c r="D758" s="21"/>
      <c r="E758" s="21"/>
      <c r="F758" s="21"/>
      <c r="G758" s="21"/>
      <c r="H758" s="21"/>
      <c r="I758" s="21" t="str">
        <f>IF(G758="","",VLOOKUP(G758,frecuencia[#ALL],2,0))</f>
        <v/>
      </c>
      <c r="J758" s="21" t="str">
        <f>IF(H758="","",VLOOKUP(H758,tipo_donante[#ALL],2,0))</f>
        <v/>
      </c>
      <c r="K758" s="24"/>
    </row>
    <row r="759">
      <c r="A759" s="21"/>
      <c r="B759" s="21"/>
      <c r="C759" s="23"/>
      <c r="D759" s="21"/>
      <c r="E759" s="21"/>
      <c r="F759" s="21"/>
      <c r="G759" s="21"/>
      <c r="H759" s="21"/>
      <c r="I759" s="21" t="str">
        <f>IF(G759="","",VLOOKUP(G759,frecuencia[#ALL],2,0))</f>
        <v/>
      </c>
      <c r="J759" s="21" t="str">
        <f>IF(H759="","",VLOOKUP(H759,tipo_donante[#ALL],2,0))</f>
        <v/>
      </c>
      <c r="K759" s="24"/>
    </row>
    <row r="760">
      <c r="A760" s="21"/>
      <c r="B760" s="21"/>
      <c r="C760" s="23"/>
      <c r="D760" s="21"/>
      <c r="E760" s="21"/>
      <c r="F760" s="21"/>
      <c r="G760" s="21"/>
      <c r="H760" s="21"/>
      <c r="I760" s="21" t="str">
        <f>IF(G760="","",VLOOKUP(G760,frecuencia[#ALL],2,0))</f>
        <v/>
      </c>
      <c r="J760" s="21" t="str">
        <f>IF(H760="","",VLOOKUP(H760,tipo_donante[#ALL],2,0))</f>
        <v/>
      </c>
      <c r="K760" s="24"/>
    </row>
    <row r="761">
      <c r="A761" s="21"/>
      <c r="B761" s="21"/>
      <c r="C761" s="23"/>
      <c r="D761" s="21"/>
      <c r="E761" s="21"/>
      <c r="F761" s="21"/>
      <c r="G761" s="21"/>
      <c r="H761" s="21"/>
      <c r="I761" s="21" t="str">
        <f>IF(G761="","",VLOOKUP(G761,frecuencia[#ALL],2,0))</f>
        <v/>
      </c>
      <c r="J761" s="21" t="str">
        <f>IF(H761="","",VLOOKUP(H761,tipo_donante[#ALL],2,0))</f>
        <v/>
      </c>
      <c r="K761" s="24"/>
    </row>
    <row r="762">
      <c r="A762" s="21"/>
      <c r="B762" s="21"/>
      <c r="C762" s="23"/>
      <c r="D762" s="21"/>
      <c r="E762" s="21"/>
      <c r="F762" s="21"/>
      <c r="G762" s="21"/>
      <c r="H762" s="21"/>
      <c r="I762" s="21" t="str">
        <f>IF(G762="","",VLOOKUP(G762,frecuencia[#ALL],2,0))</f>
        <v/>
      </c>
      <c r="J762" s="21" t="str">
        <f>IF(H762="","",VLOOKUP(H762,tipo_donante[#ALL],2,0))</f>
        <v/>
      </c>
      <c r="K762" s="24"/>
    </row>
    <row r="763">
      <c r="A763" s="21"/>
      <c r="B763" s="21"/>
      <c r="C763" s="23"/>
      <c r="D763" s="21"/>
      <c r="E763" s="21"/>
      <c r="F763" s="21"/>
      <c r="G763" s="21"/>
      <c r="H763" s="21"/>
      <c r="I763" s="21" t="str">
        <f>IF(G763="","",VLOOKUP(G763,frecuencia[#ALL],2,0))</f>
        <v/>
      </c>
      <c r="J763" s="21" t="str">
        <f>IF(H763="","",VLOOKUP(H763,tipo_donante[#ALL],2,0))</f>
        <v/>
      </c>
      <c r="K763" s="24"/>
    </row>
    <row r="764">
      <c r="A764" s="21"/>
      <c r="B764" s="21"/>
      <c r="C764" s="23"/>
      <c r="D764" s="21"/>
      <c r="E764" s="21"/>
      <c r="F764" s="21"/>
      <c r="G764" s="21"/>
      <c r="H764" s="21"/>
      <c r="I764" s="21" t="str">
        <f>IF(G764="","",VLOOKUP(G764,frecuencia[#ALL],2,0))</f>
        <v/>
      </c>
      <c r="J764" s="21" t="str">
        <f>IF(H764="","",VLOOKUP(H764,tipo_donante[#ALL],2,0))</f>
        <v/>
      </c>
      <c r="K764" s="24"/>
    </row>
    <row r="765">
      <c r="A765" s="21"/>
      <c r="B765" s="21"/>
      <c r="C765" s="23"/>
      <c r="D765" s="21"/>
      <c r="E765" s="21"/>
      <c r="F765" s="21"/>
      <c r="G765" s="21"/>
      <c r="H765" s="21"/>
      <c r="I765" s="21" t="str">
        <f>IF(G765="","",VLOOKUP(G765,frecuencia[#ALL],2,0))</f>
        <v/>
      </c>
      <c r="J765" s="21" t="str">
        <f>IF(H765="","",VLOOKUP(H765,tipo_donante[#ALL],2,0))</f>
        <v/>
      </c>
      <c r="K765" s="24"/>
    </row>
    <row r="766">
      <c r="A766" s="21"/>
      <c r="B766" s="21"/>
      <c r="C766" s="23"/>
      <c r="D766" s="21"/>
      <c r="E766" s="21"/>
      <c r="F766" s="21"/>
      <c r="G766" s="21"/>
      <c r="H766" s="21"/>
      <c r="I766" s="21" t="str">
        <f>IF(G766="","",VLOOKUP(G766,frecuencia[#ALL],2,0))</f>
        <v/>
      </c>
      <c r="J766" s="21" t="str">
        <f>IF(H766="","",VLOOKUP(H766,tipo_donante[#ALL],2,0))</f>
        <v/>
      </c>
      <c r="K766" s="24"/>
    </row>
    <row r="767">
      <c r="A767" s="21"/>
      <c r="B767" s="21"/>
      <c r="C767" s="23"/>
      <c r="D767" s="21"/>
      <c r="E767" s="21"/>
      <c r="F767" s="21"/>
      <c r="G767" s="21"/>
      <c r="H767" s="21"/>
      <c r="I767" s="21" t="str">
        <f>IF(G767="","",VLOOKUP(G767,frecuencia[#ALL],2,0))</f>
        <v/>
      </c>
      <c r="J767" s="21" t="str">
        <f>IF(H767="","",VLOOKUP(H767,tipo_donante[#ALL],2,0))</f>
        <v/>
      </c>
      <c r="K767" s="24"/>
    </row>
    <row r="768">
      <c r="A768" s="21"/>
      <c r="B768" s="21"/>
      <c r="C768" s="23"/>
      <c r="D768" s="21"/>
      <c r="E768" s="21"/>
      <c r="F768" s="21"/>
      <c r="G768" s="21"/>
      <c r="H768" s="21"/>
      <c r="I768" s="21" t="str">
        <f>IF(G768="","",VLOOKUP(G768,frecuencia[#ALL],2,0))</f>
        <v/>
      </c>
      <c r="J768" s="21" t="str">
        <f>IF(H768="","",VLOOKUP(H768,tipo_donante[#ALL],2,0))</f>
        <v/>
      </c>
      <c r="K768" s="24"/>
    </row>
    <row r="769">
      <c r="A769" s="21"/>
      <c r="B769" s="21"/>
      <c r="C769" s="23"/>
      <c r="D769" s="21"/>
      <c r="E769" s="21"/>
      <c r="F769" s="21"/>
      <c r="G769" s="21"/>
      <c r="H769" s="21"/>
      <c r="I769" s="21" t="str">
        <f>IF(G769="","",VLOOKUP(G769,frecuencia[#ALL],2,0))</f>
        <v/>
      </c>
      <c r="J769" s="21" t="str">
        <f>IF(H769="","",VLOOKUP(H769,tipo_donante[#ALL],2,0))</f>
        <v/>
      </c>
      <c r="K769" s="24"/>
    </row>
    <row r="770">
      <c r="A770" s="21"/>
      <c r="B770" s="21"/>
      <c r="C770" s="23"/>
      <c r="D770" s="21"/>
      <c r="E770" s="21"/>
      <c r="F770" s="21"/>
      <c r="G770" s="21"/>
      <c r="H770" s="21"/>
      <c r="I770" s="21" t="str">
        <f>IF(G770="","",VLOOKUP(G770,frecuencia[#ALL],2,0))</f>
        <v/>
      </c>
      <c r="J770" s="21" t="str">
        <f>IF(H770="","",VLOOKUP(H770,tipo_donante[#ALL],2,0))</f>
        <v/>
      </c>
      <c r="K770" s="24"/>
    </row>
    <row r="771">
      <c r="A771" s="21"/>
      <c r="B771" s="21"/>
      <c r="C771" s="23"/>
      <c r="D771" s="21"/>
      <c r="E771" s="21"/>
      <c r="F771" s="21"/>
      <c r="G771" s="21"/>
      <c r="H771" s="21"/>
      <c r="I771" s="21" t="str">
        <f>IF(G771="","",VLOOKUP(G771,frecuencia[#ALL],2,0))</f>
        <v/>
      </c>
      <c r="J771" s="21" t="str">
        <f>IF(H771="","",VLOOKUP(H771,tipo_donante[#ALL],2,0))</f>
        <v/>
      </c>
      <c r="K771" s="24"/>
    </row>
    <row r="772">
      <c r="A772" s="21"/>
      <c r="B772" s="21"/>
      <c r="C772" s="23"/>
      <c r="D772" s="21"/>
      <c r="E772" s="21"/>
      <c r="F772" s="21"/>
      <c r="G772" s="21"/>
      <c r="H772" s="21"/>
      <c r="I772" s="21" t="str">
        <f>IF(G772="","",VLOOKUP(G772,frecuencia[#ALL],2,0))</f>
        <v/>
      </c>
      <c r="J772" s="21" t="str">
        <f>IF(H772="","",VLOOKUP(H772,tipo_donante[#ALL],2,0))</f>
        <v/>
      </c>
      <c r="K772" s="24"/>
    </row>
    <row r="773">
      <c r="A773" s="21"/>
      <c r="B773" s="21"/>
      <c r="C773" s="23"/>
      <c r="D773" s="21"/>
      <c r="E773" s="21"/>
      <c r="F773" s="21"/>
      <c r="G773" s="21"/>
      <c r="H773" s="21"/>
      <c r="I773" s="21" t="str">
        <f>IF(G773="","",VLOOKUP(G773,frecuencia[#ALL],2,0))</f>
        <v/>
      </c>
      <c r="J773" s="21" t="str">
        <f>IF(H773="","",VLOOKUP(H773,tipo_donante[#ALL],2,0))</f>
        <v/>
      </c>
      <c r="K773" s="24"/>
    </row>
    <row r="774">
      <c r="A774" s="21"/>
      <c r="B774" s="21"/>
      <c r="C774" s="23"/>
      <c r="D774" s="21"/>
      <c r="E774" s="21"/>
      <c r="F774" s="21"/>
      <c r="G774" s="21"/>
      <c r="H774" s="21"/>
      <c r="I774" s="21" t="str">
        <f>IF(G774="","",VLOOKUP(G774,frecuencia[#ALL],2,0))</f>
        <v/>
      </c>
      <c r="J774" s="21" t="str">
        <f>IF(H774="","",VLOOKUP(H774,tipo_donante[#ALL],2,0))</f>
        <v/>
      </c>
      <c r="K774" s="24"/>
    </row>
    <row r="775">
      <c r="A775" s="21"/>
      <c r="B775" s="21"/>
      <c r="C775" s="23"/>
      <c r="D775" s="21"/>
      <c r="E775" s="21"/>
      <c r="F775" s="21"/>
      <c r="G775" s="21"/>
      <c r="H775" s="21"/>
      <c r="I775" s="21" t="str">
        <f>IF(G775="","",VLOOKUP(G775,frecuencia[#ALL],2,0))</f>
        <v/>
      </c>
      <c r="J775" s="21" t="str">
        <f>IF(H775="","",VLOOKUP(H775,tipo_donante[#ALL],2,0))</f>
        <v/>
      </c>
      <c r="K775" s="24"/>
    </row>
    <row r="776">
      <c r="A776" s="21"/>
      <c r="B776" s="21"/>
      <c r="C776" s="23"/>
      <c r="D776" s="21"/>
      <c r="E776" s="21"/>
      <c r="F776" s="21"/>
      <c r="G776" s="21"/>
      <c r="H776" s="21"/>
      <c r="I776" s="21" t="str">
        <f>IF(G776="","",VLOOKUP(G776,frecuencia[#ALL],2,0))</f>
        <v/>
      </c>
      <c r="J776" s="21" t="str">
        <f>IF(H776="","",VLOOKUP(H776,tipo_donante[#ALL],2,0))</f>
        <v/>
      </c>
      <c r="K776" s="24"/>
    </row>
    <row r="777">
      <c r="A777" s="21"/>
      <c r="B777" s="21"/>
      <c r="C777" s="23"/>
      <c r="D777" s="21"/>
      <c r="E777" s="21"/>
      <c r="F777" s="21"/>
      <c r="G777" s="21"/>
      <c r="H777" s="21"/>
      <c r="I777" s="21" t="str">
        <f>IF(G777="","",VLOOKUP(G777,frecuencia[#ALL],2,0))</f>
        <v/>
      </c>
      <c r="J777" s="21" t="str">
        <f>IF(H777="","",VLOOKUP(H777,tipo_donante[#ALL],2,0))</f>
        <v/>
      </c>
      <c r="K777" s="24"/>
    </row>
    <row r="778">
      <c r="A778" s="21"/>
      <c r="B778" s="21"/>
      <c r="C778" s="23"/>
      <c r="D778" s="21"/>
      <c r="E778" s="21"/>
      <c r="F778" s="21"/>
      <c r="G778" s="21"/>
      <c r="H778" s="21"/>
      <c r="I778" s="21" t="str">
        <f>IF(G778="","",VLOOKUP(G778,frecuencia[#ALL],2,0))</f>
        <v/>
      </c>
      <c r="J778" s="21" t="str">
        <f>IF(H778="","",VLOOKUP(H778,tipo_donante[#ALL],2,0))</f>
        <v/>
      </c>
      <c r="K778" s="24"/>
    </row>
    <row r="779">
      <c r="A779" s="21"/>
      <c r="B779" s="21"/>
      <c r="C779" s="23"/>
      <c r="D779" s="21"/>
      <c r="E779" s="21"/>
      <c r="F779" s="21"/>
      <c r="G779" s="21"/>
      <c r="H779" s="21"/>
      <c r="I779" s="21" t="str">
        <f>IF(G779="","",VLOOKUP(G779,frecuencia[#ALL],2,0))</f>
        <v/>
      </c>
      <c r="J779" s="21" t="str">
        <f>IF(H779="","",VLOOKUP(H779,tipo_donante[#ALL],2,0))</f>
        <v/>
      </c>
      <c r="K779" s="24"/>
    </row>
    <row r="780">
      <c r="A780" s="21"/>
      <c r="B780" s="21"/>
      <c r="C780" s="23"/>
      <c r="D780" s="21"/>
      <c r="E780" s="21"/>
      <c r="F780" s="21"/>
      <c r="G780" s="21"/>
      <c r="H780" s="21"/>
      <c r="I780" s="21" t="str">
        <f>IF(G780="","",VLOOKUP(G780,frecuencia[#ALL],2,0))</f>
        <v/>
      </c>
      <c r="J780" s="21" t="str">
        <f>IF(H780="","",VLOOKUP(H780,tipo_donante[#ALL],2,0))</f>
        <v/>
      </c>
      <c r="K780" s="24"/>
    </row>
    <row r="781">
      <c r="A781" s="21"/>
      <c r="B781" s="21"/>
      <c r="C781" s="23"/>
      <c r="D781" s="21"/>
      <c r="E781" s="21"/>
      <c r="F781" s="21"/>
      <c r="G781" s="21"/>
      <c r="H781" s="21"/>
      <c r="I781" s="21" t="str">
        <f>IF(G781="","",VLOOKUP(G781,frecuencia[#ALL],2,0))</f>
        <v/>
      </c>
      <c r="J781" s="21" t="str">
        <f>IF(H781="","",VLOOKUP(H781,tipo_donante[#ALL],2,0))</f>
        <v/>
      </c>
      <c r="K781" s="24"/>
    </row>
    <row r="782">
      <c r="A782" s="21"/>
      <c r="B782" s="21"/>
      <c r="C782" s="23"/>
      <c r="D782" s="21"/>
      <c r="E782" s="21"/>
      <c r="F782" s="21"/>
      <c r="G782" s="21"/>
      <c r="H782" s="21"/>
      <c r="I782" s="21" t="str">
        <f>IF(G782="","",VLOOKUP(G782,frecuencia[#ALL],2,0))</f>
        <v/>
      </c>
      <c r="J782" s="21" t="str">
        <f>IF(H782="","",VLOOKUP(H782,tipo_donante[#ALL],2,0))</f>
        <v/>
      </c>
      <c r="K782" s="24"/>
    </row>
    <row r="783">
      <c r="A783" s="21"/>
      <c r="B783" s="21"/>
      <c r="C783" s="23"/>
      <c r="D783" s="21"/>
      <c r="E783" s="21"/>
      <c r="F783" s="21"/>
      <c r="G783" s="21"/>
      <c r="H783" s="21"/>
      <c r="I783" s="21" t="str">
        <f>IF(G783="","",VLOOKUP(G783,frecuencia[#ALL],2,0))</f>
        <v/>
      </c>
      <c r="J783" s="21" t="str">
        <f>IF(H783="","",VLOOKUP(H783,tipo_donante[#ALL],2,0))</f>
        <v/>
      </c>
      <c r="K783" s="24"/>
    </row>
    <row r="784">
      <c r="A784" s="21"/>
      <c r="B784" s="21"/>
      <c r="C784" s="23"/>
      <c r="D784" s="21"/>
      <c r="E784" s="21"/>
      <c r="F784" s="21"/>
      <c r="G784" s="21"/>
      <c r="H784" s="21"/>
      <c r="I784" s="21" t="str">
        <f>IF(G784="","",VLOOKUP(G784,frecuencia[#ALL],2,0))</f>
        <v/>
      </c>
      <c r="J784" s="21" t="str">
        <f>IF(H784="","",VLOOKUP(H784,tipo_donante[#ALL],2,0))</f>
        <v/>
      </c>
      <c r="K784" s="24"/>
    </row>
    <row r="785">
      <c r="A785" s="21"/>
      <c r="B785" s="21"/>
      <c r="C785" s="23"/>
      <c r="D785" s="21"/>
      <c r="E785" s="21"/>
      <c r="F785" s="21"/>
      <c r="G785" s="21"/>
      <c r="H785" s="21"/>
      <c r="I785" s="21" t="str">
        <f>IF(G785="","",VLOOKUP(G785,frecuencia[#ALL],2,0))</f>
        <v/>
      </c>
      <c r="J785" s="21" t="str">
        <f>IF(H785="","",VLOOKUP(H785,tipo_donante[#ALL],2,0))</f>
        <v/>
      </c>
      <c r="K785" s="24"/>
    </row>
    <row r="786">
      <c r="A786" s="21"/>
      <c r="B786" s="21"/>
      <c r="C786" s="23"/>
      <c r="D786" s="21"/>
      <c r="E786" s="21"/>
      <c r="F786" s="21"/>
      <c r="G786" s="21"/>
      <c r="H786" s="21"/>
      <c r="I786" s="21" t="str">
        <f>IF(G786="","",VLOOKUP(G786,frecuencia[#ALL],2,0))</f>
        <v/>
      </c>
      <c r="J786" s="21" t="str">
        <f>IF(H786="","",VLOOKUP(H786,tipo_donante[#ALL],2,0))</f>
        <v/>
      </c>
      <c r="K786" s="24"/>
    </row>
    <row r="787">
      <c r="A787" s="21"/>
      <c r="B787" s="21"/>
      <c r="C787" s="23"/>
      <c r="D787" s="21"/>
      <c r="E787" s="21"/>
      <c r="F787" s="21"/>
      <c r="G787" s="21"/>
      <c r="H787" s="21"/>
      <c r="I787" s="21" t="str">
        <f>IF(G787="","",VLOOKUP(G787,frecuencia[#ALL],2,0))</f>
        <v/>
      </c>
      <c r="J787" s="21" t="str">
        <f>IF(H787="","",VLOOKUP(H787,tipo_donante[#ALL],2,0))</f>
        <v/>
      </c>
      <c r="K787" s="24"/>
    </row>
    <row r="788">
      <c r="A788" s="21"/>
      <c r="B788" s="21"/>
      <c r="C788" s="23"/>
      <c r="D788" s="21"/>
      <c r="E788" s="21"/>
      <c r="F788" s="21"/>
      <c r="G788" s="21"/>
      <c r="H788" s="21"/>
      <c r="I788" s="21" t="str">
        <f>IF(G788="","",VLOOKUP(G788,frecuencia[#ALL],2,0))</f>
        <v/>
      </c>
      <c r="J788" s="21" t="str">
        <f>IF(H788="","",VLOOKUP(H788,tipo_donante[#ALL],2,0))</f>
        <v/>
      </c>
      <c r="K788" s="24"/>
    </row>
    <row r="789">
      <c r="A789" s="21"/>
      <c r="B789" s="21"/>
      <c r="C789" s="23"/>
      <c r="D789" s="21"/>
      <c r="E789" s="21"/>
      <c r="F789" s="21"/>
      <c r="G789" s="21"/>
      <c r="H789" s="21"/>
      <c r="I789" s="21" t="str">
        <f>IF(G789="","",VLOOKUP(G789,frecuencia[#ALL],2,0))</f>
        <v/>
      </c>
      <c r="J789" s="21" t="str">
        <f>IF(H789="","",VLOOKUP(H789,tipo_donante[#ALL],2,0))</f>
        <v/>
      </c>
      <c r="K789" s="24"/>
    </row>
    <row r="790">
      <c r="A790" s="21"/>
      <c r="B790" s="21"/>
      <c r="C790" s="23"/>
      <c r="D790" s="21"/>
      <c r="E790" s="21"/>
      <c r="F790" s="21"/>
      <c r="G790" s="21"/>
      <c r="H790" s="21"/>
      <c r="I790" s="21" t="str">
        <f>IF(G790="","",VLOOKUP(G790,frecuencia[#ALL],2,0))</f>
        <v/>
      </c>
      <c r="J790" s="21" t="str">
        <f>IF(H790="","",VLOOKUP(H790,tipo_donante[#ALL],2,0))</f>
        <v/>
      </c>
      <c r="K790" s="24"/>
    </row>
    <row r="791">
      <c r="A791" s="21"/>
      <c r="B791" s="21"/>
      <c r="C791" s="23"/>
      <c r="D791" s="21"/>
      <c r="E791" s="21"/>
      <c r="F791" s="21"/>
      <c r="G791" s="21"/>
      <c r="H791" s="21"/>
      <c r="I791" s="21" t="str">
        <f>IF(G791="","",VLOOKUP(G791,frecuencia[#ALL],2,0))</f>
        <v/>
      </c>
      <c r="J791" s="21" t="str">
        <f>IF(H791="","",VLOOKUP(H791,tipo_donante[#ALL],2,0))</f>
        <v/>
      </c>
      <c r="K791" s="24"/>
    </row>
    <row r="792">
      <c r="A792" s="21"/>
      <c r="B792" s="21"/>
      <c r="C792" s="23"/>
      <c r="D792" s="21"/>
      <c r="E792" s="21"/>
      <c r="F792" s="21"/>
      <c r="G792" s="21"/>
      <c r="H792" s="21"/>
      <c r="I792" s="21" t="str">
        <f>IF(G792="","",VLOOKUP(G792,frecuencia[#ALL],2,0))</f>
        <v/>
      </c>
      <c r="J792" s="21" t="str">
        <f>IF(H792="","",VLOOKUP(H792,tipo_donante[#ALL],2,0))</f>
        <v/>
      </c>
      <c r="K792" s="24"/>
    </row>
    <row r="793">
      <c r="A793" s="21"/>
      <c r="B793" s="21"/>
      <c r="C793" s="23"/>
      <c r="D793" s="21"/>
      <c r="E793" s="21"/>
      <c r="F793" s="21"/>
      <c r="G793" s="21"/>
      <c r="H793" s="21"/>
      <c r="I793" s="21" t="str">
        <f>IF(G793="","",VLOOKUP(G793,frecuencia[#ALL],2,0))</f>
        <v/>
      </c>
      <c r="J793" s="21" t="str">
        <f>IF(H793="","",VLOOKUP(H793,tipo_donante[#ALL],2,0))</f>
        <v/>
      </c>
      <c r="K793" s="24"/>
    </row>
    <row r="794">
      <c r="A794" s="21"/>
      <c r="B794" s="21"/>
      <c r="C794" s="23"/>
      <c r="D794" s="21"/>
      <c r="E794" s="21"/>
      <c r="F794" s="21"/>
      <c r="G794" s="21"/>
      <c r="H794" s="21"/>
      <c r="I794" s="21" t="str">
        <f>IF(G794="","",VLOOKUP(G794,frecuencia[#ALL],2,0))</f>
        <v/>
      </c>
      <c r="J794" s="21" t="str">
        <f>IF(H794="","",VLOOKUP(H794,tipo_donante[#ALL],2,0))</f>
        <v/>
      </c>
      <c r="K794" s="24"/>
    </row>
    <row r="795">
      <c r="A795" s="21"/>
      <c r="B795" s="21"/>
      <c r="C795" s="23"/>
      <c r="D795" s="21"/>
      <c r="E795" s="21"/>
      <c r="F795" s="21"/>
      <c r="G795" s="21"/>
      <c r="H795" s="21"/>
      <c r="I795" s="21" t="str">
        <f>IF(G795="","",VLOOKUP(G795,frecuencia[#ALL],2,0))</f>
        <v/>
      </c>
      <c r="J795" s="21" t="str">
        <f>IF(H795="","",VLOOKUP(H795,tipo_donante[#ALL],2,0))</f>
        <v/>
      </c>
      <c r="K795" s="24"/>
    </row>
    <row r="796">
      <c r="A796" s="21"/>
      <c r="B796" s="21"/>
      <c r="C796" s="23"/>
      <c r="D796" s="21"/>
      <c r="E796" s="21"/>
      <c r="F796" s="21"/>
      <c r="G796" s="21"/>
      <c r="H796" s="21"/>
      <c r="I796" s="21" t="str">
        <f>IF(G796="","",VLOOKUP(G796,frecuencia[#ALL],2,0))</f>
        <v/>
      </c>
      <c r="J796" s="21" t="str">
        <f>IF(H796="","",VLOOKUP(H796,tipo_donante[#ALL],2,0))</f>
        <v/>
      </c>
      <c r="K796" s="24"/>
    </row>
    <row r="797">
      <c r="A797" s="21"/>
      <c r="B797" s="21"/>
      <c r="C797" s="23"/>
      <c r="D797" s="21"/>
      <c r="E797" s="21"/>
      <c r="F797" s="21"/>
      <c r="G797" s="21"/>
      <c r="H797" s="21"/>
      <c r="I797" s="21" t="str">
        <f>IF(G797="","",VLOOKUP(G797,frecuencia[#ALL],2,0))</f>
        <v/>
      </c>
      <c r="J797" s="21" t="str">
        <f>IF(H797="","",VLOOKUP(H797,tipo_donante[#ALL],2,0))</f>
        <v/>
      </c>
      <c r="K797" s="24"/>
    </row>
    <row r="798">
      <c r="A798" s="21"/>
      <c r="B798" s="21"/>
      <c r="C798" s="23"/>
      <c r="D798" s="21"/>
      <c r="E798" s="21"/>
      <c r="F798" s="21"/>
      <c r="G798" s="21"/>
      <c r="H798" s="21"/>
      <c r="I798" s="21" t="str">
        <f>IF(G798="","",VLOOKUP(G798,frecuencia[#ALL],2,0))</f>
        <v/>
      </c>
      <c r="J798" s="21" t="str">
        <f>IF(H798="","",VLOOKUP(H798,tipo_donante[#ALL],2,0))</f>
        <v/>
      </c>
      <c r="K798" s="24"/>
    </row>
    <row r="799">
      <c r="A799" s="21"/>
      <c r="B799" s="21"/>
      <c r="C799" s="23"/>
      <c r="D799" s="21"/>
      <c r="E799" s="21"/>
      <c r="F799" s="21"/>
      <c r="G799" s="21"/>
      <c r="H799" s="21"/>
      <c r="I799" s="21" t="str">
        <f>IF(G799="","",VLOOKUP(G799,frecuencia[#ALL],2,0))</f>
        <v/>
      </c>
      <c r="J799" s="21" t="str">
        <f>IF(H799="","",VLOOKUP(H799,tipo_donante[#ALL],2,0))</f>
        <v/>
      </c>
      <c r="K799" s="24"/>
    </row>
    <row r="800">
      <c r="A800" s="21"/>
      <c r="B800" s="21"/>
      <c r="C800" s="23"/>
      <c r="D800" s="21"/>
      <c r="E800" s="21"/>
      <c r="F800" s="21"/>
      <c r="G800" s="21"/>
      <c r="H800" s="21"/>
      <c r="I800" s="21" t="str">
        <f>IF(G800="","",VLOOKUP(G800,frecuencia[#ALL],2,0))</f>
        <v/>
      </c>
      <c r="J800" s="21" t="str">
        <f>IF(H800="","",VLOOKUP(H800,tipo_donante[#ALL],2,0))</f>
        <v/>
      </c>
      <c r="K800" s="24"/>
    </row>
    <row r="801">
      <c r="A801" s="21"/>
      <c r="B801" s="21"/>
      <c r="C801" s="23"/>
      <c r="D801" s="21"/>
      <c r="E801" s="21"/>
      <c r="F801" s="21"/>
      <c r="G801" s="21"/>
      <c r="H801" s="21"/>
      <c r="I801" s="21" t="str">
        <f>IF(G801="","",VLOOKUP(G801,frecuencia[#ALL],2,0))</f>
        <v/>
      </c>
      <c r="J801" s="21" t="str">
        <f>IF(H801="","",VLOOKUP(H801,tipo_donante[#ALL],2,0))</f>
        <v/>
      </c>
      <c r="K801" s="24"/>
    </row>
    <row r="802">
      <c r="A802" s="21"/>
      <c r="B802" s="21"/>
      <c r="C802" s="23"/>
      <c r="D802" s="21"/>
      <c r="E802" s="21"/>
      <c r="F802" s="21"/>
      <c r="G802" s="21"/>
      <c r="H802" s="21"/>
      <c r="I802" s="21" t="str">
        <f>IF(G802="","",VLOOKUP(G802,frecuencia[#ALL],2,0))</f>
        <v/>
      </c>
      <c r="J802" s="21" t="str">
        <f>IF(H802="","",VLOOKUP(H802,tipo_donante[#ALL],2,0))</f>
        <v/>
      </c>
      <c r="K802" s="24"/>
    </row>
    <row r="803">
      <c r="A803" s="21"/>
      <c r="B803" s="21"/>
      <c r="C803" s="23"/>
      <c r="D803" s="21"/>
      <c r="E803" s="21"/>
      <c r="F803" s="21"/>
      <c r="G803" s="21"/>
      <c r="H803" s="21"/>
      <c r="I803" s="21" t="str">
        <f>IF(G803="","",VLOOKUP(G803,frecuencia[#ALL],2,0))</f>
        <v/>
      </c>
      <c r="J803" s="21" t="str">
        <f>IF(H803="","",VLOOKUP(H803,tipo_donante[#ALL],2,0))</f>
        <v/>
      </c>
      <c r="K803" s="24"/>
    </row>
    <row r="804">
      <c r="A804" s="21"/>
      <c r="B804" s="21"/>
      <c r="C804" s="23"/>
      <c r="D804" s="21"/>
      <c r="E804" s="21"/>
      <c r="F804" s="21"/>
      <c r="G804" s="21"/>
      <c r="H804" s="21"/>
      <c r="I804" s="21" t="str">
        <f>IF(G804="","",VLOOKUP(G804,frecuencia[#ALL],2,0))</f>
        <v/>
      </c>
      <c r="J804" s="21" t="str">
        <f>IF(H804="","",VLOOKUP(H804,tipo_donante[#ALL],2,0))</f>
        <v/>
      </c>
      <c r="K804" s="24"/>
    </row>
    <row r="805">
      <c r="A805" s="21"/>
      <c r="B805" s="21"/>
      <c r="C805" s="23"/>
      <c r="D805" s="21"/>
      <c r="E805" s="21"/>
      <c r="F805" s="21"/>
      <c r="G805" s="21"/>
      <c r="H805" s="21"/>
      <c r="I805" s="21" t="str">
        <f>IF(G805="","",VLOOKUP(G805,frecuencia[#ALL],2,0))</f>
        <v/>
      </c>
      <c r="J805" s="21" t="str">
        <f>IF(H805="","",VLOOKUP(H805,tipo_donante[#ALL],2,0))</f>
        <v/>
      </c>
      <c r="K805" s="24"/>
    </row>
    <row r="806">
      <c r="A806" s="21"/>
      <c r="B806" s="21"/>
      <c r="C806" s="23"/>
      <c r="D806" s="21"/>
      <c r="E806" s="21"/>
      <c r="F806" s="21"/>
      <c r="G806" s="21"/>
      <c r="H806" s="21"/>
      <c r="I806" s="21" t="str">
        <f>IF(G806="","",VLOOKUP(G806,frecuencia[#ALL],2,0))</f>
        <v/>
      </c>
      <c r="J806" s="21" t="str">
        <f>IF(H806="","",VLOOKUP(H806,tipo_donante[#ALL],2,0))</f>
        <v/>
      </c>
      <c r="K806" s="24"/>
    </row>
    <row r="807">
      <c r="A807" s="21"/>
      <c r="B807" s="21"/>
      <c r="C807" s="23"/>
      <c r="D807" s="21"/>
      <c r="E807" s="21"/>
      <c r="F807" s="21"/>
      <c r="G807" s="21"/>
      <c r="H807" s="21"/>
      <c r="I807" s="21" t="str">
        <f>IF(G807="","",VLOOKUP(G807,frecuencia[#ALL],2,0))</f>
        <v/>
      </c>
      <c r="J807" s="21" t="str">
        <f>IF(H807="","",VLOOKUP(H807,tipo_donante[#ALL],2,0))</f>
        <v/>
      </c>
      <c r="K807" s="24"/>
    </row>
    <row r="808">
      <c r="A808" s="21"/>
      <c r="B808" s="21"/>
      <c r="C808" s="23"/>
      <c r="D808" s="21"/>
      <c r="E808" s="21"/>
      <c r="F808" s="21"/>
      <c r="G808" s="21"/>
      <c r="H808" s="21"/>
      <c r="I808" s="21" t="str">
        <f>IF(G808="","",VLOOKUP(G808,frecuencia[#ALL],2,0))</f>
        <v/>
      </c>
      <c r="J808" s="21" t="str">
        <f>IF(H808="","",VLOOKUP(H808,tipo_donante[#ALL],2,0))</f>
        <v/>
      </c>
      <c r="K808" s="24"/>
    </row>
    <row r="809">
      <c r="A809" s="21"/>
      <c r="B809" s="21"/>
      <c r="C809" s="23"/>
      <c r="D809" s="21"/>
      <c r="E809" s="21"/>
      <c r="F809" s="21"/>
      <c r="G809" s="21"/>
      <c r="H809" s="21"/>
      <c r="I809" s="21" t="str">
        <f>IF(G809="","",VLOOKUP(G809,frecuencia[#ALL],2,0))</f>
        <v/>
      </c>
      <c r="J809" s="21" t="str">
        <f>IF(H809="","",VLOOKUP(H809,tipo_donante[#ALL],2,0))</f>
        <v/>
      </c>
      <c r="K809" s="24"/>
    </row>
    <row r="810">
      <c r="A810" s="21"/>
      <c r="B810" s="21"/>
      <c r="C810" s="23"/>
      <c r="D810" s="21"/>
      <c r="E810" s="21"/>
      <c r="F810" s="21"/>
      <c r="G810" s="21"/>
      <c r="H810" s="21"/>
      <c r="I810" s="21" t="str">
        <f>IF(G810="","",VLOOKUP(G810,frecuencia[#ALL],2,0))</f>
        <v/>
      </c>
      <c r="J810" s="21" t="str">
        <f>IF(H810="","",VLOOKUP(H810,tipo_donante[#ALL],2,0))</f>
        <v/>
      </c>
      <c r="K810" s="24"/>
    </row>
    <row r="811">
      <c r="A811" s="21"/>
      <c r="B811" s="21"/>
      <c r="C811" s="23"/>
      <c r="D811" s="21"/>
      <c r="E811" s="21"/>
      <c r="F811" s="21"/>
      <c r="G811" s="21"/>
      <c r="H811" s="21"/>
      <c r="I811" s="21" t="str">
        <f>IF(G811="","",VLOOKUP(G811,frecuencia[#ALL],2,0))</f>
        <v/>
      </c>
      <c r="J811" s="21" t="str">
        <f>IF(H811="","",VLOOKUP(H811,tipo_donante[#ALL],2,0))</f>
        <v/>
      </c>
      <c r="K811" s="24"/>
    </row>
    <row r="812">
      <c r="A812" s="21"/>
      <c r="B812" s="21"/>
      <c r="C812" s="23"/>
      <c r="D812" s="21"/>
      <c r="E812" s="21"/>
      <c r="F812" s="21"/>
      <c r="G812" s="21"/>
      <c r="H812" s="21"/>
      <c r="I812" s="21" t="str">
        <f>IF(G812="","",VLOOKUP(G812,frecuencia[#ALL],2,0))</f>
        <v/>
      </c>
      <c r="J812" s="21" t="str">
        <f>IF(H812="","",VLOOKUP(H812,tipo_donante[#ALL],2,0))</f>
        <v/>
      </c>
      <c r="K812" s="24"/>
    </row>
    <row r="813">
      <c r="A813" s="21"/>
      <c r="B813" s="21"/>
      <c r="C813" s="23"/>
      <c r="D813" s="21"/>
      <c r="E813" s="21"/>
      <c r="F813" s="21"/>
      <c r="G813" s="21"/>
      <c r="H813" s="21"/>
      <c r="I813" s="21" t="str">
        <f>IF(G813="","",VLOOKUP(G813,frecuencia[#ALL],2,0))</f>
        <v/>
      </c>
      <c r="J813" s="21" t="str">
        <f>IF(H813="","",VLOOKUP(H813,tipo_donante[#ALL],2,0))</f>
        <v/>
      </c>
      <c r="K813" s="24"/>
    </row>
    <row r="814">
      <c r="A814" s="21"/>
      <c r="B814" s="21"/>
      <c r="C814" s="23"/>
      <c r="D814" s="21"/>
      <c r="E814" s="21"/>
      <c r="F814" s="21"/>
      <c r="G814" s="21"/>
      <c r="H814" s="21"/>
      <c r="I814" s="21" t="str">
        <f>IF(G814="","",VLOOKUP(G814,frecuencia[#ALL],2,0))</f>
        <v/>
      </c>
      <c r="J814" s="21" t="str">
        <f>IF(H814="","",VLOOKUP(H814,tipo_donante[#ALL],2,0))</f>
        <v/>
      </c>
      <c r="K814" s="24"/>
    </row>
    <row r="815">
      <c r="A815" s="21"/>
      <c r="B815" s="21"/>
      <c r="C815" s="23"/>
      <c r="D815" s="21"/>
      <c r="E815" s="21"/>
      <c r="F815" s="21"/>
      <c r="G815" s="21"/>
      <c r="H815" s="21"/>
      <c r="I815" s="21" t="str">
        <f>IF(G815="","",VLOOKUP(G815,frecuencia[#ALL],2,0))</f>
        <v/>
      </c>
      <c r="J815" s="21" t="str">
        <f>IF(H815="","",VLOOKUP(H815,tipo_donante[#ALL],2,0))</f>
        <v/>
      </c>
      <c r="K815" s="24"/>
    </row>
    <row r="816">
      <c r="A816" s="21"/>
      <c r="B816" s="21"/>
      <c r="C816" s="23"/>
      <c r="D816" s="21"/>
      <c r="E816" s="21"/>
      <c r="F816" s="21"/>
      <c r="G816" s="21"/>
      <c r="H816" s="21"/>
      <c r="I816" s="21" t="str">
        <f>IF(G816="","",VLOOKUP(G816,frecuencia[#ALL],2,0))</f>
        <v/>
      </c>
      <c r="J816" s="21" t="str">
        <f>IF(H816="","",VLOOKUP(H816,tipo_donante[#ALL],2,0))</f>
        <v/>
      </c>
      <c r="K816" s="24"/>
    </row>
    <row r="817">
      <c r="A817" s="21"/>
      <c r="B817" s="21"/>
      <c r="C817" s="23"/>
      <c r="D817" s="21"/>
      <c r="E817" s="21"/>
      <c r="F817" s="21"/>
      <c r="G817" s="21"/>
      <c r="H817" s="21"/>
      <c r="I817" s="21" t="str">
        <f>IF(G817="","",VLOOKUP(G817,frecuencia[#ALL],2,0))</f>
        <v/>
      </c>
      <c r="J817" s="21" t="str">
        <f>IF(H817="","",VLOOKUP(H817,tipo_donante[#ALL],2,0))</f>
        <v/>
      </c>
      <c r="K817" s="24"/>
    </row>
    <row r="818">
      <c r="A818" s="21"/>
      <c r="B818" s="21"/>
      <c r="C818" s="23"/>
      <c r="D818" s="21"/>
      <c r="E818" s="21"/>
      <c r="F818" s="21"/>
      <c r="G818" s="21"/>
      <c r="H818" s="21"/>
      <c r="I818" s="21" t="str">
        <f>IF(G818="","",VLOOKUP(G818,frecuencia[#ALL],2,0))</f>
        <v/>
      </c>
      <c r="J818" s="21" t="str">
        <f>IF(H818="","",VLOOKUP(H818,tipo_donante[#ALL],2,0))</f>
        <v/>
      </c>
      <c r="K818" s="24"/>
    </row>
    <row r="819">
      <c r="A819" s="21"/>
      <c r="B819" s="21"/>
      <c r="C819" s="23"/>
      <c r="D819" s="21"/>
      <c r="E819" s="21"/>
      <c r="F819" s="21"/>
      <c r="G819" s="21"/>
      <c r="H819" s="21"/>
      <c r="I819" s="21" t="str">
        <f>IF(G819="","",VLOOKUP(G819,frecuencia[#ALL],2,0))</f>
        <v/>
      </c>
      <c r="J819" s="21" t="str">
        <f>IF(H819="","",VLOOKUP(H819,tipo_donante[#ALL],2,0))</f>
        <v/>
      </c>
      <c r="K819" s="24"/>
    </row>
    <row r="820">
      <c r="A820" s="21"/>
      <c r="B820" s="21"/>
      <c r="C820" s="23"/>
      <c r="D820" s="21"/>
      <c r="E820" s="21"/>
      <c r="F820" s="21"/>
      <c r="G820" s="21"/>
      <c r="H820" s="21"/>
      <c r="I820" s="21" t="str">
        <f>IF(G820="","",VLOOKUP(G820,frecuencia[#ALL],2,0))</f>
        <v/>
      </c>
      <c r="J820" s="21" t="str">
        <f>IF(H820="","",VLOOKUP(H820,tipo_donante[#ALL],2,0))</f>
        <v/>
      </c>
      <c r="K820" s="24"/>
    </row>
    <row r="821">
      <c r="A821" s="21"/>
      <c r="B821" s="21"/>
      <c r="C821" s="23"/>
      <c r="D821" s="21"/>
      <c r="E821" s="21"/>
      <c r="F821" s="21"/>
      <c r="G821" s="21"/>
      <c r="H821" s="21"/>
      <c r="I821" s="21" t="str">
        <f>IF(G821="","",VLOOKUP(G821,frecuencia[#ALL],2,0))</f>
        <v/>
      </c>
      <c r="J821" s="21" t="str">
        <f>IF(H821="","",VLOOKUP(H821,tipo_donante[#ALL],2,0))</f>
        <v/>
      </c>
      <c r="K821" s="24"/>
    </row>
    <row r="822">
      <c r="A822" s="21"/>
      <c r="B822" s="21"/>
      <c r="C822" s="23"/>
      <c r="D822" s="21"/>
      <c r="E822" s="21"/>
      <c r="F822" s="21"/>
      <c r="G822" s="21"/>
      <c r="H822" s="21"/>
      <c r="I822" s="21" t="str">
        <f>IF(G822="","",VLOOKUP(G822,frecuencia[#ALL],2,0))</f>
        <v/>
      </c>
      <c r="J822" s="21" t="str">
        <f>IF(H822="","",VLOOKUP(H822,tipo_donante[#ALL],2,0))</f>
        <v/>
      </c>
      <c r="K822" s="24"/>
    </row>
    <row r="823">
      <c r="A823" s="21"/>
      <c r="B823" s="21"/>
      <c r="C823" s="23"/>
      <c r="D823" s="21"/>
      <c r="E823" s="21"/>
      <c r="F823" s="21"/>
      <c r="G823" s="21"/>
      <c r="H823" s="21"/>
      <c r="I823" s="21" t="str">
        <f>IF(G823="","",VLOOKUP(G823,frecuencia[#ALL],2,0))</f>
        <v/>
      </c>
      <c r="J823" s="21" t="str">
        <f>IF(H823="","",VLOOKUP(H823,tipo_donante[#ALL],2,0))</f>
        <v/>
      </c>
      <c r="K823" s="24"/>
    </row>
    <row r="824">
      <c r="A824" s="21"/>
      <c r="B824" s="21"/>
      <c r="C824" s="23"/>
      <c r="D824" s="21"/>
      <c r="E824" s="21"/>
      <c r="F824" s="21"/>
      <c r="G824" s="21"/>
      <c r="H824" s="21"/>
      <c r="I824" s="21" t="str">
        <f>IF(G824="","",VLOOKUP(G824,frecuencia[#ALL],2,0))</f>
        <v/>
      </c>
      <c r="J824" s="21" t="str">
        <f>IF(H824="","",VLOOKUP(H824,tipo_donante[#ALL],2,0))</f>
        <v/>
      </c>
      <c r="K824" s="24"/>
    </row>
    <row r="825">
      <c r="A825" s="21"/>
      <c r="B825" s="21"/>
      <c r="C825" s="23"/>
      <c r="D825" s="21"/>
      <c r="E825" s="21"/>
      <c r="F825" s="21"/>
      <c r="G825" s="21"/>
      <c r="H825" s="21"/>
      <c r="I825" s="21" t="str">
        <f>IF(G825="","",VLOOKUP(G825,frecuencia[#ALL],2,0))</f>
        <v/>
      </c>
      <c r="J825" s="21" t="str">
        <f>IF(H825="","",VLOOKUP(H825,tipo_donante[#ALL],2,0))</f>
        <v/>
      </c>
      <c r="K825" s="24"/>
    </row>
    <row r="826">
      <c r="A826" s="21"/>
      <c r="B826" s="21"/>
      <c r="C826" s="23"/>
      <c r="D826" s="21"/>
      <c r="E826" s="21"/>
      <c r="F826" s="21"/>
      <c r="G826" s="21"/>
      <c r="H826" s="21"/>
      <c r="I826" s="21" t="str">
        <f>IF(G826="","",VLOOKUP(G826,frecuencia[#ALL],2,0))</f>
        <v/>
      </c>
      <c r="J826" s="21" t="str">
        <f>IF(H826="","",VLOOKUP(H826,tipo_donante[#ALL],2,0))</f>
        <v/>
      </c>
      <c r="K826" s="24"/>
    </row>
    <row r="827">
      <c r="A827" s="21"/>
      <c r="B827" s="21"/>
      <c r="C827" s="23"/>
      <c r="D827" s="21"/>
      <c r="E827" s="21"/>
      <c r="F827" s="21"/>
      <c r="G827" s="21"/>
      <c r="H827" s="21"/>
      <c r="I827" s="21" t="str">
        <f>IF(G827="","",VLOOKUP(G827,frecuencia[#ALL],2,0))</f>
        <v/>
      </c>
      <c r="J827" s="21" t="str">
        <f>IF(H827="","",VLOOKUP(H827,tipo_donante[#ALL],2,0))</f>
        <v/>
      </c>
      <c r="K827" s="24"/>
    </row>
    <row r="828">
      <c r="A828" s="21"/>
      <c r="B828" s="21"/>
      <c r="C828" s="23"/>
      <c r="D828" s="21"/>
      <c r="E828" s="21"/>
      <c r="F828" s="21"/>
      <c r="G828" s="21"/>
      <c r="H828" s="21"/>
      <c r="I828" s="21" t="str">
        <f>IF(G828="","",VLOOKUP(G828,frecuencia[#ALL],2,0))</f>
        <v/>
      </c>
      <c r="J828" s="21" t="str">
        <f>IF(H828="","",VLOOKUP(H828,tipo_donante[#ALL],2,0))</f>
        <v/>
      </c>
      <c r="K828" s="24"/>
    </row>
    <row r="829">
      <c r="A829" s="21"/>
      <c r="B829" s="21"/>
      <c r="C829" s="23"/>
      <c r="D829" s="21"/>
      <c r="E829" s="21"/>
      <c r="F829" s="21"/>
      <c r="G829" s="21"/>
      <c r="H829" s="21"/>
      <c r="I829" s="21" t="str">
        <f>IF(G829="","",VLOOKUP(G829,frecuencia[#ALL],2,0))</f>
        <v/>
      </c>
      <c r="J829" s="21" t="str">
        <f>IF(H829="","",VLOOKUP(H829,tipo_donante[#ALL],2,0))</f>
        <v/>
      </c>
      <c r="K829" s="24"/>
    </row>
    <row r="830">
      <c r="A830" s="21"/>
      <c r="B830" s="21"/>
      <c r="C830" s="23"/>
      <c r="D830" s="21"/>
      <c r="E830" s="21"/>
      <c r="F830" s="21"/>
      <c r="G830" s="21"/>
      <c r="H830" s="21"/>
      <c r="I830" s="21" t="str">
        <f>IF(G830="","",VLOOKUP(G830,frecuencia[#ALL],2,0))</f>
        <v/>
      </c>
      <c r="J830" s="21" t="str">
        <f>IF(H830="","",VLOOKUP(H830,tipo_donante[#ALL],2,0))</f>
        <v/>
      </c>
      <c r="K830" s="24"/>
    </row>
    <row r="831">
      <c r="A831" s="21"/>
      <c r="B831" s="21"/>
      <c r="C831" s="23"/>
      <c r="D831" s="21"/>
      <c r="E831" s="21"/>
      <c r="F831" s="21"/>
      <c r="G831" s="21"/>
      <c r="H831" s="21"/>
      <c r="I831" s="21" t="str">
        <f>IF(G831="","",VLOOKUP(G831,frecuencia[#ALL],2,0))</f>
        <v/>
      </c>
      <c r="J831" s="21" t="str">
        <f>IF(H831="","",VLOOKUP(H831,tipo_donante[#ALL],2,0))</f>
        <v/>
      </c>
      <c r="K831" s="24"/>
    </row>
    <row r="832">
      <c r="A832" s="21"/>
      <c r="B832" s="21"/>
      <c r="C832" s="23"/>
      <c r="D832" s="21"/>
      <c r="E832" s="21"/>
      <c r="F832" s="21"/>
      <c r="G832" s="21"/>
      <c r="H832" s="21"/>
      <c r="I832" s="21" t="str">
        <f>IF(G832="","",VLOOKUP(G832,frecuencia[#ALL],2,0))</f>
        <v/>
      </c>
      <c r="J832" s="21" t="str">
        <f>IF(H832="","",VLOOKUP(H832,tipo_donante[#ALL],2,0))</f>
        <v/>
      </c>
      <c r="K832" s="24"/>
    </row>
    <row r="833">
      <c r="A833" s="21"/>
      <c r="B833" s="21"/>
      <c r="C833" s="23"/>
      <c r="D833" s="21"/>
      <c r="E833" s="21"/>
      <c r="F833" s="21"/>
      <c r="G833" s="21"/>
      <c r="H833" s="21"/>
      <c r="I833" s="21" t="str">
        <f>IF(G833="","",VLOOKUP(G833,frecuencia[#ALL],2,0))</f>
        <v/>
      </c>
      <c r="J833" s="21" t="str">
        <f>IF(H833="","",VLOOKUP(H833,tipo_donante[#ALL],2,0))</f>
        <v/>
      </c>
      <c r="K833" s="24"/>
    </row>
    <row r="834">
      <c r="A834" s="21"/>
      <c r="B834" s="21"/>
      <c r="C834" s="23"/>
      <c r="D834" s="21"/>
      <c r="E834" s="21"/>
      <c r="F834" s="21"/>
      <c r="G834" s="21"/>
      <c r="H834" s="21"/>
      <c r="I834" s="21" t="str">
        <f>IF(G834="","",VLOOKUP(G834,frecuencia[#ALL],2,0))</f>
        <v/>
      </c>
      <c r="J834" s="21" t="str">
        <f>IF(H834="","",VLOOKUP(H834,tipo_donante[#ALL],2,0))</f>
        <v/>
      </c>
      <c r="K834" s="24"/>
    </row>
    <row r="835">
      <c r="A835" s="21"/>
      <c r="B835" s="21"/>
      <c r="C835" s="23"/>
      <c r="D835" s="21"/>
      <c r="E835" s="21"/>
      <c r="F835" s="21"/>
      <c r="G835" s="21"/>
      <c r="H835" s="21"/>
      <c r="I835" s="21" t="str">
        <f>IF(G835="","",VLOOKUP(G835,frecuencia[#ALL],2,0))</f>
        <v/>
      </c>
      <c r="J835" s="21" t="str">
        <f>IF(H835="","",VLOOKUP(H835,tipo_donante[#ALL],2,0))</f>
        <v/>
      </c>
      <c r="K835" s="24"/>
    </row>
    <row r="836">
      <c r="A836" s="21"/>
      <c r="B836" s="21"/>
      <c r="C836" s="23"/>
      <c r="D836" s="21"/>
      <c r="E836" s="21"/>
      <c r="F836" s="21"/>
      <c r="G836" s="21"/>
      <c r="H836" s="21"/>
      <c r="I836" s="21" t="str">
        <f>IF(G836="","",VLOOKUP(G836,frecuencia[#ALL],2,0))</f>
        <v/>
      </c>
      <c r="J836" s="21" t="str">
        <f>IF(H836="","",VLOOKUP(H836,tipo_donante[#ALL],2,0))</f>
        <v/>
      </c>
      <c r="K836" s="24"/>
    </row>
    <row r="837">
      <c r="A837" s="21"/>
      <c r="B837" s="21"/>
      <c r="C837" s="23"/>
      <c r="D837" s="21"/>
      <c r="E837" s="21"/>
      <c r="F837" s="21"/>
      <c r="G837" s="21"/>
      <c r="H837" s="21"/>
      <c r="I837" s="21" t="str">
        <f>IF(G837="","",VLOOKUP(G837,frecuencia[#ALL],2,0))</f>
        <v/>
      </c>
      <c r="J837" s="21" t="str">
        <f>IF(H837="","",VLOOKUP(H837,tipo_donante[#ALL],2,0))</f>
        <v/>
      </c>
      <c r="K837" s="24"/>
    </row>
    <row r="838">
      <c r="A838" s="21"/>
      <c r="B838" s="21"/>
      <c r="C838" s="23"/>
      <c r="D838" s="21"/>
      <c r="E838" s="21"/>
      <c r="F838" s="21"/>
      <c r="G838" s="21"/>
      <c r="H838" s="21"/>
      <c r="I838" s="21" t="str">
        <f>IF(G838="","",VLOOKUP(G838,frecuencia[#ALL],2,0))</f>
        <v/>
      </c>
      <c r="J838" s="21" t="str">
        <f>IF(H838="","",VLOOKUP(H838,tipo_donante[#ALL],2,0))</f>
        <v/>
      </c>
      <c r="K838" s="24"/>
    </row>
    <row r="839">
      <c r="A839" s="21"/>
      <c r="B839" s="21"/>
      <c r="C839" s="23"/>
      <c r="D839" s="21"/>
      <c r="E839" s="21"/>
      <c r="F839" s="21"/>
      <c r="G839" s="21"/>
      <c r="H839" s="21"/>
      <c r="I839" s="21" t="str">
        <f>IF(G839="","",VLOOKUP(G839,frecuencia[#ALL],2,0))</f>
        <v/>
      </c>
      <c r="J839" s="21" t="str">
        <f>IF(H839="","",VLOOKUP(H839,tipo_donante[#ALL],2,0))</f>
        <v/>
      </c>
      <c r="K839" s="24"/>
    </row>
    <row r="840">
      <c r="A840" s="21"/>
      <c r="B840" s="21"/>
      <c r="C840" s="23"/>
      <c r="D840" s="21"/>
      <c r="E840" s="21"/>
      <c r="F840" s="21"/>
      <c r="G840" s="21"/>
      <c r="H840" s="21"/>
      <c r="I840" s="21" t="str">
        <f>IF(G840="","",VLOOKUP(G840,frecuencia[#ALL],2,0))</f>
        <v/>
      </c>
      <c r="J840" s="21" t="str">
        <f>IF(H840="","",VLOOKUP(H840,tipo_donante[#ALL],2,0))</f>
        <v/>
      </c>
      <c r="K840" s="24"/>
    </row>
    <row r="841">
      <c r="A841" s="21"/>
      <c r="B841" s="21"/>
      <c r="C841" s="23"/>
      <c r="D841" s="21"/>
      <c r="E841" s="21"/>
      <c r="F841" s="21"/>
      <c r="G841" s="21"/>
      <c r="H841" s="21"/>
      <c r="I841" s="21" t="str">
        <f>IF(G841="","",VLOOKUP(G841,frecuencia[#ALL],2,0))</f>
        <v/>
      </c>
      <c r="J841" s="21" t="str">
        <f>IF(H841="","",VLOOKUP(H841,tipo_donante[#ALL],2,0))</f>
        <v/>
      </c>
      <c r="K841" s="24"/>
    </row>
    <row r="842">
      <c r="A842" s="21"/>
      <c r="B842" s="21"/>
      <c r="C842" s="23"/>
      <c r="D842" s="21"/>
      <c r="E842" s="21"/>
      <c r="F842" s="21"/>
      <c r="G842" s="21"/>
      <c r="H842" s="21"/>
      <c r="I842" s="21" t="str">
        <f>IF(G842="","",VLOOKUP(G842,frecuencia[#ALL],2,0))</f>
        <v/>
      </c>
      <c r="J842" s="21" t="str">
        <f>IF(H842="","",VLOOKUP(H842,tipo_donante[#ALL],2,0))</f>
        <v/>
      </c>
      <c r="K842" s="24"/>
    </row>
    <row r="843">
      <c r="A843" s="21"/>
      <c r="B843" s="21"/>
      <c r="C843" s="23"/>
      <c r="D843" s="21"/>
      <c r="E843" s="21"/>
      <c r="F843" s="21"/>
      <c r="G843" s="21"/>
      <c r="H843" s="21"/>
      <c r="I843" s="21" t="str">
        <f>IF(G843="","",VLOOKUP(G843,frecuencia[#ALL],2,0))</f>
        <v/>
      </c>
      <c r="J843" s="21" t="str">
        <f>IF(H843="","",VLOOKUP(H843,tipo_donante[#ALL],2,0))</f>
        <v/>
      </c>
      <c r="K843" s="24"/>
    </row>
    <row r="844">
      <c r="A844" s="21"/>
      <c r="B844" s="21"/>
      <c r="C844" s="23"/>
      <c r="D844" s="21"/>
      <c r="E844" s="21"/>
      <c r="F844" s="21"/>
      <c r="G844" s="21"/>
      <c r="H844" s="21"/>
      <c r="I844" s="21" t="str">
        <f>IF(G844="","",VLOOKUP(G844,frecuencia[#ALL],2,0))</f>
        <v/>
      </c>
      <c r="J844" s="21" t="str">
        <f>IF(H844="","",VLOOKUP(H844,tipo_donante[#ALL],2,0))</f>
        <v/>
      </c>
      <c r="K844" s="24"/>
    </row>
    <row r="845">
      <c r="A845" s="21"/>
      <c r="B845" s="21"/>
      <c r="C845" s="23"/>
      <c r="D845" s="21"/>
      <c r="E845" s="21"/>
      <c r="F845" s="21"/>
      <c r="G845" s="21"/>
      <c r="H845" s="21"/>
      <c r="I845" s="21" t="str">
        <f>IF(G845="","",VLOOKUP(G845,frecuencia[#ALL],2,0))</f>
        <v/>
      </c>
      <c r="J845" s="21" t="str">
        <f>IF(H845="","",VLOOKUP(H845,tipo_donante[#ALL],2,0))</f>
        <v/>
      </c>
      <c r="K845" s="24"/>
    </row>
    <row r="846">
      <c r="A846" s="21"/>
      <c r="B846" s="21"/>
      <c r="C846" s="23"/>
      <c r="D846" s="21"/>
      <c r="E846" s="21"/>
      <c r="F846" s="21"/>
      <c r="G846" s="21"/>
      <c r="H846" s="21"/>
      <c r="I846" s="21" t="str">
        <f>IF(G846="","",VLOOKUP(G846,frecuencia[#ALL],2,0))</f>
        <v/>
      </c>
      <c r="J846" s="21" t="str">
        <f>IF(H846="","",VLOOKUP(H846,tipo_donante[#ALL],2,0))</f>
        <v/>
      </c>
      <c r="K846" s="24"/>
    </row>
    <row r="847">
      <c r="A847" s="21"/>
      <c r="B847" s="21"/>
      <c r="C847" s="23"/>
      <c r="D847" s="21"/>
      <c r="E847" s="21"/>
      <c r="F847" s="21"/>
      <c r="G847" s="21"/>
      <c r="H847" s="21"/>
      <c r="I847" s="21" t="str">
        <f>IF(G847="","",VLOOKUP(G847,frecuencia[#ALL],2,0))</f>
        <v/>
      </c>
      <c r="J847" s="21" t="str">
        <f>IF(H847="","",VLOOKUP(H847,tipo_donante[#ALL],2,0))</f>
        <v/>
      </c>
      <c r="K847" s="24"/>
    </row>
    <row r="848">
      <c r="A848" s="21"/>
      <c r="B848" s="21"/>
      <c r="C848" s="23"/>
      <c r="D848" s="21"/>
      <c r="E848" s="21"/>
      <c r="F848" s="21"/>
      <c r="G848" s="21"/>
      <c r="H848" s="21"/>
      <c r="I848" s="21" t="str">
        <f>IF(G848="","",VLOOKUP(G848,frecuencia[#ALL],2,0))</f>
        <v/>
      </c>
      <c r="J848" s="21" t="str">
        <f>IF(H848="","",VLOOKUP(H848,tipo_donante[#ALL],2,0))</f>
        <v/>
      </c>
      <c r="K848" s="24"/>
    </row>
    <row r="849">
      <c r="A849" s="21"/>
      <c r="B849" s="21"/>
      <c r="C849" s="23"/>
      <c r="D849" s="21"/>
      <c r="E849" s="21"/>
      <c r="F849" s="21"/>
      <c r="G849" s="21"/>
      <c r="H849" s="21"/>
      <c r="I849" s="21" t="str">
        <f>IF(G849="","",VLOOKUP(G849,frecuencia[#ALL],2,0))</f>
        <v/>
      </c>
      <c r="J849" s="21" t="str">
        <f>IF(H849="","",VLOOKUP(H849,tipo_donante[#ALL],2,0))</f>
        <v/>
      </c>
      <c r="K849" s="24"/>
    </row>
    <row r="850">
      <c r="A850" s="21"/>
      <c r="B850" s="21"/>
      <c r="C850" s="23"/>
      <c r="D850" s="21"/>
      <c r="E850" s="21"/>
      <c r="F850" s="21"/>
      <c r="G850" s="21"/>
      <c r="H850" s="21"/>
      <c r="I850" s="21" t="str">
        <f>IF(G850="","",VLOOKUP(G850,frecuencia[#ALL],2,0))</f>
        <v/>
      </c>
      <c r="J850" s="21" t="str">
        <f>IF(H850="","",VLOOKUP(H850,tipo_donante[#ALL],2,0))</f>
        <v/>
      </c>
      <c r="K850" s="24"/>
    </row>
    <row r="851">
      <c r="A851" s="21"/>
      <c r="B851" s="21"/>
      <c r="C851" s="23"/>
      <c r="D851" s="21"/>
      <c r="E851" s="21"/>
      <c r="F851" s="21"/>
      <c r="G851" s="21"/>
      <c r="H851" s="21"/>
      <c r="I851" s="21" t="str">
        <f>IF(G851="","",VLOOKUP(G851,frecuencia[#ALL],2,0))</f>
        <v/>
      </c>
      <c r="J851" s="21" t="str">
        <f>IF(H851="","",VLOOKUP(H851,tipo_donante[#ALL],2,0))</f>
        <v/>
      </c>
      <c r="K851" s="24"/>
    </row>
    <row r="852">
      <c r="A852" s="21"/>
      <c r="B852" s="21"/>
      <c r="C852" s="23"/>
      <c r="D852" s="21"/>
      <c r="E852" s="21"/>
      <c r="F852" s="21"/>
      <c r="G852" s="21"/>
      <c r="H852" s="21"/>
      <c r="I852" s="21" t="str">
        <f>IF(G852="","",VLOOKUP(G852,frecuencia[#ALL],2,0))</f>
        <v/>
      </c>
      <c r="J852" s="21" t="str">
        <f>IF(H852="","",VLOOKUP(H852,tipo_donante[#ALL],2,0))</f>
        <v/>
      </c>
      <c r="K852" s="24"/>
    </row>
    <row r="853">
      <c r="A853" s="21"/>
      <c r="B853" s="21"/>
      <c r="C853" s="23"/>
      <c r="D853" s="21"/>
      <c r="E853" s="21"/>
      <c r="F853" s="21"/>
      <c r="G853" s="21"/>
      <c r="H853" s="21"/>
      <c r="I853" s="21" t="str">
        <f>IF(G853="","",VLOOKUP(G853,frecuencia[#ALL],2,0))</f>
        <v/>
      </c>
      <c r="J853" s="21" t="str">
        <f>IF(H853="","",VLOOKUP(H853,tipo_donante[#ALL],2,0))</f>
        <v/>
      </c>
      <c r="K853" s="24"/>
    </row>
    <row r="854">
      <c r="A854" s="21"/>
      <c r="B854" s="21"/>
      <c r="C854" s="23"/>
      <c r="D854" s="21"/>
      <c r="E854" s="21"/>
      <c r="F854" s="21"/>
      <c r="G854" s="21"/>
      <c r="H854" s="21"/>
      <c r="I854" s="21" t="str">
        <f>IF(G854="","",VLOOKUP(G854,frecuencia[#ALL],2,0))</f>
        <v/>
      </c>
      <c r="J854" s="21" t="str">
        <f>IF(H854="","",VLOOKUP(H854,tipo_donante[#ALL],2,0))</f>
        <v/>
      </c>
      <c r="K854" s="24"/>
    </row>
    <row r="855">
      <c r="A855" s="21"/>
      <c r="B855" s="21"/>
      <c r="C855" s="23"/>
      <c r="D855" s="21"/>
      <c r="E855" s="21"/>
      <c r="F855" s="21"/>
      <c r="G855" s="21"/>
      <c r="H855" s="21"/>
      <c r="I855" s="21" t="str">
        <f>IF(G855="","",VLOOKUP(G855,frecuencia[#ALL],2,0))</f>
        <v/>
      </c>
      <c r="J855" s="21" t="str">
        <f>IF(H855="","",VLOOKUP(H855,tipo_donante[#ALL],2,0))</f>
        <v/>
      </c>
      <c r="K855" s="24"/>
    </row>
    <row r="856">
      <c r="A856" s="21"/>
      <c r="B856" s="21"/>
      <c r="C856" s="23"/>
      <c r="D856" s="21"/>
      <c r="E856" s="21"/>
      <c r="F856" s="21"/>
      <c r="G856" s="21"/>
      <c r="H856" s="21"/>
      <c r="I856" s="21" t="str">
        <f>IF(G856="","",VLOOKUP(G856,frecuencia[#ALL],2,0))</f>
        <v/>
      </c>
      <c r="J856" s="21" t="str">
        <f>IF(H856="","",VLOOKUP(H856,tipo_donante[#ALL],2,0))</f>
        <v/>
      </c>
      <c r="K856" s="24"/>
    </row>
    <row r="857">
      <c r="A857" s="21"/>
      <c r="B857" s="21"/>
      <c r="C857" s="23"/>
      <c r="D857" s="21"/>
      <c r="E857" s="21"/>
      <c r="F857" s="21"/>
      <c r="G857" s="21"/>
      <c r="H857" s="21"/>
      <c r="I857" s="21" t="str">
        <f>IF(G857="","",VLOOKUP(G857,frecuencia[#ALL],2,0))</f>
        <v/>
      </c>
      <c r="J857" s="21" t="str">
        <f>IF(H857="","",VLOOKUP(H857,tipo_donante[#ALL],2,0))</f>
        <v/>
      </c>
      <c r="K857" s="24"/>
    </row>
    <row r="858">
      <c r="A858" s="21"/>
      <c r="B858" s="21"/>
      <c r="C858" s="23"/>
      <c r="D858" s="21"/>
      <c r="E858" s="21"/>
      <c r="F858" s="21"/>
      <c r="G858" s="21"/>
      <c r="H858" s="21"/>
      <c r="I858" s="21" t="str">
        <f>IF(G858="","",VLOOKUP(G858,frecuencia[#ALL],2,0))</f>
        <v/>
      </c>
      <c r="J858" s="21" t="str">
        <f>IF(H858="","",VLOOKUP(H858,tipo_donante[#ALL],2,0))</f>
        <v/>
      </c>
      <c r="K858" s="24"/>
    </row>
    <row r="859">
      <c r="A859" s="21"/>
      <c r="B859" s="21"/>
      <c r="C859" s="23"/>
      <c r="D859" s="21"/>
      <c r="E859" s="21"/>
      <c r="F859" s="21"/>
      <c r="G859" s="21"/>
      <c r="H859" s="21"/>
      <c r="I859" s="21" t="str">
        <f>IF(G859="","",VLOOKUP(G859,frecuencia[#ALL],2,0))</f>
        <v/>
      </c>
      <c r="J859" s="21" t="str">
        <f>IF(H859="","",VLOOKUP(H859,tipo_donante[#ALL],2,0))</f>
        <v/>
      </c>
      <c r="K859" s="24"/>
    </row>
    <row r="860">
      <c r="A860" s="21"/>
      <c r="B860" s="21"/>
      <c r="C860" s="23"/>
      <c r="D860" s="21"/>
      <c r="E860" s="21"/>
      <c r="F860" s="21"/>
      <c r="G860" s="21"/>
      <c r="H860" s="21"/>
      <c r="I860" s="21" t="str">
        <f>IF(G860="","",VLOOKUP(G860,frecuencia[#ALL],2,0))</f>
        <v/>
      </c>
      <c r="J860" s="21" t="str">
        <f>IF(H860="","",VLOOKUP(H860,tipo_donante[#ALL],2,0))</f>
        <v/>
      </c>
      <c r="K860" s="24"/>
    </row>
    <row r="861">
      <c r="A861" s="21"/>
      <c r="B861" s="21"/>
      <c r="C861" s="23"/>
      <c r="D861" s="21"/>
      <c r="E861" s="21"/>
      <c r="F861" s="21"/>
      <c r="G861" s="21"/>
      <c r="H861" s="21"/>
      <c r="I861" s="21" t="str">
        <f>IF(G861="","",VLOOKUP(G861,frecuencia[#ALL],2,0))</f>
        <v/>
      </c>
      <c r="J861" s="21" t="str">
        <f>IF(H861="","",VLOOKUP(H861,tipo_donante[#ALL],2,0))</f>
        <v/>
      </c>
      <c r="K861" s="24"/>
    </row>
    <row r="862">
      <c r="A862" s="21"/>
      <c r="B862" s="21"/>
      <c r="C862" s="23"/>
      <c r="D862" s="21"/>
      <c r="E862" s="21"/>
      <c r="F862" s="21"/>
      <c r="G862" s="21"/>
      <c r="H862" s="21"/>
      <c r="I862" s="21" t="str">
        <f>IF(G862="","",VLOOKUP(G862,frecuencia[#ALL],2,0))</f>
        <v/>
      </c>
      <c r="J862" s="21" t="str">
        <f>IF(H862="","",VLOOKUP(H862,tipo_donante[#ALL],2,0))</f>
        <v/>
      </c>
      <c r="K862" s="24"/>
    </row>
    <row r="863">
      <c r="A863" s="21"/>
      <c r="B863" s="21"/>
      <c r="C863" s="23"/>
      <c r="D863" s="21"/>
      <c r="E863" s="21"/>
      <c r="F863" s="21"/>
      <c r="G863" s="21"/>
      <c r="H863" s="21"/>
      <c r="I863" s="21" t="str">
        <f>IF(G863="","",VLOOKUP(G863,frecuencia[#ALL],2,0))</f>
        <v/>
      </c>
      <c r="J863" s="21" t="str">
        <f>IF(H863="","",VLOOKUP(H863,tipo_donante[#ALL],2,0))</f>
        <v/>
      </c>
      <c r="K863" s="24"/>
    </row>
    <row r="864">
      <c r="A864" s="21"/>
      <c r="B864" s="21"/>
      <c r="C864" s="23"/>
      <c r="D864" s="21"/>
      <c r="E864" s="21"/>
      <c r="F864" s="21"/>
      <c r="G864" s="21"/>
      <c r="H864" s="21"/>
      <c r="I864" s="21" t="str">
        <f>IF(G864="","",VLOOKUP(G864,frecuencia[#ALL],2,0))</f>
        <v/>
      </c>
      <c r="J864" s="21" t="str">
        <f>IF(H864="","",VLOOKUP(H864,tipo_donante[#ALL],2,0))</f>
        <v/>
      </c>
      <c r="K864" s="24"/>
    </row>
    <row r="865">
      <c r="A865" s="21"/>
      <c r="B865" s="21"/>
      <c r="C865" s="23"/>
      <c r="D865" s="21"/>
      <c r="E865" s="21"/>
      <c r="F865" s="21"/>
      <c r="G865" s="21"/>
      <c r="H865" s="21"/>
      <c r="I865" s="21" t="str">
        <f>IF(G865="","",VLOOKUP(G865,frecuencia[#ALL],2,0))</f>
        <v/>
      </c>
      <c r="J865" s="21" t="str">
        <f>IF(H865="","",VLOOKUP(H865,tipo_donante[#ALL],2,0))</f>
        <v/>
      </c>
      <c r="K865" s="24"/>
    </row>
    <row r="866">
      <c r="A866" s="21"/>
      <c r="B866" s="21"/>
      <c r="C866" s="23"/>
      <c r="D866" s="21"/>
      <c r="E866" s="21"/>
      <c r="F866" s="21"/>
      <c r="G866" s="21"/>
      <c r="H866" s="21"/>
      <c r="I866" s="21" t="str">
        <f>IF(G866="","",VLOOKUP(G866,frecuencia[#ALL],2,0))</f>
        <v/>
      </c>
      <c r="J866" s="21" t="str">
        <f>IF(H866="","",VLOOKUP(H866,tipo_donante[#ALL],2,0))</f>
        <v/>
      </c>
      <c r="K866" s="24"/>
    </row>
    <row r="867">
      <c r="A867" s="21"/>
      <c r="B867" s="21"/>
      <c r="C867" s="23"/>
      <c r="D867" s="21"/>
      <c r="E867" s="21"/>
      <c r="F867" s="21"/>
      <c r="G867" s="21"/>
      <c r="H867" s="21"/>
      <c r="I867" s="21" t="str">
        <f>IF(G867="","",VLOOKUP(G867,frecuencia[#ALL],2,0))</f>
        <v/>
      </c>
      <c r="J867" s="21" t="str">
        <f>IF(H867="","",VLOOKUP(H867,tipo_donante[#ALL],2,0))</f>
        <v/>
      </c>
      <c r="K867" s="24"/>
    </row>
    <row r="868">
      <c r="A868" s="21"/>
      <c r="B868" s="21"/>
      <c r="C868" s="23"/>
      <c r="D868" s="21"/>
      <c r="E868" s="21"/>
      <c r="F868" s="21"/>
      <c r="G868" s="21"/>
      <c r="H868" s="21"/>
      <c r="I868" s="21" t="str">
        <f>IF(G868="","",VLOOKUP(G868,frecuencia[#ALL],2,0))</f>
        <v/>
      </c>
      <c r="J868" s="21" t="str">
        <f>IF(H868="","",VLOOKUP(H868,tipo_donante[#ALL],2,0))</f>
        <v/>
      </c>
      <c r="K868" s="24"/>
    </row>
    <row r="869">
      <c r="A869" s="21"/>
      <c r="B869" s="21"/>
      <c r="C869" s="23"/>
      <c r="D869" s="21"/>
      <c r="E869" s="21"/>
      <c r="F869" s="21"/>
      <c r="G869" s="21"/>
      <c r="H869" s="21"/>
      <c r="I869" s="21" t="str">
        <f>IF(G869="","",VLOOKUP(G869,frecuencia[#ALL],2,0))</f>
        <v/>
      </c>
      <c r="J869" s="21" t="str">
        <f>IF(H869="","",VLOOKUP(H869,tipo_donante[#ALL],2,0))</f>
        <v/>
      </c>
      <c r="K869" s="24"/>
    </row>
    <row r="870">
      <c r="A870" s="21"/>
      <c r="B870" s="21"/>
      <c r="C870" s="23"/>
      <c r="D870" s="21"/>
      <c r="E870" s="21"/>
      <c r="F870" s="21"/>
      <c r="G870" s="21"/>
      <c r="H870" s="21"/>
      <c r="I870" s="21" t="str">
        <f>IF(G870="","",VLOOKUP(G870,frecuencia[#ALL],2,0))</f>
        <v/>
      </c>
      <c r="J870" s="21" t="str">
        <f>IF(H870="","",VLOOKUP(H870,tipo_donante[#ALL],2,0))</f>
        <v/>
      </c>
      <c r="K870" s="24"/>
    </row>
    <row r="871">
      <c r="A871" s="21"/>
      <c r="B871" s="21"/>
      <c r="C871" s="23"/>
      <c r="D871" s="21"/>
      <c r="E871" s="21"/>
      <c r="F871" s="21"/>
      <c r="G871" s="21"/>
      <c r="H871" s="21"/>
      <c r="I871" s="21" t="str">
        <f>IF(G871="","",VLOOKUP(G871,frecuencia[#ALL],2,0))</f>
        <v/>
      </c>
      <c r="J871" s="21" t="str">
        <f>IF(H871="","",VLOOKUP(H871,tipo_donante[#ALL],2,0))</f>
        <v/>
      </c>
      <c r="K871" s="24"/>
    </row>
    <row r="872">
      <c r="A872" s="21"/>
      <c r="B872" s="21"/>
      <c r="C872" s="23"/>
      <c r="D872" s="21"/>
      <c r="E872" s="21"/>
      <c r="F872" s="21"/>
      <c r="G872" s="21"/>
      <c r="H872" s="21"/>
      <c r="I872" s="21" t="str">
        <f>IF(G872="","",VLOOKUP(G872,frecuencia[#ALL],2,0))</f>
        <v/>
      </c>
      <c r="J872" s="21" t="str">
        <f>IF(H872="","",VLOOKUP(H872,tipo_donante[#ALL],2,0))</f>
        <v/>
      </c>
      <c r="K872" s="24"/>
    </row>
    <row r="873">
      <c r="A873" s="21"/>
      <c r="B873" s="21"/>
      <c r="C873" s="23"/>
      <c r="D873" s="21"/>
      <c r="E873" s="21"/>
      <c r="F873" s="21"/>
      <c r="G873" s="21"/>
      <c r="H873" s="21"/>
      <c r="I873" s="21" t="str">
        <f>IF(G873="","",VLOOKUP(G873,frecuencia[#ALL],2,0))</f>
        <v/>
      </c>
      <c r="J873" s="21" t="str">
        <f>IF(H873="","",VLOOKUP(H873,tipo_donante[#ALL],2,0))</f>
        <v/>
      </c>
      <c r="K873" s="24"/>
    </row>
    <row r="874">
      <c r="A874" s="21"/>
      <c r="B874" s="21"/>
      <c r="C874" s="23"/>
      <c r="D874" s="21"/>
      <c r="E874" s="21"/>
      <c r="F874" s="21"/>
      <c r="G874" s="21"/>
      <c r="H874" s="21"/>
      <c r="I874" s="21" t="str">
        <f>IF(G874="","",VLOOKUP(G874,frecuencia[#ALL],2,0))</f>
        <v/>
      </c>
      <c r="J874" s="21" t="str">
        <f>IF(H874="","",VLOOKUP(H874,tipo_donante[#ALL],2,0))</f>
        <v/>
      </c>
      <c r="K874" s="24"/>
    </row>
    <row r="875">
      <c r="A875" s="21"/>
      <c r="B875" s="21"/>
      <c r="C875" s="23"/>
      <c r="D875" s="21"/>
      <c r="E875" s="21"/>
      <c r="F875" s="21"/>
      <c r="G875" s="21"/>
      <c r="H875" s="21"/>
      <c r="I875" s="21" t="str">
        <f>IF(G875="","",VLOOKUP(G875,frecuencia[#ALL],2,0))</f>
        <v/>
      </c>
      <c r="J875" s="21" t="str">
        <f>IF(H875="","",VLOOKUP(H875,tipo_donante[#ALL],2,0))</f>
        <v/>
      </c>
      <c r="K875" s="24"/>
    </row>
    <row r="876">
      <c r="A876" s="21"/>
      <c r="B876" s="21"/>
      <c r="C876" s="23"/>
      <c r="D876" s="21"/>
      <c r="E876" s="21"/>
      <c r="F876" s="21"/>
      <c r="G876" s="21"/>
      <c r="H876" s="21"/>
      <c r="I876" s="21" t="str">
        <f>IF(G876="","",VLOOKUP(G876,frecuencia[#ALL],2,0))</f>
        <v/>
      </c>
      <c r="J876" s="21" t="str">
        <f>IF(H876="","",VLOOKUP(H876,tipo_donante[#ALL],2,0))</f>
        <v/>
      </c>
      <c r="K876" s="24"/>
    </row>
    <row r="877">
      <c r="A877" s="21"/>
      <c r="B877" s="21"/>
      <c r="C877" s="23"/>
      <c r="D877" s="21"/>
      <c r="E877" s="21"/>
      <c r="F877" s="21"/>
      <c r="G877" s="21"/>
      <c r="H877" s="21"/>
      <c r="I877" s="21" t="str">
        <f>IF(G877="","",VLOOKUP(G877,frecuencia[#ALL],2,0))</f>
        <v/>
      </c>
      <c r="J877" s="21" t="str">
        <f>IF(H877="","",VLOOKUP(H877,tipo_donante[#ALL],2,0))</f>
        <v/>
      </c>
      <c r="K877" s="24"/>
    </row>
    <row r="878">
      <c r="A878" s="21"/>
      <c r="B878" s="21"/>
      <c r="C878" s="23"/>
      <c r="D878" s="21"/>
      <c r="E878" s="21"/>
      <c r="F878" s="21"/>
      <c r="G878" s="21"/>
      <c r="H878" s="21"/>
      <c r="I878" s="21" t="str">
        <f>IF(G878="","",VLOOKUP(G878,frecuencia[#ALL],2,0))</f>
        <v/>
      </c>
      <c r="J878" s="21" t="str">
        <f>IF(H878="","",VLOOKUP(H878,tipo_donante[#ALL],2,0))</f>
        <v/>
      </c>
      <c r="K878" s="24"/>
    </row>
    <row r="879">
      <c r="A879" s="21"/>
      <c r="B879" s="21"/>
      <c r="C879" s="23"/>
      <c r="D879" s="21"/>
      <c r="E879" s="21"/>
      <c r="F879" s="21"/>
      <c r="G879" s="21"/>
      <c r="H879" s="21"/>
      <c r="I879" s="21" t="str">
        <f>IF(G879="","",VLOOKUP(G879,frecuencia[#ALL],2,0))</f>
        <v/>
      </c>
      <c r="J879" s="21" t="str">
        <f>IF(H879="","",VLOOKUP(H879,tipo_donante[#ALL],2,0))</f>
        <v/>
      </c>
      <c r="K879" s="24"/>
    </row>
    <row r="880">
      <c r="A880" s="21"/>
      <c r="B880" s="21"/>
      <c r="C880" s="23"/>
      <c r="D880" s="21"/>
      <c r="E880" s="21"/>
      <c r="F880" s="21"/>
      <c r="G880" s="21"/>
      <c r="H880" s="21"/>
      <c r="I880" s="21" t="str">
        <f>IF(G880="","",VLOOKUP(G880,frecuencia[#ALL],2,0))</f>
        <v/>
      </c>
      <c r="J880" s="21" t="str">
        <f>IF(H880="","",VLOOKUP(H880,tipo_donante[#ALL],2,0))</f>
        <v/>
      </c>
      <c r="K880" s="24"/>
    </row>
    <row r="881">
      <c r="A881" s="21"/>
      <c r="B881" s="21"/>
      <c r="C881" s="23"/>
      <c r="D881" s="21"/>
      <c r="E881" s="21"/>
      <c r="F881" s="21"/>
      <c r="G881" s="21"/>
      <c r="H881" s="21"/>
      <c r="I881" s="21" t="str">
        <f>IF(G881="","",VLOOKUP(G881,frecuencia[#ALL],2,0))</f>
        <v/>
      </c>
      <c r="J881" s="21" t="str">
        <f>IF(H881="","",VLOOKUP(H881,tipo_donante[#ALL],2,0))</f>
        <v/>
      </c>
      <c r="K881" s="24"/>
    </row>
    <row r="882">
      <c r="A882" s="21"/>
      <c r="B882" s="21"/>
      <c r="C882" s="23"/>
      <c r="D882" s="21"/>
      <c r="E882" s="21"/>
      <c r="F882" s="21"/>
      <c r="G882" s="21"/>
      <c r="H882" s="21"/>
      <c r="I882" s="21" t="str">
        <f>IF(G882="","",VLOOKUP(G882,frecuencia[#ALL],2,0))</f>
        <v/>
      </c>
      <c r="J882" s="21" t="str">
        <f>IF(H882="","",VLOOKUP(H882,tipo_donante[#ALL],2,0))</f>
        <v/>
      </c>
      <c r="K882" s="24"/>
    </row>
    <row r="883">
      <c r="A883" s="21"/>
      <c r="B883" s="21"/>
      <c r="C883" s="23"/>
      <c r="D883" s="21"/>
      <c r="E883" s="21"/>
      <c r="F883" s="21"/>
      <c r="G883" s="21"/>
      <c r="H883" s="21"/>
      <c r="I883" s="21" t="str">
        <f>IF(G883="","",VLOOKUP(G883,frecuencia[#ALL],2,0))</f>
        <v/>
      </c>
      <c r="J883" s="21" t="str">
        <f>IF(H883="","",VLOOKUP(H883,tipo_donante[#ALL],2,0))</f>
        <v/>
      </c>
      <c r="K883" s="24"/>
    </row>
    <row r="884">
      <c r="A884" s="21"/>
      <c r="B884" s="21"/>
      <c r="C884" s="23"/>
      <c r="D884" s="21"/>
      <c r="E884" s="21"/>
      <c r="F884" s="21"/>
      <c r="G884" s="21"/>
      <c r="H884" s="21"/>
      <c r="I884" s="21" t="str">
        <f>IF(G884="","",VLOOKUP(G884,frecuencia[#ALL],2,0))</f>
        <v/>
      </c>
      <c r="J884" s="21" t="str">
        <f>IF(H884="","",VLOOKUP(H884,tipo_donante[#ALL],2,0))</f>
        <v/>
      </c>
      <c r="K884" s="24"/>
    </row>
    <row r="885">
      <c r="A885" s="21"/>
      <c r="B885" s="21"/>
      <c r="C885" s="23"/>
      <c r="D885" s="21"/>
      <c r="E885" s="21"/>
      <c r="F885" s="21"/>
      <c r="G885" s="21"/>
      <c r="H885" s="21"/>
      <c r="I885" s="21" t="str">
        <f>IF(G885="","",VLOOKUP(G885,frecuencia[#ALL],2,0))</f>
        <v/>
      </c>
      <c r="J885" s="21" t="str">
        <f>IF(H885="","",VLOOKUP(H885,tipo_donante[#ALL],2,0))</f>
        <v/>
      </c>
      <c r="K885" s="24"/>
    </row>
    <row r="886">
      <c r="A886" s="21"/>
      <c r="B886" s="21"/>
      <c r="C886" s="23"/>
      <c r="D886" s="21"/>
      <c r="E886" s="21"/>
      <c r="F886" s="21"/>
      <c r="G886" s="21"/>
      <c r="H886" s="21"/>
      <c r="I886" s="21" t="str">
        <f>IF(G886="","",VLOOKUP(G886,frecuencia[#ALL],2,0))</f>
        <v/>
      </c>
      <c r="J886" s="21" t="str">
        <f>IF(H886="","",VLOOKUP(H886,tipo_donante[#ALL],2,0))</f>
        <v/>
      </c>
      <c r="K886" s="24"/>
    </row>
    <row r="887">
      <c r="A887" s="21"/>
      <c r="B887" s="21"/>
      <c r="C887" s="23"/>
      <c r="D887" s="21"/>
      <c r="E887" s="21"/>
      <c r="F887" s="21"/>
      <c r="G887" s="21"/>
      <c r="H887" s="21"/>
      <c r="I887" s="21" t="str">
        <f>IF(G887="","",VLOOKUP(G887,frecuencia[#ALL],2,0))</f>
        <v/>
      </c>
      <c r="J887" s="21" t="str">
        <f>IF(H887="","",VLOOKUP(H887,tipo_donante[#ALL],2,0))</f>
        <v/>
      </c>
      <c r="K887" s="24"/>
    </row>
    <row r="888">
      <c r="A888" s="21"/>
      <c r="B888" s="21"/>
      <c r="C888" s="23"/>
      <c r="D888" s="21"/>
      <c r="E888" s="21"/>
      <c r="F888" s="21"/>
      <c r="G888" s="21"/>
      <c r="H888" s="21"/>
      <c r="I888" s="21" t="str">
        <f>IF(G888="","",VLOOKUP(G888,frecuencia[#ALL],2,0))</f>
        <v/>
      </c>
      <c r="J888" s="21" t="str">
        <f>IF(H888="","",VLOOKUP(H888,tipo_donante[#ALL],2,0))</f>
        <v/>
      </c>
      <c r="K888" s="24"/>
    </row>
    <row r="889">
      <c r="A889" s="21"/>
      <c r="B889" s="21"/>
      <c r="C889" s="23"/>
      <c r="D889" s="21"/>
      <c r="E889" s="21"/>
      <c r="F889" s="21"/>
      <c r="G889" s="21"/>
      <c r="H889" s="21"/>
      <c r="I889" s="21" t="str">
        <f>IF(G889="","",VLOOKUP(G889,frecuencia[#ALL],2,0))</f>
        <v/>
      </c>
      <c r="J889" s="21" t="str">
        <f>IF(H889="","",VLOOKUP(H889,tipo_donante[#ALL],2,0))</f>
        <v/>
      </c>
      <c r="K889" s="24"/>
    </row>
    <row r="890">
      <c r="A890" s="21"/>
      <c r="B890" s="21"/>
      <c r="C890" s="23"/>
      <c r="D890" s="21"/>
      <c r="E890" s="21"/>
      <c r="F890" s="21"/>
      <c r="G890" s="21"/>
      <c r="H890" s="21"/>
      <c r="I890" s="21" t="str">
        <f>IF(G890="","",VLOOKUP(G890,frecuencia[#ALL],2,0))</f>
        <v/>
      </c>
      <c r="J890" s="21" t="str">
        <f>IF(H890="","",VLOOKUP(H890,tipo_donante[#ALL],2,0))</f>
        <v/>
      </c>
      <c r="K890" s="24"/>
    </row>
    <row r="891">
      <c r="A891" s="21"/>
      <c r="B891" s="21"/>
      <c r="C891" s="23"/>
      <c r="D891" s="21"/>
      <c r="E891" s="21"/>
      <c r="F891" s="21"/>
      <c r="G891" s="21"/>
      <c r="H891" s="21"/>
      <c r="I891" s="21" t="str">
        <f>IF(G891="","",VLOOKUP(G891,frecuencia[#ALL],2,0))</f>
        <v/>
      </c>
      <c r="J891" s="21" t="str">
        <f>IF(H891="","",VLOOKUP(H891,tipo_donante[#ALL],2,0))</f>
        <v/>
      </c>
      <c r="K891" s="24"/>
    </row>
    <row r="892">
      <c r="A892" s="21"/>
      <c r="B892" s="21"/>
      <c r="C892" s="23"/>
      <c r="D892" s="21"/>
      <c r="E892" s="21"/>
      <c r="F892" s="21"/>
      <c r="G892" s="21"/>
      <c r="H892" s="21"/>
      <c r="I892" s="21" t="str">
        <f>IF(G892="","",VLOOKUP(G892,frecuencia[#ALL],2,0))</f>
        <v/>
      </c>
      <c r="J892" s="21" t="str">
        <f>IF(H892="","",VLOOKUP(H892,tipo_donante[#ALL],2,0))</f>
        <v/>
      </c>
      <c r="K892" s="24"/>
    </row>
    <row r="893">
      <c r="A893" s="21"/>
      <c r="B893" s="21"/>
      <c r="C893" s="23"/>
      <c r="D893" s="21"/>
      <c r="E893" s="21"/>
      <c r="F893" s="21"/>
      <c r="G893" s="21"/>
      <c r="H893" s="21"/>
      <c r="I893" s="21" t="str">
        <f>IF(G893="","",VLOOKUP(G893,frecuencia[#ALL],2,0))</f>
        <v/>
      </c>
      <c r="J893" s="21" t="str">
        <f>IF(H893="","",VLOOKUP(H893,tipo_donante[#ALL],2,0))</f>
        <v/>
      </c>
      <c r="K893" s="24"/>
    </row>
    <row r="894">
      <c r="A894" s="21"/>
      <c r="B894" s="21"/>
      <c r="C894" s="23"/>
      <c r="D894" s="21"/>
      <c r="E894" s="21"/>
      <c r="F894" s="21"/>
      <c r="G894" s="21"/>
      <c r="H894" s="21"/>
      <c r="I894" s="21" t="str">
        <f>IF(G894="","",VLOOKUP(G894,frecuencia[#ALL],2,0))</f>
        <v/>
      </c>
      <c r="J894" s="21" t="str">
        <f>IF(H894="","",VLOOKUP(H894,tipo_donante[#ALL],2,0))</f>
        <v/>
      </c>
      <c r="K894" s="24"/>
    </row>
    <row r="895">
      <c r="A895" s="21"/>
      <c r="B895" s="21"/>
      <c r="C895" s="23"/>
      <c r="D895" s="21"/>
      <c r="E895" s="21"/>
      <c r="F895" s="21"/>
      <c r="G895" s="21"/>
      <c r="H895" s="21"/>
      <c r="I895" s="21" t="str">
        <f>IF(G895="","",VLOOKUP(G895,frecuencia[#ALL],2,0))</f>
        <v/>
      </c>
      <c r="J895" s="21" t="str">
        <f>IF(H895="","",VLOOKUP(H895,tipo_donante[#ALL],2,0))</f>
        <v/>
      </c>
      <c r="K895" s="24"/>
    </row>
    <row r="896">
      <c r="A896" s="21"/>
      <c r="B896" s="21"/>
      <c r="C896" s="23"/>
      <c r="D896" s="21"/>
      <c r="E896" s="21"/>
      <c r="F896" s="21"/>
      <c r="G896" s="21"/>
      <c r="H896" s="21"/>
      <c r="I896" s="21" t="str">
        <f>IF(G896="","",VLOOKUP(G896,frecuencia[#ALL],2,0))</f>
        <v/>
      </c>
      <c r="J896" s="21" t="str">
        <f>IF(H896="","",VLOOKUP(H896,tipo_donante[#ALL],2,0))</f>
        <v/>
      </c>
      <c r="K896" s="24"/>
    </row>
    <row r="897">
      <c r="A897" s="21"/>
      <c r="B897" s="21"/>
      <c r="C897" s="23"/>
      <c r="D897" s="21"/>
      <c r="E897" s="21"/>
      <c r="F897" s="21"/>
      <c r="G897" s="21"/>
      <c r="H897" s="21"/>
      <c r="I897" s="21" t="str">
        <f>IF(G897="","",VLOOKUP(G897,frecuencia[#ALL],2,0))</f>
        <v/>
      </c>
      <c r="J897" s="21" t="str">
        <f>IF(H897="","",VLOOKUP(H897,tipo_donante[#ALL],2,0))</f>
        <v/>
      </c>
      <c r="K897" s="24"/>
    </row>
    <row r="898">
      <c r="A898" s="21"/>
      <c r="B898" s="21"/>
      <c r="C898" s="23"/>
      <c r="D898" s="21"/>
      <c r="E898" s="21"/>
      <c r="F898" s="21"/>
      <c r="G898" s="21"/>
      <c r="H898" s="21"/>
      <c r="I898" s="21" t="str">
        <f>IF(G898="","",VLOOKUP(G898,frecuencia[#ALL],2,0))</f>
        <v/>
      </c>
      <c r="J898" s="21" t="str">
        <f>IF(H898="","",VLOOKUP(H898,tipo_donante[#ALL],2,0))</f>
        <v/>
      </c>
      <c r="K898" s="24"/>
    </row>
    <row r="899">
      <c r="A899" s="21"/>
      <c r="B899" s="21"/>
      <c r="C899" s="23"/>
      <c r="D899" s="21"/>
      <c r="E899" s="21"/>
      <c r="F899" s="21"/>
      <c r="G899" s="21"/>
      <c r="H899" s="21"/>
      <c r="I899" s="21" t="str">
        <f>IF(G899="","",VLOOKUP(G899,frecuencia[#ALL],2,0))</f>
        <v/>
      </c>
      <c r="J899" s="21" t="str">
        <f>IF(H899="","",VLOOKUP(H899,tipo_donante[#ALL],2,0))</f>
        <v/>
      </c>
      <c r="K899" s="24"/>
    </row>
    <row r="900">
      <c r="A900" s="21"/>
      <c r="B900" s="21"/>
      <c r="C900" s="23"/>
      <c r="D900" s="21"/>
      <c r="E900" s="21"/>
      <c r="F900" s="21"/>
      <c r="G900" s="21"/>
      <c r="H900" s="21"/>
      <c r="I900" s="21" t="str">
        <f>IF(G900="","",VLOOKUP(G900,frecuencia[#ALL],2,0))</f>
        <v/>
      </c>
      <c r="J900" s="21" t="str">
        <f>IF(H900="","",VLOOKUP(H900,tipo_donante[#ALL],2,0))</f>
        <v/>
      </c>
      <c r="K900" s="24"/>
    </row>
    <row r="901">
      <c r="A901" s="21"/>
      <c r="B901" s="21"/>
      <c r="C901" s="23"/>
      <c r="D901" s="21"/>
      <c r="E901" s="21"/>
      <c r="F901" s="21"/>
      <c r="G901" s="21"/>
      <c r="H901" s="21"/>
      <c r="I901" s="21" t="str">
        <f>IF(G901="","",VLOOKUP(G901,frecuencia[#ALL],2,0))</f>
        <v/>
      </c>
      <c r="J901" s="21" t="str">
        <f>IF(H901="","",VLOOKUP(H901,tipo_donante[#ALL],2,0))</f>
        <v/>
      </c>
      <c r="K901" s="24"/>
    </row>
    <row r="902">
      <c r="A902" s="21"/>
      <c r="B902" s="21"/>
      <c r="C902" s="23"/>
      <c r="D902" s="21"/>
      <c r="E902" s="21"/>
      <c r="F902" s="21"/>
      <c r="G902" s="21"/>
      <c r="H902" s="21"/>
      <c r="I902" s="21" t="str">
        <f>IF(G902="","",VLOOKUP(G902,frecuencia[#ALL],2,0))</f>
        <v/>
      </c>
      <c r="J902" s="21" t="str">
        <f>IF(H902="","",VLOOKUP(H902,tipo_donante[#ALL],2,0))</f>
        <v/>
      </c>
      <c r="K902" s="24"/>
    </row>
    <row r="903">
      <c r="A903" s="21"/>
      <c r="B903" s="21"/>
      <c r="C903" s="23"/>
      <c r="D903" s="21"/>
      <c r="E903" s="21"/>
      <c r="F903" s="21"/>
      <c r="G903" s="21"/>
      <c r="H903" s="21"/>
      <c r="I903" s="21" t="str">
        <f>IF(G903="","",VLOOKUP(G903,frecuencia[#ALL],2,0))</f>
        <v/>
      </c>
      <c r="J903" s="21" t="str">
        <f>IF(H903="","",VLOOKUP(H903,tipo_donante[#ALL],2,0))</f>
        <v/>
      </c>
      <c r="K903" s="24"/>
    </row>
    <row r="904">
      <c r="A904" s="21"/>
      <c r="B904" s="21"/>
      <c r="C904" s="23"/>
      <c r="D904" s="21"/>
      <c r="E904" s="21"/>
      <c r="F904" s="21"/>
      <c r="G904" s="21"/>
      <c r="H904" s="21"/>
      <c r="I904" s="21" t="str">
        <f>IF(G904="","",VLOOKUP(G904,frecuencia[#ALL],2,0))</f>
        <v/>
      </c>
      <c r="J904" s="21" t="str">
        <f>IF(H904="","",VLOOKUP(H904,tipo_donante[#ALL],2,0))</f>
        <v/>
      </c>
      <c r="K904" s="24"/>
    </row>
    <row r="905">
      <c r="A905" s="21"/>
      <c r="B905" s="21"/>
      <c r="C905" s="23"/>
      <c r="D905" s="21"/>
      <c r="E905" s="21"/>
      <c r="F905" s="21"/>
      <c r="G905" s="21"/>
      <c r="H905" s="21"/>
      <c r="I905" s="21" t="str">
        <f>IF(G905="","",VLOOKUP(G905,frecuencia[#ALL],2,0))</f>
        <v/>
      </c>
      <c r="J905" s="21" t="str">
        <f>IF(H905="","",VLOOKUP(H905,tipo_donante[#ALL],2,0))</f>
        <v/>
      </c>
      <c r="K905" s="24"/>
    </row>
    <row r="906">
      <c r="A906" s="21"/>
      <c r="B906" s="21"/>
      <c r="C906" s="23"/>
      <c r="D906" s="21"/>
      <c r="E906" s="21"/>
      <c r="F906" s="21"/>
      <c r="G906" s="21"/>
      <c r="H906" s="21"/>
      <c r="I906" s="21" t="str">
        <f>IF(G906="","",VLOOKUP(G906,frecuencia[#ALL],2,0))</f>
        <v/>
      </c>
      <c r="J906" s="21" t="str">
        <f>IF(H906="","",VLOOKUP(H906,tipo_donante[#ALL],2,0))</f>
        <v/>
      </c>
      <c r="K906" s="24"/>
    </row>
    <row r="907">
      <c r="A907" s="21"/>
      <c r="B907" s="21"/>
      <c r="C907" s="23"/>
      <c r="D907" s="21"/>
      <c r="E907" s="21"/>
      <c r="F907" s="21"/>
      <c r="G907" s="21"/>
      <c r="H907" s="21"/>
      <c r="I907" s="21" t="str">
        <f>IF(G907="","",VLOOKUP(G907,frecuencia[#ALL],2,0))</f>
        <v/>
      </c>
      <c r="J907" s="21" t="str">
        <f>IF(H907="","",VLOOKUP(H907,tipo_donante[#ALL],2,0))</f>
        <v/>
      </c>
      <c r="K907" s="24"/>
    </row>
    <row r="908">
      <c r="A908" s="21"/>
      <c r="B908" s="21"/>
      <c r="C908" s="23"/>
      <c r="D908" s="21"/>
      <c r="E908" s="21"/>
      <c r="F908" s="21"/>
      <c r="G908" s="21"/>
      <c r="H908" s="21"/>
      <c r="I908" s="21" t="str">
        <f>IF(G908="","",VLOOKUP(G908,frecuencia[#ALL],2,0))</f>
        <v/>
      </c>
      <c r="J908" s="21" t="str">
        <f>IF(H908="","",VLOOKUP(H908,tipo_donante[#ALL],2,0))</f>
        <v/>
      </c>
      <c r="K908" s="24"/>
    </row>
    <row r="909">
      <c r="A909" s="21"/>
      <c r="B909" s="21"/>
      <c r="C909" s="23"/>
      <c r="D909" s="21"/>
      <c r="E909" s="21"/>
      <c r="F909" s="21"/>
      <c r="G909" s="21"/>
      <c r="H909" s="21"/>
      <c r="I909" s="21" t="str">
        <f>IF(G909="","",VLOOKUP(G909,frecuencia[#ALL],2,0))</f>
        <v/>
      </c>
      <c r="J909" s="21" t="str">
        <f>IF(H909="","",VLOOKUP(H909,tipo_donante[#ALL],2,0))</f>
        <v/>
      </c>
      <c r="K909" s="24"/>
    </row>
    <row r="910">
      <c r="A910" s="21"/>
      <c r="B910" s="21"/>
      <c r="C910" s="23"/>
      <c r="D910" s="21"/>
      <c r="E910" s="21"/>
      <c r="F910" s="21"/>
      <c r="G910" s="21"/>
      <c r="H910" s="21"/>
      <c r="I910" s="21" t="str">
        <f>IF(G910="","",VLOOKUP(G910,frecuencia[#ALL],2,0))</f>
        <v/>
      </c>
      <c r="J910" s="21" t="str">
        <f>IF(H910="","",VLOOKUP(H910,tipo_donante[#ALL],2,0))</f>
        <v/>
      </c>
      <c r="K910" s="24"/>
    </row>
    <row r="911">
      <c r="A911" s="21"/>
      <c r="B911" s="21"/>
      <c r="C911" s="23"/>
      <c r="D911" s="21"/>
      <c r="E911" s="21"/>
      <c r="F911" s="21"/>
      <c r="G911" s="21"/>
      <c r="H911" s="21"/>
      <c r="I911" s="21" t="str">
        <f>IF(G911="","",VLOOKUP(G911,frecuencia[#ALL],2,0))</f>
        <v/>
      </c>
      <c r="J911" s="21" t="str">
        <f>IF(H911="","",VLOOKUP(H911,tipo_donante[#ALL],2,0))</f>
        <v/>
      </c>
      <c r="K911" s="24"/>
    </row>
    <row r="912">
      <c r="A912" s="21"/>
      <c r="B912" s="21"/>
      <c r="C912" s="23"/>
      <c r="D912" s="21"/>
      <c r="E912" s="21"/>
      <c r="F912" s="21"/>
      <c r="G912" s="21"/>
      <c r="H912" s="21"/>
      <c r="I912" s="21" t="str">
        <f>IF(G912="","",VLOOKUP(G912,frecuencia[#ALL],2,0))</f>
        <v/>
      </c>
      <c r="J912" s="21" t="str">
        <f>IF(H912="","",VLOOKUP(H912,tipo_donante[#ALL],2,0))</f>
        <v/>
      </c>
      <c r="K912" s="24"/>
    </row>
    <row r="913">
      <c r="A913" s="21"/>
      <c r="B913" s="21"/>
      <c r="C913" s="23"/>
      <c r="D913" s="21"/>
      <c r="E913" s="21"/>
      <c r="F913" s="21"/>
      <c r="G913" s="21"/>
      <c r="H913" s="21"/>
      <c r="I913" s="21" t="str">
        <f>IF(G913="","",VLOOKUP(G913,frecuencia[#ALL],2,0))</f>
        <v/>
      </c>
      <c r="J913" s="21" t="str">
        <f>IF(H913="","",VLOOKUP(H913,tipo_donante[#ALL],2,0))</f>
        <v/>
      </c>
      <c r="K913" s="24"/>
    </row>
    <row r="914">
      <c r="A914" s="21"/>
      <c r="B914" s="21"/>
      <c r="C914" s="23"/>
      <c r="D914" s="21"/>
      <c r="E914" s="21"/>
      <c r="F914" s="21"/>
      <c r="G914" s="21"/>
      <c r="H914" s="21"/>
      <c r="I914" s="21" t="str">
        <f>IF(G914="","",VLOOKUP(G914,frecuencia[#ALL],2,0))</f>
        <v/>
      </c>
      <c r="J914" s="21" t="str">
        <f>IF(H914="","",VLOOKUP(H914,tipo_donante[#ALL],2,0))</f>
        <v/>
      </c>
      <c r="K914" s="24"/>
    </row>
    <row r="915">
      <c r="A915" s="21"/>
      <c r="B915" s="21"/>
      <c r="C915" s="23"/>
      <c r="D915" s="21"/>
      <c r="E915" s="21"/>
      <c r="F915" s="21"/>
      <c r="G915" s="21"/>
      <c r="H915" s="21"/>
      <c r="I915" s="21" t="str">
        <f>IF(G915="","",VLOOKUP(G915,frecuencia[#ALL],2,0))</f>
        <v/>
      </c>
      <c r="J915" s="21" t="str">
        <f>IF(H915="","",VLOOKUP(H915,tipo_donante[#ALL],2,0))</f>
        <v/>
      </c>
      <c r="K915" s="24"/>
    </row>
    <row r="916">
      <c r="A916" s="21"/>
      <c r="B916" s="21"/>
      <c r="C916" s="23"/>
      <c r="D916" s="21"/>
      <c r="E916" s="21"/>
      <c r="F916" s="21"/>
      <c r="G916" s="21"/>
      <c r="H916" s="21"/>
      <c r="I916" s="21" t="str">
        <f>IF(G916="","",VLOOKUP(G916,frecuencia[#ALL],2,0))</f>
        <v/>
      </c>
      <c r="J916" s="21" t="str">
        <f>IF(H916="","",VLOOKUP(H916,tipo_donante[#ALL],2,0))</f>
        <v/>
      </c>
      <c r="K916" s="24"/>
    </row>
    <row r="917">
      <c r="A917" s="21"/>
      <c r="B917" s="21"/>
      <c r="C917" s="23"/>
      <c r="D917" s="21"/>
      <c r="E917" s="21"/>
      <c r="F917" s="21"/>
      <c r="G917" s="21"/>
      <c r="H917" s="21"/>
      <c r="I917" s="21" t="str">
        <f>IF(G917="","",VLOOKUP(G917,frecuencia[#ALL],2,0))</f>
        <v/>
      </c>
      <c r="J917" s="21" t="str">
        <f>IF(H917="","",VLOOKUP(H917,tipo_donante[#ALL],2,0))</f>
        <v/>
      </c>
      <c r="K917" s="24"/>
    </row>
    <row r="918">
      <c r="A918" s="21"/>
      <c r="B918" s="21"/>
      <c r="C918" s="23"/>
      <c r="D918" s="21"/>
      <c r="E918" s="21"/>
      <c r="F918" s="21"/>
      <c r="G918" s="21"/>
      <c r="H918" s="21"/>
      <c r="I918" s="21" t="str">
        <f>IF(G918="","",VLOOKUP(G918,frecuencia[#ALL],2,0))</f>
        <v/>
      </c>
      <c r="J918" s="21" t="str">
        <f>IF(H918="","",VLOOKUP(H918,tipo_donante[#ALL],2,0))</f>
        <v/>
      </c>
      <c r="K918" s="24"/>
    </row>
    <row r="919">
      <c r="A919" s="21"/>
      <c r="B919" s="21"/>
      <c r="C919" s="23"/>
      <c r="D919" s="21"/>
      <c r="E919" s="21"/>
      <c r="F919" s="21"/>
      <c r="G919" s="21"/>
      <c r="H919" s="21"/>
      <c r="I919" s="21" t="str">
        <f>IF(G919="","",VLOOKUP(G919,frecuencia[#ALL],2,0))</f>
        <v/>
      </c>
      <c r="J919" s="21" t="str">
        <f>IF(H919="","",VLOOKUP(H919,tipo_donante[#ALL],2,0))</f>
        <v/>
      </c>
      <c r="K919" s="24"/>
    </row>
    <row r="920">
      <c r="A920" s="21"/>
      <c r="B920" s="21"/>
      <c r="C920" s="23"/>
      <c r="D920" s="21"/>
      <c r="E920" s="21"/>
      <c r="F920" s="21"/>
      <c r="G920" s="21"/>
      <c r="H920" s="21"/>
      <c r="I920" s="21" t="str">
        <f>IF(G920="","",VLOOKUP(G920,frecuencia[#ALL],2,0))</f>
        <v/>
      </c>
      <c r="J920" s="21" t="str">
        <f>IF(H920="","",VLOOKUP(H920,tipo_donante[#ALL],2,0))</f>
        <v/>
      </c>
      <c r="K920" s="24"/>
    </row>
    <row r="921">
      <c r="A921" s="21"/>
      <c r="B921" s="21"/>
      <c r="C921" s="23"/>
      <c r="D921" s="21"/>
      <c r="E921" s="21"/>
      <c r="F921" s="21"/>
      <c r="G921" s="21"/>
      <c r="H921" s="21"/>
      <c r="I921" s="21" t="str">
        <f>IF(G921="","",VLOOKUP(G921,frecuencia[#ALL],2,0))</f>
        <v/>
      </c>
      <c r="J921" s="21" t="str">
        <f>IF(H921="","",VLOOKUP(H921,tipo_donante[#ALL],2,0))</f>
        <v/>
      </c>
      <c r="K921" s="24"/>
    </row>
    <row r="922">
      <c r="A922" s="21"/>
      <c r="B922" s="21"/>
      <c r="C922" s="23"/>
      <c r="D922" s="21"/>
      <c r="E922" s="21"/>
      <c r="F922" s="21"/>
      <c r="G922" s="21"/>
      <c r="H922" s="21"/>
      <c r="I922" s="21" t="str">
        <f>IF(G922="","",VLOOKUP(G922,frecuencia[#ALL],2,0))</f>
        <v/>
      </c>
      <c r="J922" s="21" t="str">
        <f>IF(H922="","",VLOOKUP(H922,tipo_donante[#ALL],2,0))</f>
        <v/>
      </c>
      <c r="K922" s="24"/>
    </row>
    <row r="923">
      <c r="A923" s="21"/>
      <c r="B923" s="21"/>
      <c r="C923" s="23"/>
      <c r="D923" s="21"/>
      <c r="E923" s="21"/>
      <c r="F923" s="21"/>
      <c r="G923" s="21"/>
      <c r="H923" s="21"/>
      <c r="I923" s="21" t="str">
        <f>IF(G923="","",VLOOKUP(G923,frecuencia[#ALL],2,0))</f>
        <v/>
      </c>
      <c r="J923" s="21" t="str">
        <f>IF(H923="","",VLOOKUP(H923,tipo_donante[#ALL],2,0))</f>
        <v/>
      </c>
      <c r="K923" s="24"/>
    </row>
    <row r="924">
      <c r="A924" s="21"/>
      <c r="B924" s="21"/>
      <c r="C924" s="23"/>
      <c r="D924" s="21"/>
      <c r="E924" s="21"/>
      <c r="F924" s="21"/>
      <c r="G924" s="21"/>
      <c r="H924" s="21"/>
      <c r="I924" s="21" t="str">
        <f>IF(G924="","",VLOOKUP(G924,frecuencia[#ALL],2,0))</f>
        <v/>
      </c>
      <c r="J924" s="21" t="str">
        <f>IF(H924="","",VLOOKUP(H924,tipo_donante[#ALL],2,0))</f>
        <v/>
      </c>
      <c r="K924" s="24"/>
    </row>
    <row r="925">
      <c r="A925" s="21"/>
      <c r="B925" s="21"/>
      <c r="C925" s="23"/>
      <c r="D925" s="21"/>
      <c r="E925" s="21"/>
      <c r="F925" s="21"/>
      <c r="G925" s="21"/>
      <c r="H925" s="21"/>
      <c r="I925" s="21" t="str">
        <f>IF(G925="","",VLOOKUP(G925,frecuencia[#ALL],2,0))</f>
        <v/>
      </c>
      <c r="J925" s="21" t="str">
        <f>IF(H925="","",VLOOKUP(H925,tipo_donante[#ALL],2,0))</f>
        <v/>
      </c>
      <c r="K925" s="24"/>
    </row>
    <row r="926">
      <c r="A926" s="21"/>
      <c r="B926" s="21"/>
      <c r="C926" s="23"/>
      <c r="D926" s="21"/>
      <c r="E926" s="21"/>
      <c r="F926" s="21"/>
      <c r="G926" s="21"/>
      <c r="H926" s="21"/>
      <c r="I926" s="21" t="str">
        <f>IF(G926="","",VLOOKUP(G926,frecuencia[#ALL],2,0))</f>
        <v/>
      </c>
      <c r="J926" s="21" t="str">
        <f>IF(H926="","",VLOOKUP(H926,tipo_donante[#ALL],2,0))</f>
        <v/>
      </c>
      <c r="K926" s="24"/>
    </row>
    <row r="927">
      <c r="A927" s="21"/>
      <c r="B927" s="21"/>
      <c r="C927" s="23"/>
      <c r="D927" s="21"/>
      <c r="E927" s="21"/>
      <c r="F927" s="21"/>
      <c r="G927" s="21"/>
      <c r="H927" s="21"/>
      <c r="I927" s="21" t="str">
        <f>IF(G927="","",VLOOKUP(G927,frecuencia[#ALL],2,0))</f>
        <v/>
      </c>
      <c r="J927" s="21" t="str">
        <f>IF(H927="","",VLOOKUP(H927,tipo_donante[#ALL],2,0))</f>
        <v/>
      </c>
      <c r="K927" s="24"/>
    </row>
    <row r="928">
      <c r="A928" s="21"/>
      <c r="B928" s="21"/>
      <c r="C928" s="23"/>
      <c r="D928" s="21"/>
      <c r="E928" s="21"/>
      <c r="F928" s="21"/>
      <c r="G928" s="21"/>
      <c r="H928" s="21"/>
      <c r="I928" s="21" t="str">
        <f>IF(G928="","",VLOOKUP(G928,frecuencia[#ALL],2,0))</f>
        <v/>
      </c>
      <c r="J928" s="21" t="str">
        <f>IF(H928="","",VLOOKUP(H928,tipo_donante[#ALL],2,0))</f>
        <v/>
      </c>
      <c r="K928" s="24"/>
    </row>
    <row r="929">
      <c r="A929" s="21"/>
      <c r="B929" s="21"/>
      <c r="C929" s="23"/>
      <c r="D929" s="21"/>
      <c r="E929" s="21"/>
      <c r="F929" s="21"/>
      <c r="G929" s="21"/>
      <c r="H929" s="21"/>
      <c r="I929" s="21" t="str">
        <f>IF(G929="","",VLOOKUP(G929,frecuencia[#ALL],2,0))</f>
        <v/>
      </c>
      <c r="J929" s="21" t="str">
        <f>IF(H929="","",VLOOKUP(H929,tipo_donante[#ALL],2,0))</f>
        <v/>
      </c>
      <c r="K929" s="24"/>
    </row>
    <row r="930">
      <c r="A930" s="21"/>
      <c r="B930" s="21"/>
      <c r="C930" s="23"/>
      <c r="D930" s="21"/>
      <c r="E930" s="21"/>
      <c r="F930" s="21"/>
      <c r="G930" s="21"/>
      <c r="H930" s="21"/>
      <c r="I930" s="21" t="str">
        <f>IF(G930="","",VLOOKUP(G930,frecuencia[#ALL],2,0))</f>
        <v/>
      </c>
      <c r="J930" s="21" t="str">
        <f>IF(H930="","",VLOOKUP(H930,tipo_donante[#ALL],2,0))</f>
        <v/>
      </c>
      <c r="K930" s="24"/>
    </row>
    <row r="931">
      <c r="A931" s="21"/>
      <c r="B931" s="21"/>
      <c r="C931" s="23"/>
      <c r="D931" s="21"/>
      <c r="E931" s="21"/>
      <c r="F931" s="21"/>
      <c r="G931" s="21"/>
      <c r="H931" s="21"/>
      <c r="I931" s="21" t="str">
        <f>IF(G931="","",VLOOKUP(G931,frecuencia[#ALL],2,0))</f>
        <v/>
      </c>
      <c r="J931" s="21" t="str">
        <f>IF(H931="","",VLOOKUP(H931,tipo_donante[#ALL],2,0))</f>
        <v/>
      </c>
      <c r="K931" s="24"/>
    </row>
    <row r="932">
      <c r="A932" s="21"/>
      <c r="B932" s="21"/>
      <c r="C932" s="23"/>
      <c r="D932" s="21"/>
      <c r="E932" s="21"/>
      <c r="F932" s="21"/>
      <c r="G932" s="21"/>
      <c r="H932" s="21"/>
      <c r="I932" s="21" t="str">
        <f>IF(G932="","",VLOOKUP(G932,frecuencia[#ALL],2,0))</f>
        <v/>
      </c>
      <c r="J932" s="21" t="str">
        <f>IF(H932="","",VLOOKUP(H932,tipo_donante[#ALL],2,0))</f>
        <v/>
      </c>
      <c r="K932" s="24"/>
    </row>
    <row r="933">
      <c r="A933" s="21"/>
      <c r="B933" s="21"/>
      <c r="C933" s="23"/>
      <c r="D933" s="21"/>
      <c r="E933" s="21"/>
      <c r="F933" s="21"/>
      <c r="G933" s="21"/>
      <c r="H933" s="21"/>
      <c r="I933" s="21" t="str">
        <f>IF(G933="","",VLOOKUP(G933,frecuencia[#ALL],2,0))</f>
        <v/>
      </c>
      <c r="J933" s="21" t="str">
        <f>IF(H933="","",VLOOKUP(H933,tipo_donante[#ALL],2,0))</f>
        <v/>
      </c>
      <c r="K933" s="24"/>
    </row>
    <row r="934">
      <c r="A934" s="21"/>
      <c r="B934" s="21"/>
      <c r="C934" s="23"/>
      <c r="D934" s="21"/>
      <c r="E934" s="21"/>
      <c r="F934" s="21"/>
      <c r="G934" s="21"/>
      <c r="H934" s="21"/>
      <c r="I934" s="21" t="str">
        <f>IF(G934="","",VLOOKUP(G934,frecuencia[#ALL],2,0))</f>
        <v/>
      </c>
      <c r="J934" s="21" t="str">
        <f>IF(H934="","",VLOOKUP(H934,tipo_donante[#ALL],2,0))</f>
        <v/>
      </c>
      <c r="K934" s="24"/>
    </row>
    <row r="935">
      <c r="A935" s="21"/>
      <c r="B935" s="21"/>
      <c r="C935" s="23"/>
      <c r="D935" s="21"/>
      <c r="E935" s="21"/>
      <c r="F935" s="21"/>
      <c r="G935" s="21"/>
      <c r="H935" s="21"/>
      <c r="I935" s="21" t="str">
        <f>IF(G935="","",VLOOKUP(G935,frecuencia[#ALL],2,0))</f>
        <v/>
      </c>
      <c r="J935" s="21" t="str">
        <f>IF(H935="","",VLOOKUP(H935,tipo_donante[#ALL],2,0))</f>
        <v/>
      </c>
      <c r="K935" s="24"/>
    </row>
    <row r="936">
      <c r="A936" s="21"/>
      <c r="B936" s="21"/>
      <c r="C936" s="23"/>
      <c r="D936" s="21"/>
      <c r="E936" s="21"/>
      <c r="F936" s="21"/>
      <c r="G936" s="21"/>
      <c r="H936" s="21"/>
      <c r="I936" s="21" t="str">
        <f>IF(G936="","",VLOOKUP(G936,frecuencia[#ALL],2,0))</f>
        <v/>
      </c>
      <c r="J936" s="21" t="str">
        <f>IF(H936="","",VLOOKUP(H936,tipo_donante[#ALL],2,0))</f>
        <v/>
      </c>
      <c r="K936" s="24"/>
    </row>
    <row r="937">
      <c r="A937" s="21"/>
      <c r="B937" s="21"/>
      <c r="C937" s="23"/>
      <c r="D937" s="21"/>
      <c r="E937" s="21"/>
      <c r="F937" s="21"/>
      <c r="G937" s="21"/>
      <c r="H937" s="21"/>
      <c r="I937" s="21" t="str">
        <f>IF(G937="","",VLOOKUP(G937,frecuencia[#ALL],2,0))</f>
        <v/>
      </c>
      <c r="J937" s="21" t="str">
        <f>IF(H937="","",VLOOKUP(H937,tipo_donante[#ALL],2,0))</f>
        <v/>
      </c>
      <c r="K937" s="24"/>
    </row>
    <row r="938">
      <c r="A938" s="21"/>
      <c r="B938" s="21"/>
      <c r="C938" s="23"/>
      <c r="D938" s="21"/>
      <c r="E938" s="21"/>
      <c r="F938" s="21"/>
      <c r="G938" s="21"/>
      <c r="H938" s="21"/>
      <c r="I938" s="21" t="str">
        <f>IF(G938="","",VLOOKUP(G938,frecuencia[#ALL],2,0))</f>
        <v/>
      </c>
      <c r="J938" s="21" t="str">
        <f>IF(H938="","",VLOOKUP(H938,tipo_donante[#ALL],2,0))</f>
        <v/>
      </c>
      <c r="K938" s="24"/>
    </row>
    <row r="939">
      <c r="A939" s="21"/>
      <c r="B939" s="21"/>
      <c r="C939" s="23"/>
      <c r="D939" s="21"/>
      <c r="E939" s="21"/>
      <c r="F939" s="21"/>
      <c r="G939" s="21"/>
      <c r="H939" s="21"/>
      <c r="I939" s="21" t="str">
        <f>IF(G939="","",VLOOKUP(G939,frecuencia[#ALL],2,0))</f>
        <v/>
      </c>
      <c r="J939" s="21" t="str">
        <f>IF(H939="","",VLOOKUP(H939,tipo_donante[#ALL],2,0))</f>
        <v/>
      </c>
      <c r="K939" s="24"/>
    </row>
    <row r="940">
      <c r="A940" s="21"/>
      <c r="B940" s="21"/>
      <c r="C940" s="23"/>
      <c r="D940" s="21"/>
      <c r="E940" s="21"/>
      <c r="F940" s="21"/>
      <c r="G940" s="21"/>
      <c r="H940" s="21"/>
      <c r="I940" s="21" t="str">
        <f>IF(G940="","",VLOOKUP(G940,frecuencia[#ALL],2,0))</f>
        <v/>
      </c>
      <c r="J940" s="21" t="str">
        <f>IF(H940="","",VLOOKUP(H940,tipo_donante[#ALL],2,0))</f>
        <v/>
      </c>
      <c r="K940" s="24"/>
    </row>
    <row r="941">
      <c r="A941" s="21"/>
      <c r="B941" s="21"/>
      <c r="C941" s="23"/>
      <c r="D941" s="21"/>
      <c r="E941" s="21"/>
      <c r="F941" s="21"/>
      <c r="G941" s="21"/>
      <c r="H941" s="21"/>
      <c r="I941" s="21" t="str">
        <f>IF(G941="","",VLOOKUP(G941,frecuencia[#ALL],2,0))</f>
        <v/>
      </c>
      <c r="J941" s="21" t="str">
        <f>IF(H941="","",VLOOKUP(H941,tipo_donante[#ALL],2,0))</f>
        <v/>
      </c>
      <c r="K941" s="24"/>
    </row>
    <row r="942">
      <c r="A942" s="21"/>
      <c r="B942" s="21"/>
      <c r="C942" s="23"/>
      <c r="D942" s="21"/>
      <c r="E942" s="21"/>
      <c r="F942" s="21"/>
      <c r="G942" s="21"/>
      <c r="H942" s="21"/>
      <c r="I942" s="21" t="str">
        <f>IF(G942="","",VLOOKUP(G942,frecuencia[#ALL],2,0))</f>
        <v/>
      </c>
      <c r="J942" s="21" t="str">
        <f>IF(H942="","",VLOOKUP(H942,tipo_donante[#ALL],2,0))</f>
        <v/>
      </c>
      <c r="K942" s="24"/>
    </row>
    <row r="943">
      <c r="A943" s="21"/>
      <c r="B943" s="21"/>
      <c r="C943" s="23"/>
      <c r="D943" s="21"/>
      <c r="E943" s="21"/>
      <c r="F943" s="21"/>
      <c r="G943" s="21"/>
      <c r="H943" s="21"/>
      <c r="I943" s="21" t="str">
        <f>IF(G943="","",VLOOKUP(G943,frecuencia[#ALL],2,0))</f>
        <v/>
      </c>
      <c r="J943" s="21" t="str">
        <f>IF(H943="","",VLOOKUP(H943,tipo_donante[#ALL],2,0))</f>
        <v/>
      </c>
      <c r="K943" s="24"/>
    </row>
    <row r="944">
      <c r="A944" s="21"/>
      <c r="B944" s="21"/>
      <c r="C944" s="23"/>
      <c r="D944" s="21"/>
      <c r="E944" s="21"/>
      <c r="F944" s="21"/>
      <c r="G944" s="21"/>
      <c r="H944" s="21"/>
      <c r="I944" s="21" t="str">
        <f>IF(G944="","",VLOOKUP(G944,frecuencia[#ALL],2,0))</f>
        <v/>
      </c>
      <c r="J944" s="21" t="str">
        <f>IF(H944="","",VLOOKUP(H944,tipo_donante[#ALL],2,0))</f>
        <v/>
      </c>
      <c r="K944" s="24"/>
    </row>
    <row r="945">
      <c r="A945" s="21"/>
      <c r="B945" s="21"/>
      <c r="C945" s="23"/>
      <c r="D945" s="21"/>
      <c r="E945" s="21"/>
      <c r="F945" s="21"/>
      <c r="G945" s="21"/>
      <c r="H945" s="21"/>
      <c r="I945" s="21" t="str">
        <f>IF(G945="","",VLOOKUP(G945,frecuencia[#ALL],2,0))</f>
        <v/>
      </c>
      <c r="J945" s="21" t="str">
        <f>IF(H945="","",VLOOKUP(H945,tipo_donante[#ALL],2,0))</f>
        <v/>
      </c>
      <c r="K945" s="24"/>
    </row>
    <row r="946">
      <c r="A946" s="21"/>
      <c r="B946" s="21"/>
      <c r="C946" s="23"/>
      <c r="D946" s="21"/>
      <c r="E946" s="21"/>
      <c r="F946" s="21"/>
      <c r="G946" s="21"/>
      <c r="H946" s="21"/>
      <c r="I946" s="21" t="str">
        <f>IF(G946="","",VLOOKUP(G946,frecuencia[#ALL],2,0))</f>
        <v/>
      </c>
      <c r="J946" s="21" t="str">
        <f>IF(H946="","",VLOOKUP(H946,tipo_donante[#ALL],2,0))</f>
        <v/>
      </c>
      <c r="K946" s="24"/>
    </row>
    <row r="947">
      <c r="A947" s="21"/>
      <c r="B947" s="21"/>
      <c r="C947" s="23"/>
      <c r="D947" s="21"/>
      <c r="E947" s="21"/>
      <c r="F947" s="21"/>
      <c r="G947" s="21"/>
      <c r="H947" s="21"/>
      <c r="I947" s="21" t="str">
        <f>IF(G947="","",VLOOKUP(G947,frecuencia[#ALL],2,0))</f>
        <v/>
      </c>
      <c r="J947" s="21" t="str">
        <f>IF(H947="","",VLOOKUP(H947,tipo_donante[#ALL],2,0))</f>
        <v/>
      </c>
      <c r="K947" s="24"/>
    </row>
    <row r="948">
      <c r="A948" s="21"/>
      <c r="B948" s="21"/>
      <c r="C948" s="23"/>
      <c r="D948" s="21"/>
      <c r="E948" s="21"/>
      <c r="F948" s="21"/>
      <c r="G948" s="21"/>
      <c r="H948" s="21"/>
      <c r="I948" s="21" t="str">
        <f>IF(G948="","",VLOOKUP(G948,frecuencia[#ALL],2,0))</f>
        <v/>
      </c>
      <c r="J948" s="21" t="str">
        <f>IF(H948="","",VLOOKUP(H948,tipo_donante[#ALL],2,0))</f>
        <v/>
      </c>
      <c r="K948" s="24"/>
    </row>
    <row r="949">
      <c r="A949" s="21"/>
      <c r="B949" s="21"/>
      <c r="C949" s="23"/>
      <c r="D949" s="21"/>
      <c r="E949" s="21"/>
      <c r="F949" s="21"/>
      <c r="G949" s="21"/>
      <c r="H949" s="21"/>
      <c r="I949" s="21" t="str">
        <f>IF(G949="","",VLOOKUP(G949,frecuencia[#ALL],2,0))</f>
        <v/>
      </c>
      <c r="J949" s="21" t="str">
        <f>IF(H949="","",VLOOKUP(H949,tipo_donante[#ALL],2,0))</f>
        <v/>
      </c>
      <c r="K949" s="24"/>
    </row>
    <row r="950">
      <c r="A950" s="21"/>
      <c r="B950" s="21"/>
      <c r="C950" s="23"/>
      <c r="D950" s="21"/>
      <c r="E950" s="21"/>
      <c r="F950" s="21"/>
      <c r="G950" s="21"/>
      <c r="H950" s="21"/>
      <c r="I950" s="21" t="str">
        <f>IF(G950="","",VLOOKUP(G950,frecuencia[#ALL],2,0))</f>
        <v/>
      </c>
      <c r="J950" s="21" t="str">
        <f>IF(H950="","",VLOOKUP(H950,tipo_donante[#ALL],2,0))</f>
        <v/>
      </c>
      <c r="K950" s="24"/>
    </row>
    <row r="951">
      <c r="A951" s="21"/>
      <c r="B951" s="21"/>
      <c r="C951" s="23"/>
      <c r="D951" s="21"/>
      <c r="E951" s="21"/>
      <c r="F951" s="21"/>
      <c r="G951" s="21"/>
      <c r="H951" s="21"/>
      <c r="I951" s="21" t="str">
        <f>IF(G951="","",VLOOKUP(G951,frecuencia[#ALL],2,0))</f>
        <v/>
      </c>
      <c r="J951" s="21" t="str">
        <f>IF(H951="","",VLOOKUP(H951,tipo_donante[#ALL],2,0))</f>
        <v/>
      </c>
      <c r="K951" s="24"/>
    </row>
    <row r="952">
      <c r="A952" s="21"/>
      <c r="B952" s="21"/>
      <c r="C952" s="23"/>
      <c r="D952" s="21"/>
      <c r="E952" s="21"/>
      <c r="F952" s="21"/>
      <c r="G952" s="21"/>
      <c r="H952" s="21"/>
      <c r="I952" s="21" t="str">
        <f>IF(G952="","",VLOOKUP(G952,frecuencia[#ALL],2,0))</f>
        <v/>
      </c>
      <c r="J952" s="21" t="str">
        <f>IF(H952="","",VLOOKUP(H952,tipo_donante[#ALL],2,0))</f>
        <v/>
      </c>
      <c r="K952" s="24"/>
    </row>
    <row r="953">
      <c r="A953" s="21"/>
      <c r="B953" s="21"/>
      <c r="C953" s="23"/>
      <c r="D953" s="21"/>
      <c r="E953" s="21"/>
      <c r="F953" s="21"/>
      <c r="G953" s="21"/>
      <c r="H953" s="21"/>
      <c r="I953" s="21" t="str">
        <f>IF(G953="","",VLOOKUP(G953,frecuencia[#ALL],2,0))</f>
        <v/>
      </c>
      <c r="J953" s="21" t="str">
        <f>IF(H953="","",VLOOKUP(H953,tipo_donante[#ALL],2,0))</f>
        <v/>
      </c>
      <c r="K953" s="24"/>
    </row>
    <row r="954">
      <c r="A954" s="21"/>
      <c r="B954" s="21"/>
      <c r="C954" s="23"/>
      <c r="D954" s="21"/>
      <c r="E954" s="21"/>
      <c r="F954" s="21"/>
      <c r="G954" s="21"/>
      <c r="H954" s="21"/>
      <c r="I954" s="21" t="str">
        <f>IF(G954="","",VLOOKUP(G954,frecuencia[#ALL],2,0))</f>
        <v/>
      </c>
      <c r="J954" s="21" t="str">
        <f>IF(H954="","",VLOOKUP(H954,tipo_donante[#ALL],2,0))</f>
        <v/>
      </c>
      <c r="K954" s="24"/>
    </row>
    <row r="955">
      <c r="A955" s="21"/>
      <c r="B955" s="21"/>
      <c r="C955" s="23"/>
      <c r="D955" s="21"/>
      <c r="E955" s="21"/>
      <c r="F955" s="21"/>
      <c r="G955" s="21"/>
      <c r="H955" s="21"/>
      <c r="I955" s="21" t="str">
        <f>IF(G955="","",VLOOKUP(G955,frecuencia[#ALL],2,0))</f>
        <v/>
      </c>
      <c r="J955" s="21" t="str">
        <f>IF(H955="","",VLOOKUP(H955,tipo_donante[#ALL],2,0))</f>
        <v/>
      </c>
      <c r="K955" s="24"/>
    </row>
    <row r="956">
      <c r="A956" s="21"/>
      <c r="B956" s="21"/>
      <c r="C956" s="23"/>
      <c r="D956" s="21"/>
      <c r="E956" s="21"/>
      <c r="F956" s="21"/>
      <c r="G956" s="21"/>
      <c r="H956" s="21"/>
      <c r="I956" s="21" t="str">
        <f>IF(G956="","",VLOOKUP(G956,frecuencia[#ALL],2,0))</f>
        <v/>
      </c>
      <c r="J956" s="21" t="str">
        <f>IF(H956="","",VLOOKUP(H956,tipo_donante[#ALL],2,0))</f>
        <v/>
      </c>
      <c r="K956" s="24"/>
    </row>
    <row r="957">
      <c r="A957" s="21"/>
      <c r="B957" s="21"/>
      <c r="C957" s="23"/>
      <c r="D957" s="21"/>
      <c r="E957" s="21"/>
      <c r="F957" s="21"/>
      <c r="G957" s="21"/>
      <c r="H957" s="21"/>
      <c r="I957" s="21" t="str">
        <f>IF(G957="","",VLOOKUP(G957,frecuencia[#ALL],2,0))</f>
        <v/>
      </c>
      <c r="J957" s="21" t="str">
        <f>IF(H957="","",VLOOKUP(H957,tipo_donante[#ALL],2,0))</f>
        <v/>
      </c>
      <c r="K957" s="24"/>
    </row>
    <row r="958">
      <c r="A958" s="21"/>
      <c r="B958" s="21"/>
      <c r="C958" s="23"/>
      <c r="D958" s="21"/>
      <c r="E958" s="21"/>
      <c r="F958" s="21"/>
      <c r="G958" s="21"/>
      <c r="H958" s="21"/>
      <c r="I958" s="21" t="str">
        <f>IF(G958="","",VLOOKUP(G958,frecuencia[#ALL],2,0))</f>
        <v/>
      </c>
      <c r="J958" s="21" t="str">
        <f>IF(H958="","",VLOOKUP(H958,tipo_donante[#ALL],2,0))</f>
        <v/>
      </c>
      <c r="K958" s="24"/>
    </row>
    <row r="959">
      <c r="A959" s="21"/>
      <c r="B959" s="21"/>
      <c r="C959" s="23"/>
      <c r="D959" s="21"/>
      <c r="E959" s="21"/>
      <c r="F959" s="21"/>
      <c r="G959" s="21"/>
      <c r="H959" s="21"/>
      <c r="I959" s="21" t="str">
        <f>IF(G959="","",VLOOKUP(G959,frecuencia[#ALL],2,0))</f>
        <v/>
      </c>
      <c r="J959" s="21" t="str">
        <f>IF(H959="","",VLOOKUP(H959,tipo_donante[#ALL],2,0))</f>
        <v/>
      </c>
      <c r="K959" s="24"/>
    </row>
    <row r="960">
      <c r="A960" s="21"/>
      <c r="B960" s="21"/>
      <c r="C960" s="23"/>
      <c r="D960" s="21"/>
      <c r="E960" s="21"/>
      <c r="F960" s="21"/>
      <c r="G960" s="21"/>
      <c r="H960" s="21"/>
      <c r="I960" s="21" t="str">
        <f>IF(G960="","",VLOOKUP(G960,frecuencia[#ALL],2,0))</f>
        <v/>
      </c>
      <c r="J960" s="21" t="str">
        <f>IF(H960="","",VLOOKUP(H960,tipo_donante[#ALL],2,0))</f>
        <v/>
      </c>
      <c r="K960" s="24"/>
    </row>
    <row r="961">
      <c r="A961" s="21"/>
      <c r="B961" s="21"/>
      <c r="C961" s="23"/>
      <c r="D961" s="21"/>
      <c r="E961" s="21"/>
      <c r="F961" s="21"/>
      <c r="G961" s="21"/>
      <c r="H961" s="21"/>
      <c r="I961" s="21" t="str">
        <f>IF(G961="","",VLOOKUP(G961,frecuencia[#ALL],2,0))</f>
        <v/>
      </c>
      <c r="J961" s="21" t="str">
        <f>IF(H961="","",VLOOKUP(H961,tipo_donante[#ALL],2,0))</f>
        <v/>
      </c>
      <c r="K961" s="24"/>
    </row>
    <row r="962">
      <c r="A962" s="21"/>
      <c r="B962" s="21"/>
      <c r="C962" s="23"/>
      <c r="D962" s="21"/>
      <c r="E962" s="21"/>
      <c r="F962" s="21"/>
      <c r="G962" s="21"/>
      <c r="H962" s="21"/>
      <c r="I962" s="21" t="str">
        <f>IF(G962="","",VLOOKUP(G962,frecuencia[#ALL],2,0))</f>
        <v/>
      </c>
      <c r="J962" s="21" t="str">
        <f>IF(H962="","",VLOOKUP(H962,tipo_donante[#ALL],2,0))</f>
        <v/>
      </c>
      <c r="K962" s="24"/>
    </row>
    <row r="963">
      <c r="A963" s="21"/>
      <c r="B963" s="21"/>
      <c r="C963" s="23"/>
      <c r="D963" s="21"/>
      <c r="E963" s="21"/>
      <c r="F963" s="21"/>
      <c r="G963" s="21"/>
      <c r="H963" s="21"/>
      <c r="I963" s="21" t="str">
        <f>IF(G963="","",VLOOKUP(G963,frecuencia[#ALL],2,0))</f>
        <v/>
      </c>
      <c r="J963" s="21" t="str">
        <f>IF(H963="","",VLOOKUP(H963,tipo_donante[#ALL],2,0))</f>
        <v/>
      </c>
      <c r="K963" s="24"/>
    </row>
    <row r="964">
      <c r="A964" s="21"/>
      <c r="B964" s="21"/>
      <c r="C964" s="23"/>
      <c r="D964" s="21"/>
      <c r="E964" s="21"/>
      <c r="F964" s="21"/>
      <c r="G964" s="21"/>
      <c r="H964" s="21"/>
      <c r="I964" s="21" t="str">
        <f>IF(G964="","",VLOOKUP(G964,frecuencia[#ALL],2,0))</f>
        <v/>
      </c>
      <c r="J964" s="21" t="str">
        <f>IF(H964="","",VLOOKUP(H964,tipo_donante[#ALL],2,0))</f>
        <v/>
      </c>
      <c r="K964" s="24"/>
    </row>
    <row r="965">
      <c r="A965" s="21"/>
      <c r="B965" s="21"/>
      <c r="C965" s="23"/>
      <c r="D965" s="21"/>
      <c r="E965" s="21"/>
      <c r="F965" s="21"/>
      <c r="G965" s="21"/>
      <c r="H965" s="21"/>
      <c r="I965" s="21" t="str">
        <f>IF(G965="","",VLOOKUP(G965,frecuencia[#ALL],2,0))</f>
        <v/>
      </c>
      <c r="J965" s="21" t="str">
        <f>IF(H965="","",VLOOKUP(H965,tipo_donante[#ALL],2,0))</f>
        <v/>
      </c>
      <c r="K965" s="24"/>
    </row>
    <row r="966">
      <c r="A966" s="21"/>
      <c r="B966" s="21"/>
      <c r="C966" s="23"/>
      <c r="D966" s="21"/>
      <c r="E966" s="21"/>
      <c r="F966" s="21"/>
      <c r="G966" s="21"/>
      <c r="H966" s="21"/>
      <c r="I966" s="21" t="str">
        <f>IF(G966="","",VLOOKUP(G966,frecuencia[#ALL],2,0))</f>
        <v/>
      </c>
      <c r="J966" s="21" t="str">
        <f>IF(H966="","",VLOOKUP(H966,tipo_donante[#ALL],2,0))</f>
        <v/>
      </c>
      <c r="K966" s="24"/>
    </row>
    <row r="967">
      <c r="A967" s="21"/>
      <c r="B967" s="21"/>
      <c r="C967" s="23"/>
      <c r="D967" s="21"/>
      <c r="E967" s="21"/>
      <c r="F967" s="21"/>
      <c r="G967" s="21"/>
      <c r="H967" s="21"/>
      <c r="I967" s="21" t="str">
        <f>IF(G967="","",VLOOKUP(G967,frecuencia[#ALL],2,0))</f>
        <v/>
      </c>
      <c r="J967" s="21" t="str">
        <f>IF(H967="","",VLOOKUP(H967,tipo_donante[#ALL],2,0))</f>
        <v/>
      </c>
      <c r="K967" s="24"/>
    </row>
    <row r="968">
      <c r="A968" s="21"/>
      <c r="B968" s="21"/>
      <c r="C968" s="23"/>
      <c r="D968" s="21"/>
      <c r="E968" s="21"/>
      <c r="F968" s="21"/>
      <c r="G968" s="21"/>
      <c r="H968" s="21"/>
      <c r="I968" s="21" t="str">
        <f>IF(G968="","",VLOOKUP(G968,frecuencia[#ALL],2,0))</f>
        <v/>
      </c>
      <c r="J968" s="21" t="str">
        <f>IF(H968="","",VLOOKUP(H968,tipo_donante[#ALL],2,0))</f>
        <v/>
      </c>
      <c r="K968" s="24"/>
    </row>
    <row r="969">
      <c r="A969" s="21"/>
      <c r="B969" s="21"/>
      <c r="C969" s="23"/>
      <c r="D969" s="21"/>
      <c r="E969" s="21"/>
      <c r="F969" s="21"/>
      <c r="G969" s="21"/>
      <c r="H969" s="21"/>
      <c r="I969" s="21" t="str">
        <f>IF(G969="","",VLOOKUP(G969,frecuencia[#ALL],2,0))</f>
        <v/>
      </c>
      <c r="J969" s="21" t="str">
        <f>IF(H969="","",VLOOKUP(H969,tipo_donante[#ALL],2,0))</f>
        <v/>
      </c>
      <c r="K969" s="24"/>
    </row>
    <row r="970">
      <c r="A970" s="21"/>
      <c r="B970" s="21"/>
      <c r="C970" s="23"/>
      <c r="D970" s="21"/>
      <c r="E970" s="21"/>
      <c r="F970" s="21"/>
      <c r="G970" s="21"/>
      <c r="H970" s="21"/>
      <c r="I970" s="21" t="str">
        <f>IF(G970="","",VLOOKUP(G970,frecuencia[#ALL],2,0))</f>
        <v/>
      </c>
      <c r="J970" s="21" t="str">
        <f>IF(H970="","",VLOOKUP(H970,tipo_donante[#ALL],2,0))</f>
        <v/>
      </c>
      <c r="K970" s="24"/>
    </row>
    <row r="971">
      <c r="A971" s="21"/>
      <c r="B971" s="21"/>
      <c r="C971" s="23"/>
      <c r="D971" s="21"/>
      <c r="E971" s="21"/>
      <c r="F971" s="21"/>
      <c r="G971" s="21"/>
      <c r="H971" s="21"/>
      <c r="I971" s="21" t="str">
        <f>IF(G971="","",VLOOKUP(G971,frecuencia[#ALL],2,0))</f>
        <v/>
      </c>
      <c r="J971" s="21" t="str">
        <f>IF(H971="","",VLOOKUP(H971,tipo_donante[#ALL],2,0))</f>
        <v/>
      </c>
      <c r="K971" s="24"/>
    </row>
    <row r="972">
      <c r="A972" s="21"/>
      <c r="B972" s="21"/>
      <c r="C972" s="23"/>
      <c r="D972" s="21"/>
      <c r="E972" s="21"/>
      <c r="F972" s="21"/>
      <c r="G972" s="21"/>
      <c r="H972" s="21"/>
      <c r="I972" s="21" t="str">
        <f>IF(G972="","",VLOOKUP(G972,frecuencia[#ALL],2,0))</f>
        <v/>
      </c>
      <c r="J972" s="21" t="str">
        <f>IF(H972="","",VLOOKUP(H972,tipo_donante[#ALL],2,0))</f>
        <v/>
      </c>
      <c r="K972" s="24"/>
    </row>
    <row r="973">
      <c r="A973" s="21"/>
      <c r="B973" s="21"/>
      <c r="C973" s="23"/>
      <c r="D973" s="21"/>
      <c r="E973" s="21"/>
      <c r="F973" s="21"/>
      <c r="G973" s="21"/>
      <c r="H973" s="21"/>
      <c r="I973" s="21" t="str">
        <f>IF(G973="","",VLOOKUP(G973,frecuencia[#ALL],2,0))</f>
        <v/>
      </c>
      <c r="J973" s="21" t="str">
        <f>IF(H973="","",VLOOKUP(H973,tipo_donante[#ALL],2,0))</f>
        <v/>
      </c>
      <c r="K973" s="24"/>
    </row>
    <row r="974">
      <c r="A974" s="21"/>
      <c r="B974" s="21"/>
      <c r="C974" s="23"/>
      <c r="D974" s="21"/>
      <c r="E974" s="21"/>
      <c r="F974" s="21"/>
      <c r="G974" s="21"/>
      <c r="H974" s="21"/>
      <c r="I974" s="21" t="str">
        <f>IF(G974="","",VLOOKUP(G974,frecuencia[#ALL],2,0))</f>
        <v/>
      </c>
      <c r="J974" s="21" t="str">
        <f>IF(H974="","",VLOOKUP(H974,tipo_donante[#ALL],2,0))</f>
        <v/>
      </c>
      <c r="K974" s="24"/>
    </row>
    <row r="975">
      <c r="A975" s="21"/>
      <c r="B975" s="21"/>
      <c r="C975" s="23"/>
      <c r="D975" s="21"/>
      <c r="E975" s="21"/>
      <c r="F975" s="21"/>
      <c r="G975" s="21"/>
      <c r="H975" s="21"/>
      <c r="I975" s="21" t="str">
        <f>IF(G975="","",VLOOKUP(G975,frecuencia[#ALL],2,0))</f>
        <v/>
      </c>
      <c r="J975" s="21" t="str">
        <f>IF(H975="","",VLOOKUP(H975,tipo_donante[#ALL],2,0))</f>
        <v/>
      </c>
      <c r="K975" s="24"/>
    </row>
    <row r="976">
      <c r="A976" s="21"/>
      <c r="B976" s="21"/>
      <c r="C976" s="23"/>
      <c r="D976" s="21"/>
      <c r="E976" s="21"/>
      <c r="F976" s="21"/>
      <c r="G976" s="21"/>
      <c r="H976" s="21"/>
      <c r="I976" s="21" t="str">
        <f>IF(G976="","",VLOOKUP(G976,frecuencia[#ALL],2,0))</f>
        <v/>
      </c>
      <c r="J976" s="21" t="str">
        <f>IF(H976="","",VLOOKUP(H976,tipo_donante[#ALL],2,0))</f>
        <v/>
      </c>
      <c r="K976" s="24"/>
    </row>
    <row r="977">
      <c r="A977" s="21"/>
      <c r="B977" s="21"/>
      <c r="C977" s="23"/>
      <c r="D977" s="21"/>
      <c r="E977" s="21"/>
      <c r="F977" s="21"/>
      <c r="G977" s="21"/>
      <c r="H977" s="21"/>
      <c r="I977" s="21" t="str">
        <f>IF(G977="","",VLOOKUP(G977,frecuencia[#ALL],2,0))</f>
        <v/>
      </c>
      <c r="J977" s="21" t="str">
        <f>IF(H977="","",VLOOKUP(H977,tipo_donante[#ALL],2,0))</f>
        <v/>
      </c>
      <c r="K977" s="24"/>
    </row>
    <row r="978">
      <c r="A978" s="21"/>
      <c r="B978" s="21"/>
      <c r="C978" s="23"/>
      <c r="D978" s="21"/>
      <c r="E978" s="21"/>
      <c r="F978" s="21"/>
      <c r="G978" s="21"/>
      <c r="H978" s="21"/>
      <c r="I978" s="21" t="str">
        <f>IF(G978="","",VLOOKUP(G978,frecuencia[#ALL],2,0))</f>
        <v/>
      </c>
      <c r="J978" s="21" t="str">
        <f>IF(H978="","",VLOOKUP(H978,tipo_donante[#ALL],2,0))</f>
        <v/>
      </c>
      <c r="K978" s="24"/>
    </row>
    <row r="979">
      <c r="A979" s="21"/>
      <c r="B979" s="21"/>
      <c r="C979" s="23"/>
      <c r="D979" s="21"/>
      <c r="E979" s="21"/>
      <c r="F979" s="21"/>
      <c r="G979" s="21"/>
      <c r="H979" s="21"/>
      <c r="I979" s="21" t="str">
        <f>IF(G979="","",VLOOKUP(G979,frecuencia[#ALL],2,0))</f>
        <v/>
      </c>
      <c r="J979" s="21" t="str">
        <f>IF(H979="","",VLOOKUP(H979,tipo_donante[#ALL],2,0))</f>
        <v/>
      </c>
      <c r="K979" s="24"/>
    </row>
    <row r="980">
      <c r="A980" s="21"/>
      <c r="B980" s="21"/>
      <c r="C980" s="23"/>
      <c r="D980" s="21"/>
      <c r="E980" s="21"/>
      <c r="F980" s="21"/>
      <c r="G980" s="21"/>
      <c r="H980" s="21"/>
      <c r="I980" s="21" t="str">
        <f>IF(G980="","",VLOOKUP(G980,frecuencia[#ALL],2,0))</f>
        <v/>
      </c>
      <c r="J980" s="21" t="str">
        <f>IF(H980="","",VLOOKUP(H980,tipo_donante[#ALL],2,0))</f>
        <v/>
      </c>
      <c r="K980" s="24"/>
    </row>
    <row r="981">
      <c r="A981" s="21"/>
      <c r="B981" s="21"/>
      <c r="C981" s="23"/>
      <c r="D981" s="21"/>
      <c r="E981" s="21"/>
      <c r="F981" s="21"/>
      <c r="G981" s="21"/>
      <c r="H981" s="21"/>
      <c r="I981" s="21" t="str">
        <f>IF(G981="","",VLOOKUP(G981,frecuencia[#ALL],2,0))</f>
        <v/>
      </c>
      <c r="J981" s="21" t="str">
        <f>IF(H981="","",VLOOKUP(H981,tipo_donante[#ALL],2,0))</f>
        <v/>
      </c>
      <c r="K981" s="24"/>
    </row>
    <row r="982">
      <c r="A982" s="21"/>
      <c r="B982" s="21"/>
      <c r="C982" s="23"/>
      <c r="D982" s="21"/>
      <c r="E982" s="21"/>
      <c r="F982" s="21"/>
      <c r="G982" s="21"/>
      <c r="H982" s="21"/>
      <c r="I982" s="21" t="str">
        <f>IF(G982="","",VLOOKUP(G982,frecuencia[#ALL],2,0))</f>
        <v/>
      </c>
      <c r="J982" s="21" t="str">
        <f>IF(H982="","",VLOOKUP(H982,tipo_donante[#ALL],2,0))</f>
        <v/>
      </c>
      <c r="K982" s="24"/>
    </row>
    <row r="983">
      <c r="A983" s="21"/>
      <c r="B983" s="21"/>
      <c r="C983" s="23"/>
      <c r="D983" s="21"/>
      <c r="E983" s="21"/>
      <c r="F983" s="21"/>
      <c r="G983" s="21"/>
      <c r="H983" s="21"/>
      <c r="I983" s="21" t="str">
        <f>IF(G983="","",VLOOKUP(G983,frecuencia[#ALL],2,0))</f>
        <v/>
      </c>
      <c r="J983" s="21" t="str">
        <f>IF(H983="","",VLOOKUP(H983,tipo_donante[#ALL],2,0))</f>
        <v/>
      </c>
      <c r="K983" s="24"/>
    </row>
    <row r="984">
      <c r="A984" s="21"/>
      <c r="B984" s="21"/>
      <c r="C984" s="23"/>
      <c r="D984" s="21"/>
      <c r="E984" s="21"/>
      <c r="F984" s="21"/>
      <c r="G984" s="21"/>
      <c r="H984" s="21"/>
      <c r="I984" s="21" t="str">
        <f>IF(G984="","",VLOOKUP(G984,frecuencia[#ALL],2,0))</f>
        <v/>
      </c>
      <c r="J984" s="21" t="str">
        <f>IF(H984="","",VLOOKUP(H984,tipo_donante[#ALL],2,0))</f>
        <v/>
      </c>
      <c r="K984" s="24"/>
    </row>
    <row r="985">
      <c r="A985" s="21"/>
      <c r="B985" s="21"/>
      <c r="C985" s="23"/>
      <c r="D985" s="21"/>
      <c r="E985" s="21"/>
      <c r="F985" s="21"/>
      <c r="G985" s="21"/>
      <c r="H985" s="21"/>
      <c r="I985" s="21" t="str">
        <f>IF(G985="","",VLOOKUP(G985,frecuencia[#ALL],2,0))</f>
        <v/>
      </c>
      <c r="J985" s="21" t="str">
        <f>IF(H985="","",VLOOKUP(H985,tipo_donante[#ALL],2,0))</f>
        <v/>
      </c>
      <c r="K985" s="24"/>
    </row>
    <row r="986">
      <c r="A986" s="21"/>
      <c r="B986" s="21"/>
      <c r="C986" s="23"/>
      <c r="D986" s="21"/>
      <c r="E986" s="21"/>
      <c r="F986" s="21"/>
      <c r="G986" s="21"/>
      <c r="H986" s="21"/>
      <c r="I986" s="21" t="str">
        <f>IF(G986="","",VLOOKUP(G986,frecuencia[#ALL],2,0))</f>
        <v/>
      </c>
      <c r="J986" s="21" t="str">
        <f>IF(H986="","",VLOOKUP(H986,tipo_donante[#ALL],2,0))</f>
        <v/>
      </c>
      <c r="K986" s="24"/>
    </row>
    <row r="987">
      <c r="A987" s="21"/>
      <c r="B987" s="21"/>
      <c r="C987" s="23"/>
      <c r="D987" s="21"/>
      <c r="E987" s="21"/>
      <c r="F987" s="21"/>
      <c r="G987" s="21"/>
      <c r="H987" s="21"/>
      <c r="I987" s="21" t="str">
        <f>IF(G987="","",VLOOKUP(G987,frecuencia[#ALL],2,0))</f>
        <v/>
      </c>
      <c r="J987" s="21" t="str">
        <f>IF(H987="","",VLOOKUP(H987,tipo_donante[#ALL],2,0))</f>
        <v/>
      </c>
      <c r="K987" s="24"/>
    </row>
    <row r="988">
      <c r="A988" s="21"/>
      <c r="B988" s="21"/>
      <c r="C988" s="23"/>
      <c r="D988" s="21"/>
      <c r="E988" s="21"/>
      <c r="F988" s="21"/>
      <c r="G988" s="21"/>
      <c r="H988" s="21"/>
      <c r="I988" s="21" t="str">
        <f>IF(G988="","",VLOOKUP(G988,frecuencia[#ALL],2,0))</f>
        <v/>
      </c>
      <c r="J988" s="21" t="str">
        <f>IF(H988="","",VLOOKUP(H988,tipo_donante[#ALL],2,0))</f>
        <v/>
      </c>
      <c r="K988" s="24"/>
    </row>
    <row r="989">
      <c r="A989" s="21"/>
      <c r="B989" s="21"/>
      <c r="C989" s="23"/>
      <c r="D989" s="21"/>
      <c r="E989" s="21"/>
      <c r="F989" s="21"/>
      <c r="G989" s="21"/>
      <c r="H989" s="21"/>
      <c r="I989" s="21" t="str">
        <f>IF(G989="","",VLOOKUP(G989,frecuencia[#ALL],2,0))</f>
        <v/>
      </c>
      <c r="J989" s="21" t="str">
        <f>IF(H989="","",VLOOKUP(H989,tipo_donante[#ALL],2,0))</f>
        <v/>
      </c>
      <c r="K989" s="24"/>
    </row>
    <row r="990">
      <c r="A990" s="21"/>
      <c r="B990" s="21"/>
      <c r="C990" s="23"/>
      <c r="D990" s="21"/>
      <c r="E990" s="21"/>
      <c r="F990" s="21"/>
      <c r="G990" s="21"/>
      <c r="H990" s="21"/>
      <c r="I990" s="21" t="str">
        <f>IF(G990="","",VLOOKUP(G990,frecuencia[#ALL],2,0))</f>
        <v/>
      </c>
      <c r="J990" s="21" t="str">
        <f>IF(H990="","",VLOOKUP(H990,tipo_donante[#ALL],2,0))</f>
        <v/>
      </c>
      <c r="K990" s="24"/>
    </row>
    <row r="991">
      <c r="A991" s="21"/>
      <c r="B991" s="21"/>
      <c r="C991" s="23"/>
      <c r="D991" s="21"/>
      <c r="E991" s="21"/>
      <c r="F991" s="21"/>
      <c r="G991" s="21"/>
      <c r="H991" s="21"/>
      <c r="I991" s="21" t="str">
        <f>IF(G991="","",VLOOKUP(G991,frecuencia[#ALL],2,0))</f>
        <v/>
      </c>
      <c r="J991" s="21" t="str">
        <f>IF(H991="","",VLOOKUP(H991,tipo_donante[#ALL],2,0))</f>
        <v/>
      </c>
      <c r="K991" s="24"/>
    </row>
    <row r="992">
      <c r="A992" s="21"/>
      <c r="B992" s="21"/>
      <c r="C992" s="23"/>
      <c r="D992" s="21"/>
      <c r="E992" s="21"/>
      <c r="F992" s="21"/>
      <c r="G992" s="21"/>
      <c r="H992" s="21"/>
      <c r="I992" s="21" t="str">
        <f>IF(G992="","",VLOOKUP(G992,frecuencia[#ALL],2,0))</f>
        <v/>
      </c>
      <c r="J992" s="21" t="str">
        <f>IF(H992="","",VLOOKUP(H992,tipo_donante[#ALL],2,0))</f>
        <v/>
      </c>
      <c r="K992" s="24"/>
    </row>
    <row r="993">
      <c r="A993" s="21"/>
      <c r="B993" s="21"/>
      <c r="C993" s="23"/>
      <c r="D993" s="21"/>
      <c r="E993" s="21"/>
      <c r="F993" s="21"/>
      <c r="G993" s="21"/>
      <c r="H993" s="21"/>
      <c r="I993" s="21" t="str">
        <f>IF(G993="","",VLOOKUP(G993,frecuencia[#ALL],2,0))</f>
        <v/>
      </c>
      <c r="J993" s="21" t="str">
        <f>IF(H993="","",VLOOKUP(H993,tipo_donante[#ALL],2,0))</f>
        <v/>
      </c>
      <c r="K993" s="24"/>
    </row>
    <row r="994">
      <c r="A994" s="21"/>
      <c r="B994" s="21"/>
      <c r="C994" s="23"/>
      <c r="D994" s="21"/>
      <c r="E994" s="21"/>
      <c r="F994" s="21"/>
      <c r="G994" s="21"/>
      <c r="H994" s="21"/>
      <c r="I994" s="21" t="str">
        <f>IF(G994="","",VLOOKUP(G994,frecuencia[#ALL],2,0))</f>
        <v/>
      </c>
      <c r="J994" s="21" t="str">
        <f>IF(H994="","",VLOOKUP(H994,tipo_donante[#ALL],2,0))</f>
        <v/>
      </c>
      <c r="K994" s="24"/>
    </row>
    <row r="995">
      <c r="A995" s="21"/>
      <c r="B995" s="21"/>
      <c r="C995" s="23"/>
      <c r="D995" s="21"/>
      <c r="E995" s="21"/>
      <c r="F995" s="21"/>
      <c r="G995" s="21"/>
      <c r="H995" s="21"/>
      <c r="I995" s="21" t="str">
        <f>IF(G995="","",VLOOKUP(G995,frecuencia[#ALL],2,0))</f>
        <v/>
      </c>
      <c r="J995" s="21" t="str">
        <f>IF(H995="","",VLOOKUP(H995,tipo_donante[#ALL],2,0))</f>
        <v/>
      </c>
      <c r="K995" s="24"/>
    </row>
    <row r="996">
      <c r="A996" s="21"/>
      <c r="B996" s="21"/>
      <c r="C996" s="23"/>
      <c r="D996" s="21"/>
      <c r="E996" s="21"/>
      <c r="F996" s="21"/>
      <c r="G996" s="21"/>
      <c r="H996" s="21"/>
      <c r="I996" s="21" t="str">
        <f>IF(G996="","",VLOOKUP(G996,frecuencia[#ALL],2,0))</f>
        <v/>
      </c>
      <c r="J996" s="21" t="str">
        <f>IF(H996="","",VLOOKUP(H996,tipo_donante[#ALL],2,0))</f>
        <v/>
      </c>
      <c r="K996" s="24"/>
    </row>
    <row r="997">
      <c r="A997" s="21"/>
      <c r="B997" s="21"/>
      <c r="C997" s="23"/>
      <c r="D997" s="21"/>
      <c r="E997" s="21"/>
      <c r="F997" s="21"/>
      <c r="G997" s="21"/>
      <c r="H997" s="21"/>
      <c r="I997" s="21" t="str">
        <f>IF(G997="","",VLOOKUP(G997,frecuencia[#ALL],2,0))</f>
        <v/>
      </c>
      <c r="J997" s="21" t="str">
        <f>IF(H997="","",VLOOKUP(H997,tipo_donante[#ALL],2,0))</f>
        <v/>
      </c>
      <c r="K997" s="24"/>
    </row>
    <row r="998">
      <c r="A998" s="21"/>
      <c r="B998" s="21"/>
      <c r="C998" s="23"/>
      <c r="D998" s="21"/>
      <c r="E998" s="21"/>
      <c r="F998" s="21"/>
      <c r="G998" s="21"/>
      <c r="H998" s="21"/>
      <c r="I998" s="21" t="str">
        <f>IF(G998="","",VLOOKUP(G998,frecuencia[#ALL],2,0))</f>
        <v/>
      </c>
      <c r="J998" s="21" t="str">
        <f>IF(H998="","",VLOOKUP(H998,tipo_donante[#ALL],2,0))</f>
        <v/>
      </c>
      <c r="K998" s="24"/>
    </row>
    <row r="999">
      <c r="A999" s="21"/>
      <c r="B999" s="21"/>
      <c r="C999" s="23"/>
      <c r="D999" s="21"/>
      <c r="E999" s="21"/>
      <c r="F999" s="21"/>
      <c r="G999" s="21"/>
      <c r="H999" s="21"/>
      <c r="I999" s="21" t="str">
        <f>IF(G999="","",VLOOKUP(G999,frecuencia[#ALL],2,0))</f>
        <v/>
      </c>
      <c r="J999" s="21" t="str">
        <f>IF(H999="","",VLOOKUP(H999,tipo_donante[#ALL],2,0))</f>
        <v/>
      </c>
      <c r="K999" s="24"/>
    </row>
    <row r="1000">
      <c r="A1000" s="21"/>
      <c r="B1000" s="21"/>
      <c r="C1000" s="23"/>
      <c r="D1000" s="21"/>
      <c r="E1000" s="21"/>
      <c r="F1000" s="21"/>
      <c r="G1000" s="21"/>
      <c r="H1000" s="21"/>
      <c r="I1000" s="21" t="str">
        <f>IF(G1000="","",VLOOKUP(G1000,frecuencia[#ALL],2,0))</f>
        <v/>
      </c>
      <c r="J1000" s="21" t="str">
        <f>IF(H1000="","",VLOOKUP(H1000,tipo_donante[#ALL],2,0))</f>
        <v/>
      </c>
      <c r="K1000" s="24"/>
    </row>
  </sheetData>
  <autoFilter ref="$A$1:$J$3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3.13"/>
    <col customWidth="1" min="3" max="3" width="16.88"/>
    <col customWidth="1" min="4" max="4" width="14.5"/>
    <col customWidth="1" min="5" max="5" width="19.5"/>
  </cols>
  <sheetData>
    <row r="1">
      <c r="A1" s="25" t="s">
        <v>737</v>
      </c>
      <c r="B1" s="26" t="s">
        <v>738</v>
      </c>
      <c r="C1" s="27" t="s">
        <v>739</v>
      </c>
      <c r="D1" s="27" t="s">
        <v>740</v>
      </c>
      <c r="E1" s="28" t="s">
        <v>741</v>
      </c>
    </row>
    <row r="2">
      <c r="A2" s="29" t="s">
        <v>742</v>
      </c>
      <c r="B2" s="30" t="s">
        <v>743</v>
      </c>
      <c r="C2" s="31">
        <v>45369.0</v>
      </c>
      <c r="D2" s="32">
        <v>171488.0</v>
      </c>
      <c r="E2" s="33" t="s">
        <v>20</v>
      </c>
      <c r="G2" s="34"/>
    </row>
    <row r="3">
      <c r="A3" s="35" t="s">
        <v>744</v>
      </c>
      <c r="B3" s="36" t="s">
        <v>745</v>
      </c>
      <c r="C3" s="37">
        <v>45330.0</v>
      </c>
      <c r="D3" s="38">
        <v>288255.0</v>
      </c>
      <c r="E3" s="39" t="s">
        <v>20</v>
      </c>
    </row>
    <row r="4">
      <c r="A4" s="29" t="s">
        <v>746</v>
      </c>
      <c r="B4" s="30" t="s">
        <v>747</v>
      </c>
      <c r="C4" s="31">
        <v>45309.0</v>
      </c>
      <c r="D4" s="32">
        <v>195975.0</v>
      </c>
      <c r="E4" s="33" t="s">
        <v>20</v>
      </c>
    </row>
    <row r="5">
      <c r="A5" s="35" t="s">
        <v>748</v>
      </c>
      <c r="B5" s="36" t="s">
        <v>749</v>
      </c>
      <c r="C5" s="37">
        <v>45360.0</v>
      </c>
      <c r="D5" s="38">
        <v>158607.0</v>
      </c>
      <c r="E5" s="39" t="s">
        <v>20</v>
      </c>
    </row>
    <row r="6">
      <c r="A6" s="29" t="s">
        <v>750</v>
      </c>
      <c r="B6" s="30" t="s">
        <v>751</v>
      </c>
      <c r="C6" s="31">
        <v>45379.0</v>
      </c>
      <c r="D6" s="32">
        <v>238101.0</v>
      </c>
      <c r="E6" s="33" t="s">
        <v>20</v>
      </c>
    </row>
    <row r="7">
      <c r="A7" s="35" t="s">
        <v>750</v>
      </c>
      <c r="B7" s="36" t="s">
        <v>751</v>
      </c>
      <c r="C7" s="37">
        <v>45396.0</v>
      </c>
      <c r="D7" s="38">
        <v>288617.0</v>
      </c>
      <c r="E7" s="39" t="s">
        <v>20</v>
      </c>
    </row>
    <row r="8">
      <c r="A8" s="29" t="s">
        <v>752</v>
      </c>
      <c r="B8" s="30" t="s">
        <v>743</v>
      </c>
      <c r="C8" s="31">
        <v>45300.0</v>
      </c>
      <c r="D8" s="32">
        <v>251833.0</v>
      </c>
      <c r="E8" s="33" t="s">
        <v>20</v>
      </c>
    </row>
    <row r="9">
      <c r="A9" s="35" t="s">
        <v>753</v>
      </c>
      <c r="B9" s="36" t="s">
        <v>745</v>
      </c>
      <c r="C9" s="37">
        <v>45418.0</v>
      </c>
      <c r="D9" s="38">
        <v>235688.0</v>
      </c>
      <c r="E9" s="39" t="s">
        <v>20</v>
      </c>
    </row>
    <row r="10">
      <c r="A10" s="29" t="s">
        <v>754</v>
      </c>
      <c r="B10" s="30" t="s">
        <v>747</v>
      </c>
      <c r="C10" s="31">
        <v>45455.0</v>
      </c>
      <c r="D10" s="32">
        <v>110198.0</v>
      </c>
      <c r="E10" s="33" t="s">
        <v>20</v>
      </c>
    </row>
    <row r="11">
      <c r="A11" s="35" t="s">
        <v>754</v>
      </c>
      <c r="B11" s="36" t="s">
        <v>747</v>
      </c>
      <c r="C11" s="37">
        <v>45312.0</v>
      </c>
      <c r="D11" s="38">
        <v>269252.0</v>
      </c>
      <c r="E11" s="39" t="s">
        <v>20</v>
      </c>
    </row>
    <row r="12">
      <c r="A12" s="29" t="s">
        <v>755</v>
      </c>
      <c r="B12" s="30" t="s">
        <v>749</v>
      </c>
      <c r="C12" s="31">
        <v>45311.0</v>
      </c>
      <c r="D12" s="32">
        <v>12373.0</v>
      </c>
      <c r="E12" s="33" t="s">
        <v>20</v>
      </c>
    </row>
    <row r="13">
      <c r="A13" s="35" t="s">
        <v>755</v>
      </c>
      <c r="B13" s="36" t="s">
        <v>749</v>
      </c>
      <c r="C13" s="37">
        <v>45357.0</v>
      </c>
      <c r="D13" s="38">
        <v>151274.0</v>
      </c>
      <c r="E13" s="39" t="s">
        <v>20</v>
      </c>
    </row>
    <row r="14">
      <c r="A14" s="29" t="s">
        <v>756</v>
      </c>
      <c r="B14" s="30" t="s">
        <v>757</v>
      </c>
      <c r="C14" s="31">
        <v>45319.0</v>
      </c>
      <c r="D14" s="32">
        <v>101610.0</v>
      </c>
      <c r="E14" s="33" t="s">
        <v>20</v>
      </c>
    </row>
    <row r="15">
      <c r="A15" s="35" t="s">
        <v>756</v>
      </c>
      <c r="B15" s="36" t="s">
        <v>757</v>
      </c>
      <c r="C15" s="37">
        <v>45414.0</v>
      </c>
      <c r="D15" s="38">
        <v>273713.0</v>
      </c>
      <c r="E15" s="39" t="s">
        <v>20</v>
      </c>
    </row>
    <row r="16">
      <c r="A16" s="29" t="s">
        <v>758</v>
      </c>
      <c r="B16" s="30" t="s">
        <v>751</v>
      </c>
      <c r="C16" s="31">
        <v>45447.0</v>
      </c>
      <c r="D16" s="32">
        <v>291963.0</v>
      </c>
      <c r="E16" s="33" t="s">
        <v>20</v>
      </c>
    </row>
    <row r="17">
      <c r="A17" s="35" t="s">
        <v>759</v>
      </c>
      <c r="B17" s="36" t="s">
        <v>743</v>
      </c>
      <c r="C17" s="37">
        <v>45391.0</v>
      </c>
      <c r="D17" s="38">
        <v>224379.0</v>
      </c>
      <c r="E17" s="39" t="s">
        <v>20</v>
      </c>
    </row>
    <row r="18">
      <c r="A18" s="29" t="s">
        <v>759</v>
      </c>
      <c r="B18" s="30" t="s">
        <v>743</v>
      </c>
      <c r="C18" s="31">
        <v>45446.0</v>
      </c>
      <c r="D18" s="32">
        <v>153447.0</v>
      </c>
      <c r="E18" s="33" t="s">
        <v>20</v>
      </c>
    </row>
    <row r="19">
      <c r="A19" s="35" t="s">
        <v>760</v>
      </c>
      <c r="B19" s="36" t="s">
        <v>745</v>
      </c>
      <c r="C19" s="37">
        <v>45396.0</v>
      </c>
      <c r="D19" s="38">
        <v>79543.0</v>
      </c>
      <c r="E19" s="39" t="s">
        <v>20</v>
      </c>
    </row>
    <row r="20">
      <c r="A20" s="29" t="s">
        <v>760</v>
      </c>
      <c r="B20" s="30" t="s">
        <v>745</v>
      </c>
      <c r="C20" s="31">
        <v>45323.0</v>
      </c>
      <c r="D20" s="32">
        <v>41665.0</v>
      </c>
      <c r="E20" s="33" t="s">
        <v>20</v>
      </c>
    </row>
    <row r="21">
      <c r="A21" s="35" t="s">
        <v>761</v>
      </c>
      <c r="B21" s="36" t="s">
        <v>747</v>
      </c>
      <c r="C21" s="37">
        <v>45306.0</v>
      </c>
      <c r="D21" s="38">
        <v>58494.0</v>
      </c>
      <c r="E21" s="39" t="s">
        <v>20</v>
      </c>
    </row>
    <row r="22">
      <c r="A22" s="29" t="s">
        <v>761</v>
      </c>
      <c r="B22" s="30" t="s">
        <v>747</v>
      </c>
      <c r="C22" s="31">
        <v>45462.0</v>
      </c>
      <c r="D22" s="32">
        <v>218705.0</v>
      </c>
      <c r="E22" s="33" t="s">
        <v>20</v>
      </c>
    </row>
    <row r="23">
      <c r="A23" s="35" t="s">
        <v>762</v>
      </c>
      <c r="B23" s="36" t="s">
        <v>749</v>
      </c>
      <c r="C23" s="37">
        <v>45436.0</v>
      </c>
      <c r="D23" s="38">
        <v>35574.0</v>
      </c>
      <c r="E23" s="39" t="s">
        <v>20</v>
      </c>
    </row>
    <row r="24">
      <c r="A24" s="29" t="s">
        <v>762</v>
      </c>
      <c r="B24" s="30" t="s">
        <v>749</v>
      </c>
      <c r="C24" s="31">
        <v>45431.0</v>
      </c>
      <c r="D24" s="32">
        <v>26434.0</v>
      </c>
      <c r="E24" s="33" t="s">
        <v>20</v>
      </c>
    </row>
    <row r="25">
      <c r="A25" s="35" t="s">
        <v>763</v>
      </c>
      <c r="B25" s="36" t="s">
        <v>757</v>
      </c>
      <c r="C25" s="37">
        <v>45391.0</v>
      </c>
      <c r="D25" s="38">
        <v>295412.0</v>
      </c>
      <c r="E25" s="39" t="s">
        <v>20</v>
      </c>
    </row>
    <row r="26">
      <c r="A26" s="29" t="s">
        <v>763</v>
      </c>
      <c r="B26" s="30" t="s">
        <v>757</v>
      </c>
      <c r="C26" s="31">
        <v>45392.0</v>
      </c>
      <c r="D26" s="32">
        <v>128265.0</v>
      </c>
      <c r="E26" s="33" t="s">
        <v>20</v>
      </c>
    </row>
    <row r="27">
      <c r="A27" s="35" t="s">
        <v>764</v>
      </c>
      <c r="B27" s="36" t="s">
        <v>751</v>
      </c>
      <c r="C27" s="37">
        <v>45413.0</v>
      </c>
      <c r="D27" s="38">
        <v>136358.0</v>
      </c>
      <c r="E27" s="39" t="s">
        <v>20</v>
      </c>
    </row>
    <row r="28">
      <c r="A28" s="29" t="s">
        <v>764</v>
      </c>
      <c r="B28" s="30" t="s">
        <v>751</v>
      </c>
      <c r="C28" s="31">
        <v>45356.0</v>
      </c>
      <c r="D28" s="32">
        <v>288537.0</v>
      </c>
      <c r="E28" s="33" t="s">
        <v>20</v>
      </c>
    </row>
    <row r="29">
      <c r="A29" s="35" t="s">
        <v>765</v>
      </c>
      <c r="B29" s="36" t="s">
        <v>743</v>
      </c>
      <c r="C29" s="37">
        <v>45294.0</v>
      </c>
      <c r="D29" s="38">
        <v>122441.0</v>
      </c>
      <c r="E29" s="39" t="s">
        <v>20</v>
      </c>
    </row>
    <row r="30">
      <c r="A30" s="29" t="s">
        <v>765</v>
      </c>
      <c r="B30" s="30" t="s">
        <v>743</v>
      </c>
      <c r="C30" s="31">
        <v>45326.0</v>
      </c>
      <c r="D30" s="32">
        <v>133962.0</v>
      </c>
      <c r="E30" s="33" t="s">
        <v>20</v>
      </c>
    </row>
    <row r="31">
      <c r="A31" s="35" t="s">
        <v>743</v>
      </c>
      <c r="B31" s="36" t="s">
        <v>749</v>
      </c>
      <c r="C31" s="37">
        <v>43466.0</v>
      </c>
      <c r="D31" s="38">
        <v>109470.0</v>
      </c>
      <c r="E31" s="39" t="s">
        <v>20</v>
      </c>
    </row>
    <row r="32">
      <c r="A32" s="29" t="s">
        <v>743</v>
      </c>
      <c r="B32" s="30" t="s">
        <v>749</v>
      </c>
      <c r="C32" s="31">
        <v>43552.0</v>
      </c>
      <c r="D32" s="32">
        <v>211512.0</v>
      </c>
      <c r="E32" s="33" t="s">
        <v>20</v>
      </c>
    </row>
    <row r="33">
      <c r="A33" s="35" t="s">
        <v>743</v>
      </c>
      <c r="B33" s="36" t="s">
        <v>749</v>
      </c>
      <c r="C33" s="37">
        <v>43613.0</v>
      </c>
      <c r="D33" s="38">
        <v>115392.0</v>
      </c>
      <c r="E33" s="39" t="s">
        <v>20</v>
      </c>
    </row>
    <row r="34">
      <c r="A34" s="29" t="s">
        <v>743</v>
      </c>
      <c r="B34" s="30" t="s">
        <v>749</v>
      </c>
      <c r="C34" s="31">
        <v>44203.0</v>
      </c>
      <c r="D34" s="32">
        <v>66906.0</v>
      </c>
      <c r="E34" s="33" t="s">
        <v>20</v>
      </c>
    </row>
    <row r="35">
      <c r="A35" s="35" t="s">
        <v>743</v>
      </c>
      <c r="B35" s="36" t="s">
        <v>749</v>
      </c>
      <c r="C35" s="37">
        <v>44111.0</v>
      </c>
      <c r="D35" s="38">
        <v>149277.0</v>
      </c>
      <c r="E35" s="39" t="s">
        <v>20</v>
      </c>
    </row>
    <row r="36">
      <c r="A36" s="29" t="s">
        <v>743</v>
      </c>
      <c r="B36" s="30" t="s">
        <v>749</v>
      </c>
      <c r="C36" s="31">
        <v>44927.0</v>
      </c>
      <c r="D36" s="32">
        <v>164820.0</v>
      </c>
      <c r="E36" s="33" t="s">
        <v>20</v>
      </c>
    </row>
    <row r="37">
      <c r="A37" s="35" t="s">
        <v>743</v>
      </c>
      <c r="B37" s="36" t="s">
        <v>749</v>
      </c>
      <c r="C37" s="37">
        <v>45206.0</v>
      </c>
      <c r="D37" s="38">
        <v>84017.0</v>
      </c>
      <c r="E37" s="39" t="s">
        <v>20</v>
      </c>
    </row>
    <row r="38">
      <c r="A38" s="29" t="s">
        <v>766</v>
      </c>
      <c r="B38" s="30" t="s">
        <v>743</v>
      </c>
      <c r="C38" s="31">
        <v>43468.0</v>
      </c>
      <c r="D38" s="32">
        <v>12770.0</v>
      </c>
      <c r="E38" s="33" t="s">
        <v>20</v>
      </c>
    </row>
    <row r="39">
      <c r="A39" s="35" t="s">
        <v>766</v>
      </c>
      <c r="B39" s="36" t="s">
        <v>743</v>
      </c>
      <c r="C39" s="37">
        <v>43556.0</v>
      </c>
      <c r="D39" s="38">
        <v>279575.0</v>
      </c>
      <c r="E39" s="39" t="s">
        <v>20</v>
      </c>
    </row>
    <row r="40">
      <c r="A40" s="29" t="s">
        <v>766</v>
      </c>
      <c r="B40" s="30" t="s">
        <v>743</v>
      </c>
      <c r="C40" s="31">
        <v>43617.0</v>
      </c>
      <c r="D40" s="32">
        <v>229019.0</v>
      </c>
      <c r="E40" s="33" t="s">
        <v>20</v>
      </c>
    </row>
    <row r="41">
      <c r="A41" s="35" t="s">
        <v>766</v>
      </c>
      <c r="B41" s="36" t="s">
        <v>743</v>
      </c>
      <c r="C41" s="37">
        <v>44206.0</v>
      </c>
      <c r="D41" s="38">
        <v>277032.0</v>
      </c>
      <c r="E41" s="39" t="s">
        <v>20</v>
      </c>
    </row>
    <row r="42">
      <c r="A42" s="29" t="s">
        <v>766</v>
      </c>
      <c r="B42" s="30" t="s">
        <v>743</v>
      </c>
      <c r="C42" s="31">
        <v>44114.0</v>
      </c>
      <c r="D42" s="32">
        <v>170554.0</v>
      </c>
      <c r="E42" s="33" t="s">
        <v>20</v>
      </c>
    </row>
    <row r="43">
      <c r="A43" s="35" t="s">
        <v>766</v>
      </c>
      <c r="B43" s="36" t="s">
        <v>743</v>
      </c>
      <c r="C43" s="37">
        <v>44929.0</v>
      </c>
      <c r="D43" s="38">
        <v>109099.0</v>
      </c>
      <c r="E43" s="39" t="s">
        <v>20</v>
      </c>
    </row>
    <row r="44">
      <c r="A44" s="29" t="s">
        <v>766</v>
      </c>
      <c r="B44" s="30" t="s">
        <v>743</v>
      </c>
      <c r="C44" s="31">
        <v>45209.0</v>
      </c>
      <c r="D44" s="32">
        <v>120929.0</v>
      </c>
      <c r="E44" s="33" t="s">
        <v>20</v>
      </c>
    </row>
    <row r="45">
      <c r="A45" s="35" t="s">
        <v>745</v>
      </c>
      <c r="B45" s="36" t="s">
        <v>743</v>
      </c>
      <c r="C45" s="37">
        <v>43470.0</v>
      </c>
      <c r="D45" s="38">
        <v>272036.0</v>
      </c>
      <c r="E45" s="39" t="s">
        <v>20</v>
      </c>
    </row>
    <row r="46">
      <c r="A46" s="29" t="s">
        <v>745</v>
      </c>
      <c r="B46" s="30" t="s">
        <v>743</v>
      </c>
      <c r="C46" s="31">
        <v>43559.0</v>
      </c>
      <c r="D46" s="32">
        <v>211801.0</v>
      </c>
      <c r="E46" s="33" t="s">
        <v>20</v>
      </c>
    </row>
    <row r="47">
      <c r="A47" s="35" t="s">
        <v>745</v>
      </c>
      <c r="B47" s="36" t="s">
        <v>743</v>
      </c>
      <c r="C47" s="37">
        <v>43620.0</v>
      </c>
      <c r="D47" s="38">
        <v>153534.0</v>
      </c>
      <c r="E47" s="39" t="s">
        <v>20</v>
      </c>
    </row>
    <row r="48">
      <c r="A48" s="29" t="s">
        <v>745</v>
      </c>
      <c r="B48" s="30" t="s">
        <v>743</v>
      </c>
      <c r="C48" s="31">
        <v>44209.0</v>
      </c>
      <c r="D48" s="32">
        <v>291211.0</v>
      </c>
      <c r="E48" s="33" t="s">
        <v>20</v>
      </c>
    </row>
    <row r="49">
      <c r="A49" s="35" t="s">
        <v>745</v>
      </c>
      <c r="B49" s="36" t="s">
        <v>743</v>
      </c>
      <c r="C49" s="37">
        <v>44117.0</v>
      </c>
      <c r="D49" s="38">
        <v>25100.0</v>
      </c>
      <c r="E49" s="39" t="s">
        <v>20</v>
      </c>
    </row>
    <row r="50">
      <c r="A50" s="29" t="s">
        <v>745</v>
      </c>
      <c r="B50" s="30" t="s">
        <v>743</v>
      </c>
      <c r="C50" s="31">
        <v>44931.0</v>
      </c>
      <c r="D50" s="32">
        <v>136125.0</v>
      </c>
      <c r="E50" s="33" t="s">
        <v>20</v>
      </c>
    </row>
    <row r="51">
      <c r="A51" s="35" t="s">
        <v>745</v>
      </c>
      <c r="B51" s="36" t="s">
        <v>743</v>
      </c>
      <c r="C51" s="37">
        <v>45212.0</v>
      </c>
      <c r="D51" s="38">
        <v>151245.0</v>
      </c>
      <c r="E51" s="39" t="s">
        <v>20</v>
      </c>
    </row>
    <row r="52">
      <c r="A52" s="29" t="s">
        <v>767</v>
      </c>
      <c r="B52" s="30" t="s">
        <v>766</v>
      </c>
      <c r="C52" s="31">
        <v>43472.0</v>
      </c>
      <c r="D52" s="32">
        <v>10352.0</v>
      </c>
      <c r="E52" s="33" t="s">
        <v>20</v>
      </c>
    </row>
    <row r="53">
      <c r="A53" s="35" t="s">
        <v>767</v>
      </c>
      <c r="B53" s="36" t="s">
        <v>766</v>
      </c>
      <c r="C53" s="37">
        <v>43562.0</v>
      </c>
      <c r="D53" s="38">
        <v>199434.0</v>
      </c>
      <c r="E53" s="39" t="s">
        <v>20</v>
      </c>
    </row>
    <row r="54">
      <c r="A54" s="29" t="s">
        <v>767</v>
      </c>
      <c r="B54" s="30" t="s">
        <v>766</v>
      </c>
      <c r="C54" s="31">
        <v>44212.0</v>
      </c>
      <c r="D54" s="32">
        <v>288754.0</v>
      </c>
      <c r="E54" s="33" t="s">
        <v>20</v>
      </c>
    </row>
    <row r="55">
      <c r="A55" s="35" t="s">
        <v>767</v>
      </c>
      <c r="B55" s="36" t="s">
        <v>766</v>
      </c>
      <c r="C55" s="37">
        <v>44933.0</v>
      </c>
      <c r="D55" s="38">
        <v>241670.0</v>
      </c>
      <c r="E55" s="39" t="s">
        <v>20</v>
      </c>
    </row>
    <row r="56">
      <c r="A56" s="29" t="s">
        <v>768</v>
      </c>
      <c r="B56" s="30" t="s">
        <v>751</v>
      </c>
      <c r="C56" s="31">
        <v>43475.0</v>
      </c>
      <c r="D56" s="32">
        <v>291670.0</v>
      </c>
      <c r="E56" s="33" t="s">
        <v>20</v>
      </c>
    </row>
    <row r="57">
      <c r="A57" s="35" t="s">
        <v>768</v>
      </c>
      <c r="B57" s="36" t="s">
        <v>751</v>
      </c>
      <c r="C57" s="37">
        <v>43565.0</v>
      </c>
      <c r="D57" s="38">
        <v>175139.0</v>
      </c>
      <c r="E57" s="39" t="s">
        <v>20</v>
      </c>
    </row>
    <row r="58">
      <c r="A58" s="29" t="s">
        <v>768</v>
      </c>
      <c r="B58" s="30" t="s">
        <v>751</v>
      </c>
      <c r="C58" s="31">
        <v>44215.0</v>
      </c>
      <c r="D58" s="32">
        <v>140691.0</v>
      </c>
      <c r="E58" s="33" t="s">
        <v>20</v>
      </c>
    </row>
    <row r="59">
      <c r="A59" s="35" t="s">
        <v>768</v>
      </c>
      <c r="B59" s="36" t="s">
        <v>751</v>
      </c>
      <c r="C59" s="37">
        <v>44936.0</v>
      </c>
      <c r="D59" s="38">
        <v>257510.0</v>
      </c>
      <c r="E59" s="39" t="s">
        <v>20</v>
      </c>
    </row>
    <row r="60">
      <c r="A60" s="29" t="s">
        <v>747</v>
      </c>
      <c r="B60" s="30" t="s">
        <v>769</v>
      </c>
      <c r="C60" s="31">
        <v>43507.0</v>
      </c>
      <c r="D60" s="32">
        <v>104176.0</v>
      </c>
      <c r="E60" s="33" t="s">
        <v>20</v>
      </c>
    </row>
    <row r="61">
      <c r="A61" s="35" t="s">
        <v>747</v>
      </c>
      <c r="B61" s="36" t="s">
        <v>769</v>
      </c>
      <c r="C61" s="37">
        <v>43568.0</v>
      </c>
      <c r="D61" s="38">
        <v>18742.0</v>
      </c>
      <c r="E61" s="39" t="s">
        <v>20</v>
      </c>
    </row>
    <row r="62">
      <c r="A62" s="29" t="s">
        <v>747</v>
      </c>
      <c r="B62" s="30" t="s">
        <v>769</v>
      </c>
      <c r="C62" s="31">
        <v>44218.0</v>
      </c>
      <c r="D62" s="32">
        <v>29783.0</v>
      </c>
      <c r="E62" s="33" t="s">
        <v>20</v>
      </c>
    </row>
    <row r="63">
      <c r="A63" s="35" t="s">
        <v>747</v>
      </c>
      <c r="B63" s="36" t="s">
        <v>769</v>
      </c>
      <c r="C63" s="37">
        <v>44968.0</v>
      </c>
      <c r="D63" s="38">
        <v>47776.0</v>
      </c>
      <c r="E63" s="39" t="s">
        <v>20</v>
      </c>
    </row>
    <row r="64">
      <c r="A64" s="29" t="s">
        <v>769</v>
      </c>
      <c r="B64" s="30" t="s">
        <v>749</v>
      </c>
      <c r="C64" s="31">
        <v>43510.0</v>
      </c>
      <c r="D64" s="32">
        <v>64042.0</v>
      </c>
      <c r="E64" s="33" t="s">
        <v>20</v>
      </c>
    </row>
    <row r="65">
      <c r="A65" s="35" t="s">
        <v>769</v>
      </c>
      <c r="B65" s="36" t="s">
        <v>749</v>
      </c>
      <c r="C65" s="37">
        <v>43571.0</v>
      </c>
      <c r="D65" s="38">
        <v>271022.0</v>
      </c>
      <c r="E65" s="39" t="s">
        <v>20</v>
      </c>
    </row>
    <row r="66">
      <c r="A66" s="29" t="s">
        <v>769</v>
      </c>
      <c r="B66" s="30" t="s">
        <v>749</v>
      </c>
      <c r="C66" s="31">
        <v>44221.0</v>
      </c>
      <c r="D66" s="32">
        <v>269442.0</v>
      </c>
      <c r="E66" s="33" t="s">
        <v>20</v>
      </c>
    </row>
    <row r="67">
      <c r="A67" s="35" t="s">
        <v>769</v>
      </c>
      <c r="B67" s="36" t="s">
        <v>749</v>
      </c>
      <c r="C67" s="37">
        <v>44971.0</v>
      </c>
      <c r="D67" s="38">
        <v>51622.0</v>
      </c>
      <c r="E67" s="39" t="s">
        <v>20</v>
      </c>
    </row>
    <row r="68">
      <c r="A68" s="29" t="s">
        <v>770</v>
      </c>
      <c r="B68" s="30" t="s">
        <v>743</v>
      </c>
      <c r="C68" s="31">
        <v>43513.0</v>
      </c>
      <c r="D68" s="32">
        <v>131033.0</v>
      </c>
      <c r="E68" s="33" t="s">
        <v>20</v>
      </c>
    </row>
    <row r="69">
      <c r="A69" s="35" t="s">
        <v>770</v>
      </c>
      <c r="B69" s="36" t="s">
        <v>743</v>
      </c>
      <c r="C69" s="37">
        <v>43574.0</v>
      </c>
      <c r="D69" s="38">
        <v>166866.0</v>
      </c>
      <c r="E69" s="39" t="s">
        <v>20</v>
      </c>
    </row>
    <row r="70">
      <c r="A70" s="29" t="s">
        <v>770</v>
      </c>
      <c r="B70" s="30" t="s">
        <v>743</v>
      </c>
      <c r="C70" s="31">
        <v>44224.0</v>
      </c>
      <c r="D70" s="32">
        <v>42714.0</v>
      </c>
      <c r="E70" s="33" t="s">
        <v>20</v>
      </c>
    </row>
    <row r="71">
      <c r="A71" s="35" t="s">
        <v>770</v>
      </c>
      <c r="B71" s="36" t="s">
        <v>743</v>
      </c>
      <c r="C71" s="37">
        <v>44974.0</v>
      </c>
      <c r="D71" s="38">
        <v>130133.0</v>
      </c>
      <c r="E71" s="39" t="s">
        <v>20</v>
      </c>
    </row>
    <row r="72">
      <c r="A72" s="29" t="s">
        <v>749</v>
      </c>
      <c r="B72" s="30" t="s">
        <v>766</v>
      </c>
      <c r="C72" s="31">
        <v>43516.0</v>
      </c>
      <c r="D72" s="32">
        <v>152895.0</v>
      </c>
      <c r="E72" s="33" t="s">
        <v>20</v>
      </c>
    </row>
    <row r="73">
      <c r="A73" s="35" t="s">
        <v>749</v>
      </c>
      <c r="B73" s="36" t="s">
        <v>766</v>
      </c>
      <c r="C73" s="37">
        <v>43577.0</v>
      </c>
      <c r="D73" s="38">
        <v>230465.0</v>
      </c>
      <c r="E73" s="39" t="s">
        <v>20</v>
      </c>
    </row>
    <row r="74">
      <c r="A74" s="29" t="s">
        <v>749</v>
      </c>
      <c r="B74" s="30" t="s">
        <v>766</v>
      </c>
      <c r="C74" s="31">
        <v>44228.0</v>
      </c>
      <c r="D74" s="32">
        <v>190624.0</v>
      </c>
      <c r="E74" s="33" t="s">
        <v>20</v>
      </c>
    </row>
    <row r="75">
      <c r="A75" s="35" t="s">
        <v>749</v>
      </c>
      <c r="B75" s="36" t="s">
        <v>766</v>
      </c>
      <c r="C75" s="37">
        <v>44977.0</v>
      </c>
      <c r="D75" s="38">
        <v>232698.0</v>
      </c>
      <c r="E75" s="39" t="s">
        <v>20</v>
      </c>
    </row>
    <row r="76">
      <c r="A76" s="29" t="s">
        <v>771</v>
      </c>
      <c r="B76" s="30" t="s">
        <v>751</v>
      </c>
      <c r="C76" s="31">
        <v>43477.0</v>
      </c>
      <c r="D76" s="32">
        <v>192247.0</v>
      </c>
      <c r="E76" s="33" t="s">
        <v>20</v>
      </c>
    </row>
    <row r="77">
      <c r="A77" s="35" t="s">
        <v>771</v>
      </c>
      <c r="B77" s="36" t="s">
        <v>751</v>
      </c>
      <c r="C77" s="37">
        <v>43519.0</v>
      </c>
      <c r="D77" s="38">
        <v>215535.0</v>
      </c>
      <c r="E77" s="39" t="s">
        <v>20</v>
      </c>
    </row>
    <row r="78">
      <c r="A78" s="29" t="s">
        <v>771</v>
      </c>
      <c r="B78" s="30" t="s">
        <v>751</v>
      </c>
      <c r="C78" s="31">
        <v>43580.0</v>
      </c>
      <c r="D78" s="32">
        <v>53588.0</v>
      </c>
      <c r="E78" s="33" t="s">
        <v>20</v>
      </c>
    </row>
    <row r="79">
      <c r="A79" s="35" t="s">
        <v>771</v>
      </c>
      <c r="B79" s="36" t="s">
        <v>751</v>
      </c>
      <c r="C79" s="37">
        <v>44231.0</v>
      </c>
      <c r="D79" s="38">
        <v>198463.0</v>
      </c>
      <c r="E79" s="39" t="s">
        <v>20</v>
      </c>
    </row>
    <row r="80">
      <c r="A80" s="29" t="s">
        <v>771</v>
      </c>
      <c r="B80" s="30" t="s">
        <v>751</v>
      </c>
      <c r="C80" s="31">
        <v>44938.0</v>
      </c>
      <c r="D80" s="32">
        <v>193408.0</v>
      </c>
      <c r="E80" s="33" t="s">
        <v>20</v>
      </c>
    </row>
    <row r="81">
      <c r="A81" s="35" t="s">
        <v>771</v>
      </c>
      <c r="B81" s="36" t="s">
        <v>751</v>
      </c>
      <c r="C81" s="37">
        <v>44980.0</v>
      </c>
      <c r="D81" s="38">
        <v>175620.0</v>
      </c>
      <c r="E81" s="39" t="s">
        <v>20</v>
      </c>
    </row>
    <row r="82">
      <c r="A82" s="29" t="s">
        <v>772</v>
      </c>
      <c r="B82" s="30" t="s">
        <v>769</v>
      </c>
      <c r="C82" s="31">
        <v>43480.0</v>
      </c>
      <c r="D82" s="32">
        <v>233493.0</v>
      </c>
      <c r="E82" s="33" t="s">
        <v>20</v>
      </c>
    </row>
    <row r="83">
      <c r="A83" s="35" t="s">
        <v>772</v>
      </c>
      <c r="B83" s="36" t="s">
        <v>769</v>
      </c>
      <c r="C83" s="37">
        <v>43522.0</v>
      </c>
      <c r="D83" s="38">
        <v>172873.0</v>
      </c>
      <c r="E83" s="39" t="s">
        <v>20</v>
      </c>
    </row>
    <row r="84">
      <c r="A84" s="29" t="s">
        <v>772</v>
      </c>
      <c r="B84" s="30" t="s">
        <v>769</v>
      </c>
      <c r="C84" s="31">
        <v>43583.0</v>
      </c>
      <c r="D84" s="32">
        <v>134090.0</v>
      </c>
      <c r="E84" s="33" t="s">
        <v>20</v>
      </c>
    </row>
    <row r="85">
      <c r="A85" s="35" t="s">
        <v>772</v>
      </c>
      <c r="B85" s="36" t="s">
        <v>769</v>
      </c>
      <c r="C85" s="37">
        <v>44234.0</v>
      </c>
      <c r="D85" s="38">
        <v>128552.0</v>
      </c>
      <c r="E85" s="39" t="s">
        <v>20</v>
      </c>
    </row>
    <row r="86">
      <c r="A86" s="29" t="s">
        <v>772</v>
      </c>
      <c r="B86" s="30" t="s">
        <v>769</v>
      </c>
      <c r="C86" s="31">
        <v>44941.0</v>
      </c>
      <c r="D86" s="32">
        <v>200989.0</v>
      </c>
      <c r="E86" s="33" t="s">
        <v>20</v>
      </c>
    </row>
    <row r="87">
      <c r="A87" s="35" t="s">
        <v>772</v>
      </c>
      <c r="B87" s="36" t="s">
        <v>769</v>
      </c>
      <c r="C87" s="37">
        <v>44983.0</v>
      </c>
      <c r="D87" s="38">
        <v>248690.0</v>
      </c>
      <c r="E87" s="39" t="s">
        <v>20</v>
      </c>
    </row>
    <row r="88">
      <c r="A88" s="29" t="s">
        <v>773</v>
      </c>
      <c r="B88" s="30" t="s">
        <v>749</v>
      </c>
      <c r="C88" s="31">
        <v>43482.0</v>
      </c>
      <c r="D88" s="32">
        <v>39393.0</v>
      </c>
      <c r="E88" s="33" t="s">
        <v>20</v>
      </c>
    </row>
    <row r="89">
      <c r="A89" s="35" t="s">
        <v>773</v>
      </c>
      <c r="B89" s="36" t="s">
        <v>749</v>
      </c>
      <c r="C89" s="37">
        <v>43525.0</v>
      </c>
      <c r="D89" s="38">
        <v>202116.0</v>
      </c>
      <c r="E89" s="39" t="s">
        <v>20</v>
      </c>
    </row>
    <row r="90">
      <c r="A90" s="29" t="s">
        <v>773</v>
      </c>
      <c r="B90" s="30" t="s">
        <v>749</v>
      </c>
      <c r="C90" s="31">
        <v>43586.0</v>
      </c>
      <c r="D90" s="32">
        <v>282553.0</v>
      </c>
      <c r="E90" s="33" t="s">
        <v>20</v>
      </c>
    </row>
    <row r="91">
      <c r="A91" s="35" t="s">
        <v>773</v>
      </c>
      <c r="B91" s="36" t="s">
        <v>749</v>
      </c>
      <c r="C91" s="37">
        <v>44237.0</v>
      </c>
      <c r="D91" s="38">
        <v>143848.0</v>
      </c>
      <c r="E91" s="39" t="s">
        <v>20</v>
      </c>
    </row>
    <row r="92">
      <c r="A92" s="29" t="s">
        <v>773</v>
      </c>
      <c r="B92" s="30" t="s">
        <v>749</v>
      </c>
      <c r="C92" s="31">
        <v>44943.0</v>
      </c>
      <c r="D92" s="32">
        <v>172745.0</v>
      </c>
      <c r="E92" s="33" t="s">
        <v>20</v>
      </c>
    </row>
    <row r="93">
      <c r="A93" s="35" t="s">
        <v>773</v>
      </c>
      <c r="B93" s="36" t="s">
        <v>749</v>
      </c>
      <c r="C93" s="37">
        <v>44986.0</v>
      </c>
      <c r="D93" s="38">
        <v>176341.0</v>
      </c>
      <c r="E93" s="39" t="s">
        <v>20</v>
      </c>
    </row>
    <row r="94">
      <c r="A94" s="29" t="s">
        <v>774</v>
      </c>
      <c r="B94" s="30" t="s">
        <v>743</v>
      </c>
      <c r="C94" s="31">
        <v>43485.0</v>
      </c>
      <c r="D94" s="32">
        <v>125746.0</v>
      </c>
      <c r="E94" s="33" t="s">
        <v>20</v>
      </c>
    </row>
    <row r="95">
      <c r="A95" s="35" t="s">
        <v>774</v>
      </c>
      <c r="B95" s="36" t="s">
        <v>743</v>
      </c>
      <c r="C95" s="37">
        <v>43528.0</v>
      </c>
      <c r="D95" s="38">
        <v>259600.0</v>
      </c>
      <c r="E95" s="39" t="s">
        <v>20</v>
      </c>
    </row>
    <row r="96">
      <c r="A96" s="29" t="s">
        <v>774</v>
      </c>
      <c r="B96" s="30" t="s">
        <v>743</v>
      </c>
      <c r="C96" s="31">
        <v>43589.0</v>
      </c>
      <c r="D96" s="32">
        <v>232274.0</v>
      </c>
      <c r="E96" s="33" t="s">
        <v>20</v>
      </c>
    </row>
    <row r="97">
      <c r="A97" s="35" t="s">
        <v>774</v>
      </c>
      <c r="B97" s="36" t="s">
        <v>743</v>
      </c>
      <c r="C97" s="37">
        <v>43623.0</v>
      </c>
      <c r="D97" s="38">
        <v>49747.0</v>
      </c>
      <c r="E97" s="39" t="s">
        <v>20</v>
      </c>
    </row>
    <row r="98">
      <c r="A98" s="29" t="s">
        <v>774</v>
      </c>
      <c r="B98" s="30" t="s">
        <v>743</v>
      </c>
      <c r="C98" s="31">
        <v>44240.0</v>
      </c>
      <c r="D98" s="32">
        <v>111656.0</v>
      </c>
      <c r="E98" s="33" t="s">
        <v>20</v>
      </c>
    </row>
    <row r="99">
      <c r="A99" s="35" t="s">
        <v>774</v>
      </c>
      <c r="B99" s="36" t="s">
        <v>743</v>
      </c>
      <c r="C99" s="37">
        <v>44120.0</v>
      </c>
      <c r="D99" s="38">
        <v>43202.0</v>
      </c>
      <c r="E99" s="39" t="s">
        <v>20</v>
      </c>
    </row>
    <row r="100">
      <c r="A100" s="29" t="s">
        <v>774</v>
      </c>
      <c r="B100" s="30" t="s">
        <v>743</v>
      </c>
      <c r="C100" s="31">
        <v>44946.0</v>
      </c>
      <c r="D100" s="32">
        <v>129158.0</v>
      </c>
      <c r="E100" s="33" t="s">
        <v>20</v>
      </c>
    </row>
    <row r="101">
      <c r="A101" s="35" t="s">
        <v>774</v>
      </c>
      <c r="B101" s="36" t="s">
        <v>743</v>
      </c>
      <c r="C101" s="37">
        <v>44989.0</v>
      </c>
      <c r="D101" s="38">
        <v>152240.0</v>
      </c>
      <c r="E101" s="39" t="s">
        <v>20</v>
      </c>
    </row>
    <row r="102">
      <c r="A102" s="29" t="s">
        <v>774</v>
      </c>
      <c r="B102" s="30" t="s">
        <v>743</v>
      </c>
      <c r="C102" s="31">
        <v>45215.0</v>
      </c>
      <c r="D102" s="32">
        <v>35853.0</v>
      </c>
      <c r="E102" s="33" t="s">
        <v>20</v>
      </c>
    </row>
    <row r="103">
      <c r="A103" s="35" t="s">
        <v>775</v>
      </c>
      <c r="B103" s="36" t="s">
        <v>766</v>
      </c>
      <c r="C103" s="37">
        <v>43487.0</v>
      </c>
      <c r="D103" s="38">
        <v>13869.0</v>
      </c>
      <c r="E103" s="39" t="s">
        <v>20</v>
      </c>
    </row>
    <row r="104">
      <c r="A104" s="29" t="s">
        <v>775</v>
      </c>
      <c r="B104" s="30" t="s">
        <v>766</v>
      </c>
      <c r="C104" s="31">
        <v>43531.0</v>
      </c>
      <c r="D104" s="32">
        <v>157396.0</v>
      </c>
      <c r="E104" s="33" t="s">
        <v>20</v>
      </c>
    </row>
    <row r="105">
      <c r="A105" s="35" t="s">
        <v>775</v>
      </c>
      <c r="B105" s="36" t="s">
        <v>766</v>
      </c>
      <c r="C105" s="37">
        <v>43592.0</v>
      </c>
      <c r="D105" s="38">
        <v>97345.0</v>
      </c>
      <c r="E105" s="39" t="s">
        <v>20</v>
      </c>
    </row>
    <row r="106">
      <c r="A106" s="29" t="s">
        <v>775</v>
      </c>
      <c r="B106" s="30" t="s">
        <v>766</v>
      </c>
      <c r="C106" s="31">
        <v>43626.0</v>
      </c>
      <c r="D106" s="32">
        <v>57351.0</v>
      </c>
      <c r="E106" s="33" t="s">
        <v>20</v>
      </c>
    </row>
    <row r="107">
      <c r="A107" s="35" t="s">
        <v>775</v>
      </c>
      <c r="B107" s="36" t="s">
        <v>766</v>
      </c>
      <c r="C107" s="37">
        <v>44243.0</v>
      </c>
      <c r="D107" s="38">
        <v>251228.0</v>
      </c>
      <c r="E107" s="39" t="s">
        <v>20</v>
      </c>
    </row>
    <row r="108">
      <c r="A108" s="29" t="s">
        <v>775</v>
      </c>
      <c r="B108" s="30" t="s">
        <v>766</v>
      </c>
      <c r="C108" s="31">
        <v>44123.0</v>
      </c>
      <c r="D108" s="32">
        <v>257036.0</v>
      </c>
      <c r="E108" s="33" t="s">
        <v>20</v>
      </c>
    </row>
    <row r="109">
      <c r="A109" s="35" t="s">
        <v>775</v>
      </c>
      <c r="B109" s="36" t="s">
        <v>766</v>
      </c>
      <c r="C109" s="37">
        <v>44948.0</v>
      </c>
      <c r="D109" s="38">
        <v>226947.0</v>
      </c>
      <c r="E109" s="39" t="s">
        <v>20</v>
      </c>
    </row>
    <row r="110">
      <c r="A110" s="29" t="s">
        <v>775</v>
      </c>
      <c r="B110" s="30" t="s">
        <v>766</v>
      </c>
      <c r="C110" s="31">
        <v>45218.0</v>
      </c>
      <c r="D110" s="32">
        <v>57471.0</v>
      </c>
      <c r="E110" s="33" t="s">
        <v>20</v>
      </c>
    </row>
    <row r="111">
      <c r="A111" s="35" t="s">
        <v>776</v>
      </c>
      <c r="B111" s="36" t="s">
        <v>751</v>
      </c>
      <c r="C111" s="37">
        <v>43490.0</v>
      </c>
      <c r="D111" s="38">
        <v>277243.0</v>
      </c>
      <c r="E111" s="39" t="s">
        <v>20</v>
      </c>
    </row>
    <row r="112">
      <c r="A112" s="29" t="s">
        <v>776</v>
      </c>
      <c r="B112" s="30" t="s">
        <v>751</v>
      </c>
      <c r="C112" s="31">
        <v>43534.0</v>
      </c>
      <c r="D112" s="32">
        <v>184382.0</v>
      </c>
      <c r="E112" s="33" t="s">
        <v>20</v>
      </c>
    </row>
    <row r="113">
      <c r="A113" s="35" t="s">
        <v>776</v>
      </c>
      <c r="B113" s="36" t="s">
        <v>751</v>
      </c>
      <c r="C113" s="37">
        <v>43595.0</v>
      </c>
      <c r="D113" s="38">
        <v>273206.0</v>
      </c>
      <c r="E113" s="39" t="s">
        <v>20</v>
      </c>
    </row>
    <row r="114">
      <c r="A114" s="29" t="s">
        <v>776</v>
      </c>
      <c r="B114" s="30" t="s">
        <v>751</v>
      </c>
      <c r="C114" s="31">
        <v>43629.0</v>
      </c>
      <c r="D114" s="32">
        <v>109321.0</v>
      </c>
      <c r="E114" s="33" t="s">
        <v>20</v>
      </c>
    </row>
    <row r="115">
      <c r="A115" s="35" t="s">
        <v>776</v>
      </c>
      <c r="B115" s="36" t="s">
        <v>751</v>
      </c>
      <c r="C115" s="37">
        <v>44246.0</v>
      </c>
      <c r="D115" s="38">
        <v>11195.0</v>
      </c>
      <c r="E115" s="39" t="s">
        <v>20</v>
      </c>
    </row>
    <row r="116">
      <c r="A116" s="29" t="s">
        <v>776</v>
      </c>
      <c r="B116" s="30" t="s">
        <v>751</v>
      </c>
      <c r="C116" s="31">
        <v>44126.0</v>
      </c>
      <c r="D116" s="32">
        <v>218095.0</v>
      </c>
      <c r="E116" s="33" t="s">
        <v>20</v>
      </c>
    </row>
    <row r="117">
      <c r="A117" s="35" t="s">
        <v>776</v>
      </c>
      <c r="B117" s="36" t="s">
        <v>751</v>
      </c>
      <c r="C117" s="37">
        <v>44951.0</v>
      </c>
      <c r="D117" s="38">
        <v>14028.0</v>
      </c>
      <c r="E117" s="39" t="s">
        <v>20</v>
      </c>
    </row>
    <row r="118">
      <c r="A118" s="29" t="s">
        <v>776</v>
      </c>
      <c r="B118" s="30" t="s">
        <v>751</v>
      </c>
      <c r="C118" s="31">
        <v>45221.0</v>
      </c>
      <c r="D118" s="32">
        <v>289894.0</v>
      </c>
      <c r="E118" s="33" t="s">
        <v>20</v>
      </c>
    </row>
    <row r="119">
      <c r="A119" s="35" t="s">
        <v>777</v>
      </c>
      <c r="B119" s="36" t="s">
        <v>769</v>
      </c>
      <c r="C119" s="37">
        <v>43492.0</v>
      </c>
      <c r="D119" s="38">
        <v>212213.0</v>
      </c>
      <c r="E119" s="39" t="s">
        <v>20</v>
      </c>
    </row>
    <row r="120">
      <c r="A120" s="29" t="s">
        <v>777</v>
      </c>
      <c r="B120" s="30" t="s">
        <v>769</v>
      </c>
      <c r="C120" s="31">
        <v>43537.0</v>
      </c>
      <c r="D120" s="32">
        <v>189803.0</v>
      </c>
      <c r="E120" s="33" t="s">
        <v>20</v>
      </c>
    </row>
    <row r="121">
      <c r="A121" s="35" t="s">
        <v>777</v>
      </c>
      <c r="B121" s="36" t="s">
        <v>769</v>
      </c>
      <c r="C121" s="37">
        <v>43598.0</v>
      </c>
      <c r="D121" s="38">
        <v>91956.0</v>
      </c>
      <c r="E121" s="39" t="s">
        <v>20</v>
      </c>
    </row>
    <row r="122">
      <c r="A122" s="29" t="s">
        <v>777</v>
      </c>
      <c r="B122" s="30" t="s">
        <v>769</v>
      </c>
      <c r="C122" s="31">
        <v>43632.0</v>
      </c>
      <c r="D122" s="32">
        <v>94918.0</v>
      </c>
      <c r="E122" s="33" t="s">
        <v>20</v>
      </c>
    </row>
    <row r="123">
      <c r="A123" s="35" t="s">
        <v>777</v>
      </c>
      <c r="B123" s="36" t="s">
        <v>769</v>
      </c>
      <c r="C123" s="37">
        <v>44096.0</v>
      </c>
      <c r="D123" s="38">
        <v>262781.0</v>
      </c>
      <c r="E123" s="39" t="s">
        <v>20</v>
      </c>
    </row>
    <row r="124">
      <c r="A124" s="29" t="s">
        <v>777</v>
      </c>
      <c r="B124" s="30" t="s">
        <v>769</v>
      </c>
      <c r="C124" s="31">
        <v>44129.0</v>
      </c>
      <c r="D124" s="32">
        <v>113111.0</v>
      </c>
      <c r="E124" s="33" t="s">
        <v>20</v>
      </c>
    </row>
    <row r="125">
      <c r="A125" s="35" t="s">
        <v>777</v>
      </c>
      <c r="B125" s="36" t="s">
        <v>769</v>
      </c>
      <c r="C125" s="37">
        <v>44953.0</v>
      </c>
      <c r="D125" s="38">
        <v>93391.0</v>
      </c>
      <c r="E125" s="39" t="s">
        <v>20</v>
      </c>
    </row>
    <row r="126">
      <c r="A126" s="29" t="s">
        <v>777</v>
      </c>
      <c r="B126" s="30" t="s">
        <v>769</v>
      </c>
      <c r="C126" s="31">
        <v>45224.0</v>
      </c>
      <c r="D126" s="32">
        <v>228821.0</v>
      </c>
      <c r="E126" s="33" t="s">
        <v>20</v>
      </c>
    </row>
    <row r="127">
      <c r="A127" s="35" t="s">
        <v>778</v>
      </c>
      <c r="B127" s="36" t="s">
        <v>749</v>
      </c>
      <c r="C127" s="37">
        <v>43495.0</v>
      </c>
      <c r="D127" s="38">
        <v>214933.0</v>
      </c>
      <c r="E127" s="39" t="s">
        <v>20</v>
      </c>
    </row>
    <row r="128">
      <c r="A128" s="29" t="s">
        <v>778</v>
      </c>
      <c r="B128" s="30" t="s">
        <v>749</v>
      </c>
      <c r="C128" s="31">
        <v>43540.0</v>
      </c>
      <c r="D128" s="32">
        <v>121607.0</v>
      </c>
      <c r="E128" s="33" t="s">
        <v>20</v>
      </c>
    </row>
    <row r="129">
      <c r="A129" s="35" t="s">
        <v>778</v>
      </c>
      <c r="B129" s="36" t="s">
        <v>749</v>
      </c>
      <c r="C129" s="37">
        <v>43601.0</v>
      </c>
      <c r="D129" s="38">
        <v>63352.0</v>
      </c>
      <c r="E129" s="39" t="s">
        <v>20</v>
      </c>
    </row>
    <row r="130">
      <c r="A130" s="29" t="s">
        <v>778</v>
      </c>
      <c r="B130" s="30" t="s">
        <v>749</v>
      </c>
      <c r="C130" s="31">
        <v>43635.0</v>
      </c>
      <c r="D130" s="32">
        <v>60909.0</v>
      </c>
      <c r="E130" s="33" t="s">
        <v>20</v>
      </c>
    </row>
    <row r="131">
      <c r="A131" s="35" t="s">
        <v>778</v>
      </c>
      <c r="B131" s="36" t="s">
        <v>749</v>
      </c>
      <c r="C131" s="37">
        <v>44099.0</v>
      </c>
      <c r="D131" s="38">
        <v>191131.0</v>
      </c>
      <c r="E131" s="39" t="s">
        <v>20</v>
      </c>
    </row>
    <row r="132">
      <c r="A132" s="29" t="s">
        <v>778</v>
      </c>
      <c r="B132" s="30" t="s">
        <v>749</v>
      </c>
      <c r="C132" s="31">
        <v>44132.0</v>
      </c>
      <c r="D132" s="32">
        <v>30101.0</v>
      </c>
      <c r="E132" s="33" t="s">
        <v>20</v>
      </c>
    </row>
    <row r="133">
      <c r="A133" s="35" t="s">
        <v>778</v>
      </c>
      <c r="B133" s="36" t="s">
        <v>749</v>
      </c>
      <c r="C133" s="37">
        <v>44956.0</v>
      </c>
      <c r="D133" s="38">
        <v>239664.0</v>
      </c>
      <c r="E133" s="39" t="s">
        <v>20</v>
      </c>
    </row>
    <row r="134">
      <c r="A134" s="29" t="s">
        <v>778</v>
      </c>
      <c r="B134" s="30" t="s">
        <v>749</v>
      </c>
      <c r="C134" s="31">
        <v>45227.0</v>
      </c>
      <c r="D134" s="32">
        <v>16770.0</v>
      </c>
      <c r="E134" s="33" t="s">
        <v>20</v>
      </c>
    </row>
    <row r="135">
      <c r="A135" s="35" t="s">
        <v>757</v>
      </c>
      <c r="B135" s="36" t="s">
        <v>743</v>
      </c>
      <c r="C135" s="37">
        <v>43498.0</v>
      </c>
      <c r="D135" s="38">
        <v>167832.0</v>
      </c>
      <c r="E135" s="39" t="s">
        <v>20</v>
      </c>
    </row>
    <row r="136">
      <c r="A136" s="29" t="s">
        <v>757</v>
      </c>
      <c r="B136" s="30" t="s">
        <v>743</v>
      </c>
      <c r="C136" s="31">
        <v>43543.0</v>
      </c>
      <c r="D136" s="32">
        <v>247694.0</v>
      </c>
      <c r="E136" s="33" t="s">
        <v>20</v>
      </c>
    </row>
    <row r="137">
      <c r="A137" s="35" t="s">
        <v>757</v>
      </c>
      <c r="B137" s="36" t="s">
        <v>743</v>
      </c>
      <c r="C137" s="37">
        <v>43604.0</v>
      </c>
      <c r="D137" s="38">
        <v>113663.0</v>
      </c>
      <c r="E137" s="39" t="s">
        <v>20</v>
      </c>
    </row>
    <row r="138">
      <c r="A138" s="29" t="s">
        <v>757</v>
      </c>
      <c r="B138" s="30" t="s">
        <v>743</v>
      </c>
      <c r="C138" s="31">
        <v>43638.0</v>
      </c>
      <c r="D138" s="32">
        <v>19987.0</v>
      </c>
      <c r="E138" s="33" t="s">
        <v>20</v>
      </c>
    </row>
    <row r="139">
      <c r="A139" s="35" t="s">
        <v>757</v>
      </c>
      <c r="B139" s="36" t="s">
        <v>743</v>
      </c>
      <c r="C139" s="37">
        <v>44102.0</v>
      </c>
      <c r="D139" s="38">
        <v>26855.0</v>
      </c>
      <c r="E139" s="39" t="s">
        <v>20</v>
      </c>
    </row>
    <row r="140">
      <c r="A140" s="29" t="s">
        <v>757</v>
      </c>
      <c r="B140" s="30" t="s">
        <v>743</v>
      </c>
      <c r="C140" s="31">
        <v>44136.0</v>
      </c>
      <c r="D140" s="32">
        <v>299321.0</v>
      </c>
      <c r="E140" s="33" t="s">
        <v>20</v>
      </c>
    </row>
    <row r="141">
      <c r="A141" s="35" t="s">
        <v>757</v>
      </c>
      <c r="B141" s="36" t="s">
        <v>743</v>
      </c>
      <c r="C141" s="37">
        <v>44959.0</v>
      </c>
      <c r="D141" s="38">
        <v>145362.0</v>
      </c>
      <c r="E141" s="39" t="s">
        <v>20</v>
      </c>
    </row>
    <row r="142">
      <c r="A142" s="29" t="s">
        <v>757</v>
      </c>
      <c r="B142" s="30" t="s">
        <v>743</v>
      </c>
      <c r="C142" s="31">
        <v>45231.0</v>
      </c>
      <c r="D142" s="32">
        <v>52591.0</v>
      </c>
      <c r="E142" s="33" t="s">
        <v>20</v>
      </c>
    </row>
    <row r="143">
      <c r="A143" s="35" t="s">
        <v>779</v>
      </c>
      <c r="B143" s="36" t="s">
        <v>766</v>
      </c>
      <c r="C143" s="37">
        <v>43501.0</v>
      </c>
      <c r="D143" s="38">
        <v>285851.0</v>
      </c>
      <c r="E143" s="39" t="s">
        <v>20</v>
      </c>
    </row>
    <row r="144">
      <c r="A144" s="29" t="s">
        <v>779</v>
      </c>
      <c r="B144" s="30" t="s">
        <v>766</v>
      </c>
      <c r="C144" s="31">
        <v>43546.0</v>
      </c>
      <c r="D144" s="32">
        <v>266431.0</v>
      </c>
      <c r="E144" s="33" t="s">
        <v>20</v>
      </c>
    </row>
    <row r="145">
      <c r="A145" s="35" t="s">
        <v>779</v>
      </c>
      <c r="B145" s="36" t="s">
        <v>766</v>
      </c>
      <c r="C145" s="37">
        <v>43607.0</v>
      </c>
      <c r="D145" s="38">
        <v>47892.0</v>
      </c>
      <c r="E145" s="39" t="s">
        <v>20</v>
      </c>
    </row>
    <row r="146">
      <c r="A146" s="29" t="s">
        <v>779</v>
      </c>
      <c r="B146" s="30" t="s">
        <v>766</v>
      </c>
      <c r="C146" s="31">
        <v>43641.0</v>
      </c>
      <c r="D146" s="32">
        <v>143655.0</v>
      </c>
      <c r="E146" s="33" t="s">
        <v>20</v>
      </c>
    </row>
    <row r="147">
      <c r="A147" s="35" t="s">
        <v>779</v>
      </c>
      <c r="B147" s="36" t="s">
        <v>766</v>
      </c>
      <c r="C147" s="37">
        <v>44197.0</v>
      </c>
      <c r="D147" s="38">
        <v>253069.0</v>
      </c>
      <c r="E147" s="39" t="s">
        <v>20</v>
      </c>
    </row>
    <row r="148">
      <c r="A148" s="29" t="s">
        <v>779</v>
      </c>
      <c r="B148" s="30" t="s">
        <v>766</v>
      </c>
      <c r="C148" s="31">
        <v>44105.0</v>
      </c>
      <c r="D148" s="32">
        <v>124078.0</v>
      </c>
      <c r="E148" s="33" t="s">
        <v>20</v>
      </c>
    </row>
    <row r="149">
      <c r="A149" s="35" t="s">
        <v>779</v>
      </c>
      <c r="B149" s="36" t="s">
        <v>766</v>
      </c>
      <c r="C149" s="37">
        <v>44139.0</v>
      </c>
      <c r="D149" s="38">
        <v>164974.0</v>
      </c>
      <c r="E149" s="39" t="s">
        <v>20</v>
      </c>
    </row>
    <row r="150">
      <c r="A150" s="29" t="s">
        <v>779</v>
      </c>
      <c r="B150" s="30" t="s">
        <v>766</v>
      </c>
      <c r="C150" s="31">
        <v>44962.0</v>
      </c>
      <c r="D150" s="32">
        <v>98184.0</v>
      </c>
      <c r="E150" s="33" t="s">
        <v>20</v>
      </c>
    </row>
    <row r="151">
      <c r="A151" s="35" t="s">
        <v>779</v>
      </c>
      <c r="B151" s="36" t="s">
        <v>766</v>
      </c>
      <c r="C151" s="37">
        <v>45200.0</v>
      </c>
      <c r="D151" s="38">
        <v>70237.0</v>
      </c>
      <c r="E151" s="39" t="s">
        <v>20</v>
      </c>
    </row>
    <row r="152">
      <c r="A152" s="29" t="s">
        <v>779</v>
      </c>
      <c r="B152" s="30" t="s">
        <v>766</v>
      </c>
      <c r="C152" s="31">
        <v>45234.0</v>
      </c>
      <c r="D152" s="32">
        <v>249088.0</v>
      </c>
      <c r="E152" s="33" t="s">
        <v>20</v>
      </c>
    </row>
    <row r="153">
      <c r="A153" s="35" t="s">
        <v>751</v>
      </c>
      <c r="B153" s="36" t="s">
        <v>751</v>
      </c>
      <c r="C153" s="37">
        <v>43504.0</v>
      </c>
      <c r="D153" s="38">
        <v>130253.0</v>
      </c>
      <c r="E153" s="39" t="s">
        <v>20</v>
      </c>
    </row>
    <row r="154">
      <c r="A154" s="29" t="s">
        <v>751</v>
      </c>
      <c r="B154" s="30" t="s">
        <v>751</v>
      </c>
      <c r="C154" s="31">
        <v>43549.0</v>
      </c>
      <c r="D154" s="32">
        <v>201168.0</v>
      </c>
      <c r="E154" s="33" t="s">
        <v>20</v>
      </c>
    </row>
    <row r="155">
      <c r="A155" s="35" t="s">
        <v>751</v>
      </c>
      <c r="B155" s="36" t="s">
        <v>751</v>
      </c>
      <c r="C155" s="37">
        <v>43610.0</v>
      </c>
      <c r="D155" s="38">
        <v>182791.0</v>
      </c>
      <c r="E155" s="39" t="s">
        <v>20</v>
      </c>
    </row>
    <row r="156">
      <c r="A156" s="29" t="s">
        <v>751</v>
      </c>
      <c r="B156" s="30" t="s">
        <v>751</v>
      </c>
      <c r="C156" s="31">
        <v>43644.0</v>
      </c>
      <c r="D156" s="32">
        <v>100941.0</v>
      </c>
      <c r="E156" s="33" t="s">
        <v>20</v>
      </c>
    </row>
    <row r="157">
      <c r="A157" s="35" t="s">
        <v>751</v>
      </c>
      <c r="B157" s="36" t="s">
        <v>751</v>
      </c>
      <c r="C157" s="37">
        <v>43647.0</v>
      </c>
      <c r="D157" s="38">
        <v>74480.0</v>
      </c>
      <c r="E157" s="39" t="s">
        <v>20</v>
      </c>
    </row>
    <row r="158">
      <c r="A158" s="29" t="s">
        <v>751</v>
      </c>
      <c r="B158" s="30" t="s">
        <v>751</v>
      </c>
      <c r="C158" s="31">
        <v>43650.0</v>
      </c>
      <c r="D158" s="32">
        <v>50006.0</v>
      </c>
      <c r="E158" s="33" t="s">
        <v>20</v>
      </c>
    </row>
    <row r="159">
      <c r="A159" s="35" t="s">
        <v>751</v>
      </c>
      <c r="B159" s="36" t="s">
        <v>751</v>
      </c>
      <c r="C159" s="37">
        <v>44200.0</v>
      </c>
      <c r="D159" s="38">
        <v>70453.0</v>
      </c>
      <c r="E159" s="39" t="s">
        <v>20</v>
      </c>
    </row>
    <row r="160">
      <c r="A160" s="29" t="s">
        <v>751</v>
      </c>
      <c r="B160" s="30" t="s">
        <v>751</v>
      </c>
      <c r="C160" s="31">
        <v>44108.0</v>
      </c>
      <c r="D160" s="32">
        <v>16006.0</v>
      </c>
      <c r="E160" s="33" t="s">
        <v>20</v>
      </c>
    </row>
    <row r="161">
      <c r="A161" s="35" t="s">
        <v>751</v>
      </c>
      <c r="B161" s="36" t="s">
        <v>751</v>
      </c>
      <c r="C161" s="37">
        <v>44142.0</v>
      </c>
      <c r="D161" s="38">
        <v>168444.0</v>
      </c>
      <c r="E161" s="39" t="s">
        <v>20</v>
      </c>
    </row>
    <row r="162">
      <c r="A162" s="29" t="s">
        <v>751</v>
      </c>
      <c r="B162" s="30" t="s">
        <v>751</v>
      </c>
      <c r="C162" s="31">
        <v>44145.0</v>
      </c>
      <c r="D162" s="32">
        <v>285123.0</v>
      </c>
      <c r="E162" s="33" t="s">
        <v>20</v>
      </c>
    </row>
    <row r="163">
      <c r="A163" s="35" t="s">
        <v>751</v>
      </c>
      <c r="B163" s="36" t="s">
        <v>751</v>
      </c>
      <c r="C163" s="37">
        <v>44148.0</v>
      </c>
      <c r="D163" s="38">
        <v>118002.0</v>
      </c>
      <c r="E163" s="39" t="s">
        <v>20</v>
      </c>
    </row>
    <row r="164">
      <c r="A164" s="29" t="s">
        <v>751</v>
      </c>
      <c r="B164" s="30" t="s">
        <v>751</v>
      </c>
      <c r="C164" s="31">
        <v>44965.0</v>
      </c>
      <c r="D164" s="32">
        <v>262998.0</v>
      </c>
      <c r="E164" s="33" t="s">
        <v>20</v>
      </c>
    </row>
    <row r="165">
      <c r="A165" s="35" t="s">
        <v>751</v>
      </c>
      <c r="B165" s="36" t="s">
        <v>751</v>
      </c>
      <c r="C165" s="37">
        <v>45203.0</v>
      </c>
      <c r="D165" s="38">
        <v>71101.0</v>
      </c>
      <c r="E165" s="39" t="s">
        <v>20</v>
      </c>
    </row>
    <row r="166">
      <c r="A166" s="29" t="s">
        <v>751</v>
      </c>
      <c r="B166" s="30" t="s">
        <v>751</v>
      </c>
      <c r="C166" s="31">
        <v>45237.0</v>
      </c>
      <c r="D166" s="32">
        <v>132812.0</v>
      </c>
      <c r="E166" s="33" t="s">
        <v>20</v>
      </c>
    </row>
    <row r="167">
      <c r="A167" s="35" t="s">
        <v>751</v>
      </c>
      <c r="B167" s="36" t="s">
        <v>751</v>
      </c>
      <c r="C167" s="37">
        <v>45240.0</v>
      </c>
      <c r="D167" s="38">
        <v>193225.0</v>
      </c>
      <c r="E167" s="39" t="s">
        <v>20</v>
      </c>
    </row>
    <row r="168">
      <c r="A168" s="29" t="s">
        <v>751</v>
      </c>
      <c r="B168" s="30" t="s">
        <v>751</v>
      </c>
      <c r="C168" s="31">
        <v>45243.0</v>
      </c>
      <c r="D168" s="32">
        <v>198619.0</v>
      </c>
      <c r="E168" s="33" t="s">
        <v>20</v>
      </c>
    </row>
    <row r="169">
      <c r="A169" s="35" t="s">
        <v>780</v>
      </c>
      <c r="B169" s="36" t="s">
        <v>749</v>
      </c>
      <c r="C169" s="37">
        <v>43832.0</v>
      </c>
      <c r="D169" s="38">
        <v>222631.0</v>
      </c>
      <c r="E169" s="39" t="s">
        <v>20</v>
      </c>
    </row>
    <row r="170">
      <c r="A170" s="29" t="s">
        <v>780</v>
      </c>
      <c r="B170" s="30" t="s">
        <v>749</v>
      </c>
      <c r="C170" s="31">
        <v>43922.0</v>
      </c>
      <c r="D170" s="32">
        <v>61912.0</v>
      </c>
      <c r="E170" s="33" t="s">
        <v>20</v>
      </c>
    </row>
    <row r="171">
      <c r="A171" s="35" t="s">
        <v>780</v>
      </c>
      <c r="B171" s="36" t="s">
        <v>749</v>
      </c>
      <c r="C171" s="37">
        <v>44013.0</v>
      </c>
      <c r="D171" s="38">
        <v>235544.0</v>
      </c>
      <c r="E171" s="39" t="s">
        <v>20</v>
      </c>
    </row>
    <row r="172">
      <c r="A172" s="29" t="s">
        <v>780</v>
      </c>
      <c r="B172" s="30" t="s">
        <v>749</v>
      </c>
      <c r="C172" s="31">
        <v>44157.0</v>
      </c>
      <c r="D172" s="32">
        <v>153467.0</v>
      </c>
      <c r="E172" s="33" t="s">
        <v>20</v>
      </c>
    </row>
    <row r="173">
      <c r="A173" s="35" t="s">
        <v>780</v>
      </c>
      <c r="B173" s="36" t="s">
        <v>749</v>
      </c>
      <c r="C173" s="37">
        <v>44259.0</v>
      </c>
      <c r="D173" s="38">
        <v>229698.0</v>
      </c>
      <c r="E173" s="39" t="s">
        <v>20</v>
      </c>
    </row>
    <row r="174">
      <c r="A174" s="29" t="s">
        <v>780</v>
      </c>
      <c r="B174" s="30" t="s">
        <v>749</v>
      </c>
      <c r="C174" s="31">
        <v>44151.0</v>
      </c>
      <c r="D174" s="32">
        <v>66132.0</v>
      </c>
      <c r="E174" s="33" t="s">
        <v>20</v>
      </c>
    </row>
    <row r="175">
      <c r="A175" s="35" t="s">
        <v>780</v>
      </c>
      <c r="B175" s="36" t="s">
        <v>749</v>
      </c>
      <c r="C175" s="37">
        <v>44246.0</v>
      </c>
      <c r="D175" s="38">
        <v>296580.0</v>
      </c>
      <c r="E175" s="39" t="s">
        <v>20</v>
      </c>
    </row>
    <row r="176">
      <c r="A176" s="29" t="s">
        <v>780</v>
      </c>
      <c r="B176" s="30" t="s">
        <v>749</v>
      </c>
      <c r="C176" s="31">
        <v>44853.0</v>
      </c>
      <c r="D176" s="32">
        <v>228513.0</v>
      </c>
      <c r="E176" s="33" t="s">
        <v>20</v>
      </c>
    </row>
    <row r="177">
      <c r="A177" s="35" t="s">
        <v>781</v>
      </c>
      <c r="B177" s="36" t="s">
        <v>743</v>
      </c>
      <c r="C177" s="37">
        <v>43835.0</v>
      </c>
      <c r="D177" s="38">
        <v>183419.0</v>
      </c>
      <c r="E177" s="39" t="s">
        <v>20</v>
      </c>
    </row>
    <row r="178">
      <c r="A178" s="29" t="s">
        <v>781</v>
      </c>
      <c r="B178" s="30" t="s">
        <v>743</v>
      </c>
      <c r="C178" s="31">
        <v>43925.0</v>
      </c>
      <c r="D178" s="32">
        <v>218194.0</v>
      </c>
      <c r="E178" s="33" t="s">
        <v>20</v>
      </c>
    </row>
    <row r="179">
      <c r="A179" s="35" t="s">
        <v>781</v>
      </c>
      <c r="B179" s="36" t="s">
        <v>743</v>
      </c>
      <c r="C179" s="37">
        <v>44016.0</v>
      </c>
      <c r="D179" s="38">
        <v>175383.0</v>
      </c>
      <c r="E179" s="39" t="s">
        <v>20</v>
      </c>
    </row>
    <row r="180">
      <c r="A180" s="29" t="s">
        <v>781</v>
      </c>
      <c r="B180" s="30" t="s">
        <v>743</v>
      </c>
      <c r="C180" s="31">
        <v>44160.0</v>
      </c>
      <c r="D180" s="32">
        <v>216757.0</v>
      </c>
      <c r="E180" s="33" t="s">
        <v>20</v>
      </c>
    </row>
    <row r="181">
      <c r="A181" s="35" t="s">
        <v>781</v>
      </c>
      <c r="B181" s="36" t="s">
        <v>743</v>
      </c>
      <c r="C181" s="37">
        <v>44262.0</v>
      </c>
      <c r="D181" s="38">
        <v>102297.0</v>
      </c>
      <c r="E181" s="39" t="s">
        <v>20</v>
      </c>
    </row>
    <row r="182">
      <c r="A182" s="29" t="s">
        <v>781</v>
      </c>
      <c r="B182" s="30" t="s">
        <v>743</v>
      </c>
      <c r="C182" s="31">
        <v>44882.0</v>
      </c>
      <c r="D182" s="32">
        <v>24251.0</v>
      </c>
      <c r="E182" s="33" t="s">
        <v>20</v>
      </c>
    </row>
    <row r="183">
      <c r="A183" s="35" t="s">
        <v>781</v>
      </c>
      <c r="B183" s="36" t="s">
        <v>743</v>
      </c>
      <c r="C183" s="37">
        <v>44826.0</v>
      </c>
      <c r="D183" s="38">
        <v>149161.0</v>
      </c>
      <c r="E183" s="39" t="s">
        <v>20</v>
      </c>
    </row>
    <row r="184">
      <c r="A184" s="29" t="s">
        <v>781</v>
      </c>
      <c r="B184" s="30" t="s">
        <v>743</v>
      </c>
      <c r="C184" s="31">
        <v>44856.0</v>
      </c>
      <c r="D184" s="32">
        <v>91564.0</v>
      </c>
      <c r="E184" s="33" t="s">
        <v>20</v>
      </c>
    </row>
    <row r="185">
      <c r="A185" s="35" t="s">
        <v>782</v>
      </c>
      <c r="B185" s="36" t="s">
        <v>743</v>
      </c>
      <c r="C185" s="37">
        <v>43838.0</v>
      </c>
      <c r="D185" s="38">
        <v>296190.0</v>
      </c>
      <c r="E185" s="39" t="s">
        <v>20</v>
      </c>
    </row>
    <row r="186">
      <c r="A186" s="29" t="s">
        <v>782</v>
      </c>
      <c r="B186" s="30" t="s">
        <v>743</v>
      </c>
      <c r="C186" s="31">
        <v>43928.0</v>
      </c>
      <c r="D186" s="32">
        <v>251963.0</v>
      </c>
      <c r="E186" s="33" t="s">
        <v>20</v>
      </c>
    </row>
    <row r="187">
      <c r="A187" s="35" t="s">
        <v>782</v>
      </c>
      <c r="B187" s="36" t="s">
        <v>743</v>
      </c>
      <c r="C187" s="37">
        <v>44019.0</v>
      </c>
      <c r="D187" s="38">
        <v>119340.0</v>
      </c>
      <c r="E187" s="39" t="s">
        <v>20</v>
      </c>
    </row>
    <row r="188">
      <c r="A188" s="29" t="s">
        <v>782</v>
      </c>
      <c r="B188" s="30" t="s">
        <v>743</v>
      </c>
      <c r="C188" s="31">
        <v>44163.0</v>
      </c>
      <c r="D188" s="32">
        <v>248673.0</v>
      </c>
      <c r="E188" s="33" t="s">
        <v>20</v>
      </c>
    </row>
    <row r="189">
      <c r="A189" s="35" t="s">
        <v>782</v>
      </c>
      <c r="B189" s="36" t="s">
        <v>743</v>
      </c>
      <c r="C189" s="37">
        <v>44883.0</v>
      </c>
      <c r="D189" s="38">
        <v>75137.0</v>
      </c>
      <c r="E189" s="39" t="s">
        <v>20</v>
      </c>
    </row>
    <row r="190">
      <c r="A190" s="29" t="s">
        <v>782</v>
      </c>
      <c r="B190" s="30" t="s">
        <v>743</v>
      </c>
      <c r="C190" s="31">
        <v>44829.0</v>
      </c>
      <c r="D190" s="32">
        <v>85257.0</v>
      </c>
      <c r="E190" s="33" t="s">
        <v>20</v>
      </c>
    </row>
    <row r="191">
      <c r="A191" s="35" t="s">
        <v>782</v>
      </c>
      <c r="B191" s="36" t="s">
        <v>743</v>
      </c>
      <c r="C191" s="37">
        <v>44859.0</v>
      </c>
      <c r="D191" s="38">
        <v>91564.0</v>
      </c>
      <c r="E191" s="39" t="s">
        <v>20</v>
      </c>
    </row>
    <row r="192">
      <c r="A192" s="29" t="s">
        <v>783</v>
      </c>
      <c r="B192" s="30" t="s">
        <v>751</v>
      </c>
      <c r="C192" s="31">
        <v>43841.0</v>
      </c>
      <c r="D192" s="32">
        <v>88564.0</v>
      </c>
      <c r="E192" s="33" t="s">
        <v>20</v>
      </c>
    </row>
    <row r="193">
      <c r="A193" s="35" t="s">
        <v>783</v>
      </c>
      <c r="B193" s="36" t="s">
        <v>751</v>
      </c>
      <c r="C193" s="37">
        <v>43931.0</v>
      </c>
      <c r="D193" s="38">
        <v>109710.0</v>
      </c>
      <c r="E193" s="39" t="s">
        <v>20</v>
      </c>
    </row>
    <row r="194">
      <c r="A194" s="29" t="s">
        <v>783</v>
      </c>
      <c r="B194" s="30" t="s">
        <v>751</v>
      </c>
      <c r="C194" s="31">
        <v>44022.0</v>
      </c>
      <c r="D194" s="32">
        <v>129304.0</v>
      </c>
      <c r="E194" s="33" t="s">
        <v>20</v>
      </c>
    </row>
    <row r="195">
      <c r="A195" s="35" t="s">
        <v>783</v>
      </c>
      <c r="B195" s="36" t="s">
        <v>751</v>
      </c>
      <c r="C195" s="37">
        <v>44166.0</v>
      </c>
      <c r="D195" s="38">
        <v>233659.0</v>
      </c>
      <c r="E195" s="39" t="s">
        <v>20</v>
      </c>
    </row>
    <row r="196">
      <c r="A196" s="29" t="s">
        <v>783</v>
      </c>
      <c r="B196" s="30" t="s">
        <v>751</v>
      </c>
      <c r="C196" s="31">
        <v>44224.0</v>
      </c>
      <c r="D196" s="32">
        <v>30337.0</v>
      </c>
      <c r="E196" s="33" t="s">
        <v>20</v>
      </c>
    </row>
    <row r="197">
      <c r="A197" s="35" t="s">
        <v>783</v>
      </c>
      <c r="B197" s="36" t="s">
        <v>751</v>
      </c>
      <c r="C197" s="37">
        <v>44832.0</v>
      </c>
      <c r="D197" s="38">
        <v>246839.0</v>
      </c>
      <c r="E197" s="39" t="s">
        <v>20</v>
      </c>
    </row>
    <row r="198">
      <c r="A198" s="29" t="s">
        <v>784</v>
      </c>
      <c r="B198" s="30" t="s">
        <v>769</v>
      </c>
      <c r="C198" s="31">
        <v>43844.0</v>
      </c>
      <c r="D198" s="32">
        <v>22903.0</v>
      </c>
      <c r="E198" s="33" t="s">
        <v>20</v>
      </c>
    </row>
    <row r="199">
      <c r="A199" s="35" t="s">
        <v>784</v>
      </c>
      <c r="B199" s="36" t="s">
        <v>769</v>
      </c>
      <c r="C199" s="37">
        <v>43934.0</v>
      </c>
      <c r="D199" s="38">
        <v>247663.0</v>
      </c>
      <c r="E199" s="39" t="s">
        <v>20</v>
      </c>
    </row>
    <row r="200">
      <c r="A200" s="29" t="s">
        <v>784</v>
      </c>
      <c r="B200" s="30" t="s">
        <v>769</v>
      </c>
      <c r="C200" s="31">
        <v>44025.0</v>
      </c>
      <c r="D200" s="32">
        <v>90516.0</v>
      </c>
      <c r="E200" s="33" t="s">
        <v>20</v>
      </c>
    </row>
    <row r="201">
      <c r="A201" s="35" t="s">
        <v>784</v>
      </c>
      <c r="B201" s="36" t="s">
        <v>769</v>
      </c>
      <c r="C201" s="37">
        <v>44169.0</v>
      </c>
      <c r="D201" s="38">
        <v>139242.0</v>
      </c>
      <c r="E201" s="39" t="s">
        <v>20</v>
      </c>
    </row>
    <row r="202">
      <c r="A202" s="29" t="s">
        <v>784</v>
      </c>
      <c r="B202" s="30" t="s">
        <v>769</v>
      </c>
      <c r="C202" s="31">
        <v>44228.0</v>
      </c>
      <c r="D202" s="32">
        <v>88185.0</v>
      </c>
      <c r="E202" s="33" t="s">
        <v>20</v>
      </c>
    </row>
    <row r="203">
      <c r="A203" s="35" t="s">
        <v>784</v>
      </c>
      <c r="B203" s="36" t="s">
        <v>769</v>
      </c>
      <c r="C203" s="37">
        <v>44835.0</v>
      </c>
      <c r="D203" s="38">
        <v>244816.0</v>
      </c>
      <c r="E203" s="39" t="s">
        <v>20</v>
      </c>
    </row>
    <row r="204">
      <c r="A204" s="29" t="s">
        <v>785</v>
      </c>
      <c r="B204" s="30" t="s">
        <v>749</v>
      </c>
      <c r="C204" s="31">
        <v>43847.0</v>
      </c>
      <c r="D204" s="32">
        <v>74389.0</v>
      </c>
      <c r="E204" s="33" t="s">
        <v>20</v>
      </c>
    </row>
    <row r="205">
      <c r="A205" s="35" t="s">
        <v>785</v>
      </c>
      <c r="B205" s="36" t="s">
        <v>749</v>
      </c>
      <c r="C205" s="37">
        <v>43937.0</v>
      </c>
      <c r="D205" s="38">
        <v>117043.0</v>
      </c>
      <c r="E205" s="39" t="s">
        <v>20</v>
      </c>
    </row>
    <row r="206">
      <c r="A206" s="29" t="s">
        <v>785</v>
      </c>
      <c r="B206" s="30" t="s">
        <v>749</v>
      </c>
      <c r="C206" s="31">
        <v>44028.0</v>
      </c>
      <c r="D206" s="32">
        <v>97376.0</v>
      </c>
      <c r="E206" s="33" t="s">
        <v>20</v>
      </c>
    </row>
    <row r="207">
      <c r="A207" s="35" t="s">
        <v>785</v>
      </c>
      <c r="B207" s="36" t="s">
        <v>749</v>
      </c>
      <c r="C207" s="37">
        <v>44172.0</v>
      </c>
      <c r="D207" s="38">
        <v>231968.0</v>
      </c>
      <c r="E207" s="39" t="s">
        <v>20</v>
      </c>
    </row>
    <row r="208">
      <c r="A208" s="29" t="s">
        <v>785</v>
      </c>
      <c r="B208" s="30" t="s">
        <v>749</v>
      </c>
      <c r="C208" s="31">
        <v>44231.0</v>
      </c>
      <c r="D208" s="32">
        <v>146818.0</v>
      </c>
      <c r="E208" s="33" t="s">
        <v>20</v>
      </c>
    </row>
    <row r="209">
      <c r="A209" s="35" t="s">
        <v>785</v>
      </c>
      <c r="B209" s="36" t="s">
        <v>749</v>
      </c>
      <c r="C209" s="37">
        <v>44838.0</v>
      </c>
      <c r="D209" s="38">
        <v>14222.0</v>
      </c>
      <c r="E209" s="39" t="s">
        <v>20</v>
      </c>
    </row>
    <row r="210">
      <c r="A210" s="29" t="s">
        <v>786</v>
      </c>
      <c r="B210" s="30" t="s">
        <v>743</v>
      </c>
      <c r="C210" s="31">
        <v>43850.0</v>
      </c>
      <c r="D210" s="32">
        <v>37706.0</v>
      </c>
      <c r="E210" s="33" t="s">
        <v>20</v>
      </c>
    </row>
    <row r="211">
      <c r="A211" s="35" t="s">
        <v>786</v>
      </c>
      <c r="B211" s="36" t="s">
        <v>743</v>
      </c>
      <c r="C211" s="37">
        <v>43940.0</v>
      </c>
      <c r="D211" s="38">
        <v>11442.0</v>
      </c>
      <c r="E211" s="39" t="s">
        <v>20</v>
      </c>
    </row>
    <row r="212">
      <c r="A212" s="29" t="s">
        <v>786</v>
      </c>
      <c r="B212" s="30" t="s">
        <v>743</v>
      </c>
      <c r="C212" s="31">
        <v>44031.0</v>
      </c>
      <c r="D212" s="32">
        <v>179093.0</v>
      </c>
      <c r="E212" s="33" t="s">
        <v>20</v>
      </c>
    </row>
    <row r="213">
      <c r="A213" s="35" t="s">
        <v>786</v>
      </c>
      <c r="B213" s="36" t="s">
        <v>743</v>
      </c>
      <c r="C213" s="37">
        <v>44175.0</v>
      </c>
      <c r="D213" s="38">
        <v>173998.0</v>
      </c>
      <c r="E213" s="39" t="s">
        <v>20</v>
      </c>
    </row>
    <row r="214">
      <c r="A214" s="29" t="s">
        <v>786</v>
      </c>
      <c r="B214" s="30" t="s">
        <v>743</v>
      </c>
      <c r="C214" s="31">
        <v>44234.0</v>
      </c>
      <c r="D214" s="32">
        <v>283665.0</v>
      </c>
      <c r="E214" s="33" t="s">
        <v>20</v>
      </c>
    </row>
    <row r="215">
      <c r="A215" s="35" t="s">
        <v>786</v>
      </c>
      <c r="B215" s="36" t="s">
        <v>743</v>
      </c>
      <c r="C215" s="37">
        <v>44841.0</v>
      </c>
      <c r="D215" s="38">
        <v>212134.0</v>
      </c>
      <c r="E215" s="39" t="s">
        <v>20</v>
      </c>
    </row>
    <row r="216">
      <c r="A216" s="29" t="s">
        <v>787</v>
      </c>
      <c r="B216" s="30" t="s">
        <v>766</v>
      </c>
      <c r="C216" s="31">
        <v>43853.0</v>
      </c>
      <c r="D216" s="32">
        <v>198341.0</v>
      </c>
      <c r="E216" s="33" t="s">
        <v>20</v>
      </c>
    </row>
    <row r="217">
      <c r="A217" s="35" t="s">
        <v>787</v>
      </c>
      <c r="B217" s="36" t="s">
        <v>766</v>
      </c>
      <c r="C217" s="37">
        <v>43943.0</v>
      </c>
      <c r="D217" s="38">
        <v>10587.0</v>
      </c>
      <c r="E217" s="39" t="s">
        <v>20</v>
      </c>
    </row>
    <row r="218">
      <c r="A218" s="29" t="s">
        <v>787</v>
      </c>
      <c r="B218" s="30" t="s">
        <v>766</v>
      </c>
      <c r="C218" s="31">
        <v>44034.0</v>
      </c>
      <c r="D218" s="32">
        <v>179746.0</v>
      </c>
      <c r="E218" s="33" t="s">
        <v>20</v>
      </c>
    </row>
    <row r="219">
      <c r="A219" s="35" t="s">
        <v>787</v>
      </c>
      <c r="B219" s="36" t="s">
        <v>766</v>
      </c>
      <c r="C219" s="37">
        <v>44178.0</v>
      </c>
      <c r="D219" s="38">
        <v>83142.0</v>
      </c>
      <c r="E219" s="39" t="s">
        <v>20</v>
      </c>
    </row>
    <row r="220">
      <c r="A220" s="29" t="s">
        <v>787</v>
      </c>
      <c r="B220" s="30" t="s">
        <v>766</v>
      </c>
      <c r="C220" s="31">
        <v>44237.0</v>
      </c>
      <c r="D220" s="32">
        <v>59591.0</v>
      </c>
      <c r="E220" s="33" t="s">
        <v>20</v>
      </c>
    </row>
    <row r="221">
      <c r="A221" s="35" t="s">
        <v>787</v>
      </c>
      <c r="B221" s="36" t="s">
        <v>766</v>
      </c>
      <c r="C221" s="37">
        <v>44844.0</v>
      </c>
      <c r="D221" s="38">
        <v>280267.0</v>
      </c>
      <c r="E221" s="39" t="s">
        <v>20</v>
      </c>
    </row>
    <row r="222">
      <c r="A222" s="29" t="s">
        <v>788</v>
      </c>
      <c r="B222" s="30" t="s">
        <v>751</v>
      </c>
      <c r="C222" s="31">
        <v>43856.0</v>
      </c>
      <c r="D222" s="32">
        <v>237422.0</v>
      </c>
      <c r="E222" s="33" t="s">
        <v>20</v>
      </c>
    </row>
    <row r="223">
      <c r="A223" s="35" t="s">
        <v>788</v>
      </c>
      <c r="B223" s="36" t="s">
        <v>751</v>
      </c>
      <c r="C223" s="37">
        <v>43946.0</v>
      </c>
      <c r="D223" s="38">
        <v>13020.0</v>
      </c>
      <c r="E223" s="39" t="s">
        <v>20</v>
      </c>
    </row>
    <row r="224">
      <c r="A224" s="29" t="s">
        <v>788</v>
      </c>
      <c r="B224" s="30" t="s">
        <v>751</v>
      </c>
      <c r="C224" s="31">
        <v>44037.0</v>
      </c>
      <c r="D224" s="32">
        <v>94240.0</v>
      </c>
      <c r="E224" s="33" t="s">
        <v>20</v>
      </c>
    </row>
    <row r="225">
      <c r="A225" s="35" t="s">
        <v>788</v>
      </c>
      <c r="B225" s="36" t="s">
        <v>751</v>
      </c>
      <c r="C225" s="37">
        <v>44181.0</v>
      </c>
      <c r="D225" s="38">
        <v>64138.0</v>
      </c>
      <c r="E225" s="39" t="s">
        <v>20</v>
      </c>
    </row>
    <row r="226">
      <c r="A226" s="29" t="s">
        <v>788</v>
      </c>
      <c r="B226" s="30" t="s">
        <v>751</v>
      </c>
      <c r="C226" s="31">
        <v>44240.0</v>
      </c>
      <c r="D226" s="32">
        <v>209335.0</v>
      </c>
      <c r="E226" s="33" t="s">
        <v>20</v>
      </c>
    </row>
    <row r="227">
      <c r="A227" s="35" t="s">
        <v>788</v>
      </c>
      <c r="B227" s="36" t="s">
        <v>751</v>
      </c>
      <c r="C227" s="37">
        <v>44847.0</v>
      </c>
      <c r="D227" s="38">
        <v>211622.0</v>
      </c>
      <c r="E227" s="39" t="s">
        <v>20</v>
      </c>
    </row>
    <row r="228">
      <c r="A228" s="29" t="s">
        <v>789</v>
      </c>
      <c r="B228" s="30" t="s">
        <v>769</v>
      </c>
      <c r="C228" s="31">
        <v>43859.0</v>
      </c>
      <c r="D228" s="32">
        <v>79707.0</v>
      </c>
      <c r="E228" s="33" t="s">
        <v>20</v>
      </c>
    </row>
    <row r="229">
      <c r="A229" s="35" t="s">
        <v>789</v>
      </c>
      <c r="B229" s="36" t="s">
        <v>769</v>
      </c>
      <c r="C229" s="37">
        <v>43949.0</v>
      </c>
      <c r="D229" s="38">
        <v>217800.0</v>
      </c>
      <c r="E229" s="39" t="s">
        <v>20</v>
      </c>
    </row>
    <row r="230">
      <c r="A230" s="29" t="s">
        <v>789</v>
      </c>
      <c r="B230" s="30" t="s">
        <v>769</v>
      </c>
      <c r="C230" s="31">
        <v>44040.0</v>
      </c>
      <c r="D230" s="32">
        <v>26298.0</v>
      </c>
      <c r="E230" s="33" t="s">
        <v>20</v>
      </c>
    </row>
    <row r="231">
      <c r="A231" s="35" t="s">
        <v>789</v>
      </c>
      <c r="B231" s="36" t="s">
        <v>769</v>
      </c>
      <c r="C231" s="37">
        <v>44184.0</v>
      </c>
      <c r="D231" s="38">
        <v>147083.0</v>
      </c>
      <c r="E231" s="39" t="s">
        <v>20</v>
      </c>
    </row>
    <row r="232">
      <c r="A232" s="29" t="s">
        <v>789</v>
      </c>
      <c r="B232" s="30" t="s">
        <v>769</v>
      </c>
      <c r="C232" s="31">
        <v>44243.0</v>
      </c>
      <c r="D232" s="32">
        <v>241869.0</v>
      </c>
      <c r="E232" s="33" t="s">
        <v>20</v>
      </c>
    </row>
    <row r="233">
      <c r="A233" s="35" t="s">
        <v>789</v>
      </c>
      <c r="B233" s="36" t="s">
        <v>769</v>
      </c>
      <c r="C233" s="37">
        <v>44850.0</v>
      </c>
      <c r="D233" s="38">
        <v>140463.0</v>
      </c>
      <c r="E233" s="39" t="s">
        <v>20</v>
      </c>
    </row>
    <row r="234">
      <c r="A234" s="29" t="s">
        <v>790</v>
      </c>
      <c r="B234" s="30" t="s">
        <v>743</v>
      </c>
      <c r="C234" s="31">
        <v>43862.0</v>
      </c>
      <c r="D234" s="32">
        <v>12989.0</v>
      </c>
      <c r="E234" s="33" t="s">
        <v>20</v>
      </c>
    </row>
    <row r="235">
      <c r="A235" s="35" t="s">
        <v>790</v>
      </c>
      <c r="B235" s="36" t="s">
        <v>743</v>
      </c>
      <c r="C235" s="37">
        <v>43952.0</v>
      </c>
      <c r="D235" s="38">
        <v>268049.0</v>
      </c>
      <c r="E235" s="39" t="s">
        <v>20</v>
      </c>
    </row>
    <row r="236">
      <c r="A236" s="29" t="s">
        <v>790</v>
      </c>
      <c r="B236" s="30" t="s">
        <v>743</v>
      </c>
      <c r="C236" s="31">
        <v>44044.0</v>
      </c>
      <c r="D236" s="32">
        <v>222635.0</v>
      </c>
      <c r="E236" s="33" t="s">
        <v>20</v>
      </c>
    </row>
    <row r="237">
      <c r="A237" s="35" t="s">
        <v>790</v>
      </c>
      <c r="B237" s="36" t="s">
        <v>743</v>
      </c>
      <c r="C237" s="37">
        <v>44187.0</v>
      </c>
      <c r="D237" s="38">
        <v>256449.0</v>
      </c>
      <c r="E237" s="39" t="s">
        <v>20</v>
      </c>
    </row>
    <row r="238">
      <c r="A238" s="29" t="s">
        <v>790</v>
      </c>
      <c r="B238" s="30" t="s">
        <v>743</v>
      </c>
      <c r="C238" s="31">
        <v>44246.0</v>
      </c>
      <c r="D238" s="32">
        <v>141315.0</v>
      </c>
      <c r="E238" s="33" t="s">
        <v>20</v>
      </c>
    </row>
    <row r="239">
      <c r="A239" s="35" t="s">
        <v>790</v>
      </c>
      <c r="B239" s="36" t="s">
        <v>743</v>
      </c>
      <c r="C239" s="37">
        <v>44853.0</v>
      </c>
      <c r="D239" s="38">
        <v>186346.0</v>
      </c>
      <c r="E239" s="39" t="s">
        <v>20</v>
      </c>
    </row>
    <row r="240">
      <c r="A240" s="29" t="s">
        <v>791</v>
      </c>
      <c r="B240" s="30" t="s">
        <v>749</v>
      </c>
      <c r="C240" s="31">
        <v>43865.0</v>
      </c>
      <c r="D240" s="32">
        <v>249854.0</v>
      </c>
      <c r="E240" s="33" t="s">
        <v>20</v>
      </c>
    </row>
    <row r="241">
      <c r="A241" s="35" t="s">
        <v>791</v>
      </c>
      <c r="B241" s="36" t="s">
        <v>749</v>
      </c>
      <c r="C241" s="37">
        <v>43955.0</v>
      </c>
      <c r="D241" s="38">
        <v>229698.0</v>
      </c>
      <c r="E241" s="39" t="s">
        <v>20</v>
      </c>
    </row>
    <row r="242">
      <c r="A242" s="29" t="s">
        <v>791</v>
      </c>
      <c r="B242" s="30" t="s">
        <v>749</v>
      </c>
      <c r="C242" s="31">
        <v>44047.0</v>
      </c>
      <c r="D242" s="32">
        <v>192599.0</v>
      </c>
      <c r="E242" s="33" t="s">
        <v>20</v>
      </c>
    </row>
    <row r="243">
      <c r="A243" s="35" t="s">
        <v>791</v>
      </c>
      <c r="B243" s="36" t="s">
        <v>749</v>
      </c>
      <c r="C243" s="37">
        <v>44190.0</v>
      </c>
      <c r="D243" s="38">
        <v>152846.0</v>
      </c>
      <c r="E243" s="39" t="s">
        <v>20</v>
      </c>
    </row>
    <row r="244">
      <c r="A244" s="29" t="s">
        <v>791</v>
      </c>
      <c r="B244" s="30" t="s">
        <v>749</v>
      </c>
      <c r="C244" s="31">
        <v>44203.0</v>
      </c>
      <c r="D244" s="32">
        <v>110878.0</v>
      </c>
      <c r="E244" s="33" t="s">
        <v>20</v>
      </c>
    </row>
    <row r="245">
      <c r="A245" s="35" t="s">
        <v>791</v>
      </c>
      <c r="B245" s="36" t="s">
        <v>749</v>
      </c>
      <c r="C245" s="37">
        <v>44826.0</v>
      </c>
      <c r="D245" s="38">
        <v>48679.0</v>
      </c>
      <c r="E245" s="39" t="s">
        <v>20</v>
      </c>
    </row>
    <row r="246">
      <c r="A246" s="29" t="s">
        <v>791</v>
      </c>
      <c r="B246" s="30" t="s">
        <v>749</v>
      </c>
      <c r="C246" s="31">
        <v>44856.0</v>
      </c>
      <c r="D246" s="32">
        <v>50488.0</v>
      </c>
      <c r="E246" s="33" t="s">
        <v>20</v>
      </c>
    </row>
    <row r="247">
      <c r="A247" s="35" t="s">
        <v>792</v>
      </c>
      <c r="B247" s="36" t="s">
        <v>743</v>
      </c>
      <c r="C247" s="37">
        <v>43868.0</v>
      </c>
      <c r="D247" s="38">
        <v>127726.0</v>
      </c>
      <c r="E247" s="39" t="s">
        <v>20</v>
      </c>
    </row>
    <row r="248">
      <c r="A248" s="29" t="s">
        <v>792</v>
      </c>
      <c r="B248" s="30" t="s">
        <v>743</v>
      </c>
      <c r="C248" s="31">
        <v>43958.0</v>
      </c>
      <c r="D248" s="32">
        <v>102297.0</v>
      </c>
      <c r="E248" s="33" t="s">
        <v>20</v>
      </c>
    </row>
    <row r="249">
      <c r="A249" s="35" t="s">
        <v>792</v>
      </c>
      <c r="B249" s="36" t="s">
        <v>743</v>
      </c>
      <c r="C249" s="37">
        <v>44050.0</v>
      </c>
      <c r="D249" s="38">
        <v>150974.0</v>
      </c>
      <c r="E249" s="39" t="s">
        <v>20</v>
      </c>
    </row>
    <row r="250">
      <c r="A250" s="29" t="s">
        <v>792</v>
      </c>
      <c r="B250" s="30" t="s">
        <v>743</v>
      </c>
      <c r="C250" s="31">
        <v>44193.0</v>
      </c>
      <c r="D250" s="32">
        <v>256144.0</v>
      </c>
      <c r="E250" s="33" t="s">
        <v>20</v>
      </c>
    </row>
    <row r="251">
      <c r="A251" s="35" t="s">
        <v>792</v>
      </c>
      <c r="B251" s="36" t="s">
        <v>743</v>
      </c>
      <c r="C251" s="37">
        <v>44206.0</v>
      </c>
      <c r="D251" s="38">
        <v>31099.0</v>
      </c>
      <c r="E251" s="39" t="s">
        <v>20</v>
      </c>
    </row>
    <row r="252">
      <c r="A252" s="29" t="s">
        <v>792</v>
      </c>
      <c r="B252" s="30" t="s">
        <v>743</v>
      </c>
      <c r="C252" s="31">
        <v>44829.0</v>
      </c>
      <c r="D252" s="32">
        <v>194151.0</v>
      </c>
      <c r="E252" s="33" t="s">
        <v>20</v>
      </c>
    </row>
    <row r="253">
      <c r="A253" s="35" t="s">
        <v>792</v>
      </c>
      <c r="B253" s="36" t="s">
        <v>743</v>
      </c>
      <c r="C253" s="37">
        <v>44859.0</v>
      </c>
      <c r="D253" s="38">
        <v>126804.0</v>
      </c>
      <c r="E253" s="39" t="s">
        <v>20</v>
      </c>
    </row>
    <row r="254">
      <c r="A254" s="29" t="s">
        <v>793</v>
      </c>
      <c r="B254" s="30" t="s">
        <v>751</v>
      </c>
      <c r="C254" s="31">
        <v>43871.0</v>
      </c>
      <c r="D254" s="32">
        <v>243396.0</v>
      </c>
      <c r="E254" s="33" t="s">
        <v>20</v>
      </c>
    </row>
    <row r="255">
      <c r="A255" s="35" t="s">
        <v>793</v>
      </c>
      <c r="B255" s="36" t="s">
        <v>751</v>
      </c>
      <c r="C255" s="37">
        <v>43961.0</v>
      </c>
      <c r="D255" s="38">
        <v>24358.0</v>
      </c>
      <c r="E255" s="39" t="s">
        <v>20</v>
      </c>
    </row>
    <row r="256">
      <c r="A256" s="29" t="s">
        <v>793</v>
      </c>
      <c r="B256" s="30" t="s">
        <v>751</v>
      </c>
      <c r="C256" s="31">
        <v>44053.0</v>
      </c>
      <c r="D256" s="32">
        <v>60625.0</v>
      </c>
      <c r="E256" s="33" t="s">
        <v>20</v>
      </c>
    </row>
    <row r="257">
      <c r="A257" s="35" t="s">
        <v>793</v>
      </c>
      <c r="B257" s="36" t="s">
        <v>751</v>
      </c>
      <c r="C257" s="37">
        <v>44105.0</v>
      </c>
      <c r="D257" s="38">
        <v>161646.0</v>
      </c>
      <c r="E257" s="39" t="s">
        <v>20</v>
      </c>
    </row>
    <row r="258">
      <c r="A258" s="29" t="s">
        <v>793</v>
      </c>
      <c r="B258" s="30" t="s">
        <v>751</v>
      </c>
      <c r="C258" s="31">
        <v>44197.0</v>
      </c>
      <c r="D258" s="32">
        <v>135225.0</v>
      </c>
      <c r="E258" s="33" t="s">
        <v>20</v>
      </c>
    </row>
    <row r="259">
      <c r="A259" s="35" t="s">
        <v>793</v>
      </c>
      <c r="B259" s="36" t="s">
        <v>751</v>
      </c>
      <c r="C259" s="37">
        <v>44209.0</v>
      </c>
      <c r="D259" s="38">
        <v>249165.0</v>
      </c>
      <c r="E259" s="39" t="s">
        <v>20</v>
      </c>
    </row>
    <row r="260">
      <c r="A260" s="29" t="s">
        <v>793</v>
      </c>
      <c r="B260" s="30" t="s">
        <v>751</v>
      </c>
      <c r="C260" s="31">
        <v>44832.0</v>
      </c>
      <c r="D260" s="32">
        <v>219837.0</v>
      </c>
      <c r="E260" s="33" t="s">
        <v>20</v>
      </c>
    </row>
    <row r="261">
      <c r="A261" s="35" t="s">
        <v>793</v>
      </c>
      <c r="B261" s="36" t="s">
        <v>751</v>
      </c>
      <c r="C261" s="37">
        <v>44224.0</v>
      </c>
      <c r="D261" s="38">
        <v>173152.0</v>
      </c>
      <c r="E261" s="39" t="s">
        <v>20</v>
      </c>
    </row>
    <row r="262">
      <c r="A262" s="29" t="s">
        <v>794</v>
      </c>
      <c r="B262" s="30" t="s">
        <v>769</v>
      </c>
      <c r="C262" s="31">
        <v>43874.0</v>
      </c>
      <c r="D262" s="32">
        <v>46325.0</v>
      </c>
      <c r="E262" s="33" t="s">
        <v>20</v>
      </c>
    </row>
    <row r="263">
      <c r="A263" s="35" t="s">
        <v>794</v>
      </c>
      <c r="B263" s="36" t="s">
        <v>769</v>
      </c>
      <c r="C263" s="37">
        <v>43964.0</v>
      </c>
      <c r="D263" s="38">
        <v>165797.0</v>
      </c>
      <c r="E263" s="39" t="s">
        <v>20</v>
      </c>
    </row>
    <row r="264">
      <c r="A264" s="29" t="s">
        <v>794</v>
      </c>
      <c r="B264" s="30" t="s">
        <v>769</v>
      </c>
      <c r="C264" s="31">
        <v>44056.0</v>
      </c>
      <c r="D264" s="32">
        <v>294815.0</v>
      </c>
      <c r="E264" s="33" t="s">
        <v>20</v>
      </c>
    </row>
    <row r="265">
      <c r="A265" s="35" t="s">
        <v>794</v>
      </c>
      <c r="B265" s="36" t="s">
        <v>769</v>
      </c>
      <c r="C265" s="37">
        <v>44108.0</v>
      </c>
      <c r="D265" s="38">
        <v>57988.0</v>
      </c>
      <c r="E265" s="39" t="s">
        <v>20</v>
      </c>
    </row>
    <row r="266">
      <c r="A266" s="29" t="s">
        <v>794</v>
      </c>
      <c r="B266" s="30" t="s">
        <v>769</v>
      </c>
      <c r="C266" s="31">
        <v>44200.0</v>
      </c>
      <c r="D266" s="32">
        <v>89516.0</v>
      </c>
      <c r="E266" s="33" t="s">
        <v>20</v>
      </c>
    </row>
    <row r="267">
      <c r="A267" s="35" t="s">
        <v>794</v>
      </c>
      <c r="B267" s="36" t="s">
        <v>769</v>
      </c>
      <c r="C267" s="37">
        <v>44212.0</v>
      </c>
      <c r="D267" s="38">
        <v>281214.0</v>
      </c>
      <c r="E267" s="39" t="s">
        <v>20</v>
      </c>
    </row>
    <row r="268">
      <c r="A268" s="29" t="s">
        <v>794</v>
      </c>
      <c r="B268" s="30" t="s">
        <v>769</v>
      </c>
      <c r="C268" s="31">
        <v>44835.0</v>
      </c>
      <c r="D268" s="32">
        <v>225311.0</v>
      </c>
      <c r="E268" s="33" t="s">
        <v>20</v>
      </c>
    </row>
    <row r="269">
      <c r="A269" s="35" t="s">
        <v>794</v>
      </c>
      <c r="B269" s="36" t="s">
        <v>769</v>
      </c>
      <c r="C269" s="37">
        <v>44228.0</v>
      </c>
      <c r="D269" s="38">
        <v>170553.0</v>
      </c>
      <c r="E269" s="39" t="s">
        <v>20</v>
      </c>
    </row>
    <row r="270">
      <c r="A270" s="29" t="s">
        <v>795</v>
      </c>
      <c r="B270" s="30" t="s">
        <v>749</v>
      </c>
      <c r="C270" s="31">
        <v>43877.0</v>
      </c>
      <c r="D270" s="32">
        <v>220987.0</v>
      </c>
      <c r="E270" s="33" t="s">
        <v>20</v>
      </c>
    </row>
    <row r="271">
      <c r="A271" s="35" t="s">
        <v>795</v>
      </c>
      <c r="B271" s="36" t="s">
        <v>749</v>
      </c>
      <c r="C271" s="37">
        <v>43967.0</v>
      </c>
      <c r="D271" s="38">
        <v>260964.0</v>
      </c>
      <c r="E271" s="39" t="s">
        <v>20</v>
      </c>
    </row>
    <row r="272">
      <c r="A272" s="29" t="s">
        <v>795</v>
      </c>
      <c r="B272" s="30" t="s">
        <v>749</v>
      </c>
      <c r="C272" s="31">
        <v>44059.0</v>
      </c>
      <c r="D272" s="32">
        <v>45468.0</v>
      </c>
      <c r="E272" s="33" t="s">
        <v>20</v>
      </c>
    </row>
    <row r="273">
      <c r="A273" s="35" t="s">
        <v>795</v>
      </c>
      <c r="B273" s="36" t="s">
        <v>749</v>
      </c>
      <c r="C273" s="37">
        <v>44111.0</v>
      </c>
      <c r="D273" s="38">
        <v>135113.0</v>
      </c>
      <c r="E273" s="39" t="s">
        <v>20</v>
      </c>
    </row>
    <row r="274">
      <c r="A274" s="29" t="s">
        <v>795</v>
      </c>
      <c r="B274" s="30" t="s">
        <v>749</v>
      </c>
      <c r="C274" s="31">
        <v>44215.0</v>
      </c>
      <c r="D274" s="32">
        <v>148154.0</v>
      </c>
      <c r="E274" s="33" t="s">
        <v>20</v>
      </c>
    </row>
    <row r="275">
      <c r="A275" s="35" t="s">
        <v>795</v>
      </c>
      <c r="B275" s="36" t="s">
        <v>749</v>
      </c>
      <c r="C275" s="37">
        <v>44838.0</v>
      </c>
      <c r="D275" s="38">
        <v>247527.0</v>
      </c>
      <c r="E275" s="39" t="s">
        <v>20</v>
      </c>
    </row>
    <row r="276">
      <c r="A276" s="29" t="s">
        <v>795</v>
      </c>
      <c r="B276" s="30" t="s">
        <v>749</v>
      </c>
      <c r="C276" s="31">
        <v>44231.0</v>
      </c>
      <c r="D276" s="32">
        <v>212736.0</v>
      </c>
      <c r="E276" s="33" t="s">
        <v>20</v>
      </c>
    </row>
    <row r="277">
      <c r="A277" s="35" t="s">
        <v>796</v>
      </c>
      <c r="B277" s="36" t="s">
        <v>743</v>
      </c>
      <c r="C277" s="37">
        <v>43880.0</v>
      </c>
      <c r="D277" s="38">
        <v>221445.0</v>
      </c>
      <c r="E277" s="39" t="s">
        <v>20</v>
      </c>
    </row>
    <row r="278">
      <c r="A278" s="29" t="s">
        <v>796</v>
      </c>
      <c r="B278" s="30" t="s">
        <v>743</v>
      </c>
      <c r="C278" s="31">
        <v>43970.0</v>
      </c>
      <c r="D278" s="32">
        <v>228513.0</v>
      </c>
      <c r="E278" s="33" t="s">
        <v>20</v>
      </c>
    </row>
    <row r="279">
      <c r="A279" s="35" t="s">
        <v>796</v>
      </c>
      <c r="B279" s="36" t="s">
        <v>743</v>
      </c>
      <c r="C279" s="37">
        <v>44062.0</v>
      </c>
      <c r="D279" s="38">
        <v>247726.0</v>
      </c>
      <c r="E279" s="39" t="s">
        <v>20</v>
      </c>
    </row>
    <row r="280">
      <c r="A280" s="29" t="s">
        <v>796</v>
      </c>
      <c r="B280" s="30" t="s">
        <v>743</v>
      </c>
      <c r="C280" s="31">
        <v>44114.0</v>
      </c>
      <c r="D280" s="32">
        <v>295302.0</v>
      </c>
      <c r="E280" s="33" t="s">
        <v>20</v>
      </c>
    </row>
    <row r="281">
      <c r="A281" s="35" t="s">
        <v>796</v>
      </c>
      <c r="B281" s="36" t="s">
        <v>743</v>
      </c>
      <c r="C281" s="37">
        <v>44218.0</v>
      </c>
      <c r="D281" s="38">
        <v>217867.0</v>
      </c>
      <c r="E281" s="39" t="s">
        <v>20</v>
      </c>
    </row>
    <row r="282">
      <c r="A282" s="29" t="s">
        <v>796</v>
      </c>
      <c r="B282" s="30" t="s">
        <v>743</v>
      </c>
      <c r="C282" s="31">
        <v>44841.0</v>
      </c>
      <c r="D282" s="32">
        <v>223875.0</v>
      </c>
      <c r="E282" s="33" t="s">
        <v>20</v>
      </c>
    </row>
    <row r="283">
      <c r="A283" s="35" t="s">
        <v>796</v>
      </c>
      <c r="B283" s="36" t="s">
        <v>743</v>
      </c>
      <c r="C283" s="37">
        <v>44234.0</v>
      </c>
      <c r="D283" s="38">
        <v>151708.0</v>
      </c>
      <c r="E283" s="39" t="s">
        <v>20</v>
      </c>
    </row>
    <row r="284">
      <c r="A284" s="29" t="s">
        <v>797</v>
      </c>
      <c r="B284" s="30" t="s">
        <v>766</v>
      </c>
      <c r="C284" s="31">
        <v>43883.0</v>
      </c>
      <c r="D284" s="32">
        <v>94895.0</v>
      </c>
      <c r="E284" s="33" t="s">
        <v>20</v>
      </c>
    </row>
    <row r="285">
      <c r="A285" s="35" t="s">
        <v>797</v>
      </c>
      <c r="B285" s="36" t="s">
        <v>766</v>
      </c>
      <c r="C285" s="37">
        <v>43973.0</v>
      </c>
      <c r="D285" s="38">
        <v>91564.0</v>
      </c>
      <c r="E285" s="39" t="s">
        <v>20</v>
      </c>
    </row>
    <row r="286">
      <c r="A286" s="29" t="s">
        <v>797</v>
      </c>
      <c r="B286" s="30" t="s">
        <v>766</v>
      </c>
      <c r="C286" s="31">
        <v>44065.0</v>
      </c>
      <c r="D286" s="32">
        <v>175561.0</v>
      </c>
      <c r="E286" s="33" t="s">
        <v>20</v>
      </c>
    </row>
    <row r="287">
      <c r="A287" s="35" t="s">
        <v>797</v>
      </c>
      <c r="B287" s="36" t="s">
        <v>766</v>
      </c>
      <c r="C287" s="37">
        <v>44117.0</v>
      </c>
      <c r="D287" s="38">
        <v>73794.0</v>
      </c>
      <c r="E287" s="39" t="s">
        <v>20</v>
      </c>
    </row>
    <row r="288">
      <c r="A288" s="29" t="s">
        <v>797</v>
      </c>
      <c r="B288" s="30" t="s">
        <v>766</v>
      </c>
      <c r="C288" s="31">
        <v>44221.0</v>
      </c>
      <c r="D288" s="32">
        <v>73794.0</v>
      </c>
      <c r="E288" s="33" t="s">
        <v>20</v>
      </c>
    </row>
    <row r="289">
      <c r="A289" s="35" t="s">
        <v>797</v>
      </c>
      <c r="B289" s="36" t="s">
        <v>766</v>
      </c>
      <c r="C289" s="37">
        <v>44844.0</v>
      </c>
      <c r="D289" s="38">
        <v>148032.0</v>
      </c>
      <c r="E289" s="39" t="s">
        <v>20</v>
      </c>
    </row>
    <row r="290">
      <c r="A290" s="29" t="s">
        <v>797</v>
      </c>
      <c r="B290" s="30" t="s">
        <v>766</v>
      </c>
      <c r="C290" s="31">
        <v>44237.0</v>
      </c>
      <c r="D290" s="32">
        <v>279688.0</v>
      </c>
      <c r="E290" s="33" t="s">
        <v>20</v>
      </c>
    </row>
    <row r="291">
      <c r="A291" s="35" t="s">
        <v>798</v>
      </c>
      <c r="B291" s="36" t="s">
        <v>751</v>
      </c>
      <c r="C291" s="37">
        <v>43886.0</v>
      </c>
      <c r="D291" s="38">
        <v>139765.0</v>
      </c>
      <c r="E291" s="39" t="s">
        <v>20</v>
      </c>
    </row>
    <row r="292">
      <c r="A292" s="29" t="s">
        <v>798</v>
      </c>
      <c r="B292" s="30" t="s">
        <v>751</v>
      </c>
      <c r="C292" s="31">
        <v>43976.0</v>
      </c>
      <c r="D292" s="32">
        <v>143944.0</v>
      </c>
      <c r="E292" s="33" t="s">
        <v>20</v>
      </c>
    </row>
    <row r="293">
      <c r="A293" s="35" t="s">
        <v>798</v>
      </c>
      <c r="B293" s="36" t="s">
        <v>751</v>
      </c>
      <c r="C293" s="37">
        <v>44068.0</v>
      </c>
      <c r="D293" s="38">
        <v>158384.0</v>
      </c>
      <c r="E293" s="39" t="s">
        <v>20</v>
      </c>
    </row>
    <row r="294">
      <c r="A294" s="29" t="s">
        <v>798</v>
      </c>
      <c r="B294" s="30" t="s">
        <v>751</v>
      </c>
      <c r="C294" s="31">
        <v>44120.0</v>
      </c>
      <c r="D294" s="32">
        <v>106432.0</v>
      </c>
      <c r="E294" s="33" t="s">
        <v>20</v>
      </c>
    </row>
    <row r="295">
      <c r="A295" s="35" t="s">
        <v>798</v>
      </c>
      <c r="B295" s="36" t="s">
        <v>751</v>
      </c>
      <c r="C295" s="37">
        <v>44224.0</v>
      </c>
      <c r="D295" s="38">
        <v>106432.0</v>
      </c>
      <c r="E295" s="39" t="s">
        <v>20</v>
      </c>
    </row>
    <row r="296">
      <c r="A296" s="29" t="s">
        <v>798</v>
      </c>
      <c r="B296" s="30" t="s">
        <v>751</v>
      </c>
      <c r="C296" s="31">
        <v>44847.0</v>
      </c>
      <c r="D296" s="32">
        <v>42668.0</v>
      </c>
      <c r="E296" s="33" t="s">
        <v>20</v>
      </c>
    </row>
    <row r="297">
      <c r="A297" s="35" t="s">
        <v>798</v>
      </c>
      <c r="B297" s="36" t="s">
        <v>751</v>
      </c>
      <c r="C297" s="37">
        <v>44240.0</v>
      </c>
      <c r="D297" s="38">
        <v>72059.0</v>
      </c>
      <c r="E297" s="39" t="s">
        <v>20</v>
      </c>
    </row>
    <row r="298">
      <c r="A298" s="29" t="s">
        <v>799</v>
      </c>
      <c r="B298" s="30" t="s">
        <v>769</v>
      </c>
      <c r="C298" s="31">
        <v>43889.0</v>
      </c>
      <c r="D298" s="32">
        <v>248599.0</v>
      </c>
      <c r="E298" s="33" t="s">
        <v>20</v>
      </c>
    </row>
    <row r="299">
      <c r="A299" s="35" t="s">
        <v>799</v>
      </c>
      <c r="B299" s="36" t="s">
        <v>769</v>
      </c>
      <c r="C299" s="37">
        <v>43979.0</v>
      </c>
      <c r="D299" s="38">
        <v>159738.0</v>
      </c>
      <c r="E299" s="39" t="s">
        <v>20</v>
      </c>
    </row>
    <row r="300">
      <c r="A300" s="29" t="s">
        <v>799</v>
      </c>
      <c r="B300" s="30" t="s">
        <v>769</v>
      </c>
      <c r="C300" s="31">
        <v>44071.0</v>
      </c>
      <c r="D300" s="32">
        <v>122240.0</v>
      </c>
      <c r="E300" s="33" t="s">
        <v>20</v>
      </c>
    </row>
    <row r="301">
      <c r="A301" s="35" t="s">
        <v>799</v>
      </c>
      <c r="B301" s="36" t="s">
        <v>769</v>
      </c>
      <c r="C301" s="37">
        <v>44123.0</v>
      </c>
      <c r="D301" s="38">
        <v>90675.0</v>
      </c>
      <c r="E301" s="39" t="s">
        <v>20</v>
      </c>
    </row>
    <row r="302">
      <c r="A302" s="29" t="s">
        <v>799</v>
      </c>
      <c r="B302" s="30" t="s">
        <v>769</v>
      </c>
      <c r="C302" s="31">
        <v>44228.0</v>
      </c>
      <c r="D302" s="32">
        <v>90675.0</v>
      </c>
      <c r="E302" s="33" t="s">
        <v>20</v>
      </c>
    </row>
    <row r="303">
      <c r="A303" s="35" t="s">
        <v>799</v>
      </c>
      <c r="B303" s="36" t="s">
        <v>769</v>
      </c>
      <c r="C303" s="37">
        <v>44850.0</v>
      </c>
      <c r="D303" s="38">
        <v>81679.0</v>
      </c>
      <c r="E303" s="39" t="s">
        <v>20</v>
      </c>
    </row>
    <row r="304">
      <c r="A304" s="29" t="s">
        <v>799</v>
      </c>
      <c r="B304" s="30" t="s">
        <v>769</v>
      </c>
      <c r="C304" s="31">
        <v>44243.0</v>
      </c>
      <c r="D304" s="32">
        <v>117043.0</v>
      </c>
      <c r="E304" s="33" t="s">
        <v>20</v>
      </c>
    </row>
    <row r="305">
      <c r="A305" s="35" t="s">
        <v>800</v>
      </c>
      <c r="B305" s="36" t="s">
        <v>743</v>
      </c>
      <c r="C305" s="37">
        <v>43892.0</v>
      </c>
      <c r="D305" s="38">
        <v>130696.0</v>
      </c>
      <c r="E305" s="39" t="s">
        <v>20</v>
      </c>
    </row>
    <row r="306">
      <c r="A306" s="29" t="s">
        <v>800</v>
      </c>
      <c r="B306" s="30" t="s">
        <v>743</v>
      </c>
      <c r="C306" s="31">
        <v>43983.0</v>
      </c>
      <c r="D306" s="32">
        <v>207725.0</v>
      </c>
      <c r="E306" s="33" t="s">
        <v>20</v>
      </c>
    </row>
    <row r="307">
      <c r="A307" s="35" t="s">
        <v>800</v>
      </c>
      <c r="B307" s="36" t="s">
        <v>743</v>
      </c>
      <c r="C307" s="37">
        <v>44075.0</v>
      </c>
      <c r="D307" s="38">
        <v>121055.0</v>
      </c>
      <c r="E307" s="39" t="s">
        <v>20</v>
      </c>
    </row>
    <row r="308">
      <c r="A308" s="29" t="s">
        <v>800</v>
      </c>
      <c r="B308" s="30" t="s">
        <v>743</v>
      </c>
      <c r="C308" s="31">
        <v>44126.0</v>
      </c>
      <c r="D308" s="32">
        <v>252093.0</v>
      </c>
      <c r="E308" s="33" t="s">
        <v>20</v>
      </c>
    </row>
    <row r="309">
      <c r="A309" s="35" t="s">
        <v>800</v>
      </c>
      <c r="B309" s="36" t="s">
        <v>743</v>
      </c>
      <c r="C309" s="37">
        <v>44231.0</v>
      </c>
      <c r="D309" s="38">
        <v>252093.0</v>
      </c>
      <c r="E309" s="39" t="s">
        <v>20</v>
      </c>
    </row>
    <row r="310">
      <c r="A310" s="29" t="s">
        <v>800</v>
      </c>
      <c r="B310" s="30" t="s">
        <v>743</v>
      </c>
      <c r="C310" s="31">
        <v>44853.0</v>
      </c>
      <c r="D310" s="32">
        <v>280320.0</v>
      </c>
      <c r="E310" s="33" t="s">
        <v>20</v>
      </c>
    </row>
    <row r="311">
      <c r="A311" s="35" t="s">
        <v>800</v>
      </c>
      <c r="B311" s="36" t="s">
        <v>743</v>
      </c>
      <c r="C311" s="37">
        <v>44246.0</v>
      </c>
      <c r="D311" s="38">
        <v>11442.0</v>
      </c>
      <c r="E311" s="39" t="s">
        <v>20</v>
      </c>
    </row>
    <row r="312">
      <c r="A312" s="29" t="s">
        <v>801</v>
      </c>
      <c r="B312" s="30" t="s">
        <v>749</v>
      </c>
      <c r="C312" s="31">
        <v>43895.0</v>
      </c>
      <c r="D312" s="32">
        <v>88206.0</v>
      </c>
      <c r="E312" s="33" t="s">
        <v>20</v>
      </c>
    </row>
    <row r="313">
      <c r="A313" s="35" t="s">
        <v>801</v>
      </c>
      <c r="B313" s="36" t="s">
        <v>749</v>
      </c>
      <c r="C313" s="37">
        <v>43986.0</v>
      </c>
      <c r="D313" s="38">
        <v>103821.0</v>
      </c>
      <c r="E313" s="39" t="s">
        <v>20</v>
      </c>
    </row>
    <row r="314">
      <c r="A314" s="29" t="s">
        <v>801</v>
      </c>
      <c r="B314" s="30" t="s">
        <v>749</v>
      </c>
      <c r="C314" s="31">
        <v>44078.0</v>
      </c>
      <c r="D314" s="32">
        <v>52184.0</v>
      </c>
      <c r="E314" s="33" t="s">
        <v>20</v>
      </c>
    </row>
    <row r="315">
      <c r="A315" s="35" t="s">
        <v>801</v>
      </c>
      <c r="B315" s="36" t="s">
        <v>749</v>
      </c>
      <c r="C315" s="37">
        <v>44129.0</v>
      </c>
      <c r="D315" s="38">
        <v>85168.0</v>
      </c>
      <c r="E315" s="39" t="s">
        <v>20</v>
      </c>
    </row>
    <row r="316">
      <c r="A316" s="29" t="s">
        <v>801</v>
      </c>
      <c r="B316" s="30" t="s">
        <v>749</v>
      </c>
      <c r="C316" s="31">
        <v>44234.0</v>
      </c>
      <c r="D316" s="32">
        <v>85168.0</v>
      </c>
      <c r="E316" s="33" t="s">
        <v>20</v>
      </c>
    </row>
    <row r="317">
      <c r="A317" s="35" t="s">
        <v>801</v>
      </c>
      <c r="B317" s="36" t="s">
        <v>749</v>
      </c>
      <c r="C317" s="37">
        <v>44856.0</v>
      </c>
      <c r="D317" s="38">
        <v>34695.0</v>
      </c>
      <c r="E317" s="39" t="s">
        <v>20</v>
      </c>
    </row>
    <row r="318">
      <c r="A318" s="29" t="s">
        <v>801</v>
      </c>
      <c r="B318" s="30" t="s">
        <v>749</v>
      </c>
      <c r="C318" s="31">
        <v>44826.0</v>
      </c>
      <c r="D318" s="32">
        <v>10587.0</v>
      </c>
      <c r="E318" s="33" t="s">
        <v>20</v>
      </c>
    </row>
    <row r="319">
      <c r="A319" s="35" t="s">
        <v>802</v>
      </c>
      <c r="B319" s="36" t="s">
        <v>743</v>
      </c>
      <c r="C319" s="37">
        <v>43898.0</v>
      </c>
      <c r="D319" s="38">
        <v>255727.0</v>
      </c>
      <c r="E319" s="39" t="s">
        <v>20</v>
      </c>
    </row>
    <row r="320">
      <c r="A320" s="29" t="s">
        <v>802</v>
      </c>
      <c r="B320" s="30" t="s">
        <v>743</v>
      </c>
      <c r="C320" s="31">
        <v>43989.0</v>
      </c>
      <c r="D320" s="32">
        <v>253296.0</v>
      </c>
      <c r="E320" s="33" t="s">
        <v>20</v>
      </c>
    </row>
    <row r="321">
      <c r="A321" s="35" t="s">
        <v>802</v>
      </c>
      <c r="B321" s="36" t="s">
        <v>743</v>
      </c>
      <c r="C321" s="37">
        <v>44081.0</v>
      </c>
      <c r="D321" s="38">
        <v>200021.0</v>
      </c>
      <c r="E321" s="39" t="s">
        <v>20</v>
      </c>
    </row>
    <row r="322">
      <c r="A322" s="29" t="s">
        <v>802</v>
      </c>
      <c r="B322" s="30" t="s">
        <v>743</v>
      </c>
      <c r="C322" s="31">
        <v>44132.0</v>
      </c>
      <c r="D322" s="32">
        <v>278387.0</v>
      </c>
      <c r="E322" s="33" t="s">
        <v>20</v>
      </c>
    </row>
    <row r="323">
      <c r="A323" s="35" t="s">
        <v>802</v>
      </c>
      <c r="B323" s="36" t="s">
        <v>743</v>
      </c>
      <c r="C323" s="37">
        <v>44237.0</v>
      </c>
      <c r="D323" s="38">
        <v>278387.0</v>
      </c>
      <c r="E323" s="39" t="s">
        <v>20</v>
      </c>
    </row>
    <row r="324">
      <c r="A324" s="29" t="s">
        <v>802</v>
      </c>
      <c r="B324" s="30" t="s">
        <v>743</v>
      </c>
      <c r="C324" s="31">
        <v>44859.0</v>
      </c>
      <c r="D324" s="32">
        <v>82635.0</v>
      </c>
      <c r="E324" s="33" t="s">
        <v>20</v>
      </c>
    </row>
    <row r="325">
      <c r="A325" s="35" t="s">
        <v>802</v>
      </c>
      <c r="B325" s="36" t="s">
        <v>743</v>
      </c>
      <c r="C325" s="37">
        <v>44829.0</v>
      </c>
      <c r="D325" s="38">
        <v>13020.0</v>
      </c>
      <c r="E325" s="39" t="s">
        <v>20</v>
      </c>
    </row>
    <row r="326">
      <c r="A326" s="29" t="s">
        <v>803</v>
      </c>
      <c r="B326" s="30" t="s">
        <v>751</v>
      </c>
      <c r="C326" s="31">
        <v>43901.0</v>
      </c>
      <c r="D326" s="32">
        <v>295728.0</v>
      </c>
      <c r="E326" s="33" t="s">
        <v>20</v>
      </c>
    </row>
    <row r="327">
      <c r="A327" s="35" t="s">
        <v>803</v>
      </c>
      <c r="B327" s="36" t="s">
        <v>751</v>
      </c>
      <c r="C327" s="37">
        <v>43992.0</v>
      </c>
      <c r="D327" s="38">
        <v>201749.0</v>
      </c>
      <c r="E327" s="39" t="s">
        <v>20</v>
      </c>
    </row>
    <row r="328">
      <c r="A328" s="29" t="s">
        <v>803</v>
      </c>
      <c r="B328" s="30" t="s">
        <v>751</v>
      </c>
      <c r="C328" s="31">
        <v>44084.0</v>
      </c>
      <c r="D328" s="32">
        <v>269410.0</v>
      </c>
      <c r="E328" s="33" t="s">
        <v>20</v>
      </c>
    </row>
    <row r="329">
      <c r="A329" s="35" t="s">
        <v>803</v>
      </c>
      <c r="B329" s="36" t="s">
        <v>751</v>
      </c>
      <c r="C329" s="37">
        <v>44136.0</v>
      </c>
      <c r="D329" s="38">
        <v>156276.0</v>
      </c>
      <c r="E329" s="39" t="s">
        <v>20</v>
      </c>
    </row>
    <row r="330">
      <c r="A330" s="29" t="s">
        <v>803</v>
      </c>
      <c r="B330" s="30" t="s">
        <v>751</v>
      </c>
      <c r="C330" s="31">
        <v>44240.0</v>
      </c>
      <c r="D330" s="32">
        <v>156276.0</v>
      </c>
      <c r="E330" s="33" t="s">
        <v>20</v>
      </c>
    </row>
    <row r="331">
      <c r="A331" s="35" t="s">
        <v>803</v>
      </c>
      <c r="B331" s="36" t="s">
        <v>751</v>
      </c>
      <c r="C331" s="37">
        <v>44224.0</v>
      </c>
      <c r="D331" s="38">
        <v>124428.0</v>
      </c>
      <c r="E331" s="39" t="s">
        <v>20</v>
      </c>
    </row>
    <row r="332">
      <c r="A332" s="29" t="s">
        <v>803</v>
      </c>
      <c r="B332" s="30" t="s">
        <v>751</v>
      </c>
      <c r="C332" s="31">
        <v>44832.0</v>
      </c>
      <c r="D332" s="32">
        <v>217800.0</v>
      </c>
      <c r="E332" s="33" t="s">
        <v>20</v>
      </c>
    </row>
    <row r="333">
      <c r="A333" s="35" t="s">
        <v>804</v>
      </c>
      <c r="B333" s="36" t="s">
        <v>769</v>
      </c>
      <c r="C333" s="37">
        <v>43904.0</v>
      </c>
      <c r="D333" s="38">
        <v>59893.0</v>
      </c>
      <c r="E333" s="39" t="s">
        <v>20</v>
      </c>
    </row>
    <row r="334">
      <c r="A334" s="29" t="s">
        <v>804</v>
      </c>
      <c r="B334" s="30" t="s">
        <v>769</v>
      </c>
      <c r="C334" s="31">
        <v>43995.0</v>
      </c>
      <c r="D334" s="32">
        <v>43682.0</v>
      </c>
      <c r="E334" s="33" t="s">
        <v>20</v>
      </c>
    </row>
    <row r="335">
      <c r="A335" s="35" t="s">
        <v>804</v>
      </c>
      <c r="B335" s="36" t="s">
        <v>769</v>
      </c>
      <c r="C335" s="37">
        <v>44087.0</v>
      </c>
      <c r="D335" s="38">
        <v>228649.0</v>
      </c>
      <c r="E335" s="39" t="s">
        <v>20</v>
      </c>
    </row>
    <row r="336">
      <c r="A336" s="29" t="s">
        <v>804</v>
      </c>
      <c r="B336" s="30" t="s">
        <v>769</v>
      </c>
      <c r="C336" s="31">
        <v>44139.0</v>
      </c>
      <c r="D336" s="32">
        <v>28845.0</v>
      </c>
      <c r="E336" s="33" t="s">
        <v>20</v>
      </c>
    </row>
    <row r="337">
      <c r="A337" s="35" t="s">
        <v>804</v>
      </c>
      <c r="B337" s="36" t="s">
        <v>769</v>
      </c>
      <c r="C337" s="37">
        <v>44243.0</v>
      </c>
      <c r="D337" s="38">
        <v>28845.0</v>
      </c>
      <c r="E337" s="39" t="s">
        <v>20</v>
      </c>
    </row>
    <row r="338">
      <c r="A338" s="29" t="s">
        <v>804</v>
      </c>
      <c r="B338" s="30" t="s">
        <v>769</v>
      </c>
      <c r="C338" s="31">
        <v>44228.0</v>
      </c>
      <c r="D338" s="32">
        <v>61059.0</v>
      </c>
      <c r="E338" s="33" t="s">
        <v>20</v>
      </c>
    </row>
    <row r="339">
      <c r="A339" s="35" t="s">
        <v>804</v>
      </c>
      <c r="B339" s="36" t="s">
        <v>769</v>
      </c>
      <c r="C339" s="37">
        <v>44835.0</v>
      </c>
      <c r="D339" s="38">
        <v>268049.0</v>
      </c>
      <c r="E339" s="39" t="s">
        <v>20</v>
      </c>
    </row>
    <row r="340">
      <c r="A340" s="29" t="s">
        <v>805</v>
      </c>
      <c r="B340" s="30" t="s">
        <v>749</v>
      </c>
      <c r="C340" s="31">
        <v>43907.0</v>
      </c>
      <c r="D340" s="32">
        <v>44782.0</v>
      </c>
      <c r="E340" s="33" t="s">
        <v>20</v>
      </c>
    </row>
    <row r="341">
      <c r="A341" s="35" t="s">
        <v>805</v>
      </c>
      <c r="B341" s="36" t="s">
        <v>749</v>
      </c>
      <c r="C341" s="37">
        <v>43998.0</v>
      </c>
      <c r="D341" s="38">
        <v>36878.0</v>
      </c>
      <c r="E341" s="39" t="s">
        <v>20</v>
      </c>
    </row>
    <row r="342">
      <c r="A342" s="29" t="s">
        <v>805</v>
      </c>
      <c r="B342" s="30" t="s">
        <v>749</v>
      </c>
      <c r="C342" s="31">
        <v>44090.0</v>
      </c>
      <c r="D342" s="32">
        <v>47698.0</v>
      </c>
      <c r="E342" s="33" t="s">
        <v>20</v>
      </c>
    </row>
    <row r="343">
      <c r="A343" s="35" t="s">
        <v>805</v>
      </c>
      <c r="B343" s="36" t="s">
        <v>749</v>
      </c>
      <c r="C343" s="37">
        <v>44142.0</v>
      </c>
      <c r="D343" s="38">
        <v>298913.0</v>
      </c>
      <c r="E343" s="39" t="s">
        <v>20</v>
      </c>
    </row>
    <row r="344">
      <c r="A344" s="29" t="s">
        <v>805</v>
      </c>
      <c r="B344" s="30" t="s">
        <v>749</v>
      </c>
      <c r="C344" s="31">
        <v>44246.0</v>
      </c>
      <c r="D344" s="32">
        <v>11442.0</v>
      </c>
      <c r="E344" s="33" t="s">
        <v>20</v>
      </c>
    </row>
    <row r="345">
      <c r="A345" s="35" t="s">
        <v>805</v>
      </c>
      <c r="B345" s="36" t="s">
        <v>749</v>
      </c>
      <c r="C345" s="37">
        <v>44231.0</v>
      </c>
      <c r="D345" s="38">
        <v>183119.0</v>
      </c>
      <c r="E345" s="39" t="s">
        <v>20</v>
      </c>
    </row>
    <row r="346">
      <c r="A346" s="29" t="s">
        <v>805</v>
      </c>
      <c r="B346" s="30" t="s">
        <v>749</v>
      </c>
      <c r="C346" s="31">
        <v>44838.0</v>
      </c>
      <c r="D346" s="32">
        <v>229698.0</v>
      </c>
      <c r="E346" s="33" t="s">
        <v>20</v>
      </c>
    </row>
    <row r="347">
      <c r="A347" s="35" t="s">
        <v>806</v>
      </c>
      <c r="B347" s="36" t="s">
        <v>743</v>
      </c>
      <c r="C347" s="37">
        <v>43910.0</v>
      </c>
      <c r="D347" s="38">
        <v>195892.0</v>
      </c>
      <c r="E347" s="39" t="s">
        <v>20</v>
      </c>
    </row>
    <row r="348">
      <c r="A348" s="29" t="s">
        <v>806</v>
      </c>
      <c r="B348" s="30" t="s">
        <v>743</v>
      </c>
      <c r="C348" s="31">
        <v>44001.0</v>
      </c>
      <c r="D348" s="32">
        <v>113452.0</v>
      </c>
      <c r="E348" s="33" t="s">
        <v>20</v>
      </c>
    </row>
    <row r="349">
      <c r="A349" s="35" t="s">
        <v>806</v>
      </c>
      <c r="B349" s="36" t="s">
        <v>743</v>
      </c>
      <c r="C349" s="37">
        <v>44093.0</v>
      </c>
      <c r="D349" s="38">
        <v>20782.0</v>
      </c>
      <c r="E349" s="39" t="s">
        <v>20</v>
      </c>
    </row>
    <row r="350">
      <c r="A350" s="29" t="s">
        <v>806</v>
      </c>
      <c r="B350" s="30" t="s">
        <v>743</v>
      </c>
      <c r="C350" s="31">
        <v>44145.0</v>
      </c>
      <c r="D350" s="32">
        <v>10509.0</v>
      </c>
      <c r="E350" s="33" t="s">
        <v>20</v>
      </c>
    </row>
    <row r="351">
      <c r="A351" s="35" t="s">
        <v>806</v>
      </c>
      <c r="B351" s="36" t="s">
        <v>743</v>
      </c>
      <c r="C351" s="37">
        <v>44249.0</v>
      </c>
      <c r="D351" s="38">
        <v>10587.0</v>
      </c>
      <c r="E351" s="39" t="s">
        <v>20</v>
      </c>
    </row>
    <row r="352">
      <c r="A352" s="29" t="s">
        <v>806</v>
      </c>
      <c r="B352" s="30" t="s">
        <v>743</v>
      </c>
      <c r="C352" s="31">
        <v>44234.0</v>
      </c>
      <c r="D352" s="32">
        <v>202693.0</v>
      </c>
      <c r="E352" s="33" t="s">
        <v>20</v>
      </c>
    </row>
    <row r="353">
      <c r="A353" s="35" t="s">
        <v>806</v>
      </c>
      <c r="B353" s="36" t="s">
        <v>743</v>
      </c>
      <c r="C353" s="37">
        <v>44841.0</v>
      </c>
      <c r="D353" s="38">
        <v>102297.0</v>
      </c>
      <c r="E353" s="39" t="s">
        <v>20</v>
      </c>
    </row>
    <row r="354">
      <c r="A354" s="29" t="s">
        <v>807</v>
      </c>
      <c r="B354" s="30" t="s">
        <v>766</v>
      </c>
      <c r="C354" s="31">
        <v>43913.0</v>
      </c>
      <c r="D354" s="32">
        <v>108357.0</v>
      </c>
      <c r="E354" s="33" t="s">
        <v>20</v>
      </c>
    </row>
    <row r="355">
      <c r="A355" s="35" t="s">
        <v>807</v>
      </c>
      <c r="B355" s="36" t="s">
        <v>766</v>
      </c>
      <c r="C355" s="37">
        <v>44004.0</v>
      </c>
      <c r="D355" s="38">
        <v>280161.0</v>
      </c>
      <c r="E355" s="39" t="s">
        <v>20</v>
      </c>
    </row>
    <row r="356">
      <c r="A356" s="29" t="s">
        <v>807</v>
      </c>
      <c r="B356" s="30" t="s">
        <v>766</v>
      </c>
      <c r="C356" s="31">
        <v>44096.0</v>
      </c>
      <c r="D356" s="32">
        <v>138216.0</v>
      </c>
      <c r="E356" s="33" t="s">
        <v>20</v>
      </c>
    </row>
    <row r="357">
      <c r="A357" s="35" t="s">
        <v>807</v>
      </c>
      <c r="B357" s="36" t="s">
        <v>766</v>
      </c>
      <c r="C357" s="37">
        <v>44148.0</v>
      </c>
      <c r="D357" s="38">
        <v>239084.0</v>
      </c>
      <c r="E357" s="39" t="s">
        <v>20</v>
      </c>
    </row>
    <row r="358">
      <c r="A358" s="29" t="s">
        <v>807</v>
      </c>
      <c r="B358" s="30" t="s">
        <v>766</v>
      </c>
      <c r="C358" s="31">
        <v>44252.0</v>
      </c>
      <c r="D358" s="32">
        <v>13020.0</v>
      </c>
      <c r="E358" s="33" t="s">
        <v>20</v>
      </c>
    </row>
    <row r="359">
      <c r="A359" s="35" t="s">
        <v>807</v>
      </c>
      <c r="B359" s="36" t="s">
        <v>766</v>
      </c>
      <c r="C359" s="37">
        <v>44237.0</v>
      </c>
      <c r="D359" s="38">
        <v>26156.0</v>
      </c>
      <c r="E359" s="39" t="s">
        <v>20</v>
      </c>
    </row>
    <row r="360">
      <c r="A360" s="29" t="s">
        <v>807</v>
      </c>
      <c r="B360" s="30" t="s">
        <v>766</v>
      </c>
      <c r="C360" s="31">
        <v>44844.0</v>
      </c>
      <c r="D360" s="32">
        <v>24358.0</v>
      </c>
      <c r="E360" s="33" t="s">
        <v>20</v>
      </c>
    </row>
    <row r="361">
      <c r="A361" s="35" t="s">
        <v>808</v>
      </c>
      <c r="B361" s="36" t="s">
        <v>751</v>
      </c>
      <c r="C361" s="37">
        <v>43916.0</v>
      </c>
      <c r="D361" s="38">
        <v>221537.0</v>
      </c>
      <c r="E361" s="39" t="s">
        <v>20</v>
      </c>
    </row>
    <row r="362">
      <c r="A362" s="29" t="s">
        <v>808</v>
      </c>
      <c r="B362" s="30" t="s">
        <v>751</v>
      </c>
      <c r="C362" s="31">
        <v>44007.0</v>
      </c>
      <c r="D362" s="32">
        <v>164567.0</v>
      </c>
      <c r="E362" s="33" t="s">
        <v>20</v>
      </c>
    </row>
    <row r="363">
      <c r="A363" s="35" t="s">
        <v>808</v>
      </c>
      <c r="B363" s="36" t="s">
        <v>751</v>
      </c>
      <c r="C363" s="37">
        <v>44099.0</v>
      </c>
      <c r="D363" s="38">
        <v>91071.0</v>
      </c>
      <c r="E363" s="39" t="s">
        <v>20</v>
      </c>
    </row>
    <row r="364">
      <c r="A364" s="29" t="s">
        <v>808</v>
      </c>
      <c r="B364" s="30" t="s">
        <v>751</v>
      </c>
      <c r="C364" s="31">
        <v>44151.0</v>
      </c>
      <c r="D364" s="32">
        <v>98759.0</v>
      </c>
      <c r="E364" s="33" t="s">
        <v>20</v>
      </c>
    </row>
    <row r="365">
      <c r="A365" s="35" t="s">
        <v>808</v>
      </c>
      <c r="B365" s="36" t="s">
        <v>751</v>
      </c>
      <c r="C365" s="37">
        <v>44255.0</v>
      </c>
      <c r="D365" s="38">
        <v>217800.0</v>
      </c>
      <c r="E365" s="39" t="s">
        <v>20</v>
      </c>
    </row>
    <row r="366">
      <c r="A366" s="29" t="s">
        <v>808</v>
      </c>
      <c r="B366" s="30" t="s">
        <v>751</v>
      </c>
      <c r="C366" s="31">
        <v>44240.0</v>
      </c>
      <c r="D366" s="32">
        <v>295351.0</v>
      </c>
      <c r="E366" s="33" t="s">
        <v>20</v>
      </c>
    </row>
    <row r="367">
      <c r="A367" s="35" t="s">
        <v>808</v>
      </c>
      <c r="B367" s="36" t="s">
        <v>751</v>
      </c>
      <c r="C367" s="37">
        <v>44847.0</v>
      </c>
      <c r="D367" s="38">
        <v>165797.0</v>
      </c>
      <c r="E367" s="39" t="s">
        <v>20</v>
      </c>
    </row>
    <row r="368">
      <c r="A368" s="29" t="s">
        <v>809</v>
      </c>
      <c r="B368" s="30" t="s">
        <v>769</v>
      </c>
      <c r="C368" s="31">
        <v>43919.0</v>
      </c>
      <c r="D368" s="32">
        <v>277194.0</v>
      </c>
      <c r="E368" s="33" t="s">
        <v>20</v>
      </c>
    </row>
    <row r="369">
      <c r="A369" s="35" t="s">
        <v>809</v>
      </c>
      <c r="B369" s="36" t="s">
        <v>769</v>
      </c>
      <c r="C369" s="37">
        <v>44010.0</v>
      </c>
      <c r="D369" s="38">
        <v>137527.0</v>
      </c>
      <c r="E369" s="39" t="s">
        <v>20</v>
      </c>
    </row>
    <row r="370">
      <c r="A370" s="29" t="s">
        <v>809</v>
      </c>
      <c r="B370" s="30" t="s">
        <v>769</v>
      </c>
      <c r="C370" s="31">
        <v>44102.0</v>
      </c>
      <c r="D370" s="32">
        <v>157821.0</v>
      </c>
      <c r="E370" s="33" t="s">
        <v>20</v>
      </c>
    </row>
    <row r="371">
      <c r="A371" s="35" t="s">
        <v>809</v>
      </c>
      <c r="B371" s="36" t="s">
        <v>769</v>
      </c>
      <c r="C371" s="37">
        <v>44154.0</v>
      </c>
      <c r="D371" s="38">
        <v>22735.0</v>
      </c>
      <c r="E371" s="39" t="s">
        <v>20</v>
      </c>
    </row>
    <row r="372">
      <c r="A372" s="29" t="s">
        <v>809</v>
      </c>
      <c r="B372" s="30" t="s">
        <v>769</v>
      </c>
      <c r="C372" s="31">
        <v>44256.0</v>
      </c>
      <c r="D372" s="32">
        <v>268049.0</v>
      </c>
      <c r="E372" s="33" t="s">
        <v>20</v>
      </c>
    </row>
    <row r="373">
      <c r="A373" s="35" t="s">
        <v>809</v>
      </c>
      <c r="B373" s="36" t="s">
        <v>769</v>
      </c>
      <c r="C373" s="37">
        <v>44243.0</v>
      </c>
      <c r="D373" s="38">
        <v>195051.0</v>
      </c>
      <c r="E373" s="39" t="s">
        <v>20</v>
      </c>
    </row>
    <row r="374">
      <c r="A374" s="29" t="s">
        <v>809</v>
      </c>
      <c r="B374" s="30" t="s">
        <v>769</v>
      </c>
      <c r="C374" s="31">
        <v>44850.0</v>
      </c>
      <c r="D374" s="32">
        <v>260964.0</v>
      </c>
      <c r="E374" s="33" t="s">
        <v>20</v>
      </c>
    </row>
    <row r="375">
      <c r="A375" s="35" t="s">
        <v>810</v>
      </c>
      <c r="B375" s="36" t="s">
        <v>758</v>
      </c>
      <c r="C375" s="37">
        <v>44838.0</v>
      </c>
      <c r="D375" s="38">
        <v>281342.0</v>
      </c>
      <c r="E375" s="39" t="s">
        <v>419</v>
      </c>
    </row>
    <row r="376">
      <c r="A376" s="29" t="s">
        <v>810</v>
      </c>
      <c r="B376" s="30" t="s">
        <v>758</v>
      </c>
      <c r="C376" s="31">
        <v>44899.0</v>
      </c>
      <c r="D376" s="32">
        <v>383818.0</v>
      </c>
      <c r="E376" s="33" t="s">
        <v>419</v>
      </c>
    </row>
    <row r="377">
      <c r="A377" s="35" t="s">
        <v>810</v>
      </c>
      <c r="B377" s="36" t="s">
        <v>758</v>
      </c>
      <c r="C377" s="37">
        <v>44961.0</v>
      </c>
      <c r="D377" s="38">
        <v>217763.0</v>
      </c>
      <c r="E377" s="39" t="s">
        <v>419</v>
      </c>
    </row>
    <row r="378">
      <c r="A378" s="29" t="s">
        <v>810</v>
      </c>
      <c r="B378" s="30" t="s">
        <v>758</v>
      </c>
      <c r="C378" s="31">
        <v>45020.0</v>
      </c>
      <c r="D378" s="32">
        <v>424093.0</v>
      </c>
      <c r="E378" s="33" t="s">
        <v>419</v>
      </c>
    </row>
    <row r="379">
      <c r="A379" s="35" t="s">
        <v>810</v>
      </c>
      <c r="B379" s="36" t="s">
        <v>758</v>
      </c>
      <c r="C379" s="37">
        <v>45081.0</v>
      </c>
      <c r="D379" s="38">
        <v>191399.0</v>
      </c>
      <c r="E379" s="39" t="s">
        <v>419</v>
      </c>
    </row>
    <row r="380">
      <c r="A380" s="29" t="s">
        <v>810</v>
      </c>
      <c r="B380" s="30" t="s">
        <v>758</v>
      </c>
      <c r="C380" s="31">
        <v>45142.0</v>
      </c>
      <c r="D380" s="32">
        <v>390950.0</v>
      </c>
      <c r="E380" s="33" t="s">
        <v>419</v>
      </c>
    </row>
    <row r="381">
      <c r="A381" s="35" t="s">
        <v>810</v>
      </c>
      <c r="B381" s="36" t="s">
        <v>758</v>
      </c>
      <c r="C381" s="37">
        <v>45203.0</v>
      </c>
      <c r="D381" s="38">
        <v>797809.0</v>
      </c>
      <c r="E381" s="39" t="s">
        <v>419</v>
      </c>
    </row>
    <row r="382">
      <c r="A382" s="29" t="s">
        <v>810</v>
      </c>
      <c r="B382" s="30" t="s">
        <v>758</v>
      </c>
      <c r="C382" s="31">
        <v>45264.0</v>
      </c>
      <c r="D382" s="32">
        <v>596040.0</v>
      </c>
      <c r="E382" s="33" t="s">
        <v>419</v>
      </c>
    </row>
    <row r="383">
      <c r="A383" s="35" t="s">
        <v>810</v>
      </c>
      <c r="B383" s="36" t="s">
        <v>758</v>
      </c>
      <c r="C383" s="37">
        <v>45326.0</v>
      </c>
      <c r="D383" s="38">
        <v>683505.0</v>
      </c>
      <c r="E383" s="39" t="s">
        <v>419</v>
      </c>
    </row>
    <row r="384">
      <c r="A384" s="29" t="s">
        <v>810</v>
      </c>
      <c r="B384" s="30" t="s">
        <v>758</v>
      </c>
      <c r="C384" s="31">
        <v>45386.0</v>
      </c>
      <c r="D384" s="32">
        <v>627181.0</v>
      </c>
      <c r="E384" s="33" t="s">
        <v>419</v>
      </c>
    </row>
    <row r="385">
      <c r="A385" s="35" t="s">
        <v>810</v>
      </c>
      <c r="B385" s="36" t="s">
        <v>758</v>
      </c>
      <c r="C385" s="37">
        <v>45447.0</v>
      </c>
      <c r="D385" s="38">
        <v>659415.0</v>
      </c>
      <c r="E385" s="39" t="s">
        <v>419</v>
      </c>
    </row>
    <row r="386">
      <c r="A386" s="29" t="s">
        <v>810</v>
      </c>
      <c r="B386" s="30" t="s">
        <v>758</v>
      </c>
      <c r="C386" s="31">
        <v>45508.0</v>
      </c>
      <c r="D386" s="32">
        <v>758508.0</v>
      </c>
      <c r="E386" s="33" t="s">
        <v>419</v>
      </c>
    </row>
    <row r="387">
      <c r="A387" s="35" t="s">
        <v>811</v>
      </c>
      <c r="B387" s="36" t="s">
        <v>758</v>
      </c>
      <c r="C387" s="37">
        <v>43686.0</v>
      </c>
      <c r="D387" s="38">
        <v>183574.0</v>
      </c>
      <c r="E387" s="39" t="s">
        <v>430</v>
      </c>
    </row>
    <row r="388">
      <c r="A388" s="29" t="s">
        <v>811</v>
      </c>
      <c r="B388" s="30" t="s">
        <v>758</v>
      </c>
      <c r="C388" s="31">
        <v>43753.0</v>
      </c>
      <c r="D388" s="32">
        <v>714947.0</v>
      </c>
      <c r="E388" s="33" t="s">
        <v>430</v>
      </c>
    </row>
    <row r="389">
      <c r="A389" s="35" t="s">
        <v>811</v>
      </c>
      <c r="B389" s="36" t="s">
        <v>758</v>
      </c>
      <c r="C389" s="37">
        <v>43819.0</v>
      </c>
      <c r="D389" s="38">
        <v>249584.0</v>
      </c>
      <c r="E389" s="39" t="s">
        <v>430</v>
      </c>
    </row>
    <row r="390">
      <c r="A390" s="29" t="s">
        <v>811</v>
      </c>
      <c r="B390" s="30" t="s">
        <v>758</v>
      </c>
      <c r="C390" s="31">
        <v>43866.0</v>
      </c>
      <c r="D390" s="32">
        <v>730842.0</v>
      </c>
      <c r="E390" s="33" t="s">
        <v>430</v>
      </c>
    </row>
    <row r="391">
      <c r="A391" s="35" t="s">
        <v>811</v>
      </c>
      <c r="B391" s="36" t="s">
        <v>758</v>
      </c>
      <c r="C391" s="37">
        <v>43933.0</v>
      </c>
      <c r="D391" s="38">
        <v>280468.0</v>
      </c>
      <c r="E391" s="39" t="s">
        <v>430</v>
      </c>
    </row>
    <row r="392">
      <c r="A392" s="29" t="s">
        <v>811</v>
      </c>
      <c r="B392" s="30" t="s">
        <v>758</v>
      </c>
      <c r="C392" s="31">
        <v>44000.0</v>
      </c>
      <c r="D392" s="32">
        <v>166865.0</v>
      </c>
      <c r="E392" s="33" t="s">
        <v>430</v>
      </c>
    </row>
    <row r="393">
      <c r="A393" s="35" t="s">
        <v>811</v>
      </c>
      <c r="B393" s="36" t="s">
        <v>758</v>
      </c>
      <c r="C393" s="37">
        <v>44065.0</v>
      </c>
      <c r="D393" s="38">
        <v>655577.0</v>
      </c>
      <c r="E393" s="39" t="s">
        <v>430</v>
      </c>
    </row>
    <row r="394">
      <c r="A394" s="29" t="s">
        <v>811</v>
      </c>
      <c r="B394" s="30" t="s">
        <v>758</v>
      </c>
      <c r="C394" s="31">
        <v>44114.0</v>
      </c>
      <c r="D394" s="32">
        <v>686866.0</v>
      </c>
      <c r="E394" s="33" t="s">
        <v>430</v>
      </c>
    </row>
    <row r="395">
      <c r="A395" s="35" t="s">
        <v>811</v>
      </c>
      <c r="B395" s="36" t="s">
        <v>758</v>
      </c>
      <c r="C395" s="37">
        <v>44190.0</v>
      </c>
      <c r="D395" s="38">
        <v>492556.0</v>
      </c>
      <c r="E395" s="39" t="s">
        <v>430</v>
      </c>
    </row>
    <row r="396">
      <c r="A396" s="29" t="s">
        <v>811</v>
      </c>
      <c r="B396" s="30" t="s">
        <v>758</v>
      </c>
      <c r="C396" s="31">
        <v>44234.0</v>
      </c>
      <c r="D396" s="32">
        <v>470537.0</v>
      </c>
      <c r="E396" s="33" t="s">
        <v>430</v>
      </c>
    </row>
    <row r="397">
      <c r="A397" s="35" t="s">
        <v>811</v>
      </c>
      <c r="B397" s="36" t="s">
        <v>758</v>
      </c>
      <c r="C397" s="37">
        <v>44300.0</v>
      </c>
      <c r="D397" s="38">
        <v>143318.0</v>
      </c>
      <c r="E397" s="39" t="s">
        <v>430</v>
      </c>
    </row>
    <row r="398">
      <c r="A398" s="29" t="s">
        <v>811</v>
      </c>
      <c r="B398" s="30" t="s">
        <v>758</v>
      </c>
      <c r="C398" s="31">
        <v>44366.0</v>
      </c>
      <c r="D398" s="32">
        <v>387405.0</v>
      </c>
      <c r="E398" s="33" t="s">
        <v>430</v>
      </c>
    </row>
    <row r="399">
      <c r="A399" s="35" t="s">
        <v>811</v>
      </c>
      <c r="B399" s="36" t="s">
        <v>758</v>
      </c>
      <c r="C399" s="37">
        <v>44431.0</v>
      </c>
      <c r="D399" s="38">
        <v>748110.0</v>
      </c>
      <c r="E399" s="39" t="s">
        <v>430</v>
      </c>
    </row>
    <row r="400">
      <c r="A400" s="29" t="s">
        <v>811</v>
      </c>
      <c r="B400" s="30" t="s">
        <v>758</v>
      </c>
      <c r="C400" s="31">
        <v>44480.0</v>
      </c>
      <c r="D400" s="32">
        <v>606837.0</v>
      </c>
      <c r="E400" s="33" t="s">
        <v>430</v>
      </c>
    </row>
    <row r="401">
      <c r="A401" s="35" t="s">
        <v>811</v>
      </c>
      <c r="B401" s="36" t="s">
        <v>758</v>
      </c>
      <c r="C401" s="37">
        <v>44557.0</v>
      </c>
      <c r="D401" s="38">
        <v>732998.0</v>
      </c>
      <c r="E401" s="39" t="s">
        <v>430</v>
      </c>
    </row>
    <row r="402">
      <c r="A402" s="29" t="s">
        <v>811</v>
      </c>
      <c r="B402" s="30" t="s">
        <v>758</v>
      </c>
      <c r="C402" s="31">
        <v>44600.0</v>
      </c>
      <c r="D402" s="32">
        <v>433172.0</v>
      </c>
      <c r="E402" s="33" t="s">
        <v>430</v>
      </c>
    </row>
    <row r="403">
      <c r="A403" s="35" t="s">
        <v>811</v>
      </c>
      <c r="B403" s="36" t="s">
        <v>758</v>
      </c>
      <c r="C403" s="37">
        <v>44667.0</v>
      </c>
      <c r="D403" s="38">
        <v>65198.0</v>
      </c>
      <c r="E403" s="39" t="s">
        <v>430</v>
      </c>
    </row>
    <row r="404">
      <c r="A404" s="29" t="s">
        <v>811</v>
      </c>
      <c r="B404" s="30" t="s">
        <v>758</v>
      </c>
      <c r="C404" s="31">
        <v>44733.0</v>
      </c>
      <c r="D404" s="32">
        <v>505685.0</v>
      </c>
      <c r="E404" s="33" t="s">
        <v>430</v>
      </c>
    </row>
    <row r="405">
      <c r="A405" s="35" t="s">
        <v>811</v>
      </c>
      <c r="B405" s="36" t="s">
        <v>758</v>
      </c>
      <c r="C405" s="37">
        <v>44797.0</v>
      </c>
      <c r="D405" s="38">
        <v>547634.0</v>
      </c>
      <c r="E405" s="39" t="s">
        <v>430</v>
      </c>
    </row>
    <row r="406">
      <c r="A406" s="29" t="s">
        <v>811</v>
      </c>
      <c r="B406" s="30" t="s">
        <v>758</v>
      </c>
      <c r="C406" s="31">
        <v>44847.0</v>
      </c>
      <c r="D406" s="32">
        <v>662880.0</v>
      </c>
      <c r="E406" s="33" t="s">
        <v>430</v>
      </c>
    </row>
    <row r="407">
      <c r="A407" s="35" t="s">
        <v>811</v>
      </c>
      <c r="B407" s="36" t="s">
        <v>758</v>
      </c>
      <c r="C407" s="37">
        <v>44924.0</v>
      </c>
      <c r="D407" s="38">
        <v>257499.0</v>
      </c>
      <c r="E407" s="39" t="s">
        <v>430</v>
      </c>
    </row>
    <row r="408">
      <c r="A408" s="29" t="s">
        <v>811</v>
      </c>
      <c r="B408" s="30" t="s">
        <v>758</v>
      </c>
      <c r="C408" s="31">
        <v>44963.0</v>
      </c>
      <c r="D408" s="32">
        <v>567511.0</v>
      </c>
      <c r="E408" s="33" t="s">
        <v>430</v>
      </c>
    </row>
    <row r="409">
      <c r="A409" s="35" t="s">
        <v>811</v>
      </c>
      <c r="B409" s="36" t="s">
        <v>758</v>
      </c>
      <c r="C409" s="37">
        <v>45033.0</v>
      </c>
      <c r="D409" s="38">
        <v>78589.0</v>
      </c>
      <c r="E409" s="39" t="s">
        <v>430</v>
      </c>
    </row>
    <row r="410">
      <c r="A410" s="29" t="s">
        <v>811</v>
      </c>
      <c r="B410" s="30" t="s">
        <v>758</v>
      </c>
      <c r="C410" s="31">
        <v>45097.0</v>
      </c>
      <c r="D410" s="32">
        <v>778799.0</v>
      </c>
      <c r="E410" s="33" t="s">
        <v>430</v>
      </c>
    </row>
    <row r="411">
      <c r="A411" s="35" t="s">
        <v>811</v>
      </c>
      <c r="B411" s="36" t="s">
        <v>758</v>
      </c>
      <c r="C411" s="37">
        <v>45164.0</v>
      </c>
      <c r="D411" s="38">
        <v>402281.0</v>
      </c>
      <c r="E411" s="39" t="s">
        <v>430</v>
      </c>
    </row>
    <row r="412">
      <c r="A412" s="29" t="s">
        <v>811</v>
      </c>
      <c r="B412" s="30" t="s">
        <v>758</v>
      </c>
      <c r="C412" s="31">
        <v>45211.0</v>
      </c>
      <c r="D412" s="32">
        <v>368134.0</v>
      </c>
      <c r="E412" s="33" t="s">
        <v>430</v>
      </c>
    </row>
    <row r="413">
      <c r="A413" s="35" t="s">
        <v>811</v>
      </c>
      <c r="B413" s="36" t="s">
        <v>758</v>
      </c>
      <c r="C413" s="37">
        <v>45288.0</v>
      </c>
      <c r="D413" s="38">
        <v>238802.0</v>
      </c>
      <c r="E413" s="39" t="s">
        <v>430</v>
      </c>
    </row>
    <row r="414">
      <c r="A414" s="29" t="s">
        <v>811</v>
      </c>
      <c r="B414" s="30" t="s">
        <v>758</v>
      </c>
      <c r="C414" s="31">
        <v>45331.0</v>
      </c>
      <c r="D414" s="32">
        <v>739084.0</v>
      </c>
      <c r="E414" s="33" t="s">
        <v>430</v>
      </c>
    </row>
    <row r="415">
      <c r="A415" s="35" t="s">
        <v>811</v>
      </c>
      <c r="B415" s="36" t="s">
        <v>758</v>
      </c>
      <c r="C415" s="37">
        <v>45400.0</v>
      </c>
      <c r="D415" s="38">
        <v>578868.0</v>
      </c>
      <c r="E415" s="39" t="s">
        <v>430</v>
      </c>
    </row>
    <row r="416">
      <c r="A416" s="29" t="s">
        <v>811</v>
      </c>
      <c r="B416" s="30" t="s">
        <v>758</v>
      </c>
      <c r="C416" s="31">
        <v>45465.0</v>
      </c>
      <c r="D416" s="32">
        <v>481653.0</v>
      </c>
      <c r="E416" s="33" t="s">
        <v>430</v>
      </c>
    </row>
    <row r="417">
      <c r="A417" s="35" t="s">
        <v>811</v>
      </c>
      <c r="B417" s="36" t="s">
        <v>758</v>
      </c>
      <c r="C417" s="37">
        <v>45534.0</v>
      </c>
      <c r="D417" s="38">
        <v>676243.0</v>
      </c>
      <c r="E417" s="39" t="s">
        <v>430</v>
      </c>
    </row>
    <row r="418">
      <c r="A418" s="29" t="s">
        <v>812</v>
      </c>
      <c r="B418" s="30" t="s">
        <v>755</v>
      </c>
      <c r="C418" s="31">
        <v>43953.0</v>
      </c>
      <c r="D418" s="32">
        <v>101418.0</v>
      </c>
      <c r="E418" s="33" t="s">
        <v>440</v>
      </c>
    </row>
    <row r="419">
      <c r="A419" s="35" t="s">
        <v>812</v>
      </c>
      <c r="B419" s="36" t="s">
        <v>755</v>
      </c>
      <c r="C419" s="37">
        <v>44046.0</v>
      </c>
      <c r="D419" s="38">
        <v>153871.0</v>
      </c>
      <c r="E419" s="39" t="s">
        <v>440</v>
      </c>
    </row>
    <row r="420">
      <c r="A420" s="29" t="s">
        <v>812</v>
      </c>
      <c r="B420" s="30" t="s">
        <v>755</v>
      </c>
      <c r="C420" s="31">
        <v>44140.0</v>
      </c>
      <c r="D420" s="32">
        <v>141673.0</v>
      </c>
      <c r="E420" s="33" t="s">
        <v>440</v>
      </c>
    </row>
    <row r="421">
      <c r="A421" s="35" t="s">
        <v>812</v>
      </c>
      <c r="B421" s="36" t="s">
        <v>755</v>
      </c>
      <c r="C421" s="37">
        <v>44234.0</v>
      </c>
      <c r="D421" s="38">
        <v>130672.0</v>
      </c>
      <c r="E421" s="39" t="s">
        <v>440</v>
      </c>
    </row>
    <row r="422">
      <c r="A422" s="29" t="s">
        <v>812</v>
      </c>
      <c r="B422" s="30" t="s">
        <v>755</v>
      </c>
      <c r="C422" s="31">
        <v>44320.0</v>
      </c>
      <c r="D422" s="32">
        <v>195011.0</v>
      </c>
      <c r="E422" s="33" t="s">
        <v>440</v>
      </c>
    </row>
    <row r="423">
      <c r="A423" s="35" t="s">
        <v>812</v>
      </c>
      <c r="B423" s="36" t="s">
        <v>755</v>
      </c>
      <c r="C423" s="37">
        <v>44414.0</v>
      </c>
      <c r="D423" s="38">
        <v>199470.0</v>
      </c>
      <c r="E423" s="39" t="s">
        <v>440</v>
      </c>
    </row>
    <row r="424">
      <c r="A424" s="29" t="s">
        <v>812</v>
      </c>
      <c r="B424" s="30" t="s">
        <v>755</v>
      </c>
      <c r="C424" s="31">
        <v>44503.0</v>
      </c>
      <c r="D424" s="32">
        <v>196540.0</v>
      </c>
      <c r="E424" s="33" t="s">
        <v>440</v>
      </c>
    </row>
    <row r="425">
      <c r="A425" s="35" t="s">
        <v>812</v>
      </c>
      <c r="B425" s="36" t="s">
        <v>755</v>
      </c>
      <c r="C425" s="37">
        <v>44601.0</v>
      </c>
      <c r="D425" s="38">
        <v>167308.0</v>
      </c>
      <c r="E425" s="39" t="s">
        <v>440</v>
      </c>
    </row>
    <row r="426">
      <c r="A426" s="29" t="s">
        <v>812</v>
      </c>
      <c r="B426" s="30" t="s">
        <v>755</v>
      </c>
      <c r="C426" s="31">
        <v>44686.0</v>
      </c>
      <c r="D426" s="32">
        <v>194895.0</v>
      </c>
      <c r="E426" s="33" t="s">
        <v>440</v>
      </c>
    </row>
    <row r="427">
      <c r="A427" s="35" t="s">
        <v>812</v>
      </c>
      <c r="B427" s="36" t="s">
        <v>755</v>
      </c>
      <c r="C427" s="37">
        <v>44780.0</v>
      </c>
      <c r="D427" s="38">
        <v>157365.0</v>
      </c>
      <c r="E427" s="39" t="s">
        <v>440</v>
      </c>
    </row>
    <row r="428">
      <c r="A428" s="29" t="s">
        <v>812</v>
      </c>
      <c r="B428" s="30" t="s">
        <v>755</v>
      </c>
      <c r="C428" s="31">
        <v>44869.0</v>
      </c>
      <c r="D428" s="32">
        <v>156809.0</v>
      </c>
      <c r="E428" s="33" t="s">
        <v>440</v>
      </c>
    </row>
    <row r="429">
      <c r="A429" s="35" t="s">
        <v>812</v>
      </c>
      <c r="B429" s="36" t="s">
        <v>755</v>
      </c>
      <c r="C429" s="37">
        <v>44963.0</v>
      </c>
      <c r="D429" s="38">
        <v>168805.0</v>
      </c>
      <c r="E429" s="39" t="s">
        <v>440</v>
      </c>
    </row>
    <row r="430">
      <c r="A430" s="29" t="s">
        <v>812</v>
      </c>
      <c r="B430" s="30" t="s">
        <v>755</v>
      </c>
      <c r="C430" s="31">
        <v>45049.0</v>
      </c>
      <c r="D430" s="32">
        <v>175721.0</v>
      </c>
      <c r="E430" s="33" t="s">
        <v>440</v>
      </c>
    </row>
    <row r="431">
      <c r="A431" s="35" t="s">
        <v>812</v>
      </c>
      <c r="B431" s="36" t="s">
        <v>755</v>
      </c>
      <c r="C431" s="37">
        <v>45143.0</v>
      </c>
      <c r="D431" s="38">
        <v>129491.0</v>
      </c>
      <c r="E431" s="39" t="s">
        <v>440</v>
      </c>
    </row>
    <row r="432">
      <c r="A432" s="29" t="s">
        <v>813</v>
      </c>
      <c r="B432" s="30" t="s">
        <v>755</v>
      </c>
      <c r="C432" s="31">
        <v>43801.0</v>
      </c>
      <c r="D432" s="32">
        <v>766487.0</v>
      </c>
      <c r="E432" s="33" t="s">
        <v>419</v>
      </c>
    </row>
    <row r="433">
      <c r="A433" s="35" t="s">
        <v>813</v>
      </c>
      <c r="B433" s="36" t="s">
        <v>755</v>
      </c>
      <c r="C433" s="37">
        <v>43833.0</v>
      </c>
      <c r="D433" s="38">
        <v>356286.0</v>
      </c>
      <c r="E433" s="39" t="s">
        <v>419</v>
      </c>
    </row>
    <row r="434">
      <c r="A434" s="29" t="s">
        <v>813</v>
      </c>
      <c r="B434" s="30" t="s">
        <v>755</v>
      </c>
      <c r="C434" s="31">
        <v>43866.0</v>
      </c>
      <c r="D434" s="32">
        <v>72321.0</v>
      </c>
      <c r="E434" s="33" t="s">
        <v>419</v>
      </c>
    </row>
    <row r="435">
      <c r="A435" s="35" t="s">
        <v>813</v>
      </c>
      <c r="B435" s="36" t="s">
        <v>755</v>
      </c>
      <c r="C435" s="37">
        <v>43893.0</v>
      </c>
      <c r="D435" s="38">
        <v>512660.0</v>
      </c>
      <c r="E435" s="39" t="s">
        <v>419</v>
      </c>
    </row>
    <row r="436">
      <c r="A436" s="29" t="s">
        <v>813</v>
      </c>
      <c r="B436" s="30" t="s">
        <v>755</v>
      </c>
      <c r="C436" s="31">
        <v>43925.0</v>
      </c>
      <c r="D436" s="32">
        <v>235999.0</v>
      </c>
      <c r="E436" s="33" t="s">
        <v>419</v>
      </c>
    </row>
    <row r="437">
      <c r="A437" s="35" t="s">
        <v>813</v>
      </c>
      <c r="B437" s="36" t="s">
        <v>755</v>
      </c>
      <c r="C437" s="37">
        <v>43957.0</v>
      </c>
      <c r="D437" s="38">
        <v>188904.0</v>
      </c>
      <c r="E437" s="39" t="s">
        <v>419</v>
      </c>
    </row>
    <row r="438">
      <c r="A438" s="29" t="s">
        <v>813</v>
      </c>
      <c r="B438" s="30" t="s">
        <v>755</v>
      </c>
      <c r="C438" s="31">
        <v>43985.0</v>
      </c>
      <c r="D438" s="32">
        <v>183842.0</v>
      </c>
      <c r="E438" s="33" t="s">
        <v>419</v>
      </c>
    </row>
    <row r="439">
      <c r="A439" s="35" t="s">
        <v>813</v>
      </c>
      <c r="B439" s="36" t="s">
        <v>755</v>
      </c>
      <c r="C439" s="37">
        <v>44017.0</v>
      </c>
      <c r="D439" s="38">
        <v>70469.0</v>
      </c>
      <c r="E439" s="39" t="s">
        <v>419</v>
      </c>
    </row>
    <row r="440">
      <c r="A440" s="29" t="s">
        <v>813</v>
      </c>
      <c r="B440" s="30" t="s">
        <v>755</v>
      </c>
      <c r="C440" s="31">
        <v>44047.0</v>
      </c>
      <c r="D440" s="32">
        <v>207544.0</v>
      </c>
      <c r="E440" s="33" t="s">
        <v>419</v>
      </c>
    </row>
    <row r="441">
      <c r="A441" s="35" t="s">
        <v>813</v>
      </c>
      <c r="B441" s="36" t="s">
        <v>755</v>
      </c>
      <c r="C441" s="37">
        <v>44077.0</v>
      </c>
      <c r="D441" s="38">
        <v>483595.0</v>
      </c>
      <c r="E441" s="39" t="s">
        <v>419</v>
      </c>
    </row>
    <row r="442">
      <c r="A442" s="29" t="s">
        <v>813</v>
      </c>
      <c r="B442" s="30" t="s">
        <v>755</v>
      </c>
      <c r="C442" s="31">
        <v>44109.0</v>
      </c>
      <c r="D442" s="32">
        <v>226668.0</v>
      </c>
      <c r="E442" s="33" t="s">
        <v>419</v>
      </c>
    </row>
    <row r="443">
      <c r="A443" s="35" t="s">
        <v>813</v>
      </c>
      <c r="B443" s="36" t="s">
        <v>755</v>
      </c>
      <c r="C443" s="37">
        <v>44139.0</v>
      </c>
      <c r="D443" s="38">
        <v>285886.0</v>
      </c>
      <c r="E443" s="39" t="s">
        <v>419</v>
      </c>
    </row>
    <row r="444">
      <c r="A444" s="29" t="s">
        <v>813</v>
      </c>
      <c r="B444" s="30" t="s">
        <v>755</v>
      </c>
      <c r="C444" s="31">
        <v>44167.0</v>
      </c>
      <c r="D444" s="32">
        <v>321539.0</v>
      </c>
      <c r="E444" s="33" t="s">
        <v>419</v>
      </c>
    </row>
    <row r="445">
      <c r="A445" s="35" t="s">
        <v>813</v>
      </c>
      <c r="B445" s="36" t="s">
        <v>755</v>
      </c>
      <c r="C445" s="37">
        <v>44199.0</v>
      </c>
      <c r="D445" s="38">
        <v>345181.0</v>
      </c>
      <c r="E445" s="39" t="s">
        <v>419</v>
      </c>
    </row>
    <row r="446">
      <c r="A446" s="29" t="s">
        <v>813</v>
      </c>
      <c r="B446" s="30" t="s">
        <v>755</v>
      </c>
      <c r="C446" s="31">
        <v>44232.0</v>
      </c>
      <c r="D446" s="32">
        <v>250534.0</v>
      </c>
      <c r="E446" s="33" t="s">
        <v>419</v>
      </c>
    </row>
    <row r="447">
      <c r="A447" s="35" t="s">
        <v>813</v>
      </c>
      <c r="B447" s="36" t="s">
        <v>755</v>
      </c>
      <c r="C447" s="37">
        <v>44259.0</v>
      </c>
      <c r="D447" s="38">
        <v>333984.0</v>
      </c>
      <c r="E447" s="39" t="s">
        <v>419</v>
      </c>
    </row>
    <row r="448">
      <c r="A448" s="29" t="s">
        <v>813</v>
      </c>
      <c r="B448" s="30" t="s">
        <v>755</v>
      </c>
      <c r="C448" s="31">
        <v>44292.0</v>
      </c>
      <c r="D448" s="32">
        <v>522252.0</v>
      </c>
      <c r="E448" s="33" t="s">
        <v>419</v>
      </c>
    </row>
    <row r="449">
      <c r="A449" s="35" t="s">
        <v>813</v>
      </c>
      <c r="B449" s="36" t="s">
        <v>755</v>
      </c>
      <c r="C449" s="37">
        <v>44319.0</v>
      </c>
      <c r="D449" s="38">
        <v>564381.0</v>
      </c>
      <c r="E449" s="39" t="s">
        <v>419</v>
      </c>
    </row>
    <row r="450">
      <c r="A450" s="29" t="s">
        <v>813</v>
      </c>
      <c r="B450" s="30" t="s">
        <v>755</v>
      </c>
      <c r="C450" s="31">
        <v>44352.0</v>
      </c>
      <c r="D450" s="32">
        <v>53611.0</v>
      </c>
      <c r="E450" s="33" t="s">
        <v>419</v>
      </c>
    </row>
    <row r="451">
      <c r="A451" s="35" t="s">
        <v>813</v>
      </c>
      <c r="B451" s="36" t="s">
        <v>755</v>
      </c>
      <c r="C451" s="37">
        <v>44381.0</v>
      </c>
      <c r="D451" s="38">
        <v>175471.0</v>
      </c>
      <c r="E451" s="39" t="s">
        <v>419</v>
      </c>
    </row>
    <row r="452">
      <c r="A452" s="29" t="s">
        <v>813</v>
      </c>
      <c r="B452" s="30" t="s">
        <v>755</v>
      </c>
      <c r="C452" s="31">
        <v>44414.0</v>
      </c>
      <c r="D452" s="32">
        <v>487451.0</v>
      </c>
      <c r="E452" s="33" t="s">
        <v>419</v>
      </c>
    </row>
    <row r="453">
      <c r="A453" s="35" t="s">
        <v>813</v>
      </c>
      <c r="B453" s="36" t="s">
        <v>755</v>
      </c>
      <c r="C453" s="37">
        <v>44442.0</v>
      </c>
      <c r="D453" s="38">
        <v>590151.0</v>
      </c>
      <c r="E453" s="39" t="s">
        <v>419</v>
      </c>
    </row>
    <row r="454">
      <c r="A454" s="29" t="s">
        <v>813</v>
      </c>
      <c r="B454" s="30" t="s">
        <v>755</v>
      </c>
      <c r="C454" s="31">
        <v>44474.0</v>
      </c>
      <c r="D454" s="32">
        <v>442684.0</v>
      </c>
      <c r="E454" s="33" t="s">
        <v>419</v>
      </c>
    </row>
    <row r="455">
      <c r="A455" s="35" t="s">
        <v>813</v>
      </c>
      <c r="B455" s="36" t="s">
        <v>755</v>
      </c>
      <c r="C455" s="37">
        <v>44504.0</v>
      </c>
      <c r="D455" s="38">
        <v>520747.0</v>
      </c>
      <c r="E455" s="39" t="s">
        <v>419</v>
      </c>
    </row>
    <row r="456">
      <c r="A456" s="29" t="s">
        <v>813</v>
      </c>
      <c r="B456" s="30" t="s">
        <v>755</v>
      </c>
      <c r="C456" s="31">
        <v>44536.0</v>
      </c>
      <c r="D456" s="32">
        <v>599251.0</v>
      </c>
      <c r="E456" s="33" t="s">
        <v>419</v>
      </c>
    </row>
    <row r="457">
      <c r="A457" s="35" t="s">
        <v>813</v>
      </c>
      <c r="B457" s="36" t="s">
        <v>755</v>
      </c>
      <c r="C457" s="37">
        <v>44565.0</v>
      </c>
      <c r="D457" s="38">
        <v>360648.0</v>
      </c>
      <c r="E457" s="39" t="s">
        <v>419</v>
      </c>
    </row>
    <row r="458">
      <c r="A458" s="29" t="s">
        <v>813</v>
      </c>
      <c r="B458" s="30" t="s">
        <v>755</v>
      </c>
      <c r="C458" s="31">
        <v>44597.0</v>
      </c>
      <c r="D458" s="32">
        <v>63873.0</v>
      </c>
      <c r="E458" s="33" t="s">
        <v>419</v>
      </c>
    </row>
    <row r="459">
      <c r="A459" s="35" t="s">
        <v>813</v>
      </c>
      <c r="B459" s="36" t="s">
        <v>755</v>
      </c>
      <c r="C459" s="37">
        <v>44623.0</v>
      </c>
      <c r="D459" s="38">
        <v>299852.0</v>
      </c>
      <c r="E459" s="39" t="s">
        <v>419</v>
      </c>
    </row>
    <row r="460">
      <c r="A460" s="29" t="s">
        <v>813</v>
      </c>
      <c r="B460" s="30" t="s">
        <v>755</v>
      </c>
      <c r="C460" s="31">
        <v>44656.0</v>
      </c>
      <c r="D460" s="32">
        <v>723618.0</v>
      </c>
      <c r="E460" s="33" t="s">
        <v>419</v>
      </c>
    </row>
    <row r="461">
      <c r="A461" s="35" t="s">
        <v>813</v>
      </c>
      <c r="B461" s="36" t="s">
        <v>755</v>
      </c>
      <c r="C461" s="37">
        <v>44684.0</v>
      </c>
      <c r="D461" s="38">
        <v>615923.0</v>
      </c>
      <c r="E461" s="39" t="s">
        <v>419</v>
      </c>
    </row>
    <row r="462">
      <c r="A462" s="29" t="s">
        <v>813</v>
      </c>
      <c r="B462" s="30" t="s">
        <v>755</v>
      </c>
      <c r="C462" s="31">
        <v>44717.0</v>
      </c>
      <c r="D462" s="32">
        <v>282999.0</v>
      </c>
      <c r="E462" s="33" t="s">
        <v>419</v>
      </c>
    </row>
    <row r="463">
      <c r="A463" s="35" t="s">
        <v>813</v>
      </c>
      <c r="B463" s="36" t="s">
        <v>755</v>
      </c>
      <c r="C463" s="37">
        <v>44746.0</v>
      </c>
      <c r="D463" s="38">
        <v>693094.0</v>
      </c>
      <c r="E463" s="39" t="s">
        <v>419</v>
      </c>
    </row>
    <row r="464">
      <c r="A464" s="29" t="s">
        <v>813</v>
      </c>
      <c r="B464" s="30" t="s">
        <v>755</v>
      </c>
      <c r="C464" s="31">
        <v>44776.0</v>
      </c>
      <c r="D464" s="32">
        <v>54677.0</v>
      </c>
      <c r="E464" s="33" t="s">
        <v>419</v>
      </c>
    </row>
    <row r="465">
      <c r="A465" s="35" t="s">
        <v>813</v>
      </c>
      <c r="B465" s="36" t="s">
        <v>755</v>
      </c>
      <c r="C465" s="37">
        <v>44809.0</v>
      </c>
      <c r="D465" s="38">
        <v>319808.0</v>
      </c>
      <c r="E465" s="39" t="s">
        <v>419</v>
      </c>
    </row>
    <row r="466">
      <c r="A466" s="29" t="s">
        <v>813</v>
      </c>
      <c r="B466" s="30" t="s">
        <v>755</v>
      </c>
      <c r="C466" s="31">
        <v>44838.0</v>
      </c>
      <c r="D466" s="32">
        <v>626970.0</v>
      </c>
      <c r="E466" s="33" t="s">
        <v>419</v>
      </c>
    </row>
    <row r="467">
      <c r="A467" s="35" t="s">
        <v>813</v>
      </c>
      <c r="B467" s="36" t="s">
        <v>755</v>
      </c>
      <c r="C467" s="37">
        <v>44870.0</v>
      </c>
      <c r="D467" s="38">
        <v>364686.0</v>
      </c>
      <c r="E467" s="39" t="s">
        <v>419</v>
      </c>
    </row>
    <row r="468">
      <c r="A468" s="29" t="s">
        <v>813</v>
      </c>
      <c r="B468" s="30" t="s">
        <v>755</v>
      </c>
      <c r="C468" s="31">
        <v>44898.0</v>
      </c>
      <c r="D468" s="32">
        <v>631303.0</v>
      </c>
      <c r="E468" s="33" t="s">
        <v>419</v>
      </c>
    </row>
    <row r="469">
      <c r="A469" s="35" t="s">
        <v>813</v>
      </c>
      <c r="B469" s="36" t="s">
        <v>755</v>
      </c>
      <c r="C469" s="37">
        <v>44931.0</v>
      </c>
      <c r="D469" s="38">
        <v>274376.0</v>
      </c>
      <c r="E469" s="39" t="s">
        <v>419</v>
      </c>
    </row>
    <row r="470">
      <c r="A470" s="29" t="s">
        <v>813</v>
      </c>
      <c r="B470" s="30" t="s">
        <v>755</v>
      </c>
      <c r="C470" s="31">
        <v>44961.0</v>
      </c>
      <c r="D470" s="32">
        <v>128788.0</v>
      </c>
      <c r="E470" s="33" t="s">
        <v>419</v>
      </c>
    </row>
    <row r="471">
      <c r="A471" s="35" t="s">
        <v>813</v>
      </c>
      <c r="B471" s="36" t="s">
        <v>755</v>
      </c>
      <c r="C471" s="37">
        <v>44990.0</v>
      </c>
      <c r="D471" s="38">
        <v>256681.0</v>
      </c>
      <c r="E471" s="39" t="s">
        <v>419</v>
      </c>
    </row>
    <row r="472">
      <c r="A472" s="29" t="s">
        <v>813</v>
      </c>
      <c r="B472" s="30" t="s">
        <v>755</v>
      </c>
      <c r="C472" s="31">
        <v>45019.0</v>
      </c>
      <c r="D472" s="32">
        <v>480666.0</v>
      </c>
      <c r="E472" s="33" t="s">
        <v>419</v>
      </c>
    </row>
    <row r="473">
      <c r="A473" s="35" t="s">
        <v>813</v>
      </c>
      <c r="B473" s="36" t="s">
        <v>755</v>
      </c>
      <c r="C473" s="37">
        <v>45051.0</v>
      </c>
      <c r="D473" s="38">
        <v>482346.0</v>
      </c>
      <c r="E473" s="39" t="s">
        <v>419</v>
      </c>
    </row>
    <row r="474">
      <c r="A474" s="29" t="s">
        <v>813</v>
      </c>
      <c r="B474" s="30" t="s">
        <v>755</v>
      </c>
      <c r="C474" s="31">
        <v>45080.0</v>
      </c>
      <c r="D474" s="32">
        <v>488328.0</v>
      </c>
      <c r="E474" s="33" t="s">
        <v>419</v>
      </c>
    </row>
    <row r="475">
      <c r="A475" s="35" t="s">
        <v>813</v>
      </c>
      <c r="B475" s="36" t="s">
        <v>755</v>
      </c>
      <c r="C475" s="37">
        <v>45112.0</v>
      </c>
      <c r="D475" s="38">
        <v>262263.0</v>
      </c>
      <c r="E475" s="39" t="s">
        <v>419</v>
      </c>
    </row>
    <row r="476">
      <c r="A476" s="29" t="s">
        <v>813</v>
      </c>
      <c r="B476" s="30" t="s">
        <v>755</v>
      </c>
      <c r="C476" s="31">
        <v>45141.0</v>
      </c>
      <c r="D476" s="32">
        <v>356384.0</v>
      </c>
      <c r="E476" s="33" t="s">
        <v>419</v>
      </c>
    </row>
    <row r="477">
      <c r="A477" s="35" t="s">
        <v>813</v>
      </c>
      <c r="B477" s="36" t="s">
        <v>755</v>
      </c>
      <c r="C477" s="37">
        <v>45174.0</v>
      </c>
      <c r="D477" s="38">
        <v>544174.0</v>
      </c>
      <c r="E477" s="39" t="s">
        <v>419</v>
      </c>
    </row>
    <row r="478">
      <c r="A478" s="29" t="s">
        <v>813</v>
      </c>
      <c r="B478" s="30" t="s">
        <v>755</v>
      </c>
      <c r="C478" s="31">
        <v>45203.0</v>
      </c>
      <c r="D478" s="32">
        <v>149397.0</v>
      </c>
      <c r="E478" s="33" t="s">
        <v>419</v>
      </c>
    </row>
    <row r="479">
      <c r="A479" s="35" t="s">
        <v>813</v>
      </c>
      <c r="B479" s="36" t="s">
        <v>755</v>
      </c>
      <c r="C479" s="37">
        <v>45235.0</v>
      </c>
      <c r="D479" s="38">
        <v>675154.0</v>
      </c>
      <c r="E479" s="39" t="s">
        <v>419</v>
      </c>
    </row>
    <row r="480">
      <c r="A480" s="29" t="s">
        <v>813</v>
      </c>
      <c r="B480" s="30" t="s">
        <v>755</v>
      </c>
      <c r="C480" s="31">
        <v>45263.0</v>
      </c>
      <c r="D480" s="32">
        <v>202733.0</v>
      </c>
      <c r="E480" s="33" t="s">
        <v>419</v>
      </c>
    </row>
    <row r="481">
      <c r="A481" s="35" t="s">
        <v>813</v>
      </c>
      <c r="B481" s="36" t="s">
        <v>755</v>
      </c>
      <c r="C481" s="37">
        <v>45296.0</v>
      </c>
      <c r="D481" s="38">
        <v>773286.0</v>
      </c>
      <c r="E481" s="39" t="s">
        <v>419</v>
      </c>
    </row>
    <row r="482">
      <c r="A482" s="29" t="s">
        <v>813</v>
      </c>
      <c r="B482" s="30" t="s">
        <v>755</v>
      </c>
      <c r="C482" s="31">
        <v>45326.0</v>
      </c>
      <c r="D482" s="32">
        <v>334462.0</v>
      </c>
      <c r="E482" s="33" t="s">
        <v>419</v>
      </c>
    </row>
    <row r="483">
      <c r="A483" s="35" t="s">
        <v>813</v>
      </c>
      <c r="B483" s="36" t="s">
        <v>755</v>
      </c>
      <c r="C483" s="37">
        <v>45354.0</v>
      </c>
      <c r="D483" s="38">
        <v>739298.0</v>
      </c>
      <c r="E483" s="39" t="s">
        <v>419</v>
      </c>
    </row>
    <row r="484">
      <c r="A484" s="29" t="s">
        <v>813</v>
      </c>
      <c r="B484" s="30" t="s">
        <v>755</v>
      </c>
      <c r="C484" s="31">
        <v>45387.0</v>
      </c>
      <c r="D484" s="32">
        <v>539067.0</v>
      </c>
      <c r="E484" s="33" t="s">
        <v>419</v>
      </c>
    </row>
    <row r="485">
      <c r="A485" s="35" t="s">
        <v>813</v>
      </c>
      <c r="B485" s="36" t="s">
        <v>755</v>
      </c>
      <c r="C485" s="37">
        <v>45415.0</v>
      </c>
      <c r="D485" s="38">
        <v>159307.0</v>
      </c>
      <c r="E485" s="39" t="s">
        <v>419</v>
      </c>
    </row>
    <row r="486">
      <c r="A486" s="29" t="s">
        <v>813</v>
      </c>
      <c r="B486" s="30" t="s">
        <v>755</v>
      </c>
      <c r="C486" s="31">
        <v>45448.0</v>
      </c>
      <c r="D486" s="32">
        <v>152701.0</v>
      </c>
      <c r="E486" s="33" t="s">
        <v>419</v>
      </c>
    </row>
    <row r="487">
      <c r="A487" s="35" t="s">
        <v>813</v>
      </c>
      <c r="B487" s="36" t="s">
        <v>755</v>
      </c>
      <c r="C487" s="37">
        <v>45477.0</v>
      </c>
      <c r="D487" s="38">
        <v>430624.0</v>
      </c>
      <c r="E487" s="39" t="s">
        <v>419</v>
      </c>
    </row>
    <row r="488">
      <c r="A488" s="29" t="s">
        <v>813</v>
      </c>
      <c r="B488" s="30" t="s">
        <v>755</v>
      </c>
      <c r="C488" s="31">
        <v>45509.0</v>
      </c>
      <c r="D488" s="32">
        <v>148343.0</v>
      </c>
      <c r="E488" s="33" t="s">
        <v>419</v>
      </c>
    </row>
    <row r="489">
      <c r="A489" s="35" t="s">
        <v>814</v>
      </c>
      <c r="B489" s="36" t="s">
        <v>758</v>
      </c>
      <c r="C489" s="37">
        <v>43690.0</v>
      </c>
      <c r="D489" s="38">
        <v>385846.0</v>
      </c>
      <c r="E489" s="39" t="s">
        <v>456</v>
      </c>
    </row>
    <row r="490">
      <c r="A490" s="29" t="s">
        <v>814</v>
      </c>
      <c r="B490" s="30" t="s">
        <v>758</v>
      </c>
      <c r="C490" s="31">
        <v>44057.0</v>
      </c>
      <c r="D490" s="32">
        <v>750782.0</v>
      </c>
      <c r="E490" s="33" t="s">
        <v>456</v>
      </c>
    </row>
    <row r="491">
      <c r="A491" s="35" t="s">
        <v>814</v>
      </c>
      <c r="B491" s="36" t="s">
        <v>758</v>
      </c>
      <c r="C491" s="37">
        <v>44420.0</v>
      </c>
      <c r="D491" s="38">
        <v>409837.0</v>
      </c>
      <c r="E491" s="39" t="s">
        <v>456</v>
      </c>
    </row>
    <row r="492">
      <c r="A492" s="29" t="s">
        <v>814</v>
      </c>
      <c r="B492" s="30" t="s">
        <v>758</v>
      </c>
      <c r="C492" s="31">
        <v>44788.0</v>
      </c>
      <c r="D492" s="32">
        <v>747805.0</v>
      </c>
      <c r="E492" s="33" t="s">
        <v>456</v>
      </c>
    </row>
    <row r="493">
      <c r="A493" s="35" t="s">
        <v>814</v>
      </c>
      <c r="B493" s="36" t="s">
        <v>758</v>
      </c>
      <c r="C493" s="37">
        <v>45151.0</v>
      </c>
      <c r="D493" s="38">
        <v>260898.0</v>
      </c>
      <c r="E493" s="39" t="s">
        <v>456</v>
      </c>
    </row>
    <row r="494">
      <c r="A494" s="29" t="s">
        <v>814</v>
      </c>
      <c r="B494" s="30" t="s">
        <v>758</v>
      </c>
      <c r="C494" s="31">
        <v>45518.0</v>
      </c>
      <c r="D494" s="32">
        <v>558515.0</v>
      </c>
      <c r="E494" s="33" t="s">
        <v>456</v>
      </c>
    </row>
    <row r="495">
      <c r="A495" s="35" t="s">
        <v>815</v>
      </c>
      <c r="B495" s="36" t="s">
        <v>758</v>
      </c>
      <c r="C495" s="37">
        <v>44582.0</v>
      </c>
      <c r="D495" s="38">
        <v>706102.0</v>
      </c>
      <c r="E495" s="39" t="s">
        <v>419</v>
      </c>
    </row>
    <row r="496">
      <c r="A496" s="29" t="s">
        <v>815</v>
      </c>
      <c r="B496" s="30" t="s">
        <v>758</v>
      </c>
      <c r="C496" s="31">
        <v>44614.0</v>
      </c>
      <c r="D496" s="32">
        <v>254098.0</v>
      </c>
      <c r="E496" s="33" t="s">
        <v>419</v>
      </c>
    </row>
    <row r="497">
      <c r="A497" s="35" t="s">
        <v>815</v>
      </c>
      <c r="B497" s="36" t="s">
        <v>758</v>
      </c>
      <c r="C497" s="37">
        <v>44641.0</v>
      </c>
      <c r="D497" s="38">
        <v>76229.0</v>
      </c>
      <c r="E497" s="39" t="s">
        <v>419</v>
      </c>
    </row>
    <row r="498">
      <c r="A498" s="29" t="s">
        <v>815</v>
      </c>
      <c r="B498" s="30" t="s">
        <v>758</v>
      </c>
      <c r="C498" s="31">
        <v>44674.0</v>
      </c>
      <c r="D498" s="32">
        <v>628328.0</v>
      </c>
      <c r="E498" s="33" t="s">
        <v>419</v>
      </c>
    </row>
    <row r="499">
      <c r="A499" s="35" t="s">
        <v>815</v>
      </c>
      <c r="B499" s="36" t="s">
        <v>758</v>
      </c>
      <c r="C499" s="37">
        <v>44702.0</v>
      </c>
      <c r="D499" s="38">
        <v>486856.0</v>
      </c>
      <c r="E499" s="39" t="s">
        <v>419</v>
      </c>
    </row>
    <row r="500">
      <c r="A500" s="29" t="s">
        <v>815</v>
      </c>
      <c r="B500" s="30" t="s">
        <v>758</v>
      </c>
      <c r="C500" s="31">
        <v>44734.0</v>
      </c>
      <c r="D500" s="32">
        <v>298046.0</v>
      </c>
      <c r="E500" s="33" t="s">
        <v>419</v>
      </c>
    </row>
    <row r="501">
      <c r="A501" s="35" t="s">
        <v>815</v>
      </c>
      <c r="B501" s="36" t="s">
        <v>758</v>
      </c>
      <c r="C501" s="37">
        <v>44763.0</v>
      </c>
      <c r="D501" s="38">
        <v>171034.0</v>
      </c>
      <c r="E501" s="39" t="s">
        <v>419</v>
      </c>
    </row>
    <row r="502">
      <c r="A502" s="29" t="s">
        <v>815</v>
      </c>
      <c r="B502" s="30" t="s">
        <v>758</v>
      </c>
      <c r="C502" s="31">
        <v>44796.0</v>
      </c>
      <c r="D502" s="32">
        <v>587146.0</v>
      </c>
      <c r="E502" s="33" t="s">
        <v>419</v>
      </c>
    </row>
    <row r="503">
      <c r="A503" s="35" t="s">
        <v>815</v>
      </c>
      <c r="B503" s="36" t="s">
        <v>758</v>
      </c>
      <c r="C503" s="37">
        <v>44825.0</v>
      </c>
      <c r="D503" s="38">
        <v>417361.0</v>
      </c>
      <c r="E503" s="39" t="s">
        <v>419</v>
      </c>
    </row>
    <row r="504">
      <c r="A504" s="29" t="s">
        <v>815</v>
      </c>
      <c r="B504" s="30" t="s">
        <v>758</v>
      </c>
      <c r="C504" s="31">
        <v>44856.0</v>
      </c>
      <c r="D504" s="32">
        <v>279196.0</v>
      </c>
      <c r="E504" s="33" t="s">
        <v>419</v>
      </c>
    </row>
    <row r="505">
      <c r="A505" s="35" t="s">
        <v>815</v>
      </c>
      <c r="B505" s="36" t="s">
        <v>758</v>
      </c>
      <c r="C505" s="37">
        <v>44886.0</v>
      </c>
      <c r="D505" s="38">
        <v>706918.0</v>
      </c>
      <c r="E505" s="39" t="s">
        <v>419</v>
      </c>
    </row>
    <row r="506">
      <c r="A506" s="29" t="s">
        <v>815</v>
      </c>
      <c r="B506" s="30" t="s">
        <v>758</v>
      </c>
      <c r="C506" s="31">
        <v>44918.0</v>
      </c>
      <c r="D506" s="32">
        <v>385281.0</v>
      </c>
      <c r="E506" s="33" t="s">
        <v>419</v>
      </c>
    </row>
    <row r="507">
      <c r="A507" s="35" t="s">
        <v>815</v>
      </c>
      <c r="B507" s="36" t="s">
        <v>758</v>
      </c>
      <c r="C507" s="37">
        <v>44947.0</v>
      </c>
      <c r="D507" s="38">
        <v>331280.0</v>
      </c>
      <c r="E507" s="39" t="s">
        <v>419</v>
      </c>
    </row>
    <row r="508">
      <c r="A508" s="29" t="s">
        <v>815</v>
      </c>
      <c r="B508" s="30" t="s">
        <v>758</v>
      </c>
      <c r="C508" s="31">
        <v>44979.0</v>
      </c>
      <c r="D508" s="32">
        <v>351957.0</v>
      </c>
      <c r="E508" s="33" t="s">
        <v>419</v>
      </c>
    </row>
    <row r="509">
      <c r="A509" s="35" t="s">
        <v>815</v>
      </c>
      <c r="B509" s="36" t="s">
        <v>758</v>
      </c>
      <c r="C509" s="37">
        <v>45006.0</v>
      </c>
      <c r="D509" s="38">
        <v>357979.0</v>
      </c>
      <c r="E509" s="39" t="s">
        <v>419</v>
      </c>
    </row>
    <row r="510">
      <c r="A510" s="29" t="s">
        <v>815</v>
      </c>
      <c r="B510" s="30" t="s">
        <v>758</v>
      </c>
      <c r="C510" s="31">
        <v>45039.0</v>
      </c>
      <c r="D510" s="32">
        <v>581485.0</v>
      </c>
      <c r="E510" s="33" t="s">
        <v>419</v>
      </c>
    </row>
    <row r="511">
      <c r="A511" s="35" t="s">
        <v>815</v>
      </c>
      <c r="B511" s="36" t="s">
        <v>758</v>
      </c>
      <c r="C511" s="37">
        <v>45067.0</v>
      </c>
      <c r="D511" s="38">
        <v>428123.0</v>
      </c>
      <c r="E511" s="39" t="s">
        <v>419</v>
      </c>
    </row>
    <row r="512">
      <c r="A512" s="29" t="s">
        <v>815</v>
      </c>
      <c r="B512" s="30" t="s">
        <v>758</v>
      </c>
      <c r="C512" s="31">
        <v>45099.0</v>
      </c>
      <c r="D512" s="32">
        <v>85345.0</v>
      </c>
      <c r="E512" s="33" t="s">
        <v>419</v>
      </c>
    </row>
    <row r="513">
      <c r="A513" s="35" t="s">
        <v>815</v>
      </c>
      <c r="B513" s="36" t="s">
        <v>758</v>
      </c>
      <c r="C513" s="37">
        <v>45128.0</v>
      </c>
      <c r="D513" s="38">
        <v>774305.0</v>
      </c>
      <c r="E513" s="39" t="s">
        <v>419</v>
      </c>
    </row>
    <row r="514">
      <c r="A514" s="29" t="s">
        <v>815</v>
      </c>
      <c r="B514" s="30" t="s">
        <v>758</v>
      </c>
      <c r="C514" s="31">
        <v>45161.0</v>
      </c>
      <c r="D514" s="32">
        <v>609982.0</v>
      </c>
      <c r="E514" s="33" t="s">
        <v>419</v>
      </c>
    </row>
    <row r="515">
      <c r="A515" s="35" t="s">
        <v>815</v>
      </c>
      <c r="B515" s="36" t="s">
        <v>758</v>
      </c>
      <c r="C515" s="37">
        <v>45190.0</v>
      </c>
      <c r="D515" s="38">
        <v>680131.0</v>
      </c>
      <c r="E515" s="39" t="s">
        <v>419</v>
      </c>
    </row>
    <row r="516">
      <c r="A516" s="29" t="s">
        <v>815</v>
      </c>
      <c r="B516" s="30" t="s">
        <v>758</v>
      </c>
      <c r="C516" s="31">
        <v>45221.0</v>
      </c>
      <c r="D516" s="32">
        <v>130889.0</v>
      </c>
      <c r="E516" s="33" t="s">
        <v>419</v>
      </c>
    </row>
    <row r="517">
      <c r="A517" s="35" t="s">
        <v>815</v>
      </c>
      <c r="B517" s="36" t="s">
        <v>758</v>
      </c>
      <c r="C517" s="37">
        <v>45251.0</v>
      </c>
      <c r="D517" s="38">
        <v>760502.0</v>
      </c>
      <c r="E517" s="39" t="s">
        <v>419</v>
      </c>
    </row>
    <row r="518">
      <c r="A518" s="29" t="s">
        <v>815</v>
      </c>
      <c r="B518" s="30" t="s">
        <v>758</v>
      </c>
      <c r="C518" s="31">
        <v>45283.0</v>
      </c>
      <c r="D518" s="32">
        <v>469510.0</v>
      </c>
      <c r="E518" s="33" t="s">
        <v>419</v>
      </c>
    </row>
    <row r="519">
      <c r="A519" s="35" t="s">
        <v>815</v>
      </c>
      <c r="B519" s="36" t="s">
        <v>758</v>
      </c>
      <c r="C519" s="37">
        <v>45312.0</v>
      </c>
      <c r="D519" s="38">
        <v>577317.0</v>
      </c>
      <c r="E519" s="39" t="s">
        <v>419</v>
      </c>
    </row>
    <row r="520">
      <c r="A520" s="29" t="s">
        <v>815</v>
      </c>
      <c r="B520" s="30" t="s">
        <v>758</v>
      </c>
      <c r="C520" s="31">
        <v>45344.0</v>
      </c>
      <c r="D520" s="32">
        <v>445942.0</v>
      </c>
      <c r="E520" s="33" t="s">
        <v>419</v>
      </c>
    </row>
    <row r="521">
      <c r="A521" s="35" t="s">
        <v>815</v>
      </c>
      <c r="B521" s="36" t="s">
        <v>758</v>
      </c>
      <c r="C521" s="37">
        <v>45372.0</v>
      </c>
      <c r="D521" s="38">
        <v>239793.0</v>
      </c>
      <c r="E521" s="39" t="s">
        <v>419</v>
      </c>
    </row>
    <row r="522">
      <c r="A522" s="29" t="s">
        <v>815</v>
      </c>
      <c r="B522" s="30" t="s">
        <v>758</v>
      </c>
      <c r="C522" s="31">
        <v>45405.0</v>
      </c>
      <c r="D522" s="32">
        <v>340346.0</v>
      </c>
      <c r="E522" s="33" t="s">
        <v>419</v>
      </c>
    </row>
    <row r="523">
      <c r="A523" s="35" t="s">
        <v>815</v>
      </c>
      <c r="B523" s="36" t="s">
        <v>758</v>
      </c>
      <c r="C523" s="37">
        <v>45433.0</v>
      </c>
      <c r="D523" s="38">
        <v>178456.0</v>
      </c>
      <c r="E523" s="39" t="s">
        <v>419</v>
      </c>
    </row>
    <row r="524">
      <c r="A524" s="29" t="s">
        <v>815</v>
      </c>
      <c r="B524" s="30" t="s">
        <v>758</v>
      </c>
      <c r="C524" s="31">
        <v>45465.0</v>
      </c>
      <c r="D524" s="32">
        <v>224200.0</v>
      </c>
      <c r="E524" s="33" t="s">
        <v>419</v>
      </c>
    </row>
    <row r="525">
      <c r="A525" s="35" t="s">
        <v>815</v>
      </c>
      <c r="B525" s="36" t="s">
        <v>758</v>
      </c>
      <c r="C525" s="37">
        <v>45494.0</v>
      </c>
      <c r="D525" s="38">
        <v>609063.0</v>
      </c>
      <c r="E525" s="39" t="s">
        <v>419</v>
      </c>
    </row>
    <row r="526">
      <c r="A526" s="29" t="s">
        <v>815</v>
      </c>
      <c r="B526" s="30" t="s">
        <v>758</v>
      </c>
      <c r="C526" s="31">
        <v>45527.0</v>
      </c>
      <c r="D526" s="32">
        <v>740873.0</v>
      </c>
      <c r="E526" s="33" t="s">
        <v>419</v>
      </c>
    </row>
    <row r="527">
      <c r="A527" s="35" t="s">
        <v>815</v>
      </c>
      <c r="B527" s="36" t="s">
        <v>758</v>
      </c>
      <c r="C527" s="37">
        <v>45536.0</v>
      </c>
      <c r="D527" s="38">
        <v>508753.0</v>
      </c>
      <c r="E527" s="39" t="s">
        <v>419</v>
      </c>
    </row>
    <row r="528">
      <c r="A528" s="29" t="s">
        <v>816</v>
      </c>
      <c r="B528" s="30" t="s">
        <v>759</v>
      </c>
      <c r="C528" s="31">
        <v>44218.0</v>
      </c>
      <c r="D528" s="32">
        <v>193728.0</v>
      </c>
      <c r="E528" s="33" t="s">
        <v>20</v>
      </c>
    </row>
    <row r="529">
      <c r="A529" s="35" t="s">
        <v>816</v>
      </c>
      <c r="B529" s="36" t="s">
        <v>759</v>
      </c>
      <c r="C529" s="37">
        <v>44250.0</v>
      </c>
      <c r="D529" s="38">
        <v>139844.0</v>
      </c>
      <c r="E529" s="39" t="s">
        <v>20</v>
      </c>
    </row>
    <row r="530">
      <c r="A530" s="29" t="s">
        <v>816</v>
      </c>
      <c r="B530" s="30" t="s">
        <v>759</v>
      </c>
      <c r="C530" s="31">
        <v>44277.0</v>
      </c>
      <c r="D530" s="32">
        <v>45549.0</v>
      </c>
      <c r="E530" s="33" t="s">
        <v>20</v>
      </c>
    </row>
    <row r="531">
      <c r="A531" s="35" t="s">
        <v>816</v>
      </c>
      <c r="B531" s="36" t="s">
        <v>759</v>
      </c>
      <c r="C531" s="37">
        <v>44310.0</v>
      </c>
      <c r="D531" s="38">
        <v>87788.0</v>
      </c>
      <c r="E531" s="39" t="s">
        <v>20</v>
      </c>
    </row>
    <row r="532">
      <c r="A532" s="29" t="s">
        <v>816</v>
      </c>
      <c r="B532" s="30" t="s">
        <v>759</v>
      </c>
      <c r="C532" s="31">
        <v>44338.0</v>
      </c>
      <c r="D532" s="32">
        <v>57471.0</v>
      </c>
      <c r="E532" s="33" t="s">
        <v>20</v>
      </c>
    </row>
    <row r="533">
      <c r="A533" s="35" t="s">
        <v>816</v>
      </c>
      <c r="B533" s="36" t="s">
        <v>759</v>
      </c>
      <c r="C533" s="37">
        <v>44370.0</v>
      </c>
      <c r="D533" s="38">
        <v>40464.0</v>
      </c>
      <c r="E533" s="39" t="s">
        <v>20</v>
      </c>
    </row>
    <row r="534">
      <c r="A534" s="29" t="s">
        <v>816</v>
      </c>
      <c r="B534" s="30" t="s">
        <v>759</v>
      </c>
      <c r="C534" s="31">
        <v>44399.0</v>
      </c>
      <c r="D534" s="32">
        <v>190604.0</v>
      </c>
      <c r="E534" s="33" t="s">
        <v>20</v>
      </c>
    </row>
    <row r="535">
      <c r="A535" s="35" t="s">
        <v>816</v>
      </c>
      <c r="B535" s="36" t="s">
        <v>759</v>
      </c>
      <c r="C535" s="37">
        <v>44431.0</v>
      </c>
      <c r="D535" s="38">
        <v>197183.0</v>
      </c>
      <c r="E535" s="39" t="s">
        <v>20</v>
      </c>
    </row>
    <row r="536">
      <c r="A536" s="29" t="s">
        <v>816</v>
      </c>
      <c r="B536" s="30" t="s">
        <v>759</v>
      </c>
      <c r="C536" s="31">
        <v>44461.0</v>
      </c>
      <c r="D536" s="32">
        <v>46112.0</v>
      </c>
      <c r="E536" s="33" t="s">
        <v>20</v>
      </c>
    </row>
    <row r="537">
      <c r="A537" s="35" t="s">
        <v>816</v>
      </c>
      <c r="B537" s="36" t="s">
        <v>759</v>
      </c>
      <c r="C537" s="37">
        <v>44492.0</v>
      </c>
      <c r="D537" s="38">
        <v>132359.0</v>
      </c>
      <c r="E537" s="39" t="s">
        <v>20</v>
      </c>
    </row>
    <row r="538">
      <c r="A538" s="29" t="s">
        <v>816</v>
      </c>
      <c r="B538" s="30" t="s">
        <v>759</v>
      </c>
      <c r="C538" s="31">
        <v>44522.0</v>
      </c>
      <c r="D538" s="32">
        <v>180459.0</v>
      </c>
      <c r="E538" s="33" t="s">
        <v>20</v>
      </c>
    </row>
    <row r="539">
      <c r="A539" s="35" t="s">
        <v>816</v>
      </c>
      <c r="B539" s="36" t="s">
        <v>759</v>
      </c>
      <c r="C539" s="37">
        <v>44553.0</v>
      </c>
      <c r="D539" s="38">
        <v>113088.0</v>
      </c>
      <c r="E539" s="39" t="s">
        <v>20</v>
      </c>
    </row>
    <row r="540">
      <c r="A540" s="29" t="s">
        <v>817</v>
      </c>
      <c r="B540" s="30" t="s">
        <v>759</v>
      </c>
      <c r="C540" s="31">
        <v>44190.0</v>
      </c>
      <c r="D540" s="32">
        <v>180488.0</v>
      </c>
      <c r="E540" s="33" t="s">
        <v>476</v>
      </c>
    </row>
    <row r="541">
      <c r="A541" s="35" t="s">
        <v>817</v>
      </c>
      <c r="B541" s="36" t="s">
        <v>759</v>
      </c>
      <c r="C541" s="37">
        <v>44237.0</v>
      </c>
      <c r="D541" s="38">
        <v>79065.0</v>
      </c>
      <c r="E541" s="39" t="s">
        <v>476</v>
      </c>
    </row>
    <row r="542">
      <c r="A542" s="29" t="s">
        <v>817</v>
      </c>
      <c r="B542" s="30" t="s">
        <v>759</v>
      </c>
      <c r="C542" s="31">
        <v>44293.0</v>
      </c>
      <c r="D542" s="32">
        <v>184185.0</v>
      </c>
      <c r="E542" s="33" t="s">
        <v>476</v>
      </c>
    </row>
    <row r="543">
      <c r="A543" s="35" t="s">
        <v>817</v>
      </c>
      <c r="B543" s="36" t="s">
        <v>759</v>
      </c>
      <c r="C543" s="37">
        <v>44366.0</v>
      </c>
      <c r="D543" s="38">
        <v>65000.0</v>
      </c>
      <c r="E543" s="39" t="s">
        <v>476</v>
      </c>
    </row>
    <row r="544">
      <c r="A544" s="29" t="s">
        <v>817</v>
      </c>
      <c r="B544" s="30" t="s">
        <v>759</v>
      </c>
      <c r="C544" s="31">
        <v>44413.0</v>
      </c>
      <c r="D544" s="32">
        <v>181635.0</v>
      </c>
      <c r="E544" s="33" t="s">
        <v>476</v>
      </c>
    </row>
    <row r="545">
      <c r="A545" s="35" t="s">
        <v>817</v>
      </c>
      <c r="B545" s="36" t="s">
        <v>759</v>
      </c>
      <c r="C545" s="37">
        <v>44491.0</v>
      </c>
      <c r="D545" s="38">
        <v>66423.0</v>
      </c>
      <c r="E545" s="39" t="s">
        <v>476</v>
      </c>
    </row>
    <row r="546">
      <c r="A546" s="29" t="s">
        <v>817</v>
      </c>
      <c r="B546" s="30" t="s">
        <v>759</v>
      </c>
      <c r="C546" s="31">
        <v>44545.0</v>
      </c>
      <c r="D546" s="32">
        <v>123625.0</v>
      </c>
      <c r="E546" s="33" t="s">
        <v>476</v>
      </c>
    </row>
    <row r="547">
      <c r="A547" s="35" t="s">
        <v>817</v>
      </c>
      <c r="B547" s="36" t="s">
        <v>759</v>
      </c>
      <c r="C547" s="37">
        <v>44595.0</v>
      </c>
      <c r="D547" s="38">
        <v>89993.0</v>
      </c>
      <c r="E547" s="39" t="s">
        <v>476</v>
      </c>
    </row>
    <row r="548">
      <c r="A548" s="29" t="s">
        <v>817</v>
      </c>
      <c r="B548" s="30" t="s">
        <v>759</v>
      </c>
      <c r="C548" s="31">
        <v>44672.0</v>
      </c>
      <c r="D548" s="32">
        <v>11747.0</v>
      </c>
      <c r="E548" s="33" t="s">
        <v>476</v>
      </c>
    </row>
    <row r="549">
      <c r="A549" s="35" t="s">
        <v>817</v>
      </c>
      <c r="B549" s="36" t="s">
        <v>759</v>
      </c>
      <c r="C549" s="37">
        <v>44721.0</v>
      </c>
      <c r="D549" s="38">
        <v>43728.0</v>
      </c>
      <c r="E549" s="39" t="s">
        <v>476</v>
      </c>
    </row>
    <row r="550">
      <c r="A550" s="29" t="s">
        <v>817</v>
      </c>
      <c r="B550" s="30" t="s">
        <v>759</v>
      </c>
      <c r="C550" s="31">
        <v>44799.0</v>
      </c>
      <c r="D550" s="32">
        <v>108254.0</v>
      </c>
      <c r="E550" s="33" t="s">
        <v>476</v>
      </c>
    </row>
    <row r="551">
      <c r="A551" s="35" t="s">
        <v>817</v>
      </c>
      <c r="B551" s="36" t="s">
        <v>759</v>
      </c>
      <c r="C551" s="37">
        <v>44848.0</v>
      </c>
      <c r="D551" s="38">
        <v>53331.0</v>
      </c>
      <c r="E551" s="39" t="s">
        <v>476</v>
      </c>
    </row>
    <row r="552">
      <c r="A552" s="29" t="s">
        <v>817</v>
      </c>
      <c r="B552" s="30" t="s">
        <v>759</v>
      </c>
      <c r="C552" s="31">
        <v>44896.0</v>
      </c>
      <c r="D552" s="32">
        <v>156418.0</v>
      </c>
      <c r="E552" s="33" t="s">
        <v>476</v>
      </c>
    </row>
    <row r="553">
      <c r="A553" s="35" t="s">
        <v>817</v>
      </c>
      <c r="B553" s="36" t="s">
        <v>759</v>
      </c>
      <c r="C553" s="37">
        <v>44945.0</v>
      </c>
      <c r="D553" s="38">
        <v>172159.0</v>
      </c>
      <c r="E553" s="39" t="s">
        <v>476</v>
      </c>
    </row>
    <row r="554">
      <c r="A554" s="29" t="s">
        <v>817</v>
      </c>
      <c r="B554" s="30" t="s">
        <v>759</v>
      </c>
      <c r="C554" s="31">
        <v>44991.0</v>
      </c>
      <c r="D554" s="32">
        <v>196425.0</v>
      </c>
      <c r="E554" s="33" t="s">
        <v>476</v>
      </c>
    </row>
    <row r="555">
      <c r="A555" s="35" t="s">
        <v>817</v>
      </c>
      <c r="B555" s="36" t="s">
        <v>759</v>
      </c>
      <c r="C555" s="37">
        <v>45068.0</v>
      </c>
      <c r="D555" s="38">
        <v>43469.0</v>
      </c>
      <c r="E555" s="39" t="s">
        <v>476</v>
      </c>
    </row>
    <row r="556">
      <c r="A556" s="29" t="s">
        <v>817</v>
      </c>
      <c r="B556" s="30" t="s">
        <v>759</v>
      </c>
      <c r="C556" s="31">
        <v>45117.0</v>
      </c>
      <c r="D556" s="32">
        <v>31692.0</v>
      </c>
      <c r="E556" s="33" t="s">
        <v>476</v>
      </c>
    </row>
    <row r="557">
      <c r="A557" s="35" t="s">
        <v>817</v>
      </c>
      <c r="B557" s="36" t="s">
        <v>759</v>
      </c>
      <c r="C557" s="37">
        <v>45194.0</v>
      </c>
      <c r="D557" s="38">
        <v>92066.0</v>
      </c>
      <c r="E557" s="39" t="s">
        <v>476</v>
      </c>
    </row>
    <row r="558">
      <c r="A558" s="29" t="s">
        <v>817</v>
      </c>
      <c r="B558" s="30" t="s">
        <v>759</v>
      </c>
      <c r="C558" s="31">
        <v>45243.0</v>
      </c>
      <c r="D558" s="32">
        <v>121690.0</v>
      </c>
      <c r="E558" s="33" t="s">
        <v>476</v>
      </c>
    </row>
    <row r="559">
      <c r="A559" s="35" t="s">
        <v>817</v>
      </c>
      <c r="B559" s="36" t="s">
        <v>759</v>
      </c>
      <c r="C559" s="37">
        <v>45290.0</v>
      </c>
      <c r="D559" s="38">
        <v>87280.0</v>
      </c>
      <c r="E559" s="39" t="s">
        <v>476</v>
      </c>
    </row>
    <row r="560">
      <c r="A560" s="29" t="s">
        <v>817</v>
      </c>
      <c r="B560" s="30" t="s">
        <v>759</v>
      </c>
      <c r="C560" s="31">
        <v>45339.0</v>
      </c>
      <c r="D560" s="32">
        <v>85785.0</v>
      </c>
      <c r="E560" s="33" t="s">
        <v>476</v>
      </c>
    </row>
    <row r="561">
      <c r="A561" s="35" t="s">
        <v>817</v>
      </c>
      <c r="B561" s="36" t="s">
        <v>759</v>
      </c>
      <c r="C561" s="37">
        <v>45386.0</v>
      </c>
      <c r="D561" s="38">
        <v>149833.0</v>
      </c>
      <c r="E561" s="39" t="s">
        <v>476</v>
      </c>
    </row>
    <row r="562">
      <c r="A562" s="29" t="s">
        <v>817</v>
      </c>
      <c r="B562" s="30" t="s">
        <v>759</v>
      </c>
      <c r="C562" s="31">
        <v>45434.0</v>
      </c>
      <c r="D562" s="32">
        <v>86746.0</v>
      </c>
      <c r="E562" s="33" t="s">
        <v>476</v>
      </c>
    </row>
    <row r="563">
      <c r="A563" s="35" t="s">
        <v>817</v>
      </c>
      <c r="B563" s="36" t="s">
        <v>759</v>
      </c>
      <c r="C563" s="37">
        <v>45483.0</v>
      </c>
      <c r="D563" s="38">
        <v>66711.0</v>
      </c>
      <c r="E563" s="39" t="s">
        <v>476</v>
      </c>
    </row>
    <row r="564">
      <c r="A564" s="29" t="s">
        <v>817</v>
      </c>
      <c r="B564" s="30" t="s">
        <v>759</v>
      </c>
      <c r="C564" s="31">
        <v>45532.0</v>
      </c>
      <c r="D564" s="32">
        <v>40287.0</v>
      </c>
      <c r="E564" s="33" t="s">
        <v>476</v>
      </c>
    </row>
    <row r="565">
      <c r="A565" s="35" t="s">
        <v>818</v>
      </c>
      <c r="B565" s="36" t="s">
        <v>755</v>
      </c>
      <c r="C565" s="37">
        <v>43457.0</v>
      </c>
      <c r="D565" s="38">
        <v>72299.0</v>
      </c>
      <c r="E565" s="39" t="s">
        <v>483</v>
      </c>
    </row>
    <row r="566">
      <c r="A566" s="29" t="s">
        <v>818</v>
      </c>
      <c r="B566" s="30" t="s">
        <v>755</v>
      </c>
      <c r="C566" s="31">
        <v>43761.0</v>
      </c>
      <c r="D566" s="32">
        <v>63458.0</v>
      </c>
      <c r="E566" s="33" t="s">
        <v>483</v>
      </c>
    </row>
    <row r="567">
      <c r="A567" s="35" t="s">
        <v>818</v>
      </c>
      <c r="B567" s="36" t="s">
        <v>755</v>
      </c>
      <c r="C567" s="37">
        <v>44150.0</v>
      </c>
      <c r="D567" s="38">
        <v>173463.0</v>
      </c>
      <c r="E567" s="39" t="s">
        <v>483</v>
      </c>
    </row>
    <row r="568">
      <c r="A568" s="29" t="s">
        <v>818</v>
      </c>
      <c r="B568" s="30" t="s">
        <v>755</v>
      </c>
      <c r="C568" s="31">
        <v>44328.0</v>
      </c>
      <c r="D568" s="32">
        <v>42590.0</v>
      </c>
      <c r="E568" s="33" t="s">
        <v>483</v>
      </c>
    </row>
    <row r="569">
      <c r="A569" s="35" t="s">
        <v>818</v>
      </c>
      <c r="B569" s="36" t="s">
        <v>755</v>
      </c>
      <c r="C569" s="37">
        <v>44918.0</v>
      </c>
      <c r="D569" s="38">
        <v>58332.0</v>
      </c>
      <c r="E569" s="39" t="s">
        <v>483</v>
      </c>
    </row>
    <row r="570">
      <c r="A570" s="29" t="s">
        <v>818</v>
      </c>
      <c r="B570" s="30" t="s">
        <v>755</v>
      </c>
      <c r="C570" s="31">
        <v>45222.0</v>
      </c>
      <c r="D570" s="32">
        <v>185679.0</v>
      </c>
      <c r="E570" s="33" t="s">
        <v>483</v>
      </c>
    </row>
    <row r="571">
      <c r="A571" s="35" t="s">
        <v>818</v>
      </c>
      <c r="B571" s="36" t="s">
        <v>755</v>
      </c>
      <c r="C571" s="37">
        <v>45444.0</v>
      </c>
      <c r="D571" s="38">
        <v>43675.0</v>
      </c>
      <c r="E571" s="39" t="s">
        <v>483</v>
      </c>
    </row>
    <row r="572">
      <c r="A572" s="29" t="s">
        <v>819</v>
      </c>
      <c r="B572" s="30" t="s">
        <v>755</v>
      </c>
      <c r="C572" s="31">
        <v>43854.0</v>
      </c>
      <c r="D572" s="32">
        <v>387885.0</v>
      </c>
      <c r="E572" s="33" t="s">
        <v>490</v>
      </c>
    </row>
    <row r="573">
      <c r="A573" s="35" t="s">
        <v>819</v>
      </c>
      <c r="B573" s="36" t="s">
        <v>755</v>
      </c>
      <c r="C573" s="37">
        <v>43885.0</v>
      </c>
      <c r="D573" s="38">
        <v>540813.0</v>
      </c>
      <c r="E573" s="39" t="s">
        <v>490</v>
      </c>
    </row>
    <row r="574">
      <c r="A574" s="29" t="s">
        <v>819</v>
      </c>
      <c r="B574" s="30" t="s">
        <v>755</v>
      </c>
      <c r="C574" s="31">
        <v>43914.0</v>
      </c>
      <c r="D574" s="32">
        <v>274968.0</v>
      </c>
      <c r="E574" s="33" t="s">
        <v>490</v>
      </c>
    </row>
    <row r="575">
      <c r="A575" s="35" t="s">
        <v>819</v>
      </c>
      <c r="B575" s="36" t="s">
        <v>755</v>
      </c>
      <c r="C575" s="37">
        <v>43945.0</v>
      </c>
      <c r="D575" s="38">
        <v>276867.0</v>
      </c>
      <c r="E575" s="39" t="s">
        <v>490</v>
      </c>
    </row>
    <row r="576">
      <c r="A576" s="29" t="s">
        <v>819</v>
      </c>
      <c r="B576" s="30" t="s">
        <v>755</v>
      </c>
      <c r="C576" s="31">
        <v>43975.0</v>
      </c>
      <c r="D576" s="32">
        <v>460149.0</v>
      </c>
      <c r="E576" s="33" t="s">
        <v>490</v>
      </c>
    </row>
    <row r="577">
      <c r="A577" s="35" t="s">
        <v>819</v>
      </c>
      <c r="B577" s="36" t="s">
        <v>755</v>
      </c>
      <c r="C577" s="37">
        <v>44006.0</v>
      </c>
      <c r="D577" s="38">
        <v>247913.0</v>
      </c>
      <c r="E577" s="39" t="s">
        <v>490</v>
      </c>
    </row>
    <row r="578">
      <c r="A578" s="29" t="s">
        <v>819</v>
      </c>
      <c r="B578" s="30" t="s">
        <v>755</v>
      </c>
      <c r="C578" s="31">
        <v>44036.0</v>
      </c>
      <c r="D578" s="32">
        <v>565616.0</v>
      </c>
      <c r="E578" s="33" t="s">
        <v>490</v>
      </c>
    </row>
    <row r="579">
      <c r="A579" s="35" t="s">
        <v>819</v>
      </c>
      <c r="B579" s="36" t="s">
        <v>755</v>
      </c>
      <c r="C579" s="37">
        <v>44067.0</v>
      </c>
      <c r="D579" s="38">
        <v>219966.0</v>
      </c>
      <c r="E579" s="39" t="s">
        <v>490</v>
      </c>
    </row>
    <row r="580">
      <c r="A580" s="29" t="s">
        <v>819</v>
      </c>
      <c r="B580" s="30" t="s">
        <v>755</v>
      </c>
      <c r="C580" s="31">
        <v>44098.0</v>
      </c>
      <c r="D580" s="32">
        <v>264022.0</v>
      </c>
      <c r="E580" s="33" t="s">
        <v>490</v>
      </c>
    </row>
    <row r="581">
      <c r="A581" s="35" t="s">
        <v>819</v>
      </c>
      <c r="B581" s="36" t="s">
        <v>755</v>
      </c>
      <c r="C581" s="37">
        <v>44128.0</v>
      </c>
      <c r="D581" s="38">
        <v>354871.0</v>
      </c>
      <c r="E581" s="39" t="s">
        <v>490</v>
      </c>
    </row>
    <row r="582">
      <c r="A582" s="29" t="s">
        <v>819</v>
      </c>
      <c r="B582" s="30" t="s">
        <v>755</v>
      </c>
      <c r="C582" s="31">
        <v>44159.0</v>
      </c>
      <c r="D582" s="32">
        <v>244865.0</v>
      </c>
      <c r="E582" s="33" t="s">
        <v>490</v>
      </c>
    </row>
    <row r="583">
      <c r="A583" s="35" t="s">
        <v>819</v>
      </c>
      <c r="B583" s="36" t="s">
        <v>755</v>
      </c>
      <c r="C583" s="37">
        <v>44189.0</v>
      </c>
      <c r="D583" s="38">
        <v>325793.0</v>
      </c>
      <c r="E583" s="39" t="s">
        <v>490</v>
      </c>
    </row>
    <row r="584">
      <c r="A584" s="29" t="s">
        <v>819</v>
      </c>
      <c r="B584" s="30" t="s">
        <v>755</v>
      </c>
      <c r="C584" s="31">
        <v>44220.0</v>
      </c>
      <c r="D584" s="32">
        <v>399685.0</v>
      </c>
      <c r="E584" s="33" t="s">
        <v>490</v>
      </c>
    </row>
    <row r="585">
      <c r="A585" s="35" t="s">
        <v>819</v>
      </c>
      <c r="B585" s="36" t="s">
        <v>755</v>
      </c>
      <c r="C585" s="37">
        <v>44251.0</v>
      </c>
      <c r="D585" s="38">
        <v>486131.0</v>
      </c>
      <c r="E585" s="39" t="s">
        <v>490</v>
      </c>
    </row>
    <row r="586">
      <c r="A586" s="29" t="s">
        <v>819</v>
      </c>
      <c r="B586" s="30" t="s">
        <v>755</v>
      </c>
      <c r="C586" s="31">
        <v>44279.0</v>
      </c>
      <c r="D586" s="32">
        <v>455211.0</v>
      </c>
      <c r="E586" s="33" t="s">
        <v>490</v>
      </c>
    </row>
    <row r="587">
      <c r="A587" s="35" t="s">
        <v>819</v>
      </c>
      <c r="B587" s="36" t="s">
        <v>755</v>
      </c>
      <c r="C587" s="37">
        <v>44310.0</v>
      </c>
      <c r="D587" s="38">
        <v>334904.0</v>
      </c>
      <c r="E587" s="39" t="s">
        <v>490</v>
      </c>
    </row>
    <row r="588">
      <c r="A588" s="29" t="s">
        <v>819</v>
      </c>
      <c r="B588" s="30" t="s">
        <v>755</v>
      </c>
      <c r="C588" s="31">
        <v>44340.0</v>
      </c>
      <c r="D588" s="32">
        <v>268278.0</v>
      </c>
      <c r="E588" s="33" t="s">
        <v>490</v>
      </c>
    </row>
    <row r="589">
      <c r="A589" s="35" t="s">
        <v>819</v>
      </c>
      <c r="B589" s="36" t="s">
        <v>755</v>
      </c>
      <c r="C589" s="37">
        <v>44371.0</v>
      </c>
      <c r="D589" s="38">
        <v>486280.0</v>
      </c>
      <c r="E589" s="39" t="s">
        <v>490</v>
      </c>
    </row>
    <row r="590">
      <c r="A590" s="29" t="s">
        <v>819</v>
      </c>
      <c r="B590" s="30" t="s">
        <v>755</v>
      </c>
      <c r="C590" s="31">
        <v>44401.0</v>
      </c>
      <c r="D590" s="32">
        <v>335920.0</v>
      </c>
      <c r="E590" s="33" t="s">
        <v>490</v>
      </c>
    </row>
    <row r="591">
      <c r="A591" s="35" t="s">
        <v>819</v>
      </c>
      <c r="B591" s="36" t="s">
        <v>755</v>
      </c>
      <c r="C591" s="37">
        <v>44432.0</v>
      </c>
      <c r="D591" s="38">
        <v>581841.0</v>
      </c>
      <c r="E591" s="39" t="s">
        <v>490</v>
      </c>
    </row>
    <row r="592">
      <c r="A592" s="29" t="s">
        <v>819</v>
      </c>
      <c r="B592" s="30" t="s">
        <v>755</v>
      </c>
      <c r="C592" s="31">
        <v>44463.0</v>
      </c>
      <c r="D592" s="32">
        <v>294729.0</v>
      </c>
      <c r="E592" s="33" t="s">
        <v>490</v>
      </c>
    </row>
    <row r="593">
      <c r="A593" s="35" t="s">
        <v>819</v>
      </c>
      <c r="B593" s="36" t="s">
        <v>755</v>
      </c>
      <c r="C593" s="37">
        <v>44493.0</v>
      </c>
      <c r="D593" s="38">
        <v>545689.0</v>
      </c>
      <c r="E593" s="39" t="s">
        <v>490</v>
      </c>
    </row>
    <row r="594">
      <c r="A594" s="29" t="s">
        <v>819</v>
      </c>
      <c r="B594" s="30" t="s">
        <v>755</v>
      </c>
      <c r="C594" s="31">
        <v>44524.0</v>
      </c>
      <c r="D594" s="32">
        <v>347660.0</v>
      </c>
      <c r="E594" s="33" t="s">
        <v>490</v>
      </c>
    </row>
    <row r="595">
      <c r="A595" s="35" t="s">
        <v>819</v>
      </c>
      <c r="B595" s="36" t="s">
        <v>755</v>
      </c>
      <c r="C595" s="37">
        <v>44554.0</v>
      </c>
      <c r="D595" s="38">
        <v>416591.0</v>
      </c>
      <c r="E595" s="39" t="s">
        <v>490</v>
      </c>
    </row>
    <row r="596">
      <c r="A596" s="29" t="s">
        <v>819</v>
      </c>
      <c r="B596" s="30" t="s">
        <v>755</v>
      </c>
      <c r="C596" s="31">
        <v>44585.0</v>
      </c>
      <c r="D596" s="32">
        <v>572610.0</v>
      </c>
      <c r="E596" s="33" t="s">
        <v>490</v>
      </c>
    </row>
    <row r="597">
      <c r="A597" s="35" t="s">
        <v>819</v>
      </c>
      <c r="B597" s="36" t="s">
        <v>755</v>
      </c>
      <c r="C597" s="37">
        <v>44616.0</v>
      </c>
      <c r="D597" s="38">
        <v>317989.0</v>
      </c>
      <c r="E597" s="39" t="s">
        <v>490</v>
      </c>
    </row>
    <row r="598">
      <c r="A598" s="29" t="s">
        <v>819</v>
      </c>
      <c r="B598" s="30" t="s">
        <v>755</v>
      </c>
      <c r="C598" s="31">
        <v>44644.0</v>
      </c>
      <c r="D598" s="32">
        <v>477604.0</v>
      </c>
      <c r="E598" s="33" t="s">
        <v>490</v>
      </c>
    </row>
    <row r="599">
      <c r="A599" s="35" t="s">
        <v>819</v>
      </c>
      <c r="B599" s="36" t="s">
        <v>755</v>
      </c>
      <c r="C599" s="37">
        <v>44675.0</v>
      </c>
      <c r="D599" s="38">
        <v>484857.0</v>
      </c>
      <c r="E599" s="39" t="s">
        <v>490</v>
      </c>
    </row>
    <row r="600">
      <c r="A600" s="29" t="s">
        <v>819</v>
      </c>
      <c r="B600" s="30" t="s">
        <v>755</v>
      </c>
      <c r="C600" s="31">
        <v>44705.0</v>
      </c>
      <c r="D600" s="32">
        <v>299187.0</v>
      </c>
      <c r="E600" s="33" t="s">
        <v>490</v>
      </c>
    </row>
    <row r="601">
      <c r="A601" s="35" t="s">
        <v>819</v>
      </c>
      <c r="B601" s="36" t="s">
        <v>755</v>
      </c>
      <c r="C601" s="37">
        <v>44736.0</v>
      </c>
      <c r="D601" s="38">
        <v>361284.0</v>
      </c>
      <c r="E601" s="39" t="s">
        <v>490</v>
      </c>
    </row>
    <row r="602">
      <c r="A602" s="29" t="s">
        <v>819</v>
      </c>
      <c r="B602" s="30" t="s">
        <v>755</v>
      </c>
      <c r="C602" s="31">
        <v>44766.0</v>
      </c>
      <c r="D602" s="32">
        <v>375092.0</v>
      </c>
      <c r="E602" s="33" t="s">
        <v>490</v>
      </c>
    </row>
    <row r="603">
      <c r="A603" s="35" t="s">
        <v>819</v>
      </c>
      <c r="B603" s="36" t="s">
        <v>755</v>
      </c>
      <c r="C603" s="37">
        <v>44797.0</v>
      </c>
      <c r="D603" s="38">
        <v>378265.0</v>
      </c>
      <c r="E603" s="39" t="s">
        <v>490</v>
      </c>
    </row>
    <row r="604">
      <c r="A604" s="29" t="s">
        <v>819</v>
      </c>
      <c r="B604" s="30" t="s">
        <v>755</v>
      </c>
      <c r="C604" s="31">
        <v>44828.0</v>
      </c>
      <c r="D604" s="32">
        <v>398047.0</v>
      </c>
      <c r="E604" s="33" t="s">
        <v>490</v>
      </c>
    </row>
    <row r="605">
      <c r="A605" s="35" t="s">
        <v>819</v>
      </c>
      <c r="B605" s="36" t="s">
        <v>755</v>
      </c>
      <c r="C605" s="37">
        <v>44858.0</v>
      </c>
      <c r="D605" s="38">
        <v>529570.0</v>
      </c>
      <c r="E605" s="39" t="s">
        <v>490</v>
      </c>
    </row>
    <row r="606">
      <c r="A606" s="29" t="s">
        <v>819</v>
      </c>
      <c r="B606" s="30" t="s">
        <v>755</v>
      </c>
      <c r="C606" s="31">
        <v>44889.0</v>
      </c>
      <c r="D606" s="32">
        <v>572356.0</v>
      </c>
      <c r="E606" s="33" t="s">
        <v>490</v>
      </c>
    </row>
    <row r="607">
      <c r="A607" s="35" t="s">
        <v>819</v>
      </c>
      <c r="B607" s="36" t="s">
        <v>755</v>
      </c>
      <c r="C607" s="37">
        <v>44919.0</v>
      </c>
      <c r="D607" s="38">
        <v>280450.0</v>
      </c>
      <c r="E607" s="39" t="s">
        <v>490</v>
      </c>
    </row>
    <row r="608">
      <c r="A608" s="29" t="s">
        <v>819</v>
      </c>
      <c r="B608" s="30" t="s">
        <v>755</v>
      </c>
      <c r="C608" s="31">
        <v>44950.0</v>
      </c>
      <c r="D608" s="32">
        <v>233279.0</v>
      </c>
      <c r="E608" s="33" t="s">
        <v>490</v>
      </c>
    </row>
    <row r="609">
      <c r="A609" s="35" t="s">
        <v>820</v>
      </c>
      <c r="B609" s="36" t="s">
        <v>755</v>
      </c>
      <c r="C609" s="37">
        <v>44951.0</v>
      </c>
      <c r="D609" s="38">
        <v>329609.0</v>
      </c>
      <c r="E609" s="39" t="s">
        <v>20</v>
      </c>
    </row>
    <row r="610">
      <c r="A610" s="29" t="s">
        <v>820</v>
      </c>
      <c r="B610" s="30" t="s">
        <v>755</v>
      </c>
      <c r="C610" s="31">
        <v>44995.0</v>
      </c>
      <c r="D610" s="32">
        <v>280069.0</v>
      </c>
      <c r="E610" s="33" t="s">
        <v>20</v>
      </c>
    </row>
    <row r="611">
      <c r="A611" s="35" t="s">
        <v>820</v>
      </c>
      <c r="B611" s="36" t="s">
        <v>755</v>
      </c>
      <c r="C611" s="37">
        <v>45064.0</v>
      </c>
      <c r="D611" s="38">
        <v>258235.0</v>
      </c>
      <c r="E611" s="39" t="s">
        <v>20</v>
      </c>
    </row>
    <row r="612">
      <c r="A612" s="29" t="s">
        <v>820</v>
      </c>
      <c r="B612" s="30" t="s">
        <v>755</v>
      </c>
      <c r="C612" s="31">
        <v>45114.0</v>
      </c>
      <c r="D612" s="32">
        <v>371932.0</v>
      </c>
      <c r="E612" s="33" t="s">
        <v>20</v>
      </c>
    </row>
    <row r="613">
      <c r="A613" s="35" t="s">
        <v>820</v>
      </c>
      <c r="B613" s="36" t="s">
        <v>755</v>
      </c>
      <c r="C613" s="37">
        <v>45191.0</v>
      </c>
      <c r="D613" s="38">
        <v>488646.0</v>
      </c>
      <c r="E613" s="39" t="s">
        <v>20</v>
      </c>
    </row>
    <row r="614">
      <c r="A614" s="29" t="s">
        <v>820</v>
      </c>
      <c r="B614" s="30" t="s">
        <v>755</v>
      </c>
      <c r="C614" s="31">
        <v>45244.0</v>
      </c>
      <c r="D614" s="32">
        <v>243430.0</v>
      </c>
      <c r="E614" s="33" t="s">
        <v>20</v>
      </c>
    </row>
    <row r="615">
      <c r="A615" s="35" t="s">
        <v>820</v>
      </c>
      <c r="B615" s="36" t="s">
        <v>755</v>
      </c>
      <c r="C615" s="37">
        <v>45294.0</v>
      </c>
      <c r="D615" s="38">
        <v>435348.0</v>
      </c>
      <c r="E615" s="39" t="s">
        <v>20</v>
      </c>
    </row>
    <row r="616">
      <c r="A616" s="29" t="s">
        <v>820</v>
      </c>
      <c r="B616" s="30" t="s">
        <v>755</v>
      </c>
      <c r="C616" s="31">
        <v>45370.0</v>
      </c>
      <c r="D616" s="32">
        <v>540812.0</v>
      </c>
      <c r="E616" s="33" t="s">
        <v>20</v>
      </c>
    </row>
    <row r="617">
      <c r="A617" s="35" t="s">
        <v>820</v>
      </c>
      <c r="B617" s="36" t="s">
        <v>755</v>
      </c>
      <c r="C617" s="37">
        <v>45424.0</v>
      </c>
      <c r="D617" s="38">
        <v>515890.0</v>
      </c>
      <c r="E617" s="39" t="s">
        <v>20</v>
      </c>
    </row>
    <row r="618">
      <c r="A618" s="29" t="s">
        <v>820</v>
      </c>
      <c r="B618" s="30" t="s">
        <v>755</v>
      </c>
      <c r="C618" s="31">
        <v>45501.0</v>
      </c>
      <c r="D618" s="32">
        <v>593821.0</v>
      </c>
      <c r="E618" s="33" t="s">
        <v>20</v>
      </c>
    </row>
    <row r="619">
      <c r="A619" s="35" t="s">
        <v>821</v>
      </c>
      <c r="B619" s="36" t="s">
        <v>758</v>
      </c>
      <c r="C619" s="37">
        <v>43126.0</v>
      </c>
      <c r="D619" s="38">
        <v>243823.0</v>
      </c>
      <c r="E619" s="39" t="s">
        <v>503</v>
      </c>
    </row>
    <row r="620">
      <c r="A620" s="29" t="s">
        <v>821</v>
      </c>
      <c r="B620" s="30" t="s">
        <v>758</v>
      </c>
      <c r="C620" s="31">
        <v>43539.0</v>
      </c>
      <c r="D620" s="32">
        <v>272276.0</v>
      </c>
      <c r="E620" s="33" t="s">
        <v>503</v>
      </c>
    </row>
    <row r="621">
      <c r="A621" s="35" t="s">
        <v>821</v>
      </c>
      <c r="B621" s="36" t="s">
        <v>758</v>
      </c>
      <c r="C621" s="37">
        <v>43986.0</v>
      </c>
      <c r="D621" s="38">
        <v>205153.0</v>
      </c>
      <c r="E621" s="39" t="s">
        <v>503</v>
      </c>
    </row>
    <row r="622">
      <c r="A622" s="29" t="s">
        <v>821</v>
      </c>
      <c r="B622" s="30" t="s">
        <v>758</v>
      </c>
      <c r="C622" s="31">
        <v>44430.0</v>
      </c>
      <c r="D622" s="32">
        <v>218438.0</v>
      </c>
      <c r="E622" s="33" t="s">
        <v>503</v>
      </c>
    </row>
    <row r="623">
      <c r="A623" s="35" t="s">
        <v>821</v>
      </c>
      <c r="B623" s="36" t="s">
        <v>758</v>
      </c>
      <c r="C623" s="37">
        <v>44876.0</v>
      </c>
      <c r="D623" s="38">
        <v>135999.0</v>
      </c>
      <c r="E623" s="39" t="s">
        <v>503</v>
      </c>
    </row>
    <row r="624">
      <c r="A624" s="29" t="s">
        <v>821</v>
      </c>
      <c r="B624" s="30" t="s">
        <v>758</v>
      </c>
      <c r="C624" s="31">
        <v>45290.0</v>
      </c>
      <c r="D624" s="32">
        <v>190938.0</v>
      </c>
      <c r="E624" s="33" t="s">
        <v>503</v>
      </c>
    </row>
    <row r="625">
      <c r="A625" s="35" t="s">
        <v>822</v>
      </c>
      <c r="B625" s="36" t="s">
        <v>755</v>
      </c>
      <c r="C625" s="37">
        <v>43103.0</v>
      </c>
      <c r="D625" s="38">
        <v>66227.0</v>
      </c>
      <c r="E625" s="39" t="s">
        <v>511</v>
      </c>
    </row>
    <row r="626">
      <c r="A626" s="29" t="s">
        <v>822</v>
      </c>
      <c r="B626" s="30" t="s">
        <v>755</v>
      </c>
      <c r="C626" s="31">
        <v>43296.0</v>
      </c>
      <c r="D626" s="32">
        <v>55300.0</v>
      </c>
      <c r="E626" s="33" t="s">
        <v>511</v>
      </c>
    </row>
    <row r="627">
      <c r="A627" s="35" t="s">
        <v>822</v>
      </c>
      <c r="B627" s="36" t="s">
        <v>755</v>
      </c>
      <c r="C627" s="37">
        <v>43473.0</v>
      </c>
      <c r="D627" s="38">
        <v>84760.0</v>
      </c>
      <c r="E627" s="39" t="s">
        <v>511</v>
      </c>
    </row>
    <row r="628">
      <c r="A628" s="29" t="s">
        <v>822</v>
      </c>
      <c r="B628" s="30" t="s">
        <v>755</v>
      </c>
      <c r="C628" s="31">
        <v>43669.0</v>
      </c>
      <c r="D628" s="32">
        <v>16137.0</v>
      </c>
      <c r="E628" s="33" t="s">
        <v>511</v>
      </c>
    </row>
    <row r="629">
      <c r="A629" s="35" t="s">
        <v>822</v>
      </c>
      <c r="B629" s="36" t="s">
        <v>755</v>
      </c>
      <c r="C629" s="37">
        <v>43842.0</v>
      </c>
      <c r="D629" s="38">
        <v>18448.0</v>
      </c>
      <c r="E629" s="39" t="s">
        <v>511</v>
      </c>
    </row>
    <row r="630">
      <c r="A630" s="29" t="s">
        <v>822</v>
      </c>
      <c r="B630" s="30" t="s">
        <v>755</v>
      </c>
      <c r="C630" s="31">
        <v>44017.0</v>
      </c>
      <c r="D630" s="32">
        <v>75788.0</v>
      </c>
      <c r="E630" s="33" t="s">
        <v>511</v>
      </c>
    </row>
    <row r="631">
      <c r="A631" s="35" t="s">
        <v>822</v>
      </c>
      <c r="B631" s="36" t="s">
        <v>755</v>
      </c>
      <c r="C631" s="37">
        <v>44214.0</v>
      </c>
      <c r="D631" s="38">
        <v>24378.0</v>
      </c>
      <c r="E631" s="39" t="s">
        <v>511</v>
      </c>
    </row>
    <row r="632">
      <c r="A632" s="29" t="s">
        <v>822</v>
      </c>
      <c r="B632" s="30" t="s">
        <v>755</v>
      </c>
      <c r="C632" s="31">
        <v>44404.0</v>
      </c>
      <c r="D632" s="32">
        <v>61986.0</v>
      </c>
      <c r="E632" s="33" t="s">
        <v>511</v>
      </c>
    </row>
    <row r="633">
      <c r="A633" s="35" t="s">
        <v>822</v>
      </c>
      <c r="B633" s="36" t="s">
        <v>755</v>
      </c>
      <c r="C633" s="37">
        <v>44583.0</v>
      </c>
      <c r="D633" s="38">
        <v>82997.0</v>
      </c>
      <c r="E633" s="39" t="s">
        <v>511</v>
      </c>
    </row>
    <row r="634">
      <c r="A634" s="29" t="s">
        <v>822</v>
      </c>
      <c r="B634" s="30" t="s">
        <v>755</v>
      </c>
      <c r="C634" s="31">
        <v>44756.0</v>
      </c>
      <c r="D634" s="32">
        <v>30913.0</v>
      </c>
      <c r="E634" s="33" t="s">
        <v>511</v>
      </c>
    </row>
    <row r="635">
      <c r="A635" s="35" t="s">
        <v>822</v>
      </c>
      <c r="B635" s="36" t="s">
        <v>755</v>
      </c>
      <c r="C635" s="37">
        <v>44933.0</v>
      </c>
      <c r="D635" s="38">
        <v>92208.0</v>
      </c>
      <c r="E635" s="39" t="s">
        <v>511</v>
      </c>
    </row>
    <row r="636">
      <c r="A636" s="29" t="s">
        <v>822</v>
      </c>
      <c r="B636" s="30" t="s">
        <v>755</v>
      </c>
      <c r="C636" s="31">
        <v>45126.0</v>
      </c>
      <c r="D636" s="32">
        <v>93637.0</v>
      </c>
      <c r="E636" s="33" t="s">
        <v>511</v>
      </c>
    </row>
    <row r="637">
      <c r="A637" s="35" t="s">
        <v>822</v>
      </c>
      <c r="B637" s="36" t="s">
        <v>755</v>
      </c>
      <c r="C637" s="37">
        <v>45293.0</v>
      </c>
      <c r="D637" s="38">
        <v>16927.0</v>
      </c>
      <c r="E637" s="39" t="s">
        <v>511</v>
      </c>
    </row>
    <row r="638">
      <c r="A638" s="29" t="s">
        <v>823</v>
      </c>
      <c r="B638" s="30" t="s">
        <v>759</v>
      </c>
      <c r="C638" s="31">
        <v>44198.0</v>
      </c>
      <c r="D638" s="32">
        <v>1121873.0</v>
      </c>
      <c r="E638" s="33" t="s">
        <v>419</v>
      </c>
    </row>
    <row r="639">
      <c r="A639" s="35" t="s">
        <v>823</v>
      </c>
      <c r="B639" s="36" t="s">
        <v>759</v>
      </c>
      <c r="C639" s="37">
        <v>44242.0</v>
      </c>
      <c r="D639" s="38">
        <v>220940.0</v>
      </c>
      <c r="E639" s="39" t="s">
        <v>419</v>
      </c>
    </row>
    <row r="640">
      <c r="A640" s="29" t="s">
        <v>823</v>
      </c>
      <c r="B640" s="30" t="s">
        <v>759</v>
      </c>
      <c r="C640" s="31">
        <v>44262.0</v>
      </c>
      <c r="D640" s="32">
        <v>570809.0</v>
      </c>
      <c r="E640" s="33" t="s">
        <v>419</v>
      </c>
    </row>
    <row r="641">
      <c r="A641" s="35" t="s">
        <v>823</v>
      </c>
      <c r="B641" s="36" t="s">
        <v>759</v>
      </c>
      <c r="C641" s="37">
        <v>44308.0</v>
      </c>
      <c r="D641" s="38">
        <v>408684.0</v>
      </c>
      <c r="E641" s="39" t="s">
        <v>419</v>
      </c>
    </row>
    <row r="642">
      <c r="A642" s="29" t="s">
        <v>823</v>
      </c>
      <c r="B642" s="30" t="s">
        <v>759</v>
      </c>
      <c r="C642" s="31">
        <v>44326.0</v>
      </c>
      <c r="D642" s="32">
        <v>451106.0</v>
      </c>
      <c r="E642" s="33" t="s">
        <v>419</v>
      </c>
    </row>
    <row r="643">
      <c r="A643" s="35" t="s">
        <v>823</v>
      </c>
      <c r="B643" s="36" t="s">
        <v>759</v>
      </c>
      <c r="C643" s="37">
        <v>44375.0</v>
      </c>
      <c r="D643" s="38">
        <v>442684.0</v>
      </c>
      <c r="E643" s="39" t="s">
        <v>419</v>
      </c>
    </row>
    <row r="644">
      <c r="A644" s="29" t="s">
        <v>823</v>
      </c>
      <c r="B644" s="30" t="s">
        <v>759</v>
      </c>
      <c r="C644" s="31">
        <v>44382.0</v>
      </c>
      <c r="D644" s="32">
        <v>404537.0</v>
      </c>
      <c r="E644" s="33" t="s">
        <v>419</v>
      </c>
    </row>
    <row r="645">
      <c r="A645" s="35" t="s">
        <v>823</v>
      </c>
      <c r="B645" s="36" t="s">
        <v>759</v>
      </c>
      <c r="C645" s="37">
        <v>44427.0</v>
      </c>
      <c r="D645" s="38">
        <v>374870.0</v>
      </c>
      <c r="E645" s="39" t="s">
        <v>419</v>
      </c>
    </row>
    <row r="646">
      <c r="A646" s="29" t="s">
        <v>823</v>
      </c>
      <c r="B646" s="30" t="s">
        <v>759</v>
      </c>
      <c r="C646" s="31">
        <v>44451.0</v>
      </c>
      <c r="D646" s="32">
        <v>496721.0</v>
      </c>
      <c r="E646" s="33" t="s">
        <v>419</v>
      </c>
    </row>
    <row r="647">
      <c r="A647" s="35" t="s">
        <v>823</v>
      </c>
      <c r="B647" s="36" t="s">
        <v>759</v>
      </c>
      <c r="C647" s="37">
        <v>44495.0</v>
      </c>
      <c r="D647" s="38">
        <v>455378.0</v>
      </c>
      <c r="E647" s="39" t="s">
        <v>419</v>
      </c>
    </row>
    <row r="648">
      <c r="A648" s="29" t="s">
        <v>823</v>
      </c>
      <c r="B648" s="30" t="s">
        <v>759</v>
      </c>
      <c r="C648" s="31">
        <v>44503.0</v>
      </c>
      <c r="D648" s="32">
        <v>329454.0</v>
      </c>
      <c r="E648" s="33" t="s">
        <v>419</v>
      </c>
    </row>
    <row r="649">
      <c r="A649" s="35" t="s">
        <v>823</v>
      </c>
      <c r="B649" s="36" t="s">
        <v>759</v>
      </c>
      <c r="C649" s="37">
        <v>44551.0</v>
      </c>
      <c r="D649" s="38">
        <v>492165.0</v>
      </c>
      <c r="E649" s="39" t="s">
        <v>419</v>
      </c>
    </row>
    <row r="650">
      <c r="A650" s="29" t="s">
        <v>824</v>
      </c>
      <c r="B650" s="30" t="s">
        <v>759</v>
      </c>
      <c r="C650" s="31">
        <v>45323.0</v>
      </c>
      <c r="D650" s="32">
        <v>221969.0</v>
      </c>
      <c r="E650" s="33" t="s">
        <v>526</v>
      </c>
    </row>
    <row r="651">
      <c r="A651" s="35" t="s">
        <v>824</v>
      </c>
      <c r="B651" s="36" t="s">
        <v>759</v>
      </c>
      <c r="C651" s="37">
        <v>45365.0</v>
      </c>
      <c r="D651" s="38">
        <v>293230.0</v>
      </c>
      <c r="E651" s="39" t="s">
        <v>526</v>
      </c>
    </row>
    <row r="652">
      <c r="A652" s="29" t="s">
        <v>824</v>
      </c>
      <c r="B652" s="30" t="s">
        <v>759</v>
      </c>
      <c r="C652" s="31">
        <v>45391.0</v>
      </c>
      <c r="D652" s="32">
        <v>568883.0</v>
      </c>
      <c r="E652" s="33" t="s">
        <v>526</v>
      </c>
    </row>
    <row r="653">
      <c r="A653" s="35" t="s">
        <v>824</v>
      </c>
      <c r="B653" s="36" t="s">
        <v>759</v>
      </c>
      <c r="C653" s="37">
        <v>45434.0</v>
      </c>
      <c r="D653" s="38">
        <v>470187.0</v>
      </c>
      <c r="E653" s="39" t="s">
        <v>526</v>
      </c>
    </row>
    <row r="654">
      <c r="A654" s="29" t="s">
        <v>824</v>
      </c>
      <c r="B654" s="30" t="s">
        <v>759</v>
      </c>
      <c r="C654" s="31">
        <v>45450.0</v>
      </c>
      <c r="D654" s="32">
        <v>347778.0</v>
      </c>
      <c r="E654" s="33" t="s">
        <v>526</v>
      </c>
    </row>
    <row r="655">
      <c r="A655" s="35" t="s">
        <v>824</v>
      </c>
      <c r="B655" s="36" t="s">
        <v>759</v>
      </c>
      <c r="C655" s="37">
        <v>45491.0</v>
      </c>
      <c r="D655" s="38">
        <v>295364.0</v>
      </c>
      <c r="E655" s="39" t="s">
        <v>526</v>
      </c>
    </row>
    <row r="656">
      <c r="A656" s="29" t="s">
        <v>824</v>
      </c>
      <c r="B656" s="30" t="s">
        <v>759</v>
      </c>
      <c r="C656" s="31">
        <v>45507.0</v>
      </c>
      <c r="D656" s="32">
        <v>250149.0</v>
      </c>
      <c r="E656" s="33" t="s">
        <v>526</v>
      </c>
    </row>
    <row r="657">
      <c r="A657" s="35" t="s">
        <v>824</v>
      </c>
      <c r="B657" s="36" t="s">
        <v>759</v>
      </c>
      <c r="C657" s="37">
        <v>45536.0</v>
      </c>
      <c r="D657" s="38">
        <v>473575.0</v>
      </c>
      <c r="E657" s="39" t="s">
        <v>526</v>
      </c>
    </row>
    <row r="658">
      <c r="A658" s="29" t="s">
        <v>825</v>
      </c>
      <c r="B658" s="30" t="s">
        <v>755</v>
      </c>
      <c r="C658" s="31">
        <v>45324.0</v>
      </c>
      <c r="D658" s="32">
        <v>35115.0</v>
      </c>
      <c r="E658" s="33" t="s">
        <v>532</v>
      </c>
    </row>
    <row r="659">
      <c r="A659" s="35" t="s">
        <v>825</v>
      </c>
      <c r="B659" s="36" t="s">
        <v>755</v>
      </c>
      <c r="C659" s="37">
        <v>45369.0</v>
      </c>
      <c r="D659" s="38">
        <v>43290.0</v>
      </c>
      <c r="E659" s="39" t="s">
        <v>532</v>
      </c>
    </row>
    <row r="660">
      <c r="A660" s="29" t="s">
        <v>825</v>
      </c>
      <c r="B660" s="30" t="s">
        <v>755</v>
      </c>
      <c r="C660" s="31">
        <v>45389.0</v>
      </c>
      <c r="D660" s="32">
        <v>60901.0</v>
      </c>
      <c r="E660" s="33" t="s">
        <v>532</v>
      </c>
    </row>
    <row r="661">
      <c r="A661" s="35" t="s">
        <v>825</v>
      </c>
      <c r="B661" s="36" t="s">
        <v>755</v>
      </c>
      <c r="C661" s="37">
        <v>45436.0</v>
      </c>
      <c r="D661" s="38">
        <v>92342.0</v>
      </c>
      <c r="E661" s="39" t="s">
        <v>532</v>
      </c>
    </row>
    <row r="662">
      <c r="A662" s="29" t="s">
        <v>825</v>
      </c>
      <c r="B662" s="30" t="s">
        <v>755</v>
      </c>
      <c r="C662" s="31">
        <v>45453.0</v>
      </c>
      <c r="D662" s="32">
        <v>17892.0</v>
      </c>
      <c r="E662" s="33" t="s">
        <v>532</v>
      </c>
    </row>
    <row r="663">
      <c r="A663" s="35" t="s">
        <v>825</v>
      </c>
      <c r="B663" s="36" t="s">
        <v>755</v>
      </c>
      <c r="C663" s="37">
        <v>45501.0</v>
      </c>
      <c r="D663" s="38">
        <v>63032.0</v>
      </c>
      <c r="E663" s="39" t="s">
        <v>532</v>
      </c>
    </row>
    <row r="664">
      <c r="A664" s="29" t="s">
        <v>825</v>
      </c>
      <c r="B664" s="30" t="s">
        <v>755</v>
      </c>
      <c r="C664" s="31">
        <v>45519.0</v>
      </c>
      <c r="D664" s="32">
        <v>29556.0</v>
      </c>
      <c r="E664" s="33" t="s">
        <v>532</v>
      </c>
    </row>
    <row r="665">
      <c r="A665" s="35" t="s">
        <v>825</v>
      </c>
      <c r="B665" s="36" t="s">
        <v>755</v>
      </c>
      <c r="C665" s="37">
        <v>45540.0</v>
      </c>
      <c r="D665" s="38">
        <v>42628.0</v>
      </c>
      <c r="E665" s="39" t="s">
        <v>532</v>
      </c>
    </row>
    <row r="666">
      <c r="A666" s="29" t="s">
        <v>826</v>
      </c>
      <c r="B666" s="30" t="s">
        <v>755</v>
      </c>
      <c r="C666" s="31">
        <v>45325.0</v>
      </c>
      <c r="D666" s="32">
        <v>64959.0</v>
      </c>
      <c r="E666" s="33" t="s">
        <v>538</v>
      </c>
    </row>
    <row r="667">
      <c r="A667" s="35" t="s">
        <v>826</v>
      </c>
      <c r="B667" s="36" t="s">
        <v>755</v>
      </c>
      <c r="C667" s="37">
        <v>45368.0</v>
      </c>
      <c r="D667" s="38">
        <v>45976.0</v>
      </c>
      <c r="E667" s="39" t="s">
        <v>538</v>
      </c>
    </row>
    <row r="668">
      <c r="A668" s="29" t="s">
        <v>826</v>
      </c>
      <c r="B668" s="30" t="s">
        <v>755</v>
      </c>
      <c r="C668" s="31">
        <v>45390.0</v>
      </c>
      <c r="D668" s="32">
        <v>173308.0</v>
      </c>
      <c r="E668" s="33" t="s">
        <v>538</v>
      </c>
    </row>
    <row r="669">
      <c r="A669" s="35" t="s">
        <v>826</v>
      </c>
      <c r="B669" s="36" t="s">
        <v>755</v>
      </c>
      <c r="C669" s="37">
        <v>45435.0</v>
      </c>
      <c r="D669" s="38">
        <v>225900.0</v>
      </c>
      <c r="E669" s="39" t="s">
        <v>538</v>
      </c>
    </row>
    <row r="670">
      <c r="A670" s="29" t="s">
        <v>826</v>
      </c>
      <c r="B670" s="30" t="s">
        <v>755</v>
      </c>
      <c r="C670" s="31">
        <v>45455.0</v>
      </c>
      <c r="D670" s="32">
        <v>244932.0</v>
      </c>
      <c r="E670" s="33" t="s">
        <v>538</v>
      </c>
    </row>
    <row r="671">
      <c r="A671" s="35" t="s">
        <v>826</v>
      </c>
      <c r="B671" s="36" t="s">
        <v>755</v>
      </c>
      <c r="C671" s="37">
        <v>45503.0</v>
      </c>
      <c r="D671" s="38">
        <v>506437.0</v>
      </c>
      <c r="E671" s="39" t="s">
        <v>538</v>
      </c>
    </row>
    <row r="672">
      <c r="A672" s="29" t="s">
        <v>826</v>
      </c>
      <c r="B672" s="30" t="s">
        <v>755</v>
      </c>
      <c r="C672" s="31">
        <v>45519.0</v>
      </c>
      <c r="D672" s="32">
        <v>234530.0</v>
      </c>
      <c r="E672" s="33" t="s">
        <v>538</v>
      </c>
    </row>
    <row r="673">
      <c r="A673" s="35" t="s">
        <v>826</v>
      </c>
      <c r="B673" s="36" t="s">
        <v>755</v>
      </c>
      <c r="C673" s="37">
        <v>45540.0</v>
      </c>
      <c r="D673" s="38">
        <v>531085.0</v>
      </c>
      <c r="E673" s="39" t="s">
        <v>538</v>
      </c>
    </row>
    <row r="674">
      <c r="A674" s="29" t="s">
        <v>827</v>
      </c>
      <c r="B674" s="30" t="s">
        <v>759</v>
      </c>
      <c r="C674" s="31">
        <v>45295.0</v>
      </c>
      <c r="D674" s="32">
        <v>487746.0</v>
      </c>
      <c r="E674" s="33" t="s">
        <v>545</v>
      </c>
    </row>
    <row r="675">
      <c r="A675" s="35" t="s">
        <v>827</v>
      </c>
      <c r="B675" s="36" t="s">
        <v>759</v>
      </c>
      <c r="C675" s="37">
        <v>45340.0</v>
      </c>
      <c r="D675" s="38">
        <v>459222.0</v>
      </c>
      <c r="E675" s="39" t="s">
        <v>545</v>
      </c>
    </row>
    <row r="676">
      <c r="A676" s="29" t="s">
        <v>827</v>
      </c>
      <c r="B676" s="30" t="s">
        <v>759</v>
      </c>
      <c r="C676" s="31">
        <v>45358.0</v>
      </c>
      <c r="D676" s="32">
        <v>232185.0</v>
      </c>
      <c r="E676" s="33" t="s">
        <v>545</v>
      </c>
    </row>
    <row r="677">
      <c r="A677" s="35" t="s">
        <v>827</v>
      </c>
      <c r="B677" s="36" t="s">
        <v>759</v>
      </c>
      <c r="C677" s="37">
        <v>45404.0</v>
      </c>
      <c r="D677" s="38">
        <v>351798.0</v>
      </c>
      <c r="E677" s="39" t="s">
        <v>545</v>
      </c>
    </row>
    <row r="678">
      <c r="A678" s="29" t="s">
        <v>827</v>
      </c>
      <c r="B678" s="30" t="s">
        <v>759</v>
      </c>
      <c r="C678" s="31">
        <v>45422.0</v>
      </c>
      <c r="D678" s="32">
        <v>546208.0</v>
      </c>
      <c r="E678" s="33" t="s">
        <v>545</v>
      </c>
    </row>
    <row r="679">
      <c r="A679" s="35" t="s">
        <v>827</v>
      </c>
      <c r="B679" s="36" t="s">
        <v>759</v>
      </c>
      <c r="C679" s="37">
        <v>45469.0</v>
      </c>
      <c r="D679" s="38">
        <v>584457.0</v>
      </c>
      <c r="E679" s="39" t="s">
        <v>545</v>
      </c>
    </row>
    <row r="680">
      <c r="A680" s="29" t="s">
        <v>827</v>
      </c>
      <c r="B680" s="30" t="s">
        <v>759</v>
      </c>
      <c r="C680" s="31">
        <v>45488.0</v>
      </c>
      <c r="D680" s="32">
        <v>420123.0</v>
      </c>
      <c r="E680" s="33" t="s">
        <v>545</v>
      </c>
    </row>
    <row r="681">
      <c r="A681" s="35" t="s">
        <v>827</v>
      </c>
      <c r="B681" s="36" t="s">
        <v>759</v>
      </c>
      <c r="C681" s="37">
        <v>45509.0</v>
      </c>
      <c r="D681" s="38">
        <v>268596.0</v>
      </c>
      <c r="E681" s="39" t="s">
        <v>545</v>
      </c>
    </row>
    <row r="682">
      <c r="A682" s="29" t="s">
        <v>828</v>
      </c>
      <c r="B682" s="30" t="s">
        <v>759</v>
      </c>
      <c r="C682" s="31">
        <v>45327.0</v>
      </c>
      <c r="D682" s="32">
        <v>90795.0</v>
      </c>
      <c r="E682" s="33" t="s">
        <v>551</v>
      </c>
    </row>
    <row r="683">
      <c r="A683" s="35" t="s">
        <v>828</v>
      </c>
      <c r="B683" s="36" t="s">
        <v>759</v>
      </c>
      <c r="C683" s="37">
        <v>45371.0</v>
      </c>
      <c r="D683" s="38">
        <v>75887.0</v>
      </c>
      <c r="E683" s="39" t="s">
        <v>551</v>
      </c>
    </row>
    <row r="684">
      <c r="A684" s="29" t="s">
        <v>828</v>
      </c>
      <c r="B684" s="30" t="s">
        <v>759</v>
      </c>
      <c r="C684" s="31">
        <v>45390.0</v>
      </c>
      <c r="D684" s="32">
        <v>97534.0</v>
      </c>
      <c r="E684" s="33" t="s">
        <v>551</v>
      </c>
    </row>
    <row r="685">
      <c r="A685" s="35" t="s">
        <v>828</v>
      </c>
      <c r="B685" s="36" t="s">
        <v>759</v>
      </c>
      <c r="C685" s="37">
        <v>45437.0</v>
      </c>
      <c r="D685" s="38">
        <v>117968.0</v>
      </c>
      <c r="E685" s="39" t="s">
        <v>551</v>
      </c>
    </row>
    <row r="686">
      <c r="A686" s="29" t="s">
        <v>828</v>
      </c>
      <c r="B686" s="30" t="s">
        <v>759</v>
      </c>
      <c r="C686" s="31">
        <v>45455.0</v>
      </c>
      <c r="D686" s="32">
        <v>359060.0</v>
      </c>
      <c r="E686" s="33" t="s">
        <v>551</v>
      </c>
    </row>
    <row r="687">
      <c r="A687" s="35" t="s">
        <v>828</v>
      </c>
      <c r="B687" s="36" t="s">
        <v>759</v>
      </c>
      <c r="C687" s="37">
        <v>45503.0</v>
      </c>
      <c r="D687" s="38">
        <v>523200.0</v>
      </c>
      <c r="E687" s="39" t="s">
        <v>551</v>
      </c>
    </row>
    <row r="688">
      <c r="A688" s="29" t="s">
        <v>828</v>
      </c>
      <c r="B688" s="30" t="s">
        <v>759</v>
      </c>
      <c r="C688" s="31">
        <v>45519.0</v>
      </c>
      <c r="D688" s="32">
        <v>329953.0</v>
      </c>
      <c r="E688" s="33" t="s">
        <v>551</v>
      </c>
    </row>
    <row r="689">
      <c r="A689" s="35" t="s">
        <v>828</v>
      </c>
      <c r="B689" s="36" t="s">
        <v>759</v>
      </c>
      <c r="C689" s="37">
        <v>45540.0</v>
      </c>
      <c r="D689" s="38">
        <v>471594.0</v>
      </c>
      <c r="E689" s="39" t="s">
        <v>551</v>
      </c>
    </row>
    <row r="690">
      <c r="A690" s="29" t="s">
        <v>829</v>
      </c>
      <c r="B690" s="30" t="s">
        <v>755</v>
      </c>
      <c r="C690" s="31">
        <v>44927.0</v>
      </c>
      <c r="D690" s="32">
        <v>298586.0</v>
      </c>
      <c r="E690" s="33" t="s">
        <v>556</v>
      </c>
    </row>
    <row r="691">
      <c r="A691" s="35" t="s">
        <v>829</v>
      </c>
      <c r="B691" s="36" t="s">
        <v>755</v>
      </c>
      <c r="C691" s="37">
        <v>44969.0</v>
      </c>
      <c r="D691" s="38">
        <v>484258.0</v>
      </c>
      <c r="E691" s="39" t="s">
        <v>556</v>
      </c>
    </row>
    <row r="692">
      <c r="A692" s="29" t="s">
        <v>829</v>
      </c>
      <c r="B692" s="30" t="s">
        <v>755</v>
      </c>
      <c r="C692" s="31">
        <v>44992.0</v>
      </c>
      <c r="D692" s="32">
        <v>445529.0</v>
      </c>
      <c r="E692" s="33" t="s">
        <v>556</v>
      </c>
    </row>
    <row r="693">
      <c r="A693" s="35" t="s">
        <v>829</v>
      </c>
      <c r="B693" s="36" t="s">
        <v>755</v>
      </c>
      <c r="C693" s="37">
        <v>45037.0</v>
      </c>
      <c r="D693" s="38">
        <v>541508.0</v>
      </c>
      <c r="E693" s="39" t="s">
        <v>556</v>
      </c>
    </row>
    <row r="694">
      <c r="A694" s="29" t="s">
        <v>829</v>
      </c>
      <c r="B694" s="30" t="s">
        <v>755</v>
      </c>
      <c r="C694" s="31">
        <v>45056.0</v>
      </c>
      <c r="D694" s="32">
        <v>440936.0</v>
      </c>
      <c r="E694" s="33" t="s">
        <v>556</v>
      </c>
    </row>
    <row r="695">
      <c r="A695" s="35" t="s">
        <v>829</v>
      </c>
      <c r="B695" s="36" t="s">
        <v>755</v>
      </c>
      <c r="C695" s="37">
        <v>45105.0</v>
      </c>
      <c r="D695" s="38">
        <v>312491.0</v>
      </c>
      <c r="E695" s="39" t="s">
        <v>556</v>
      </c>
    </row>
    <row r="696">
      <c r="A696" s="29" t="s">
        <v>829</v>
      </c>
      <c r="B696" s="30" t="s">
        <v>755</v>
      </c>
      <c r="C696" s="31">
        <v>45122.0</v>
      </c>
      <c r="D696" s="32">
        <v>269664.0</v>
      </c>
      <c r="E696" s="33" t="s">
        <v>556</v>
      </c>
    </row>
    <row r="697">
      <c r="A697" s="35" t="s">
        <v>829</v>
      </c>
      <c r="B697" s="36" t="s">
        <v>755</v>
      </c>
      <c r="C697" s="37">
        <v>45147.0</v>
      </c>
      <c r="D697" s="38">
        <v>447841.0</v>
      </c>
      <c r="E697" s="39" t="s">
        <v>556</v>
      </c>
    </row>
    <row r="698">
      <c r="A698" s="29" t="s">
        <v>829</v>
      </c>
      <c r="B698" s="30" t="s">
        <v>755</v>
      </c>
      <c r="C698" s="31">
        <v>45171.0</v>
      </c>
      <c r="D698" s="32">
        <v>500982.0</v>
      </c>
      <c r="E698" s="33" t="s">
        <v>556</v>
      </c>
    </row>
    <row r="699">
      <c r="A699" s="35" t="s">
        <v>830</v>
      </c>
      <c r="B699" s="36" t="s">
        <v>759</v>
      </c>
      <c r="C699" s="37">
        <v>44928.0</v>
      </c>
      <c r="D699" s="38">
        <v>86419.0</v>
      </c>
      <c r="E699" s="39" t="s">
        <v>562</v>
      </c>
    </row>
    <row r="700">
      <c r="A700" s="29" t="s">
        <v>830</v>
      </c>
      <c r="B700" s="30" t="s">
        <v>759</v>
      </c>
      <c r="C700" s="31">
        <v>44973.0</v>
      </c>
      <c r="D700" s="32">
        <v>18374.0</v>
      </c>
      <c r="E700" s="33" t="s">
        <v>562</v>
      </c>
    </row>
    <row r="701">
      <c r="A701" s="35" t="s">
        <v>830</v>
      </c>
      <c r="B701" s="36" t="s">
        <v>759</v>
      </c>
      <c r="C701" s="37">
        <v>44993.0</v>
      </c>
      <c r="D701" s="38">
        <v>51045.0</v>
      </c>
      <c r="E701" s="39" t="s">
        <v>562</v>
      </c>
    </row>
    <row r="702">
      <c r="A702" s="29" t="s">
        <v>830</v>
      </c>
      <c r="B702" s="30" t="s">
        <v>759</v>
      </c>
      <c r="C702" s="31">
        <v>45038.0</v>
      </c>
      <c r="D702" s="32">
        <v>76343.0</v>
      </c>
      <c r="E702" s="33" t="s">
        <v>562</v>
      </c>
    </row>
    <row r="703">
      <c r="A703" s="35" t="s">
        <v>830</v>
      </c>
      <c r="B703" s="36" t="s">
        <v>759</v>
      </c>
      <c r="C703" s="37">
        <v>45058.0</v>
      </c>
      <c r="D703" s="38">
        <v>249539.0</v>
      </c>
      <c r="E703" s="39" t="s">
        <v>562</v>
      </c>
    </row>
    <row r="704">
      <c r="A704" s="29" t="s">
        <v>830</v>
      </c>
      <c r="B704" s="30" t="s">
        <v>759</v>
      </c>
      <c r="C704" s="31">
        <v>45107.0</v>
      </c>
      <c r="D704" s="32">
        <v>251130.0</v>
      </c>
      <c r="E704" s="33" t="s">
        <v>562</v>
      </c>
    </row>
    <row r="705">
      <c r="A705" s="35" t="s">
        <v>830</v>
      </c>
      <c r="B705" s="36" t="s">
        <v>759</v>
      </c>
      <c r="C705" s="37">
        <v>45121.0</v>
      </c>
      <c r="D705" s="38">
        <v>472790.0</v>
      </c>
      <c r="E705" s="39" t="s">
        <v>562</v>
      </c>
    </row>
    <row r="706">
      <c r="A706" s="29" t="s">
        <v>830</v>
      </c>
      <c r="B706" s="30" t="s">
        <v>759</v>
      </c>
      <c r="C706" s="31">
        <v>45143.0</v>
      </c>
      <c r="D706" s="32">
        <v>470152.0</v>
      </c>
      <c r="E706" s="33" t="s">
        <v>562</v>
      </c>
    </row>
    <row r="707">
      <c r="A707" s="35" t="s">
        <v>830</v>
      </c>
      <c r="B707" s="36" t="s">
        <v>759</v>
      </c>
      <c r="C707" s="37">
        <v>45187.0</v>
      </c>
      <c r="D707" s="38">
        <v>570995.0</v>
      </c>
      <c r="E707" s="39" t="s">
        <v>564</v>
      </c>
    </row>
    <row r="708">
      <c r="A708" s="29" t="s">
        <v>831</v>
      </c>
      <c r="B708" s="30" t="s">
        <v>759</v>
      </c>
      <c r="C708" s="31">
        <v>44927.0</v>
      </c>
      <c r="D708" s="32">
        <v>329958.0</v>
      </c>
      <c r="E708" s="33" t="s">
        <v>562</v>
      </c>
    </row>
    <row r="709">
      <c r="A709" s="35" t="s">
        <v>831</v>
      </c>
      <c r="B709" s="36" t="s">
        <v>759</v>
      </c>
      <c r="C709" s="37">
        <v>44986.0</v>
      </c>
      <c r="D709" s="38">
        <v>242085.0</v>
      </c>
      <c r="E709" s="39" t="s">
        <v>562</v>
      </c>
    </row>
    <row r="710">
      <c r="A710" s="29" t="s">
        <v>831</v>
      </c>
      <c r="B710" s="30" t="s">
        <v>759</v>
      </c>
      <c r="C710" s="31">
        <v>45047.0</v>
      </c>
      <c r="D710" s="32">
        <v>460201.0</v>
      </c>
      <c r="E710" s="33" t="s">
        <v>562</v>
      </c>
    </row>
    <row r="711">
      <c r="A711" s="35" t="s">
        <v>831</v>
      </c>
      <c r="B711" s="36" t="s">
        <v>759</v>
      </c>
      <c r="C711" s="37">
        <v>45108.0</v>
      </c>
      <c r="D711" s="38">
        <v>572372.0</v>
      </c>
      <c r="E711" s="39" t="s">
        <v>562</v>
      </c>
    </row>
    <row r="712">
      <c r="A712" s="29" t="s">
        <v>831</v>
      </c>
      <c r="B712" s="30" t="s">
        <v>759</v>
      </c>
      <c r="C712" s="31">
        <v>45170.0</v>
      </c>
      <c r="D712" s="32">
        <v>408599.0</v>
      </c>
      <c r="E712" s="33" t="s">
        <v>562</v>
      </c>
    </row>
    <row r="713">
      <c r="A713" s="35" t="s">
        <v>832</v>
      </c>
      <c r="B713" s="36" t="s">
        <v>759</v>
      </c>
      <c r="C713" s="37">
        <v>44198.0</v>
      </c>
      <c r="D713" s="38">
        <v>29120.0</v>
      </c>
      <c r="E713" s="39" t="s">
        <v>20</v>
      </c>
    </row>
    <row r="714">
      <c r="A714" s="29" t="s">
        <v>832</v>
      </c>
      <c r="B714" s="30" t="s">
        <v>759</v>
      </c>
      <c r="C714" s="31">
        <v>44243.0</v>
      </c>
      <c r="D714" s="32">
        <v>88565.0</v>
      </c>
      <c r="E714" s="33" t="s">
        <v>20</v>
      </c>
    </row>
    <row r="715">
      <c r="A715" s="35" t="s">
        <v>832</v>
      </c>
      <c r="B715" s="36" t="s">
        <v>759</v>
      </c>
      <c r="C715" s="37">
        <v>44263.0</v>
      </c>
      <c r="D715" s="38">
        <v>88682.0</v>
      </c>
      <c r="E715" s="39" t="s">
        <v>20</v>
      </c>
    </row>
    <row r="716">
      <c r="A716" s="29" t="s">
        <v>832</v>
      </c>
      <c r="B716" s="30" t="s">
        <v>759</v>
      </c>
      <c r="C716" s="31">
        <v>44308.0</v>
      </c>
      <c r="D716" s="32">
        <v>28523.0</v>
      </c>
      <c r="E716" s="33" t="s">
        <v>20</v>
      </c>
    </row>
    <row r="717">
      <c r="A717" s="35" t="s">
        <v>832</v>
      </c>
      <c r="B717" s="36" t="s">
        <v>759</v>
      </c>
      <c r="C717" s="37">
        <v>44328.0</v>
      </c>
      <c r="D717" s="38">
        <v>13240.0</v>
      </c>
      <c r="E717" s="39" t="s">
        <v>20</v>
      </c>
    </row>
    <row r="718">
      <c r="A718" s="29" t="s">
        <v>832</v>
      </c>
      <c r="B718" s="30" t="s">
        <v>759</v>
      </c>
      <c r="C718" s="31">
        <v>44377.0</v>
      </c>
      <c r="D718" s="32">
        <v>27493.0</v>
      </c>
      <c r="E718" s="33" t="s">
        <v>20</v>
      </c>
    </row>
    <row r="719">
      <c r="A719" s="35" t="s">
        <v>832</v>
      </c>
      <c r="B719" s="36" t="s">
        <v>759</v>
      </c>
      <c r="C719" s="37">
        <v>44391.0</v>
      </c>
      <c r="D719" s="38">
        <v>222261.0</v>
      </c>
      <c r="E719" s="39" t="s">
        <v>20</v>
      </c>
    </row>
    <row r="720">
      <c r="A720" s="29" t="s">
        <v>832</v>
      </c>
      <c r="B720" s="30" t="s">
        <v>759</v>
      </c>
      <c r="C720" s="31">
        <v>44413.0</v>
      </c>
      <c r="D720" s="32">
        <v>102864.0</v>
      </c>
      <c r="E720" s="33" t="s">
        <v>20</v>
      </c>
    </row>
    <row r="721">
      <c r="A721" s="35" t="s">
        <v>832</v>
      </c>
      <c r="B721" s="36" t="s">
        <v>759</v>
      </c>
      <c r="C721" s="37">
        <v>44458.0</v>
      </c>
      <c r="D721" s="38">
        <v>228710.0</v>
      </c>
      <c r="E721" s="39" t="s">
        <v>20</v>
      </c>
    </row>
    <row r="722">
      <c r="A722" s="29" t="s">
        <v>832</v>
      </c>
      <c r="B722" s="30" t="s">
        <v>759</v>
      </c>
      <c r="C722" s="31">
        <v>44472.0</v>
      </c>
      <c r="D722" s="32">
        <v>291540.0</v>
      </c>
      <c r="E722" s="33" t="s">
        <v>20</v>
      </c>
    </row>
    <row r="723">
      <c r="A723" s="35" t="s">
        <v>832</v>
      </c>
      <c r="B723" s="36" t="s">
        <v>759</v>
      </c>
      <c r="C723" s="37">
        <v>44522.0</v>
      </c>
      <c r="D723" s="38">
        <v>366630.0</v>
      </c>
      <c r="E723" s="39" t="s">
        <v>20</v>
      </c>
    </row>
    <row r="724">
      <c r="A724" s="29" t="s">
        <v>832</v>
      </c>
      <c r="B724" s="30" t="s">
        <v>759</v>
      </c>
      <c r="C724" s="31">
        <v>44539.0</v>
      </c>
      <c r="D724" s="32">
        <v>446985.0</v>
      </c>
      <c r="E724" s="33" t="s">
        <v>20</v>
      </c>
    </row>
    <row r="725">
      <c r="A725" s="35" t="s">
        <v>832</v>
      </c>
      <c r="B725" s="36" t="s">
        <v>759</v>
      </c>
      <c r="C725" s="37">
        <v>44564.0</v>
      </c>
      <c r="D725" s="38">
        <v>326348.0</v>
      </c>
      <c r="E725" s="39" t="s">
        <v>20</v>
      </c>
    </row>
    <row r="726">
      <c r="A726" s="29" t="s">
        <v>832</v>
      </c>
      <c r="B726" s="30" t="s">
        <v>759</v>
      </c>
      <c r="C726" s="31">
        <v>44610.0</v>
      </c>
      <c r="D726" s="32">
        <v>429540.0</v>
      </c>
      <c r="E726" s="33" t="s">
        <v>20</v>
      </c>
    </row>
    <row r="727">
      <c r="A727" s="35" t="s">
        <v>832</v>
      </c>
      <c r="B727" s="36" t="s">
        <v>759</v>
      </c>
      <c r="C727" s="37">
        <v>44627.0</v>
      </c>
      <c r="D727" s="38">
        <v>303796.0</v>
      </c>
      <c r="E727" s="39" t="s">
        <v>20</v>
      </c>
    </row>
    <row r="728">
      <c r="A728" s="29" t="s">
        <v>832</v>
      </c>
      <c r="B728" s="30" t="s">
        <v>759</v>
      </c>
      <c r="C728" s="31">
        <v>44676.0</v>
      </c>
      <c r="D728" s="32">
        <v>262362.0</v>
      </c>
      <c r="E728" s="33" t="s">
        <v>20</v>
      </c>
    </row>
    <row r="729">
      <c r="A729" s="35" t="s">
        <v>832</v>
      </c>
      <c r="B729" s="36" t="s">
        <v>759</v>
      </c>
      <c r="C729" s="37">
        <v>44693.0</v>
      </c>
      <c r="D729" s="38">
        <v>523067.0</v>
      </c>
      <c r="E729" s="39" t="s">
        <v>20</v>
      </c>
    </row>
    <row r="730">
      <c r="A730" s="29" t="s">
        <v>832</v>
      </c>
      <c r="B730" s="30" t="s">
        <v>759</v>
      </c>
      <c r="C730" s="31">
        <v>44742.0</v>
      </c>
      <c r="D730" s="32">
        <v>534547.0</v>
      </c>
      <c r="E730" s="33" t="s">
        <v>20</v>
      </c>
    </row>
    <row r="731">
      <c r="A731" s="35" t="s">
        <v>832</v>
      </c>
      <c r="B731" s="36" t="s">
        <v>759</v>
      </c>
      <c r="C731" s="37">
        <v>44757.0</v>
      </c>
      <c r="D731" s="38">
        <v>307194.0</v>
      </c>
      <c r="E731" s="39" t="s">
        <v>20</v>
      </c>
    </row>
    <row r="732">
      <c r="A732" s="29" t="s">
        <v>832</v>
      </c>
      <c r="B732" s="30" t="s">
        <v>759</v>
      </c>
      <c r="C732" s="31">
        <v>44782.0</v>
      </c>
      <c r="D732" s="32">
        <v>462809.0</v>
      </c>
      <c r="E732" s="33" t="s">
        <v>20</v>
      </c>
    </row>
    <row r="733">
      <c r="A733" s="35" t="s">
        <v>832</v>
      </c>
      <c r="B733" s="36" t="s">
        <v>759</v>
      </c>
      <c r="C733" s="37">
        <v>44827.0</v>
      </c>
      <c r="D733" s="38">
        <v>434394.0</v>
      </c>
      <c r="E733" s="39" t="s">
        <v>20</v>
      </c>
    </row>
    <row r="734">
      <c r="A734" s="29" t="s">
        <v>832</v>
      </c>
      <c r="B734" s="30" t="s">
        <v>759</v>
      </c>
      <c r="C734" s="31">
        <v>44841.0</v>
      </c>
      <c r="D734" s="32">
        <v>291606.0</v>
      </c>
      <c r="E734" s="33" t="s">
        <v>20</v>
      </c>
    </row>
    <row r="735">
      <c r="A735" s="35" t="s">
        <v>832</v>
      </c>
      <c r="B735" s="36" t="s">
        <v>759</v>
      </c>
      <c r="C735" s="37">
        <v>44885.0</v>
      </c>
      <c r="D735" s="38">
        <v>217008.0</v>
      </c>
      <c r="E735" s="39" t="s">
        <v>20</v>
      </c>
    </row>
    <row r="736">
      <c r="A736" s="29" t="s">
        <v>832</v>
      </c>
      <c r="B736" s="30" t="s">
        <v>759</v>
      </c>
      <c r="C736" s="31">
        <v>44900.0</v>
      </c>
      <c r="D736" s="32">
        <v>592642.0</v>
      </c>
      <c r="E736" s="33" t="s">
        <v>20</v>
      </c>
    </row>
    <row r="737">
      <c r="A737" s="35" t="s">
        <v>833</v>
      </c>
      <c r="B737" s="36" t="s">
        <v>759</v>
      </c>
      <c r="C737" s="37">
        <v>44582.0</v>
      </c>
      <c r="D737" s="38">
        <v>74488.0</v>
      </c>
      <c r="E737" s="39" t="s">
        <v>580</v>
      </c>
    </row>
    <row r="738">
      <c r="A738" s="29" t="s">
        <v>833</v>
      </c>
      <c r="B738" s="30" t="s">
        <v>759</v>
      </c>
      <c r="C738" s="31">
        <v>44606.0</v>
      </c>
      <c r="D738" s="32">
        <v>14428.0</v>
      </c>
      <c r="E738" s="33" t="s">
        <v>580</v>
      </c>
    </row>
    <row r="739">
      <c r="A739" s="35" t="s">
        <v>833</v>
      </c>
      <c r="B739" s="36" t="s">
        <v>759</v>
      </c>
      <c r="C739" s="37">
        <v>44627.0</v>
      </c>
      <c r="D739" s="38">
        <v>47448.0</v>
      </c>
      <c r="E739" s="39" t="s">
        <v>580</v>
      </c>
    </row>
    <row r="740">
      <c r="A740" s="29" t="s">
        <v>833</v>
      </c>
      <c r="B740" s="30" t="s">
        <v>759</v>
      </c>
      <c r="C740" s="31">
        <v>44673.0</v>
      </c>
      <c r="D740" s="32">
        <v>67094.0</v>
      </c>
      <c r="E740" s="33" t="s">
        <v>580</v>
      </c>
    </row>
    <row r="741">
      <c r="A741" s="35" t="s">
        <v>833</v>
      </c>
      <c r="B741" s="36" t="s">
        <v>759</v>
      </c>
      <c r="C741" s="37">
        <v>44691.0</v>
      </c>
      <c r="D741" s="38">
        <v>59924.0</v>
      </c>
      <c r="E741" s="39" t="s">
        <v>580</v>
      </c>
    </row>
    <row r="742">
      <c r="A742" s="29" t="s">
        <v>833</v>
      </c>
      <c r="B742" s="30" t="s">
        <v>759</v>
      </c>
      <c r="C742" s="31">
        <v>44742.0</v>
      </c>
      <c r="D742" s="32">
        <v>46713.0</v>
      </c>
      <c r="E742" s="33" t="s">
        <v>580</v>
      </c>
    </row>
    <row r="743">
      <c r="A743" s="35" t="s">
        <v>833</v>
      </c>
      <c r="B743" s="36" t="s">
        <v>759</v>
      </c>
      <c r="C743" s="37">
        <v>44757.0</v>
      </c>
      <c r="D743" s="38">
        <v>59286.0</v>
      </c>
      <c r="E743" s="39" t="s">
        <v>580</v>
      </c>
    </row>
    <row r="744">
      <c r="A744" s="29" t="s">
        <v>833</v>
      </c>
      <c r="B744" s="30" t="s">
        <v>759</v>
      </c>
      <c r="C744" s="31">
        <v>44777.0</v>
      </c>
      <c r="D744" s="32">
        <v>89666.0</v>
      </c>
      <c r="E744" s="33" t="s">
        <v>580</v>
      </c>
    </row>
    <row r="745">
      <c r="A745" s="35" t="s">
        <v>833</v>
      </c>
      <c r="B745" s="36" t="s">
        <v>759</v>
      </c>
      <c r="C745" s="37">
        <v>44823.0</v>
      </c>
      <c r="D745" s="38">
        <v>81847.0</v>
      </c>
      <c r="E745" s="39" t="s">
        <v>580</v>
      </c>
    </row>
    <row r="746">
      <c r="A746" s="29" t="s">
        <v>833</v>
      </c>
      <c r="B746" s="30" t="s">
        <v>759</v>
      </c>
      <c r="C746" s="31">
        <v>44839.0</v>
      </c>
      <c r="D746" s="32">
        <v>83619.0</v>
      </c>
      <c r="E746" s="33" t="s">
        <v>580</v>
      </c>
    </row>
    <row r="747">
      <c r="A747" s="35" t="s">
        <v>833</v>
      </c>
      <c r="B747" s="36" t="s">
        <v>759</v>
      </c>
      <c r="C747" s="37">
        <v>44888.0</v>
      </c>
      <c r="D747" s="38">
        <v>166344.0</v>
      </c>
      <c r="E747" s="39" t="s">
        <v>580</v>
      </c>
    </row>
    <row r="748">
      <c r="A748" s="29" t="s">
        <v>833</v>
      </c>
      <c r="B748" s="30" t="s">
        <v>759</v>
      </c>
      <c r="C748" s="31">
        <v>44904.0</v>
      </c>
      <c r="D748" s="32">
        <v>174132.0</v>
      </c>
      <c r="E748" s="33" t="s">
        <v>580</v>
      </c>
    </row>
    <row r="749">
      <c r="A749" s="35" t="s">
        <v>833</v>
      </c>
      <c r="B749" s="36" t="s">
        <v>759</v>
      </c>
      <c r="C749" s="37">
        <v>44928.0</v>
      </c>
      <c r="D749" s="38">
        <v>570388.0</v>
      </c>
      <c r="E749" s="39" t="s">
        <v>580</v>
      </c>
    </row>
    <row r="750">
      <c r="A750" s="29" t="s">
        <v>833</v>
      </c>
      <c r="B750" s="30" t="s">
        <v>759</v>
      </c>
      <c r="C750" s="31">
        <v>44973.0</v>
      </c>
      <c r="D750" s="32">
        <v>349275.0</v>
      </c>
      <c r="E750" s="33" t="s">
        <v>580</v>
      </c>
    </row>
    <row r="751">
      <c r="A751" s="35" t="s">
        <v>833</v>
      </c>
      <c r="B751" s="36" t="s">
        <v>759</v>
      </c>
      <c r="C751" s="37">
        <v>44993.0</v>
      </c>
      <c r="D751" s="38">
        <v>561428.0</v>
      </c>
      <c r="E751" s="39" t="s">
        <v>580</v>
      </c>
    </row>
    <row r="752">
      <c r="A752" s="29" t="s">
        <v>833</v>
      </c>
      <c r="B752" s="30" t="s">
        <v>759</v>
      </c>
      <c r="C752" s="31">
        <v>45041.0</v>
      </c>
      <c r="D752" s="32">
        <v>579438.0</v>
      </c>
      <c r="E752" s="33" t="s">
        <v>580</v>
      </c>
    </row>
    <row r="753">
      <c r="A753" s="35" t="s">
        <v>833</v>
      </c>
      <c r="B753" s="36" t="s">
        <v>759</v>
      </c>
      <c r="C753" s="37">
        <v>45058.0</v>
      </c>
      <c r="D753" s="38">
        <v>359406.0</v>
      </c>
      <c r="E753" s="39" t="s">
        <v>580</v>
      </c>
    </row>
    <row r="754">
      <c r="A754" s="29" t="s">
        <v>833</v>
      </c>
      <c r="B754" s="30" t="s">
        <v>759</v>
      </c>
      <c r="C754" s="31">
        <v>45107.0</v>
      </c>
      <c r="D754" s="32">
        <v>590415.0</v>
      </c>
      <c r="E754" s="33" t="s">
        <v>580</v>
      </c>
    </row>
    <row r="755">
      <c r="A755" s="35" t="s">
        <v>833</v>
      </c>
      <c r="B755" s="36" t="s">
        <v>759</v>
      </c>
      <c r="C755" s="37">
        <v>45121.0</v>
      </c>
      <c r="D755" s="38">
        <v>410481.0</v>
      </c>
      <c r="E755" s="39" t="s">
        <v>580</v>
      </c>
    </row>
    <row r="756">
      <c r="A756" s="29" t="s">
        <v>833</v>
      </c>
      <c r="B756" s="30" t="s">
        <v>759</v>
      </c>
      <c r="C756" s="31">
        <v>45147.0</v>
      </c>
      <c r="D756" s="32">
        <v>234722.0</v>
      </c>
      <c r="E756" s="33" t="s">
        <v>580</v>
      </c>
    </row>
    <row r="757">
      <c r="A757" s="35" t="s">
        <v>833</v>
      </c>
      <c r="B757" s="36" t="s">
        <v>759</v>
      </c>
      <c r="C757" s="37">
        <v>45191.0</v>
      </c>
      <c r="D757" s="38">
        <v>334523.0</v>
      </c>
      <c r="E757" s="39" t="s">
        <v>580</v>
      </c>
    </row>
    <row r="758">
      <c r="A758" s="29" t="s">
        <v>833</v>
      </c>
      <c r="B758" s="30" t="s">
        <v>759</v>
      </c>
      <c r="C758" s="31">
        <v>45206.0</v>
      </c>
      <c r="D758" s="32">
        <v>366542.0</v>
      </c>
      <c r="E758" s="33" t="s">
        <v>580</v>
      </c>
    </row>
    <row r="759">
      <c r="A759" s="35" t="s">
        <v>833</v>
      </c>
      <c r="B759" s="36" t="s">
        <v>759</v>
      </c>
      <c r="C759" s="37">
        <v>45249.0</v>
      </c>
      <c r="D759" s="38">
        <v>537160.0</v>
      </c>
      <c r="E759" s="39" t="s">
        <v>580</v>
      </c>
    </row>
    <row r="760">
      <c r="A760" s="29" t="s">
        <v>833</v>
      </c>
      <c r="B760" s="30" t="s">
        <v>759</v>
      </c>
      <c r="C760" s="31">
        <v>45265.0</v>
      </c>
      <c r="D760" s="32">
        <v>553331.0</v>
      </c>
      <c r="E760" s="33" t="s">
        <v>580</v>
      </c>
    </row>
    <row r="761">
      <c r="A761" s="35" t="s">
        <v>834</v>
      </c>
      <c r="B761" s="36" t="s">
        <v>759</v>
      </c>
      <c r="C761" s="37">
        <v>44927.0</v>
      </c>
      <c r="D761" s="38">
        <v>356962.0</v>
      </c>
      <c r="E761" s="39" t="s">
        <v>580</v>
      </c>
    </row>
    <row r="762">
      <c r="A762" s="29" t="s">
        <v>834</v>
      </c>
      <c r="B762" s="30" t="s">
        <v>759</v>
      </c>
      <c r="C762" s="31">
        <v>44972.0</v>
      </c>
      <c r="D762" s="32">
        <v>263071.0</v>
      </c>
      <c r="E762" s="33" t="s">
        <v>580</v>
      </c>
    </row>
    <row r="763">
      <c r="A763" s="35" t="s">
        <v>834</v>
      </c>
      <c r="B763" s="36" t="s">
        <v>759</v>
      </c>
      <c r="C763" s="37">
        <v>44993.0</v>
      </c>
      <c r="D763" s="38">
        <v>525330.0</v>
      </c>
      <c r="E763" s="39" t="s">
        <v>580</v>
      </c>
    </row>
    <row r="764">
      <c r="A764" s="29" t="s">
        <v>834</v>
      </c>
      <c r="B764" s="30" t="s">
        <v>759</v>
      </c>
      <c r="C764" s="31">
        <v>45039.0</v>
      </c>
      <c r="D764" s="32">
        <v>508349.0</v>
      </c>
      <c r="E764" s="33" t="s">
        <v>580</v>
      </c>
    </row>
    <row r="765">
      <c r="A765" s="35" t="s">
        <v>834</v>
      </c>
      <c r="B765" s="36" t="s">
        <v>759</v>
      </c>
      <c r="C765" s="37">
        <v>45058.0</v>
      </c>
      <c r="D765" s="38">
        <v>501922.0</v>
      </c>
      <c r="E765" s="39" t="s">
        <v>580</v>
      </c>
    </row>
    <row r="766">
      <c r="A766" s="29" t="s">
        <v>834</v>
      </c>
      <c r="B766" s="30" t="s">
        <v>759</v>
      </c>
      <c r="C766" s="31">
        <v>45107.0</v>
      </c>
      <c r="D766" s="32">
        <v>462336.0</v>
      </c>
      <c r="E766" s="33" t="s">
        <v>580</v>
      </c>
    </row>
    <row r="767">
      <c r="A767" s="35" t="s">
        <v>834</v>
      </c>
      <c r="B767" s="36" t="s">
        <v>759</v>
      </c>
      <c r="C767" s="37">
        <v>45121.0</v>
      </c>
      <c r="D767" s="38">
        <v>445924.0</v>
      </c>
      <c r="E767" s="39" t="s">
        <v>580</v>
      </c>
    </row>
    <row r="768">
      <c r="A768" s="29" t="s">
        <v>834</v>
      </c>
      <c r="B768" s="30" t="s">
        <v>759</v>
      </c>
      <c r="C768" s="31">
        <v>45143.0</v>
      </c>
      <c r="D768" s="32">
        <v>341986.0</v>
      </c>
      <c r="E768" s="33" t="s">
        <v>580</v>
      </c>
    </row>
    <row r="769">
      <c r="A769" s="35" t="s">
        <v>834</v>
      </c>
      <c r="B769" s="36" t="s">
        <v>759</v>
      </c>
      <c r="C769" s="37">
        <v>45188.0</v>
      </c>
      <c r="D769" s="38">
        <v>307348.0</v>
      </c>
      <c r="E769" s="39" t="s">
        <v>580</v>
      </c>
    </row>
    <row r="770">
      <c r="A770" s="29" t="s">
        <v>834</v>
      </c>
      <c r="B770" s="30" t="s">
        <v>759</v>
      </c>
      <c r="C770" s="31">
        <v>45202.0</v>
      </c>
      <c r="D770" s="32">
        <v>449104.0</v>
      </c>
      <c r="E770" s="33" t="s">
        <v>580</v>
      </c>
    </row>
    <row r="771">
      <c r="A771" s="35" t="s">
        <v>834</v>
      </c>
      <c r="B771" s="36" t="s">
        <v>759</v>
      </c>
      <c r="C771" s="37">
        <v>45252.0</v>
      </c>
      <c r="D771" s="38">
        <v>265027.0</v>
      </c>
      <c r="E771" s="39" t="s">
        <v>580</v>
      </c>
    </row>
    <row r="772">
      <c r="A772" s="29" t="s">
        <v>834</v>
      </c>
      <c r="B772" s="30" t="s">
        <v>759</v>
      </c>
      <c r="C772" s="31">
        <v>45269.0</v>
      </c>
      <c r="D772" s="32">
        <v>547298.0</v>
      </c>
      <c r="E772" s="33" t="s">
        <v>580</v>
      </c>
    </row>
    <row r="773">
      <c r="A773" s="35" t="s">
        <v>835</v>
      </c>
      <c r="B773" s="36" t="s">
        <v>759</v>
      </c>
      <c r="C773" s="37">
        <v>43831.0</v>
      </c>
      <c r="D773" s="38">
        <v>60805.0</v>
      </c>
      <c r="E773" s="39" t="s">
        <v>592</v>
      </c>
    </row>
    <row r="774">
      <c r="A774" s="29" t="s">
        <v>835</v>
      </c>
      <c r="B774" s="30" t="s">
        <v>759</v>
      </c>
      <c r="C774" s="31">
        <v>43891.0</v>
      </c>
      <c r="D774" s="32">
        <v>32127.0</v>
      </c>
      <c r="E774" s="33" t="s">
        <v>592</v>
      </c>
    </row>
    <row r="775">
      <c r="A775" s="35" t="s">
        <v>835</v>
      </c>
      <c r="B775" s="36" t="s">
        <v>759</v>
      </c>
      <c r="C775" s="37">
        <v>43952.0</v>
      </c>
      <c r="D775" s="38">
        <v>63835.0</v>
      </c>
      <c r="E775" s="39" t="s">
        <v>592</v>
      </c>
    </row>
    <row r="776">
      <c r="A776" s="29" t="s">
        <v>835</v>
      </c>
      <c r="B776" s="30" t="s">
        <v>759</v>
      </c>
      <c r="C776" s="31">
        <v>44013.0</v>
      </c>
      <c r="D776" s="32">
        <v>84204.0</v>
      </c>
      <c r="E776" s="33" t="s">
        <v>592</v>
      </c>
    </row>
    <row r="777">
      <c r="A777" s="35" t="s">
        <v>835</v>
      </c>
      <c r="B777" s="36" t="s">
        <v>759</v>
      </c>
      <c r="C777" s="37">
        <v>44075.0</v>
      </c>
      <c r="D777" s="38">
        <v>121573.0</v>
      </c>
      <c r="E777" s="39" t="s">
        <v>592</v>
      </c>
    </row>
    <row r="778">
      <c r="A778" s="29" t="s">
        <v>835</v>
      </c>
      <c r="B778" s="30" t="s">
        <v>759</v>
      </c>
      <c r="C778" s="31">
        <v>44136.0</v>
      </c>
      <c r="D778" s="32">
        <v>179927.0</v>
      </c>
      <c r="E778" s="33" t="s">
        <v>592</v>
      </c>
    </row>
    <row r="779">
      <c r="A779" s="35" t="s">
        <v>835</v>
      </c>
      <c r="B779" s="36" t="s">
        <v>759</v>
      </c>
      <c r="C779" s="37">
        <v>44197.0</v>
      </c>
      <c r="D779" s="38">
        <v>433438.0</v>
      </c>
      <c r="E779" s="39" t="s">
        <v>592</v>
      </c>
    </row>
    <row r="780">
      <c r="A780" s="29" t="s">
        <v>835</v>
      </c>
      <c r="B780" s="30" t="s">
        <v>759</v>
      </c>
      <c r="C780" s="31">
        <v>44256.0</v>
      </c>
      <c r="D780" s="32">
        <v>526926.0</v>
      </c>
      <c r="E780" s="33" t="s">
        <v>592</v>
      </c>
    </row>
    <row r="781">
      <c r="A781" s="35" t="s">
        <v>835</v>
      </c>
      <c r="B781" s="36" t="s">
        <v>759</v>
      </c>
      <c r="C781" s="37">
        <v>44317.0</v>
      </c>
      <c r="D781" s="38">
        <v>271642.0</v>
      </c>
      <c r="E781" s="39" t="s">
        <v>592</v>
      </c>
    </row>
    <row r="782">
      <c r="A782" s="29" t="s">
        <v>835</v>
      </c>
      <c r="B782" s="30" t="s">
        <v>759</v>
      </c>
      <c r="C782" s="31">
        <v>44378.0</v>
      </c>
      <c r="D782" s="32">
        <v>400338.0</v>
      </c>
      <c r="E782" s="33" t="s">
        <v>592</v>
      </c>
    </row>
    <row r="783">
      <c r="A783" s="35" t="s">
        <v>835</v>
      </c>
      <c r="B783" s="36" t="s">
        <v>759</v>
      </c>
      <c r="C783" s="37">
        <v>44440.0</v>
      </c>
      <c r="D783" s="38">
        <v>545228.0</v>
      </c>
      <c r="E783" s="39" t="s">
        <v>592</v>
      </c>
    </row>
    <row r="784">
      <c r="A784" s="29" t="s">
        <v>835</v>
      </c>
      <c r="B784" s="30" t="s">
        <v>759</v>
      </c>
      <c r="C784" s="31">
        <v>44501.0</v>
      </c>
      <c r="D784" s="32">
        <v>244089.0</v>
      </c>
      <c r="E784" s="33" t="s">
        <v>592</v>
      </c>
    </row>
    <row r="785">
      <c r="A785" s="35" t="s">
        <v>835</v>
      </c>
      <c r="B785" s="36" t="s">
        <v>759</v>
      </c>
      <c r="C785" s="37">
        <v>44562.0</v>
      </c>
      <c r="D785" s="38">
        <v>569863.0</v>
      </c>
      <c r="E785" s="39" t="s">
        <v>592</v>
      </c>
    </row>
    <row r="786">
      <c r="A786" s="29" t="s">
        <v>835</v>
      </c>
      <c r="B786" s="30" t="s">
        <v>759</v>
      </c>
      <c r="C786" s="31">
        <v>44621.0</v>
      </c>
      <c r="D786" s="32">
        <v>465762.0</v>
      </c>
      <c r="E786" s="33" t="s">
        <v>592</v>
      </c>
    </row>
    <row r="787">
      <c r="A787" s="35" t="s">
        <v>835</v>
      </c>
      <c r="B787" s="36" t="s">
        <v>759</v>
      </c>
      <c r="C787" s="37">
        <v>44682.0</v>
      </c>
      <c r="D787" s="38">
        <v>268395.0</v>
      </c>
      <c r="E787" s="39" t="s">
        <v>592</v>
      </c>
    </row>
    <row r="788">
      <c r="A788" s="29" t="s">
        <v>835</v>
      </c>
      <c r="B788" s="30" t="s">
        <v>759</v>
      </c>
      <c r="C788" s="31">
        <v>44743.0</v>
      </c>
      <c r="D788" s="32">
        <v>694300.0</v>
      </c>
      <c r="E788" s="33" t="s">
        <v>592</v>
      </c>
    </row>
    <row r="789">
      <c r="A789" s="35" t="s">
        <v>835</v>
      </c>
      <c r="B789" s="36" t="s">
        <v>759</v>
      </c>
      <c r="C789" s="37">
        <v>44805.0</v>
      </c>
      <c r="D789" s="38">
        <v>676067.0</v>
      </c>
      <c r="E789" s="39" t="s">
        <v>592</v>
      </c>
    </row>
    <row r="790">
      <c r="A790" s="29" t="s">
        <v>835</v>
      </c>
      <c r="B790" s="30" t="s">
        <v>759</v>
      </c>
      <c r="C790" s="31">
        <v>44866.0</v>
      </c>
      <c r="D790" s="32">
        <v>727911.0</v>
      </c>
      <c r="E790" s="33" t="s">
        <v>592</v>
      </c>
    </row>
    <row r="791">
      <c r="A791" s="35" t="s">
        <v>835</v>
      </c>
      <c r="B791" s="36" t="s">
        <v>759</v>
      </c>
      <c r="C791" s="37">
        <v>44927.0</v>
      </c>
      <c r="D791" s="38">
        <v>538554.0</v>
      </c>
      <c r="E791" s="39" t="s">
        <v>592</v>
      </c>
    </row>
    <row r="792">
      <c r="A792" s="29" t="s">
        <v>835</v>
      </c>
      <c r="B792" s="30" t="s">
        <v>759</v>
      </c>
      <c r="C792" s="31">
        <v>44986.0</v>
      </c>
      <c r="D792" s="32">
        <v>572337.0</v>
      </c>
      <c r="E792" s="33" t="s">
        <v>592</v>
      </c>
    </row>
    <row r="793">
      <c r="A793" s="35" t="s">
        <v>835</v>
      </c>
      <c r="B793" s="36" t="s">
        <v>759</v>
      </c>
      <c r="C793" s="37">
        <v>45047.0</v>
      </c>
      <c r="D793" s="38">
        <v>604351.0</v>
      </c>
      <c r="E793" s="39" t="s">
        <v>592</v>
      </c>
    </row>
    <row r="794">
      <c r="A794" s="29" t="s">
        <v>835</v>
      </c>
      <c r="B794" s="30" t="s">
        <v>759</v>
      </c>
      <c r="C794" s="31">
        <v>45108.0</v>
      </c>
      <c r="D794" s="32">
        <v>563349.0</v>
      </c>
      <c r="E794" s="33" t="s">
        <v>592</v>
      </c>
    </row>
    <row r="795">
      <c r="A795" s="35" t="s">
        <v>835</v>
      </c>
      <c r="B795" s="36" t="s">
        <v>759</v>
      </c>
      <c r="C795" s="37">
        <v>45170.0</v>
      </c>
      <c r="D795" s="38">
        <v>697998.0</v>
      </c>
      <c r="E795" s="39" t="s">
        <v>592</v>
      </c>
    </row>
    <row r="796">
      <c r="A796" s="29" t="s">
        <v>835</v>
      </c>
      <c r="B796" s="30" t="s">
        <v>759</v>
      </c>
      <c r="C796" s="31">
        <v>45231.0</v>
      </c>
      <c r="D796" s="32">
        <v>675277.0</v>
      </c>
      <c r="E796" s="33" t="s">
        <v>592</v>
      </c>
    </row>
    <row r="797">
      <c r="A797" s="35" t="s">
        <v>835</v>
      </c>
      <c r="B797" s="36" t="s">
        <v>759</v>
      </c>
      <c r="C797" s="37">
        <v>45292.0</v>
      </c>
      <c r="D797" s="38">
        <v>747671.0</v>
      </c>
      <c r="E797" s="39" t="s">
        <v>592</v>
      </c>
    </row>
    <row r="798">
      <c r="A798" s="29" t="s">
        <v>835</v>
      </c>
      <c r="B798" s="30" t="s">
        <v>759</v>
      </c>
      <c r="C798" s="31">
        <v>45352.0</v>
      </c>
      <c r="D798" s="32">
        <v>607880.0</v>
      </c>
      <c r="E798" s="33" t="s">
        <v>592</v>
      </c>
    </row>
    <row r="799">
      <c r="A799" s="35" t="s">
        <v>835</v>
      </c>
      <c r="B799" s="36" t="s">
        <v>759</v>
      </c>
      <c r="C799" s="37">
        <v>45413.0</v>
      </c>
      <c r="D799" s="38">
        <v>668347.0</v>
      </c>
      <c r="E799" s="39" t="s">
        <v>592</v>
      </c>
    </row>
    <row r="800">
      <c r="A800" s="29" t="s">
        <v>835</v>
      </c>
      <c r="B800" s="30" t="s">
        <v>759</v>
      </c>
      <c r="C800" s="31">
        <v>45474.0</v>
      </c>
      <c r="D800" s="32">
        <v>761671.0</v>
      </c>
      <c r="E800" s="33" t="s">
        <v>592</v>
      </c>
    </row>
    <row r="801">
      <c r="A801" s="35" t="s">
        <v>836</v>
      </c>
      <c r="B801" s="36" t="s">
        <v>759</v>
      </c>
      <c r="C801" s="37">
        <v>45292.0</v>
      </c>
      <c r="D801" s="38">
        <v>771106.0</v>
      </c>
      <c r="E801" s="39" t="s">
        <v>599</v>
      </c>
    </row>
    <row r="802">
      <c r="A802" s="29" t="s">
        <v>836</v>
      </c>
      <c r="B802" s="30" t="s">
        <v>759</v>
      </c>
      <c r="C802" s="31">
        <v>45337.0</v>
      </c>
      <c r="D802" s="32">
        <v>626668.0</v>
      </c>
      <c r="E802" s="33" t="s">
        <v>599</v>
      </c>
    </row>
    <row r="803">
      <c r="A803" s="35" t="s">
        <v>836</v>
      </c>
      <c r="B803" s="36" t="s">
        <v>759</v>
      </c>
      <c r="C803" s="37">
        <v>45359.0</v>
      </c>
      <c r="D803" s="38">
        <v>647753.0</v>
      </c>
      <c r="E803" s="39" t="s">
        <v>599</v>
      </c>
    </row>
    <row r="804">
      <c r="A804" s="29" t="s">
        <v>836</v>
      </c>
      <c r="B804" s="30" t="s">
        <v>759</v>
      </c>
      <c r="C804" s="31">
        <v>45404.0</v>
      </c>
      <c r="D804" s="32">
        <v>571778.0</v>
      </c>
      <c r="E804" s="33" t="s">
        <v>599</v>
      </c>
    </row>
    <row r="805">
      <c r="A805" s="35" t="s">
        <v>836</v>
      </c>
      <c r="B805" s="36" t="s">
        <v>759</v>
      </c>
      <c r="C805" s="37">
        <v>45422.0</v>
      </c>
      <c r="D805" s="38">
        <v>783804.0</v>
      </c>
      <c r="E805" s="39" t="s">
        <v>599</v>
      </c>
    </row>
    <row r="806">
      <c r="A806" s="29" t="s">
        <v>836</v>
      </c>
      <c r="B806" s="30" t="s">
        <v>759</v>
      </c>
      <c r="C806" s="31">
        <v>45473.0</v>
      </c>
      <c r="D806" s="32">
        <v>578491.0</v>
      </c>
      <c r="E806" s="33" t="s">
        <v>599</v>
      </c>
    </row>
    <row r="807">
      <c r="A807" s="35" t="s">
        <v>836</v>
      </c>
      <c r="B807" s="36" t="s">
        <v>759</v>
      </c>
      <c r="C807" s="37">
        <v>45487.0</v>
      </c>
      <c r="D807" s="38">
        <v>770156.0</v>
      </c>
      <c r="E807" s="39" t="s">
        <v>599</v>
      </c>
    </row>
    <row r="808">
      <c r="A808" s="29" t="s">
        <v>836</v>
      </c>
      <c r="B808" s="30" t="s">
        <v>759</v>
      </c>
      <c r="C808" s="31">
        <v>45509.0</v>
      </c>
      <c r="D808" s="32">
        <v>648108.0</v>
      </c>
      <c r="E808" s="33" t="s">
        <v>599</v>
      </c>
    </row>
    <row r="809">
      <c r="A809" s="35" t="s">
        <v>836</v>
      </c>
      <c r="B809" s="36" t="s">
        <v>759</v>
      </c>
      <c r="C809" s="37">
        <v>45537.0</v>
      </c>
      <c r="D809" s="38">
        <v>556901.0</v>
      </c>
      <c r="E809" s="39" t="s">
        <v>599</v>
      </c>
    </row>
    <row r="810">
      <c r="A810" s="29" t="s">
        <v>837</v>
      </c>
      <c r="B810" s="30" t="s">
        <v>759</v>
      </c>
      <c r="C810" s="31">
        <v>44717.0</v>
      </c>
      <c r="D810" s="32">
        <v>46148.0</v>
      </c>
      <c r="E810" s="33" t="s">
        <v>606</v>
      </c>
    </row>
    <row r="811">
      <c r="A811" s="35" t="s">
        <v>837</v>
      </c>
      <c r="B811" s="36" t="s">
        <v>759</v>
      </c>
      <c r="C811" s="37">
        <v>44747.0</v>
      </c>
      <c r="D811" s="38">
        <v>23153.0</v>
      </c>
      <c r="E811" s="39" t="s">
        <v>606</v>
      </c>
    </row>
    <row r="812">
      <c r="A812" s="29" t="s">
        <v>837</v>
      </c>
      <c r="B812" s="30" t="s">
        <v>759</v>
      </c>
      <c r="C812" s="31">
        <v>44778.0</v>
      </c>
      <c r="D812" s="32">
        <v>83712.0</v>
      </c>
      <c r="E812" s="33" t="s">
        <v>606</v>
      </c>
    </row>
    <row r="813">
      <c r="A813" s="35" t="s">
        <v>837</v>
      </c>
      <c r="B813" s="36" t="s">
        <v>759</v>
      </c>
      <c r="C813" s="37">
        <v>44809.0</v>
      </c>
      <c r="D813" s="38">
        <v>55339.0</v>
      </c>
      <c r="E813" s="39" t="s">
        <v>606</v>
      </c>
    </row>
    <row r="814">
      <c r="A814" s="29" t="s">
        <v>837</v>
      </c>
      <c r="B814" s="30" t="s">
        <v>759</v>
      </c>
      <c r="C814" s="31">
        <v>44839.0</v>
      </c>
      <c r="D814" s="32">
        <v>65179.0</v>
      </c>
      <c r="E814" s="33" t="s">
        <v>606</v>
      </c>
    </row>
    <row r="815">
      <c r="A815" s="35" t="s">
        <v>837</v>
      </c>
      <c r="B815" s="36" t="s">
        <v>759</v>
      </c>
      <c r="C815" s="37">
        <v>44870.0</v>
      </c>
      <c r="D815" s="38">
        <v>173595.0</v>
      </c>
      <c r="E815" s="39" t="s">
        <v>606</v>
      </c>
    </row>
    <row r="816">
      <c r="A816" s="29" t="s">
        <v>837</v>
      </c>
      <c r="B816" s="30" t="s">
        <v>759</v>
      </c>
      <c r="C816" s="31">
        <v>44900.0</v>
      </c>
      <c r="D816" s="32">
        <v>116913.0</v>
      </c>
      <c r="E816" s="33" t="s">
        <v>606</v>
      </c>
    </row>
    <row r="817">
      <c r="A817" s="35" t="s">
        <v>837</v>
      </c>
      <c r="B817" s="36" t="s">
        <v>759</v>
      </c>
      <c r="C817" s="37">
        <v>44931.0</v>
      </c>
      <c r="D817" s="38">
        <v>447298.0</v>
      </c>
      <c r="E817" s="39" t="s">
        <v>606</v>
      </c>
    </row>
    <row r="818">
      <c r="A818" s="29" t="s">
        <v>837</v>
      </c>
      <c r="B818" s="30" t="s">
        <v>759</v>
      </c>
      <c r="C818" s="31">
        <v>44962.0</v>
      </c>
      <c r="D818" s="32">
        <v>307698.0</v>
      </c>
      <c r="E818" s="33" t="s">
        <v>606</v>
      </c>
    </row>
    <row r="819">
      <c r="A819" s="35" t="s">
        <v>837</v>
      </c>
      <c r="B819" s="36" t="s">
        <v>759</v>
      </c>
      <c r="C819" s="37">
        <v>44990.0</v>
      </c>
      <c r="D819" s="38">
        <v>464627.0</v>
      </c>
      <c r="E819" s="39" t="s">
        <v>606</v>
      </c>
    </row>
    <row r="820">
      <c r="A820" s="29" t="s">
        <v>837</v>
      </c>
      <c r="B820" s="30" t="s">
        <v>759</v>
      </c>
      <c r="C820" s="31">
        <v>45021.0</v>
      </c>
      <c r="D820" s="32">
        <v>294917.0</v>
      </c>
      <c r="E820" s="33" t="s">
        <v>606</v>
      </c>
    </row>
    <row r="821">
      <c r="A821" s="35" t="s">
        <v>837</v>
      </c>
      <c r="B821" s="36" t="s">
        <v>759</v>
      </c>
      <c r="C821" s="37">
        <v>45051.0</v>
      </c>
      <c r="D821" s="38">
        <v>273536.0</v>
      </c>
      <c r="E821" s="39" t="s">
        <v>606</v>
      </c>
    </row>
    <row r="822">
      <c r="A822" s="29" t="s">
        <v>837</v>
      </c>
      <c r="B822" s="30" t="s">
        <v>759</v>
      </c>
      <c r="C822" s="31">
        <v>45082.0</v>
      </c>
      <c r="D822" s="32">
        <v>477167.0</v>
      </c>
      <c r="E822" s="33" t="s">
        <v>606</v>
      </c>
    </row>
    <row r="823">
      <c r="A823" s="35" t="s">
        <v>837</v>
      </c>
      <c r="B823" s="36" t="s">
        <v>759</v>
      </c>
      <c r="C823" s="37">
        <v>45112.0</v>
      </c>
      <c r="D823" s="38">
        <v>345240.0</v>
      </c>
      <c r="E823" s="39" t="s">
        <v>606</v>
      </c>
    </row>
    <row r="824">
      <c r="A824" s="29" t="s">
        <v>837</v>
      </c>
      <c r="B824" s="30" t="s">
        <v>759</v>
      </c>
      <c r="C824" s="31">
        <v>45143.0</v>
      </c>
      <c r="D824" s="32">
        <v>578153.0</v>
      </c>
      <c r="E824" s="33" t="s">
        <v>606</v>
      </c>
    </row>
    <row r="825">
      <c r="A825" s="35" t="s">
        <v>837</v>
      </c>
      <c r="B825" s="36" t="s">
        <v>759</v>
      </c>
      <c r="C825" s="37">
        <v>45174.0</v>
      </c>
      <c r="D825" s="38">
        <v>255436.0</v>
      </c>
      <c r="E825" s="39" t="s">
        <v>606</v>
      </c>
    </row>
    <row r="826">
      <c r="A826" s="29" t="s">
        <v>837</v>
      </c>
      <c r="B826" s="30" t="s">
        <v>759</v>
      </c>
      <c r="C826" s="31">
        <v>45204.0</v>
      </c>
      <c r="D826" s="32">
        <v>630203.0</v>
      </c>
      <c r="E826" s="33" t="s">
        <v>606</v>
      </c>
    </row>
    <row r="827">
      <c r="A827" s="35" t="s">
        <v>837</v>
      </c>
      <c r="B827" s="36" t="s">
        <v>759</v>
      </c>
      <c r="C827" s="37">
        <v>45235.0</v>
      </c>
      <c r="D827" s="38">
        <v>788229.0</v>
      </c>
      <c r="E827" s="39" t="s">
        <v>606</v>
      </c>
    </row>
    <row r="828">
      <c r="A828" s="29" t="s">
        <v>837</v>
      </c>
      <c r="B828" s="30" t="s">
        <v>759</v>
      </c>
      <c r="C828" s="31">
        <v>45265.0</v>
      </c>
      <c r="D828" s="32">
        <v>667281.0</v>
      </c>
      <c r="E828" s="33" t="s">
        <v>606</v>
      </c>
    </row>
    <row r="829">
      <c r="A829" s="35" t="s">
        <v>837</v>
      </c>
      <c r="B829" s="36" t="s">
        <v>759</v>
      </c>
      <c r="C829" s="37">
        <v>45296.0</v>
      </c>
      <c r="D829" s="38">
        <v>663026.0</v>
      </c>
      <c r="E829" s="39" t="s">
        <v>606</v>
      </c>
    </row>
    <row r="830">
      <c r="A830" s="29" t="s">
        <v>837</v>
      </c>
      <c r="B830" s="30" t="s">
        <v>759</v>
      </c>
      <c r="C830" s="31">
        <v>45327.0</v>
      </c>
      <c r="D830" s="32">
        <v>575890.0</v>
      </c>
      <c r="E830" s="33" t="s">
        <v>606</v>
      </c>
    </row>
    <row r="831">
      <c r="A831" s="35" t="s">
        <v>837</v>
      </c>
      <c r="B831" s="36" t="s">
        <v>759</v>
      </c>
      <c r="C831" s="37">
        <v>45356.0</v>
      </c>
      <c r="D831" s="38">
        <v>704002.0</v>
      </c>
      <c r="E831" s="39" t="s">
        <v>606</v>
      </c>
    </row>
    <row r="832">
      <c r="A832" s="29" t="s">
        <v>837</v>
      </c>
      <c r="B832" s="30" t="s">
        <v>759</v>
      </c>
      <c r="C832" s="31">
        <v>45387.0</v>
      </c>
      <c r="D832" s="32">
        <v>776587.0</v>
      </c>
      <c r="E832" s="33" t="s">
        <v>606</v>
      </c>
    </row>
    <row r="833">
      <c r="A833" s="35" t="s">
        <v>837</v>
      </c>
      <c r="B833" s="36" t="s">
        <v>759</v>
      </c>
      <c r="C833" s="37">
        <v>45417.0</v>
      </c>
      <c r="D833" s="38">
        <v>700318.0</v>
      </c>
      <c r="E833" s="39" t="s">
        <v>606</v>
      </c>
    </row>
    <row r="834">
      <c r="A834" s="29" t="s">
        <v>837</v>
      </c>
      <c r="B834" s="30" t="s">
        <v>759</v>
      </c>
      <c r="C834" s="31">
        <v>45448.0</v>
      </c>
      <c r="D834" s="32">
        <v>782687.0</v>
      </c>
      <c r="E834" s="33" t="s">
        <v>606</v>
      </c>
    </row>
    <row r="835">
      <c r="A835" s="35" t="s">
        <v>837</v>
      </c>
      <c r="B835" s="36" t="s">
        <v>759</v>
      </c>
      <c r="C835" s="37">
        <v>45478.0</v>
      </c>
      <c r="D835" s="38">
        <v>711560.0</v>
      </c>
      <c r="E835" s="39" t="s">
        <v>606</v>
      </c>
    </row>
    <row r="836">
      <c r="A836" s="29" t="s">
        <v>837</v>
      </c>
      <c r="B836" s="30" t="s">
        <v>759</v>
      </c>
      <c r="C836" s="31">
        <v>45509.0</v>
      </c>
      <c r="D836" s="32">
        <v>768202.0</v>
      </c>
      <c r="E836" s="33" t="s">
        <v>606</v>
      </c>
    </row>
    <row r="837">
      <c r="A837" s="35" t="s">
        <v>838</v>
      </c>
      <c r="B837" s="36" t="s">
        <v>759</v>
      </c>
      <c r="C837" s="37">
        <v>45324.0</v>
      </c>
      <c r="D837" s="38">
        <v>71381.0</v>
      </c>
      <c r="E837" s="39" t="s">
        <v>612</v>
      </c>
    </row>
    <row r="838">
      <c r="A838" s="29" t="s">
        <v>838</v>
      </c>
      <c r="B838" s="30" t="s">
        <v>759</v>
      </c>
      <c r="C838" s="31">
        <v>45363.0</v>
      </c>
      <c r="D838" s="32">
        <v>55346.0</v>
      </c>
      <c r="E838" s="33" t="s">
        <v>612</v>
      </c>
    </row>
    <row r="839">
      <c r="A839" s="35" t="s">
        <v>838</v>
      </c>
      <c r="B839" s="36" t="s">
        <v>759</v>
      </c>
      <c r="C839" s="37">
        <v>45390.0</v>
      </c>
      <c r="D839" s="38">
        <v>66576.0</v>
      </c>
      <c r="E839" s="39" t="s">
        <v>612</v>
      </c>
    </row>
    <row r="840">
      <c r="A840" s="29" t="s">
        <v>838</v>
      </c>
      <c r="B840" s="30" t="s">
        <v>759</v>
      </c>
      <c r="C840" s="31">
        <v>45437.0</v>
      </c>
      <c r="D840" s="32">
        <v>83697.0</v>
      </c>
      <c r="E840" s="33" t="s">
        <v>612</v>
      </c>
    </row>
    <row r="841">
      <c r="A841" s="35" t="s">
        <v>838</v>
      </c>
      <c r="B841" s="36" t="s">
        <v>759</v>
      </c>
      <c r="C841" s="37">
        <v>45453.0</v>
      </c>
      <c r="D841" s="38">
        <v>40499.0</v>
      </c>
      <c r="E841" s="39" t="s">
        <v>612</v>
      </c>
    </row>
    <row r="842">
      <c r="A842" s="29" t="s">
        <v>838</v>
      </c>
      <c r="B842" s="30" t="s">
        <v>759</v>
      </c>
      <c r="C842" s="31">
        <v>45501.0</v>
      </c>
      <c r="D842" s="32">
        <v>41123.0</v>
      </c>
      <c r="E842" s="33" t="s">
        <v>612</v>
      </c>
    </row>
    <row r="843">
      <c r="A843" s="35" t="s">
        <v>838</v>
      </c>
      <c r="B843" s="36" t="s">
        <v>759</v>
      </c>
      <c r="C843" s="37">
        <v>45519.0</v>
      </c>
      <c r="D843" s="38">
        <v>15614.0</v>
      </c>
      <c r="E843" s="39" t="s">
        <v>612</v>
      </c>
    </row>
    <row r="844">
      <c r="A844" s="29" t="s">
        <v>838</v>
      </c>
      <c r="B844" s="30" t="s">
        <v>759</v>
      </c>
      <c r="C844" s="31">
        <v>45540.0</v>
      </c>
      <c r="D844" s="32">
        <v>34964.0</v>
      </c>
      <c r="E844" s="33" t="s">
        <v>612</v>
      </c>
    </row>
    <row r="845">
      <c r="A845" s="35" t="s">
        <v>839</v>
      </c>
      <c r="B845" s="36" t="s">
        <v>759</v>
      </c>
      <c r="C845" s="37">
        <v>45383.0</v>
      </c>
      <c r="D845" s="38">
        <v>551050.0</v>
      </c>
      <c r="E845" s="39" t="s">
        <v>619</v>
      </c>
    </row>
    <row r="846">
      <c r="A846" s="29" t="s">
        <v>839</v>
      </c>
      <c r="B846" s="30" t="s">
        <v>759</v>
      </c>
      <c r="C846" s="31">
        <v>45427.0</v>
      </c>
      <c r="D846" s="32">
        <v>700290.0</v>
      </c>
      <c r="E846" s="33" t="s">
        <v>619</v>
      </c>
    </row>
    <row r="847">
      <c r="A847" s="35" t="s">
        <v>839</v>
      </c>
      <c r="B847" s="36" t="s">
        <v>759</v>
      </c>
      <c r="C847" s="37">
        <v>45451.0</v>
      </c>
      <c r="D847" s="38">
        <v>565167.0</v>
      </c>
      <c r="E847" s="39" t="s">
        <v>619</v>
      </c>
    </row>
    <row r="848">
      <c r="A848" s="29" t="s">
        <v>839</v>
      </c>
      <c r="B848" s="30" t="s">
        <v>759</v>
      </c>
      <c r="C848" s="31">
        <v>45495.0</v>
      </c>
      <c r="D848" s="32">
        <v>635642.0</v>
      </c>
      <c r="E848" s="33" t="s">
        <v>619</v>
      </c>
    </row>
    <row r="849">
      <c r="A849" s="35" t="s">
        <v>839</v>
      </c>
      <c r="B849" s="36" t="s">
        <v>759</v>
      </c>
      <c r="C849" s="37">
        <v>45514.0</v>
      </c>
      <c r="D849" s="38">
        <v>642222.0</v>
      </c>
      <c r="E849" s="39" t="s">
        <v>619</v>
      </c>
    </row>
    <row r="850">
      <c r="A850" s="29" t="s">
        <v>839</v>
      </c>
      <c r="B850" s="30" t="s">
        <v>759</v>
      </c>
      <c r="C850" s="31">
        <v>45536.0</v>
      </c>
      <c r="D850" s="32">
        <v>514844.0</v>
      </c>
      <c r="E850" s="33" t="s">
        <v>619</v>
      </c>
    </row>
    <row r="851">
      <c r="A851" s="35" t="s">
        <v>840</v>
      </c>
      <c r="B851" s="36" t="s">
        <v>759</v>
      </c>
      <c r="C851" s="37">
        <v>44652.0</v>
      </c>
      <c r="D851" s="38">
        <v>496574.0</v>
      </c>
      <c r="E851" s="39" t="s">
        <v>626</v>
      </c>
    </row>
    <row r="852">
      <c r="A852" s="29" t="s">
        <v>840</v>
      </c>
      <c r="B852" s="30" t="s">
        <v>759</v>
      </c>
      <c r="C852" s="31">
        <v>44835.0</v>
      </c>
      <c r="D852" s="32">
        <v>444382.0</v>
      </c>
      <c r="E852" s="33" t="s">
        <v>626</v>
      </c>
    </row>
    <row r="853">
      <c r="A853" s="35" t="s">
        <v>840</v>
      </c>
      <c r="B853" s="36" t="s">
        <v>759</v>
      </c>
      <c r="C853" s="37">
        <v>45017.0</v>
      </c>
      <c r="D853" s="38">
        <v>488440.0</v>
      </c>
      <c r="E853" s="39" t="s">
        <v>626</v>
      </c>
    </row>
    <row r="854">
      <c r="A854" s="29" t="s">
        <v>840</v>
      </c>
      <c r="B854" s="30" t="s">
        <v>759</v>
      </c>
      <c r="C854" s="31">
        <v>45200.0</v>
      </c>
      <c r="D854" s="32">
        <v>309601.0</v>
      </c>
      <c r="E854" s="33" t="s">
        <v>626</v>
      </c>
    </row>
    <row r="855">
      <c r="A855" s="35" t="s">
        <v>841</v>
      </c>
      <c r="B855" s="36" t="s">
        <v>759</v>
      </c>
      <c r="C855" s="37">
        <v>44197.0</v>
      </c>
      <c r="D855" s="38">
        <v>51713.0</v>
      </c>
      <c r="E855" s="39" t="s">
        <v>633</v>
      </c>
    </row>
    <row r="856">
      <c r="A856" s="29" t="s">
        <v>841</v>
      </c>
      <c r="B856" s="30" t="s">
        <v>759</v>
      </c>
      <c r="C856" s="31">
        <v>44287.0</v>
      </c>
      <c r="D856" s="32">
        <v>109533.0</v>
      </c>
      <c r="E856" s="33" t="s">
        <v>633</v>
      </c>
    </row>
    <row r="857">
      <c r="A857" s="35" t="s">
        <v>841</v>
      </c>
      <c r="B857" s="36" t="s">
        <v>759</v>
      </c>
      <c r="C857" s="37">
        <v>44378.0</v>
      </c>
      <c r="D857" s="38">
        <v>117472.0</v>
      </c>
      <c r="E857" s="39" t="s">
        <v>633</v>
      </c>
    </row>
    <row r="858">
      <c r="A858" s="29" t="s">
        <v>841</v>
      </c>
      <c r="B858" s="30" t="s">
        <v>759</v>
      </c>
      <c r="C858" s="31">
        <v>44470.0</v>
      </c>
      <c r="D858" s="32">
        <v>104618.0</v>
      </c>
      <c r="E858" s="33" t="s">
        <v>633</v>
      </c>
    </row>
    <row r="859">
      <c r="A859" s="35" t="s">
        <v>841</v>
      </c>
      <c r="B859" s="36" t="s">
        <v>759</v>
      </c>
      <c r="C859" s="37">
        <v>44562.0</v>
      </c>
      <c r="D859" s="38">
        <v>39420.0</v>
      </c>
      <c r="E859" s="39" t="s">
        <v>633</v>
      </c>
    </row>
    <row r="860">
      <c r="A860" s="29" t="s">
        <v>841</v>
      </c>
      <c r="B860" s="30" t="s">
        <v>759</v>
      </c>
      <c r="C860" s="31">
        <v>44652.0</v>
      </c>
      <c r="D860" s="32">
        <v>46331.0</v>
      </c>
      <c r="E860" s="33" t="s">
        <v>633</v>
      </c>
    </row>
    <row r="861">
      <c r="A861" s="35" t="s">
        <v>841</v>
      </c>
      <c r="B861" s="36" t="s">
        <v>759</v>
      </c>
      <c r="C861" s="37">
        <v>44743.0</v>
      </c>
      <c r="D861" s="38">
        <v>40212.0</v>
      </c>
      <c r="E861" s="39" t="s">
        <v>633</v>
      </c>
    </row>
    <row r="862">
      <c r="A862" s="29" t="s">
        <v>841</v>
      </c>
      <c r="B862" s="30" t="s">
        <v>759</v>
      </c>
      <c r="C862" s="31">
        <v>44835.0</v>
      </c>
      <c r="D862" s="32">
        <v>64932.0</v>
      </c>
      <c r="E862" s="33" t="s">
        <v>633</v>
      </c>
    </row>
    <row r="863">
      <c r="A863" s="35" t="s">
        <v>841</v>
      </c>
      <c r="B863" s="36" t="s">
        <v>759</v>
      </c>
      <c r="C863" s="37">
        <v>44927.0</v>
      </c>
      <c r="D863" s="38">
        <v>81503.0</v>
      </c>
      <c r="E863" s="39" t="s">
        <v>633</v>
      </c>
    </row>
    <row r="864">
      <c r="A864" s="29" t="s">
        <v>841</v>
      </c>
      <c r="B864" s="30" t="s">
        <v>759</v>
      </c>
      <c r="C864" s="31">
        <v>45017.0</v>
      </c>
      <c r="D864" s="32">
        <v>73476.0</v>
      </c>
      <c r="E864" s="33" t="s">
        <v>633</v>
      </c>
    </row>
    <row r="865">
      <c r="A865" s="35" t="s">
        <v>841</v>
      </c>
      <c r="B865" s="36" t="s">
        <v>759</v>
      </c>
      <c r="C865" s="37">
        <v>45108.0</v>
      </c>
      <c r="D865" s="38">
        <v>117902.0</v>
      </c>
      <c r="E865" s="39" t="s">
        <v>633</v>
      </c>
    </row>
    <row r="866">
      <c r="A866" s="29" t="s">
        <v>841</v>
      </c>
      <c r="B866" s="30" t="s">
        <v>759</v>
      </c>
      <c r="C866" s="31">
        <v>45200.0</v>
      </c>
      <c r="D866" s="32">
        <v>38437.0</v>
      </c>
      <c r="E866" s="33" t="s">
        <v>633</v>
      </c>
    </row>
    <row r="867">
      <c r="A867" s="35" t="s">
        <v>841</v>
      </c>
      <c r="B867" s="36" t="s">
        <v>759</v>
      </c>
      <c r="C867" s="37">
        <v>45292.0</v>
      </c>
      <c r="D867" s="38">
        <v>73466.0</v>
      </c>
      <c r="E867" s="39" t="s">
        <v>633</v>
      </c>
    </row>
    <row r="868">
      <c r="A868" s="29" t="s">
        <v>841</v>
      </c>
      <c r="B868" s="30" t="s">
        <v>759</v>
      </c>
      <c r="C868" s="31">
        <v>45383.0</v>
      </c>
      <c r="D868" s="32">
        <v>115458.0</v>
      </c>
      <c r="E868" s="33" t="s">
        <v>633</v>
      </c>
    </row>
    <row r="869">
      <c r="A869" s="35" t="s">
        <v>842</v>
      </c>
      <c r="B869" s="36" t="s">
        <v>755</v>
      </c>
      <c r="C869" s="37">
        <v>45292.0</v>
      </c>
      <c r="D869" s="38">
        <v>57632.0</v>
      </c>
      <c r="E869" s="39" t="s">
        <v>612</v>
      </c>
    </row>
    <row r="870">
      <c r="A870" s="29" t="s">
        <v>842</v>
      </c>
      <c r="B870" s="30" t="s">
        <v>755</v>
      </c>
      <c r="C870" s="31">
        <v>45337.0</v>
      </c>
      <c r="D870" s="32">
        <v>88336.0</v>
      </c>
      <c r="E870" s="33" t="s">
        <v>612</v>
      </c>
    </row>
    <row r="871">
      <c r="A871" s="35" t="s">
        <v>842</v>
      </c>
      <c r="B871" s="36" t="s">
        <v>755</v>
      </c>
      <c r="C871" s="37">
        <v>45359.0</v>
      </c>
      <c r="D871" s="38">
        <v>58897.0</v>
      </c>
      <c r="E871" s="39" t="s">
        <v>612</v>
      </c>
    </row>
    <row r="872">
      <c r="A872" s="29" t="s">
        <v>842</v>
      </c>
      <c r="B872" s="30" t="s">
        <v>755</v>
      </c>
      <c r="C872" s="31">
        <v>45404.0</v>
      </c>
      <c r="D872" s="32">
        <v>33079.0</v>
      </c>
      <c r="E872" s="33" t="s">
        <v>612</v>
      </c>
    </row>
    <row r="873">
      <c r="A873" s="40" t="s">
        <v>842</v>
      </c>
      <c r="B873" s="41" t="s">
        <v>755</v>
      </c>
      <c r="C873" s="42">
        <v>45422.0</v>
      </c>
      <c r="D873" s="43">
        <v>24515.0</v>
      </c>
      <c r="E873" s="44" t="s">
        <v>612</v>
      </c>
    </row>
  </sheetData>
  <dataValidations>
    <dataValidation type="custom" allowBlank="1" showDropDown="1" sqref="C2:C873">
      <formula1>OR(NOT(ISERROR(DATEVALUE(C2))), AND(ISNUMBER(C2), LEFT(CELL("format", C2))="D"))</formula1>
    </dataValidation>
    <dataValidation type="custom" allowBlank="1" showDropDown="1" sqref="D2:D873">
      <formula1>AND(ISNUMBER(D2),(NOT(OR(NOT(ISERROR(DATEVALUE(D2))), AND(ISNUMBER(D2), LEFT(CELL("format", D2))="D")))))</formula1>
    </dataValidation>
    <dataValidation allowBlank="1" showDropDown="1" sqref="A2:B873 E2:E873"/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4" max="4" width="14.63"/>
  </cols>
  <sheetData>
    <row r="1">
      <c r="A1" s="45" t="s">
        <v>843</v>
      </c>
      <c r="B1" s="46" t="s">
        <v>844</v>
      </c>
      <c r="C1" s="46" t="s">
        <v>845</v>
      </c>
      <c r="D1" s="26" t="s">
        <v>846</v>
      </c>
      <c r="E1" s="47" t="s">
        <v>847</v>
      </c>
      <c r="F1" s="48" t="s">
        <v>848</v>
      </c>
    </row>
    <row r="2">
      <c r="A2" s="49">
        <v>43101.0</v>
      </c>
      <c r="B2" s="50" t="s">
        <v>742</v>
      </c>
      <c r="C2" s="51" t="s">
        <v>849</v>
      </c>
      <c r="D2" s="52" t="s">
        <v>850</v>
      </c>
      <c r="E2" s="50" t="s">
        <v>851</v>
      </c>
      <c r="F2" s="53" t="s">
        <v>852</v>
      </c>
    </row>
    <row r="3">
      <c r="A3" s="54">
        <v>43102.0</v>
      </c>
      <c r="B3" s="55" t="s">
        <v>744</v>
      </c>
      <c r="C3" s="56" t="s">
        <v>849</v>
      </c>
      <c r="D3" s="57" t="s">
        <v>850</v>
      </c>
      <c r="E3" s="55" t="s">
        <v>851</v>
      </c>
      <c r="F3" s="58" t="s">
        <v>852</v>
      </c>
    </row>
    <row r="4">
      <c r="A4" s="59">
        <v>43103.0</v>
      </c>
      <c r="B4" s="50" t="s">
        <v>746</v>
      </c>
      <c r="C4" s="51" t="s">
        <v>849</v>
      </c>
      <c r="D4" s="52" t="s">
        <v>850</v>
      </c>
      <c r="E4" s="50" t="s">
        <v>851</v>
      </c>
      <c r="F4" s="53" t="s">
        <v>852</v>
      </c>
    </row>
    <row r="5">
      <c r="A5" s="54">
        <v>43104.0</v>
      </c>
      <c r="B5" s="55" t="s">
        <v>748</v>
      </c>
      <c r="C5" s="56" t="s">
        <v>849</v>
      </c>
      <c r="D5" s="57" t="s">
        <v>850</v>
      </c>
      <c r="E5" s="55" t="s">
        <v>851</v>
      </c>
      <c r="F5" s="58" t="s">
        <v>852</v>
      </c>
    </row>
    <row r="6">
      <c r="A6" s="59">
        <v>43105.0</v>
      </c>
      <c r="B6" s="50" t="s">
        <v>750</v>
      </c>
      <c r="C6" s="51" t="s">
        <v>849</v>
      </c>
      <c r="D6" s="52" t="s">
        <v>850</v>
      </c>
      <c r="E6" s="50" t="s">
        <v>851</v>
      </c>
      <c r="F6" s="53" t="s">
        <v>852</v>
      </c>
    </row>
    <row r="7">
      <c r="A7" s="54">
        <v>43106.0</v>
      </c>
      <c r="B7" s="55" t="s">
        <v>752</v>
      </c>
      <c r="C7" s="56" t="s">
        <v>849</v>
      </c>
      <c r="D7" s="57" t="s">
        <v>850</v>
      </c>
      <c r="E7" s="55" t="s">
        <v>851</v>
      </c>
      <c r="F7" s="58" t="s">
        <v>852</v>
      </c>
    </row>
    <row r="8">
      <c r="A8" s="59">
        <v>43107.0</v>
      </c>
      <c r="B8" s="50" t="s">
        <v>753</v>
      </c>
      <c r="C8" s="51" t="s">
        <v>849</v>
      </c>
      <c r="D8" s="52" t="s">
        <v>850</v>
      </c>
      <c r="E8" s="50" t="s">
        <v>851</v>
      </c>
      <c r="F8" s="53" t="s">
        <v>852</v>
      </c>
    </row>
    <row r="9">
      <c r="A9" s="54">
        <v>43108.0</v>
      </c>
      <c r="B9" s="55" t="s">
        <v>754</v>
      </c>
      <c r="C9" s="56" t="s">
        <v>849</v>
      </c>
      <c r="D9" s="57" t="s">
        <v>850</v>
      </c>
      <c r="E9" s="55" t="s">
        <v>851</v>
      </c>
      <c r="F9" s="58" t="s">
        <v>852</v>
      </c>
    </row>
    <row r="10">
      <c r="A10" s="59">
        <v>43109.0</v>
      </c>
      <c r="B10" s="50" t="s">
        <v>755</v>
      </c>
      <c r="C10" s="51" t="s">
        <v>849</v>
      </c>
      <c r="D10" s="52" t="s">
        <v>850</v>
      </c>
      <c r="E10" s="50" t="s">
        <v>851</v>
      </c>
      <c r="F10" s="53" t="s">
        <v>852</v>
      </c>
    </row>
    <row r="11">
      <c r="A11" s="54">
        <v>43110.0</v>
      </c>
      <c r="B11" s="55" t="s">
        <v>756</v>
      </c>
      <c r="C11" s="56" t="s">
        <v>849</v>
      </c>
      <c r="D11" s="57" t="s">
        <v>850</v>
      </c>
      <c r="E11" s="55" t="s">
        <v>851</v>
      </c>
      <c r="F11" s="58" t="s">
        <v>852</v>
      </c>
    </row>
    <row r="12">
      <c r="A12" s="59">
        <v>43111.0</v>
      </c>
      <c r="B12" s="50" t="s">
        <v>758</v>
      </c>
      <c r="C12" s="51" t="s">
        <v>849</v>
      </c>
      <c r="D12" s="52" t="s">
        <v>850</v>
      </c>
      <c r="E12" s="50" t="s">
        <v>851</v>
      </c>
      <c r="F12" s="53" t="s">
        <v>852</v>
      </c>
    </row>
    <row r="13">
      <c r="A13" s="54">
        <v>43112.0</v>
      </c>
      <c r="B13" s="55" t="s">
        <v>759</v>
      </c>
      <c r="C13" s="56" t="s">
        <v>849</v>
      </c>
      <c r="D13" s="57" t="s">
        <v>850</v>
      </c>
      <c r="E13" s="55" t="s">
        <v>851</v>
      </c>
      <c r="F13" s="58" t="s">
        <v>852</v>
      </c>
    </row>
    <row r="14">
      <c r="A14" s="59">
        <v>43113.0</v>
      </c>
      <c r="B14" s="50" t="s">
        <v>760</v>
      </c>
      <c r="C14" s="51" t="s">
        <v>849</v>
      </c>
      <c r="D14" s="52" t="s">
        <v>850</v>
      </c>
      <c r="E14" s="50" t="s">
        <v>851</v>
      </c>
      <c r="F14" s="53" t="s">
        <v>852</v>
      </c>
    </row>
    <row r="15">
      <c r="A15" s="54">
        <v>43114.0</v>
      </c>
      <c r="B15" s="55" t="s">
        <v>761</v>
      </c>
      <c r="C15" s="56" t="s">
        <v>849</v>
      </c>
      <c r="D15" s="57" t="s">
        <v>850</v>
      </c>
      <c r="E15" s="55" t="s">
        <v>851</v>
      </c>
      <c r="F15" s="58" t="s">
        <v>852</v>
      </c>
    </row>
    <row r="16">
      <c r="A16" s="59">
        <v>43115.0</v>
      </c>
      <c r="B16" s="50" t="s">
        <v>762</v>
      </c>
      <c r="C16" s="51" t="s">
        <v>849</v>
      </c>
      <c r="D16" s="52" t="s">
        <v>850</v>
      </c>
      <c r="E16" s="50" t="s">
        <v>851</v>
      </c>
      <c r="F16" s="53" t="s">
        <v>852</v>
      </c>
    </row>
    <row r="17">
      <c r="A17" s="54">
        <v>43116.0</v>
      </c>
      <c r="B17" s="55" t="s">
        <v>763</v>
      </c>
      <c r="C17" s="56" t="s">
        <v>849</v>
      </c>
      <c r="D17" s="57" t="s">
        <v>850</v>
      </c>
      <c r="E17" s="55" t="s">
        <v>851</v>
      </c>
      <c r="F17" s="58" t="s">
        <v>852</v>
      </c>
    </row>
    <row r="18">
      <c r="A18" s="59">
        <v>43117.0</v>
      </c>
      <c r="B18" s="50" t="s">
        <v>764</v>
      </c>
      <c r="C18" s="51" t="s">
        <v>849</v>
      </c>
      <c r="D18" s="52" t="s">
        <v>850</v>
      </c>
      <c r="E18" s="50" t="s">
        <v>851</v>
      </c>
      <c r="F18" s="53" t="s">
        <v>852</v>
      </c>
    </row>
    <row r="19">
      <c r="A19" s="54">
        <v>43118.0</v>
      </c>
      <c r="B19" s="55" t="s">
        <v>765</v>
      </c>
      <c r="C19" s="56" t="s">
        <v>849</v>
      </c>
      <c r="D19" s="57" t="s">
        <v>850</v>
      </c>
      <c r="E19" s="55" t="s">
        <v>851</v>
      </c>
      <c r="F19" s="58" t="s">
        <v>852</v>
      </c>
    </row>
    <row r="20">
      <c r="A20" s="59">
        <v>43119.0</v>
      </c>
      <c r="B20" s="50" t="s">
        <v>743</v>
      </c>
      <c r="C20" s="51" t="s">
        <v>849</v>
      </c>
      <c r="D20" s="52" t="s">
        <v>850</v>
      </c>
      <c r="E20" s="50" t="s">
        <v>851</v>
      </c>
      <c r="F20" s="53" t="s">
        <v>852</v>
      </c>
    </row>
    <row r="21">
      <c r="A21" s="54">
        <v>43120.0</v>
      </c>
      <c r="B21" s="55" t="s">
        <v>766</v>
      </c>
      <c r="C21" s="56" t="s">
        <v>849</v>
      </c>
      <c r="D21" s="57" t="s">
        <v>850</v>
      </c>
      <c r="E21" s="55" t="s">
        <v>851</v>
      </c>
      <c r="F21" s="58" t="s">
        <v>852</v>
      </c>
    </row>
    <row r="22">
      <c r="A22" s="59">
        <v>43121.0</v>
      </c>
      <c r="B22" s="50" t="s">
        <v>745</v>
      </c>
      <c r="C22" s="51" t="s">
        <v>849</v>
      </c>
      <c r="D22" s="52" t="s">
        <v>850</v>
      </c>
      <c r="E22" s="50" t="s">
        <v>851</v>
      </c>
      <c r="F22" s="53" t="s">
        <v>852</v>
      </c>
    </row>
    <row r="23">
      <c r="A23" s="54">
        <v>43122.0</v>
      </c>
      <c r="B23" s="55" t="s">
        <v>767</v>
      </c>
      <c r="C23" s="56" t="s">
        <v>849</v>
      </c>
      <c r="D23" s="57" t="s">
        <v>850</v>
      </c>
      <c r="E23" s="55" t="s">
        <v>851</v>
      </c>
      <c r="F23" s="58" t="s">
        <v>852</v>
      </c>
    </row>
    <row r="24">
      <c r="A24" s="59">
        <v>43123.0</v>
      </c>
      <c r="B24" s="50" t="s">
        <v>768</v>
      </c>
      <c r="C24" s="51" t="s">
        <v>849</v>
      </c>
      <c r="D24" s="52" t="s">
        <v>850</v>
      </c>
      <c r="E24" s="50" t="s">
        <v>851</v>
      </c>
      <c r="F24" s="53" t="s">
        <v>852</v>
      </c>
    </row>
    <row r="25">
      <c r="A25" s="54">
        <v>43124.0</v>
      </c>
      <c r="B25" s="55" t="s">
        <v>747</v>
      </c>
      <c r="C25" s="56" t="s">
        <v>849</v>
      </c>
      <c r="D25" s="57" t="s">
        <v>850</v>
      </c>
      <c r="E25" s="55" t="s">
        <v>851</v>
      </c>
      <c r="F25" s="58" t="s">
        <v>852</v>
      </c>
    </row>
    <row r="26">
      <c r="A26" s="59">
        <v>43125.0</v>
      </c>
      <c r="B26" s="50" t="s">
        <v>769</v>
      </c>
      <c r="C26" s="51" t="s">
        <v>849</v>
      </c>
      <c r="D26" s="52" t="s">
        <v>850</v>
      </c>
      <c r="E26" s="50" t="s">
        <v>851</v>
      </c>
      <c r="F26" s="53" t="s">
        <v>852</v>
      </c>
    </row>
    <row r="27">
      <c r="A27" s="54">
        <v>43126.0</v>
      </c>
      <c r="B27" s="55" t="s">
        <v>770</v>
      </c>
      <c r="C27" s="56" t="s">
        <v>849</v>
      </c>
      <c r="D27" s="57" t="s">
        <v>850</v>
      </c>
      <c r="E27" s="55" t="s">
        <v>851</v>
      </c>
      <c r="F27" s="58" t="s">
        <v>852</v>
      </c>
    </row>
    <row r="28">
      <c r="A28" s="59">
        <v>43127.0</v>
      </c>
      <c r="B28" s="50" t="s">
        <v>749</v>
      </c>
      <c r="C28" s="51" t="s">
        <v>849</v>
      </c>
      <c r="D28" s="52" t="s">
        <v>850</v>
      </c>
      <c r="E28" s="50" t="s">
        <v>851</v>
      </c>
      <c r="F28" s="53" t="s">
        <v>852</v>
      </c>
    </row>
    <row r="29">
      <c r="A29" s="54">
        <v>43128.0</v>
      </c>
      <c r="B29" s="55" t="s">
        <v>771</v>
      </c>
      <c r="C29" s="56" t="s">
        <v>849</v>
      </c>
      <c r="D29" s="57" t="s">
        <v>850</v>
      </c>
      <c r="E29" s="55" t="s">
        <v>851</v>
      </c>
      <c r="F29" s="58" t="s">
        <v>852</v>
      </c>
    </row>
    <row r="30">
      <c r="A30" s="59">
        <v>43129.0</v>
      </c>
      <c r="B30" s="50" t="s">
        <v>772</v>
      </c>
      <c r="C30" s="51" t="s">
        <v>849</v>
      </c>
      <c r="D30" s="52" t="s">
        <v>850</v>
      </c>
      <c r="E30" s="50" t="s">
        <v>851</v>
      </c>
      <c r="F30" s="53" t="s">
        <v>852</v>
      </c>
    </row>
    <row r="31">
      <c r="A31" s="54">
        <v>43130.0</v>
      </c>
      <c r="B31" s="55" t="s">
        <v>773</v>
      </c>
      <c r="C31" s="56" t="s">
        <v>849</v>
      </c>
      <c r="D31" s="57" t="s">
        <v>850</v>
      </c>
      <c r="E31" s="55" t="s">
        <v>851</v>
      </c>
      <c r="F31" s="58" t="s">
        <v>852</v>
      </c>
    </row>
    <row r="32">
      <c r="A32" s="59">
        <v>43131.0</v>
      </c>
      <c r="B32" s="50" t="s">
        <v>774</v>
      </c>
      <c r="C32" s="51" t="s">
        <v>849</v>
      </c>
      <c r="D32" s="52" t="s">
        <v>850</v>
      </c>
      <c r="E32" s="50" t="s">
        <v>851</v>
      </c>
      <c r="F32" s="53" t="s">
        <v>852</v>
      </c>
    </row>
    <row r="33">
      <c r="A33" s="54">
        <v>43132.0</v>
      </c>
      <c r="B33" s="55" t="s">
        <v>742</v>
      </c>
      <c r="C33" s="56" t="s">
        <v>853</v>
      </c>
      <c r="D33" s="57" t="s">
        <v>854</v>
      </c>
      <c r="E33" s="55" t="s">
        <v>855</v>
      </c>
      <c r="F33" s="58" t="s">
        <v>852</v>
      </c>
    </row>
    <row r="34">
      <c r="A34" s="59">
        <v>43133.0</v>
      </c>
      <c r="B34" s="50" t="s">
        <v>744</v>
      </c>
      <c r="C34" s="51" t="s">
        <v>853</v>
      </c>
      <c r="D34" s="52" t="s">
        <v>854</v>
      </c>
      <c r="E34" s="50" t="s">
        <v>855</v>
      </c>
      <c r="F34" s="53" t="s">
        <v>852</v>
      </c>
    </row>
    <row r="35">
      <c r="A35" s="54">
        <v>43134.0</v>
      </c>
      <c r="B35" s="55" t="s">
        <v>746</v>
      </c>
      <c r="C35" s="56" t="s">
        <v>853</v>
      </c>
      <c r="D35" s="57" t="s">
        <v>854</v>
      </c>
      <c r="E35" s="55" t="s">
        <v>855</v>
      </c>
      <c r="F35" s="58" t="s">
        <v>852</v>
      </c>
    </row>
    <row r="36">
      <c r="A36" s="59">
        <v>43135.0</v>
      </c>
      <c r="B36" s="50" t="s">
        <v>748</v>
      </c>
      <c r="C36" s="51" t="s">
        <v>853</v>
      </c>
      <c r="D36" s="52" t="s">
        <v>854</v>
      </c>
      <c r="E36" s="50" t="s">
        <v>855</v>
      </c>
      <c r="F36" s="53" t="s">
        <v>852</v>
      </c>
    </row>
    <row r="37">
      <c r="A37" s="54">
        <v>43136.0</v>
      </c>
      <c r="B37" s="55" t="s">
        <v>750</v>
      </c>
      <c r="C37" s="56" t="s">
        <v>853</v>
      </c>
      <c r="D37" s="57" t="s">
        <v>854</v>
      </c>
      <c r="E37" s="55" t="s">
        <v>855</v>
      </c>
      <c r="F37" s="58" t="s">
        <v>852</v>
      </c>
    </row>
    <row r="38">
      <c r="A38" s="59">
        <v>43137.0</v>
      </c>
      <c r="B38" s="50" t="s">
        <v>752</v>
      </c>
      <c r="C38" s="51" t="s">
        <v>853</v>
      </c>
      <c r="D38" s="52" t="s">
        <v>854</v>
      </c>
      <c r="E38" s="50" t="s">
        <v>855</v>
      </c>
      <c r="F38" s="53" t="s">
        <v>852</v>
      </c>
    </row>
    <row r="39">
      <c r="A39" s="54">
        <v>43138.0</v>
      </c>
      <c r="B39" s="55" t="s">
        <v>753</v>
      </c>
      <c r="C39" s="56" t="s">
        <v>853</v>
      </c>
      <c r="D39" s="57" t="s">
        <v>854</v>
      </c>
      <c r="E39" s="55" t="s">
        <v>855</v>
      </c>
      <c r="F39" s="58" t="s">
        <v>852</v>
      </c>
    </row>
    <row r="40">
      <c r="A40" s="59">
        <v>43139.0</v>
      </c>
      <c r="B40" s="50" t="s">
        <v>754</v>
      </c>
      <c r="C40" s="51" t="s">
        <v>853</v>
      </c>
      <c r="D40" s="52" t="s">
        <v>854</v>
      </c>
      <c r="E40" s="50" t="s">
        <v>855</v>
      </c>
      <c r="F40" s="53" t="s">
        <v>852</v>
      </c>
    </row>
    <row r="41">
      <c r="A41" s="54">
        <v>43140.0</v>
      </c>
      <c r="B41" s="55" t="s">
        <v>755</v>
      </c>
      <c r="C41" s="56" t="s">
        <v>853</v>
      </c>
      <c r="D41" s="57" t="s">
        <v>854</v>
      </c>
      <c r="E41" s="55" t="s">
        <v>855</v>
      </c>
      <c r="F41" s="58" t="s">
        <v>852</v>
      </c>
    </row>
    <row r="42">
      <c r="A42" s="59">
        <v>43141.0</v>
      </c>
      <c r="B42" s="50" t="s">
        <v>756</v>
      </c>
      <c r="C42" s="51" t="s">
        <v>853</v>
      </c>
      <c r="D42" s="52" t="s">
        <v>854</v>
      </c>
      <c r="E42" s="50" t="s">
        <v>855</v>
      </c>
      <c r="F42" s="53" t="s">
        <v>852</v>
      </c>
    </row>
    <row r="43">
      <c r="A43" s="54">
        <v>43142.0</v>
      </c>
      <c r="B43" s="55" t="s">
        <v>758</v>
      </c>
      <c r="C43" s="56" t="s">
        <v>853</v>
      </c>
      <c r="D43" s="57" t="s">
        <v>854</v>
      </c>
      <c r="E43" s="55" t="s">
        <v>855</v>
      </c>
      <c r="F43" s="58" t="s">
        <v>852</v>
      </c>
    </row>
    <row r="44">
      <c r="A44" s="59">
        <v>43143.0</v>
      </c>
      <c r="B44" s="50" t="s">
        <v>759</v>
      </c>
      <c r="C44" s="51" t="s">
        <v>853</v>
      </c>
      <c r="D44" s="52" t="s">
        <v>854</v>
      </c>
      <c r="E44" s="50" t="s">
        <v>855</v>
      </c>
      <c r="F44" s="53" t="s">
        <v>852</v>
      </c>
    </row>
    <row r="45">
      <c r="A45" s="54">
        <v>43144.0</v>
      </c>
      <c r="B45" s="55" t="s">
        <v>760</v>
      </c>
      <c r="C45" s="56" t="s">
        <v>853</v>
      </c>
      <c r="D45" s="57" t="s">
        <v>854</v>
      </c>
      <c r="E45" s="55" t="s">
        <v>855</v>
      </c>
      <c r="F45" s="58" t="s">
        <v>852</v>
      </c>
    </row>
    <row r="46">
      <c r="A46" s="59">
        <v>43145.0</v>
      </c>
      <c r="B46" s="50" t="s">
        <v>761</v>
      </c>
      <c r="C46" s="51" t="s">
        <v>853</v>
      </c>
      <c r="D46" s="52" t="s">
        <v>854</v>
      </c>
      <c r="E46" s="50" t="s">
        <v>855</v>
      </c>
      <c r="F46" s="53" t="s">
        <v>852</v>
      </c>
    </row>
    <row r="47">
      <c r="A47" s="54">
        <v>43146.0</v>
      </c>
      <c r="B47" s="55" t="s">
        <v>762</v>
      </c>
      <c r="C47" s="56" t="s">
        <v>853</v>
      </c>
      <c r="D47" s="57" t="s">
        <v>854</v>
      </c>
      <c r="E47" s="55" t="s">
        <v>855</v>
      </c>
      <c r="F47" s="58" t="s">
        <v>852</v>
      </c>
    </row>
    <row r="48">
      <c r="A48" s="59">
        <v>43147.0</v>
      </c>
      <c r="B48" s="50" t="s">
        <v>763</v>
      </c>
      <c r="C48" s="51" t="s">
        <v>853</v>
      </c>
      <c r="D48" s="52" t="s">
        <v>854</v>
      </c>
      <c r="E48" s="50" t="s">
        <v>855</v>
      </c>
      <c r="F48" s="53" t="s">
        <v>852</v>
      </c>
    </row>
    <row r="49">
      <c r="A49" s="54">
        <v>43148.0</v>
      </c>
      <c r="B49" s="55" t="s">
        <v>764</v>
      </c>
      <c r="C49" s="56" t="s">
        <v>853</v>
      </c>
      <c r="D49" s="57" t="s">
        <v>854</v>
      </c>
      <c r="E49" s="55" t="s">
        <v>855</v>
      </c>
      <c r="F49" s="58" t="s">
        <v>852</v>
      </c>
    </row>
    <row r="50">
      <c r="A50" s="59">
        <v>43149.0</v>
      </c>
      <c r="B50" s="50" t="s">
        <v>765</v>
      </c>
      <c r="C50" s="51" t="s">
        <v>853</v>
      </c>
      <c r="D50" s="52" t="s">
        <v>854</v>
      </c>
      <c r="E50" s="50" t="s">
        <v>855</v>
      </c>
      <c r="F50" s="53" t="s">
        <v>852</v>
      </c>
    </row>
    <row r="51">
      <c r="A51" s="54">
        <v>43150.0</v>
      </c>
      <c r="B51" s="55" t="s">
        <v>743</v>
      </c>
      <c r="C51" s="56" t="s">
        <v>853</v>
      </c>
      <c r="D51" s="57" t="s">
        <v>854</v>
      </c>
      <c r="E51" s="55" t="s">
        <v>855</v>
      </c>
      <c r="F51" s="58" t="s">
        <v>852</v>
      </c>
    </row>
    <row r="52">
      <c r="A52" s="59">
        <v>43151.0</v>
      </c>
      <c r="B52" s="50" t="s">
        <v>766</v>
      </c>
      <c r="C52" s="51" t="s">
        <v>853</v>
      </c>
      <c r="D52" s="52" t="s">
        <v>854</v>
      </c>
      <c r="E52" s="50" t="s">
        <v>855</v>
      </c>
      <c r="F52" s="53" t="s">
        <v>852</v>
      </c>
    </row>
    <row r="53">
      <c r="A53" s="54">
        <v>43152.0</v>
      </c>
      <c r="B53" s="55" t="s">
        <v>745</v>
      </c>
      <c r="C53" s="56" t="s">
        <v>853</v>
      </c>
      <c r="D53" s="57" t="s">
        <v>854</v>
      </c>
      <c r="E53" s="55" t="s">
        <v>855</v>
      </c>
      <c r="F53" s="58" t="s">
        <v>852</v>
      </c>
    </row>
    <row r="54">
      <c r="A54" s="59">
        <v>43153.0</v>
      </c>
      <c r="B54" s="50" t="s">
        <v>767</v>
      </c>
      <c r="C54" s="51" t="s">
        <v>853</v>
      </c>
      <c r="D54" s="52" t="s">
        <v>854</v>
      </c>
      <c r="E54" s="50" t="s">
        <v>855</v>
      </c>
      <c r="F54" s="53" t="s">
        <v>852</v>
      </c>
    </row>
    <row r="55">
      <c r="A55" s="54">
        <v>43154.0</v>
      </c>
      <c r="B55" s="55" t="s">
        <v>768</v>
      </c>
      <c r="C55" s="56" t="s">
        <v>853</v>
      </c>
      <c r="D55" s="57" t="s">
        <v>854</v>
      </c>
      <c r="E55" s="55" t="s">
        <v>855</v>
      </c>
      <c r="F55" s="58" t="s">
        <v>852</v>
      </c>
    </row>
    <row r="56">
      <c r="A56" s="59">
        <v>43155.0</v>
      </c>
      <c r="B56" s="50" t="s">
        <v>747</v>
      </c>
      <c r="C56" s="51" t="s">
        <v>853</v>
      </c>
      <c r="D56" s="52" t="s">
        <v>854</v>
      </c>
      <c r="E56" s="50" t="s">
        <v>855</v>
      </c>
      <c r="F56" s="53" t="s">
        <v>852</v>
      </c>
    </row>
    <row r="57">
      <c r="A57" s="54">
        <v>43156.0</v>
      </c>
      <c r="B57" s="55" t="s">
        <v>769</v>
      </c>
      <c r="C57" s="56" t="s">
        <v>853</v>
      </c>
      <c r="D57" s="57" t="s">
        <v>854</v>
      </c>
      <c r="E57" s="55" t="s">
        <v>855</v>
      </c>
      <c r="F57" s="58" t="s">
        <v>852</v>
      </c>
    </row>
    <row r="58">
      <c r="A58" s="59">
        <v>43157.0</v>
      </c>
      <c r="B58" s="50" t="s">
        <v>770</v>
      </c>
      <c r="C58" s="51" t="s">
        <v>853</v>
      </c>
      <c r="D58" s="52" t="s">
        <v>854</v>
      </c>
      <c r="E58" s="50" t="s">
        <v>855</v>
      </c>
      <c r="F58" s="53" t="s">
        <v>852</v>
      </c>
    </row>
    <row r="59">
      <c r="A59" s="54">
        <v>43158.0</v>
      </c>
      <c r="B59" s="55" t="s">
        <v>749</v>
      </c>
      <c r="C59" s="56" t="s">
        <v>853</v>
      </c>
      <c r="D59" s="57" t="s">
        <v>854</v>
      </c>
      <c r="E59" s="55" t="s">
        <v>855</v>
      </c>
      <c r="F59" s="58" t="s">
        <v>852</v>
      </c>
    </row>
    <row r="60">
      <c r="A60" s="59">
        <v>43159.0</v>
      </c>
      <c r="B60" s="50" t="s">
        <v>771</v>
      </c>
      <c r="C60" s="51" t="s">
        <v>853</v>
      </c>
      <c r="D60" s="52" t="s">
        <v>854</v>
      </c>
      <c r="E60" s="50" t="s">
        <v>855</v>
      </c>
      <c r="F60" s="53" t="s">
        <v>852</v>
      </c>
    </row>
    <row r="61">
      <c r="A61" s="54">
        <v>43160.0</v>
      </c>
      <c r="B61" s="55" t="s">
        <v>742</v>
      </c>
      <c r="C61" s="56" t="s">
        <v>856</v>
      </c>
      <c r="D61" s="57" t="s">
        <v>857</v>
      </c>
      <c r="E61" s="55" t="s">
        <v>858</v>
      </c>
      <c r="F61" s="58" t="s">
        <v>852</v>
      </c>
    </row>
    <row r="62">
      <c r="A62" s="59">
        <v>43161.0</v>
      </c>
      <c r="B62" s="50" t="s">
        <v>744</v>
      </c>
      <c r="C62" s="51" t="s">
        <v>856</v>
      </c>
      <c r="D62" s="52" t="s">
        <v>857</v>
      </c>
      <c r="E62" s="50" t="s">
        <v>858</v>
      </c>
      <c r="F62" s="53" t="s">
        <v>852</v>
      </c>
    </row>
    <row r="63">
      <c r="A63" s="54">
        <v>43162.0</v>
      </c>
      <c r="B63" s="55" t="s">
        <v>746</v>
      </c>
      <c r="C63" s="56" t="s">
        <v>856</v>
      </c>
      <c r="D63" s="57" t="s">
        <v>857</v>
      </c>
      <c r="E63" s="55" t="s">
        <v>858</v>
      </c>
      <c r="F63" s="58" t="s">
        <v>852</v>
      </c>
    </row>
    <row r="64">
      <c r="A64" s="59">
        <v>43163.0</v>
      </c>
      <c r="B64" s="50" t="s">
        <v>748</v>
      </c>
      <c r="C64" s="51" t="s">
        <v>856</v>
      </c>
      <c r="D64" s="52" t="s">
        <v>857</v>
      </c>
      <c r="E64" s="50" t="s">
        <v>858</v>
      </c>
      <c r="F64" s="53" t="s">
        <v>852</v>
      </c>
    </row>
    <row r="65">
      <c r="A65" s="54">
        <v>43164.0</v>
      </c>
      <c r="B65" s="55" t="s">
        <v>750</v>
      </c>
      <c r="C65" s="56" t="s">
        <v>856</v>
      </c>
      <c r="D65" s="57" t="s">
        <v>857</v>
      </c>
      <c r="E65" s="55" t="s">
        <v>858</v>
      </c>
      <c r="F65" s="58" t="s">
        <v>852</v>
      </c>
    </row>
    <row r="66">
      <c r="A66" s="59">
        <v>43165.0</v>
      </c>
      <c r="B66" s="50" t="s">
        <v>752</v>
      </c>
      <c r="C66" s="51" t="s">
        <v>856</v>
      </c>
      <c r="D66" s="52" t="s">
        <v>857</v>
      </c>
      <c r="E66" s="50" t="s">
        <v>858</v>
      </c>
      <c r="F66" s="53" t="s">
        <v>852</v>
      </c>
    </row>
    <row r="67">
      <c r="A67" s="54">
        <v>43166.0</v>
      </c>
      <c r="B67" s="55" t="s">
        <v>753</v>
      </c>
      <c r="C67" s="56" t="s">
        <v>856</v>
      </c>
      <c r="D67" s="57" t="s">
        <v>857</v>
      </c>
      <c r="E67" s="55" t="s">
        <v>858</v>
      </c>
      <c r="F67" s="58" t="s">
        <v>852</v>
      </c>
    </row>
    <row r="68">
      <c r="A68" s="59">
        <v>43167.0</v>
      </c>
      <c r="B68" s="50" t="s">
        <v>754</v>
      </c>
      <c r="C68" s="51" t="s">
        <v>856</v>
      </c>
      <c r="D68" s="52" t="s">
        <v>857</v>
      </c>
      <c r="E68" s="50" t="s">
        <v>858</v>
      </c>
      <c r="F68" s="53" t="s">
        <v>852</v>
      </c>
    </row>
    <row r="69">
      <c r="A69" s="54">
        <v>43168.0</v>
      </c>
      <c r="B69" s="55" t="s">
        <v>755</v>
      </c>
      <c r="C69" s="56" t="s">
        <v>856</v>
      </c>
      <c r="D69" s="57" t="s">
        <v>857</v>
      </c>
      <c r="E69" s="55" t="s">
        <v>858</v>
      </c>
      <c r="F69" s="58" t="s">
        <v>852</v>
      </c>
    </row>
    <row r="70">
      <c r="A70" s="59">
        <v>43169.0</v>
      </c>
      <c r="B70" s="50" t="s">
        <v>756</v>
      </c>
      <c r="C70" s="51" t="s">
        <v>856</v>
      </c>
      <c r="D70" s="52" t="s">
        <v>857</v>
      </c>
      <c r="E70" s="50" t="s">
        <v>858</v>
      </c>
      <c r="F70" s="53" t="s">
        <v>852</v>
      </c>
    </row>
    <row r="71">
      <c r="A71" s="54">
        <v>43170.0</v>
      </c>
      <c r="B71" s="55" t="s">
        <v>758</v>
      </c>
      <c r="C71" s="56" t="s">
        <v>856</v>
      </c>
      <c r="D71" s="57" t="s">
        <v>857</v>
      </c>
      <c r="E71" s="55" t="s">
        <v>858</v>
      </c>
      <c r="F71" s="58" t="s">
        <v>852</v>
      </c>
    </row>
    <row r="72">
      <c r="A72" s="59">
        <v>43171.0</v>
      </c>
      <c r="B72" s="50" t="s">
        <v>759</v>
      </c>
      <c r="C72" s="51" t="s">
        <v>856</v>
      </c>
      <c r="D72" s="52" t="s">
        <v>857</v>
      </c>
      <c r="E72" s="50" t="s">
        <v>858</v>
      </c>
      <c r="F72" s="53" t="s">
        <v>852</v>
      </c>
    </row>
    <row r="73">
      <c r="A73" s="54">
        <v>43172.0</v>
      </c>
      <c r="B73" s="55" t="s">
        <v>760</v>
      </c>
      <c r="C73" s="56" t="s">
        <v>856</v>
      </c>
      <c r="D73" s="57" t="s">
        <v>857</v>
      </c>
      <c r="E73" s="55" t="s">
        <v>858</v>
      </c>
      <c r="F73" s="58" t="s">
        <v>852</v>
      </c>
    </row>
    <row r="74">
      <c r="A74" s="59">
        <v>43173.0</v>
      </c>
      <c r="B74" s="50" t="s">
        <v>761</v>
      </c>
      <c r="C74" s="51" t="s">
        <v>856</v>
      </c>
      <c r="D74" s="52" t="s">
        <v>857</v>
      </c>
      <c r="E74" s="50" t="s">
        <v>858</v>
      </c>
      <c r="F74" s="53" t="s">
        <v>852</v>
      </c>
    </row>
    <row r="75">
      <c r="A75" s="54">
        <v>43174.0</v>
      </c>
      <c r="B75" s="55" t="s">
        <v>762</v>
      </c>
      <c r="C75" s="56" t="s">
        <v>856</v>
      </c>
      <c r="D75" s="57" t="s">
        <v>857</v>
      </c>
      <c r="E75" s="55" t="s">
        <v>858</v>
      </c>
      <c r="F75" s="58" t="s">
        <v>852</v>
      </c>
    </row>
    <row r="76">
      <c r="A76" s="59">
        <v>43175.0</v>
      </c>
      <c r="B76" s="50" t="s">
        <v>763</v>
      </c>
      <c r="C76" s="51" t="s">
        <v>856</v>
      </c>
      <c r="D76" s="52" t="s">
        <v>857</v>
      </c>
      <c r="E76" s="50" t="s">
        <v>858</v>
      </c>
      <c r="F76" s="53" t="s">
        <v>852</v>
      </c>
    </row>
    <row r="77">
      <c r="A77" s="54">
        <v>43176.0</v>
      </c>
      <c r="B77" s="55" t="s">
        <v>764</v>
      </c>
      <c r="C77" s="56" t="s">
        <v>856</v>
      </c>
      <c r="D77" s="57" t="s">
        <v>857</v>
      </c>
      <c r="E77" s="55" t="s">
        <v>858</v>
      </c>
      <c r="F77" s="58" t="s">
        <v>852</v>
      </c>
    </row>
    <row r="78">
      <c r="A78" s="59">
        <v>43177.0</v>
      </c>
      <c r="B78" s="50" t="s">
        <v>765</v>
      </c>
      <c r="C78" s="51" t="s">
        <v>856</v>
      </c>
      <c r="D78" s="52" t="s">
        <v>857</v>
      </c>
      <c r="E78" s="50" t="s">
        <v>858</v>
      </c>
      <c r="F78" s="53" t="s">
        <v>852</v>
      </c>
    </row>
    <row r="79">
      <c r="A79" s="54">
        <v>43178.0</v>
      </c>
      <c r="B79" s="55" t="s">
        <v>743</v>
      </c>
      <c r="C79" s="56" t="s">
        <v>856</v>
      </c>
      <c r="D79" s="57" t="s">
        <v>857</v>
      </c>
      <c r="E79" s="55" t="s">
        <v>858</v>
      </c>
      <c r="F79" s="58" t="s">
        <v>852</v>
      </c>
    </row>
    <row r="80">
      <c r="A80" s="59">
        <v>43179.0</v>
      </c>
      <c r="B80" s="50" t="s">
        <v>766</v>
      </c>
      <c r="C80" s="51" t="s">
        <v>856</v>
      </c>
      <c r="D80" s="52" t="s">
        <v>857</v>
      </c>
      <c r="E80" s="50" t="s">
        <v>858</v>
      </c>
      <c r="F80" s="53" t="s">
        <v>852</v>
      </c>
    </row>
    <row r="81">
      <c r="A81" s="54">
        <v>43180.0</v>
      </c>
      <c r="B81" s="55" t="s">
        <v>745</v>
      </c>
      <c r="C81" s="56" t="s">
        <v>856</v>
      </c>
      <c r="D81" s="57" t="s">
        <v>857</v>
      </c>
      <c r="E81" s="55" t="s">
        <v>858</v>
      </c>
      <c r="F81" s="58" t="s">
        <v>852</v>
      </c>
    </row>
    <row r="82">
      <c r="A82" s="59">
        <v>43181.0</v>
      </c>
      <c r="B82" s="50" t="s">
        <v>767</v>
      </c>
      <c r="C82" s="51" t="s">
        <v>856</v>
      </c>
      <c r="D82" s="52" t="s">
        <v>857</v>
      </c>
      <c r="E82" s="50" t="s">
        <v>858</v>
      </c>
      <c r="F82" s="53" t="s">
        <v>852</v>
      </c>
    </row>
    <row r="83">
      <c r="A83" s="54">
        <v>43182.0</v>
      </c>
      <c r="B83" s="55" t="s">
        <v>768</v>
      </c>
      <c r="C83" s="56" t="s">
        <v>856</v>
      </c>
      <c r="D83" s="57" t="s">
        <v>857</v>
      </c>
      <c r="E83" s="55" t="s">
        <v>858</v>
      </c>
      <c r="F83" s="58" t="s">
        <v>852</v>
      </c>
    </row>
    <row r="84">
      <c r="A84" s="59">
        <v>43183.0</v>
      </c>
      <c r="B84" s="50" t="s">
        <v>747</v>
      </c>
      <c r="C84" s="51" t="s">
        <v>856</v>
      </c>
      <c r="D84" s="52" t="s">
        <v>857</v>
      </c>
      <c r="E84" s="50" t="s">
        <v>858</v>
      </c>
      <c r="F84" s="53" t="s">
        <v>852</v>
      </c>
    </row>
    <row r="85">
      <c r="A85" s="54">
        <v>43184.0</v>
      </c>
      <c r="B85" s="55" t="s">
        <v>769</v>
      </c>
      <c r="C85" s="56" t="s">
        <v>856</v>
      </c>
      <c r="D85" s="57" t="s">
        <v>857</v>
      </c>
      <c r="E85" s="55" t="s">
        <v>858</v>
      </c>
      <c r="F85" s="58" t="s">
        <v>852</v>
      </c>
    </row>
    <row r="86">
      <c r="A86" s="59">
        <v>43185.0</v>
      </c>
      <c r="B86" s="50" t="s">
        <v>770</v>
      </c>
      <c r="C86" s="51" t="s">
        <v>856</v>
      </c>
      <c r="D86" s="52" t="s">
        <v>857</v>
      </c>
      <c r="E86" s="50" t="s">
        <v>858</v>
      </c>
      <c r="F86" s="53" t="s">
        <v>852</v>
      </c>
    </row>
    <row r="87">
      <c r="A87" s="54">
        <v>43186.0</v>
      </c>
      <c r="B87" s="55" t="s">
        <v>749</v>
      </c>
      <c r="C87" s="56" t="s">
        <v>856</v>
      </c>
      <c r="D87" s="57" t="s">
        <v>857</v>
      </c>
      <c r="E87" s="55" t="s">
        <v>858</v>
      </c>
      <c r="F87" s="58" t="s">
        <v>852</v>
      </c>
    </row>
    <row r="88">
      <c r="A88" s="59">
        <v>43187.0</v>
      </c>
      <c r="B88" s="50" t="s">
        <v>771</v>
      </c>
      <c r="C88" s="51" t="s">
        <v>856</v>
      </c>
      <c r="D88" s="52" t="s">
        <v>857</v>
      </c>
      <c r="E88" s="50" t="s">
        <v>858</v>
      </c>
      <c r="F88" s="53" t="s">
        <v>852</v>
      </c>
    </row>
    <row r="89">
      <c r="A89" s="54">
        <v>43188.0</v>
      </c>
      <c r="B89" s="55" t="s">
        <v>772</v>
      </c>
      <c r="C89" s="56" t="s">
        <v>856</v>
      </c>
      <c r="D89" s="57" t="s">
        <v>857</v>
      </c>
      <c r="E89" s="55" t="s">
        <v>858</v>
      </c>
      <c r="F89" s="58" t="s">
        <v>852</v>
      </c>
    </row>
    <row r="90">
      <c r="A90" s="59">
        <v>43189.0</v>
      </c>
      <c r="B90" s="50" t="s">
        <v>773</v>
      </c>
      <c r="C90" s="51" t="s">
        <v>856</v>
      </c>
      <c r="D90" s="52" t="s">
        <v>857</v>
      </c>
      <c r="E90" s="50" t="s">
        <v>858</v>
      </c>
      <c r="F90" s="53" t="s">
        <v>852</v>
      </c>
    </row>
    <row r="91">
      <c r="A91" s="54">
        <v>43190.0</v>
      </c>
      <c r="B91" s="55" t="s">
        <v>774</v>
      </c>
      <c r="C91" s="56" t="s">
        <v>856</v>
      </c>
      <c r="D91" s="57" t="s">
        <v>857</v>
      </c>
      <c r="E91" s="55" t="s">
        <v>858</v>
      </c>
      <c r="F91" s="58" t="s">
        <v>852</v>
      </c>
    </row>
    <row r="92">
      <c r="A92" s="59">
        <v>43191.0</v>
      </c>
      <c r="B92" s="50" t="s">
        <v>742</v>
      </c>
      <c r="C92" s="51" t="s">
        <v>859</v>
      </c>
      <c r="D92" s="52" t="s">
        <v>860</v>
      </c>
      <c r="E92" s="50" t="s">
        <v>861</v>
      </c>
      <c r="F92" s="53" t="s">
        <v>852</v>
      </c>
    </row>
    <row r="93">
      <c r="A93" s="54">
        <v>43192.0</v>
      </c>
      <c r="B93" s="55" t="s">
        <v>744</v>
      </c>
      <c r="C93" s="56" t="s">
        <v>859</v>
      </c>
      <c r="D93" s="57" t="s">
        <v>860</v>
      </c>
      <c r="E93" s="55" t="s">
        <v>861</v>
      </c>
      <c r="F93" s="58" t="s">
        <v>852</v>
      </c>
    </row>
    <row r="94">
      <c r="A94" s="59">
        <v>43193.0</v>
      </c>
      <c r="B94" s="50" t="s">
        <v>746</v>
      </c>
      <c r="C94" s="51" t="s">
        <v>859</v>
      </c>
      <c r="D94" s="52" t="s">
        <v>860</v>
      </c>
      <c r="E94" s="50" t="s">
        <v>861</v>
      </c>
      <c r="F94" s="53" t="s">
        <v>852</v>
      </c>
    </row>
    <row r="95">
      <c r="A95" s="54">
        <v>43194.0</v>
      </c>
      <c r="B95" s="55" t="s">
        <v>748</v>
      </c>
      <c r="C95" s="56" t="s">
        <v>859</v>
      </c>
      <c r="D95" s="57" t="s">
        <v>860</v>
      </c>
      <c r="E95" s="55" t="s">
        <v>861</v>
      </c>
      <c r="F95" s="58" t="s">
        <v>852</v>
      </c>
    </row>
    <row r="96">
      <c r="A96" s="59">
        <v>43195.0</v>
      </c>
      <c r="B96" s="50" t="s">
        <v>750</v>
      </c>
      <c r="C96" s="51" t="s">
        <v>859</v>
      </c>
      <c r="D96" s="52" t="s">
        <v>860</v>
      </c>
      <c r="E96" s="50" t="s">
        <v>861</v>
      </c>
      <c r="F96" s="53" t="s">
        <v>852</v>
      </c>
    </row>
    <row r="97">
      <c r="A97" s="54">
        <v>43196.0</v>
      </c>
      <c r="B97" s="55" t="s">
        <v>752</v>
      </c>
      <c r="C97" s="56" t="s">
        <v>859</v>
      </c>
      <c r="D97" s="57" t="s">
        <v>860</v>
      </c>
      <c r="E97" s="55" t="s">
        <v>861</v>
      </c>
      <c r="F97" s="58" t="s">
        <v>852</v>
      </c>
    </row>
    <row r="98">
      <c r="A98" s="59">
        <v>43197.0</v>
      </c>
      <c r="B98" s="50" t="s">
        <v>753</v>
      </c>
      <c r="C98" s="51" t="s">
        <v>859</v>
      </c>
      <c r="D98" s="52" t="s">
        <v>860</v>
      </c>
      <c r="E98" s="50" t="s">
        <v>861</v>
      </c>
      <c r="F98" s="53" t="s">
        <v>852</v>
      </c>
    </row>
    <row r="99">
      <c r="A99" s="54">
        <v>43198.0</v>
      </c>
      <c r="B99" s="55" t="s">
        <v>754</v>
      </c>
      <c r="C99" s="56" t="s">
        <v>859</v>
      </c>
      <c r="D99" s="57" t="s">
        <v>860</v>
      </c>
      <c r="E99" s="55" t="s">
        <v>861</v>
      </c>
      <c r="F99" s="58" t="s">
        <v>852</v>
      </c>
    </row>
    <row r="100">
      <c r="A100" s="59">
        <v>43199.0</v>
      </c>
      <c r="B100" s="50" t="s">
        <v>755</v>
      </c>
      <c r="C100" s="51" t="s">
        <v>859</v>
      </c>
      <c r="D100" s="52" t="s">
        <v>860</v>
      </c>
      <c r="E100" s="50" t="s">
        <v>861</v>
      </c>
      <c r="F100" s="53" t="s">
        <v>852</v>
      </c>
    </row>
    <row r="101">
      <c r="A101" s="54">
        <v>43200.0</v>
      </c>
      <c r="B101" s="55" t="s">
        <v>756</v>
      </c>
      <c r="C101" s="56" t="s">
        <v>859</v>
      </c>
      <c r="D101" s="57" t="s">
        <v>860</v>
      </c>
      <c r="E101" s="55" t="s">
        <v>861</v>
      </c>
      <c r="F101" s="58" t="s">
        <v>852</v>
      </c>
    </row>
    <row r="102">
      <c r="A102" s="59">
        <v>43201.0</v>
      </c>
      <c r="B102" s="50" t="s">
        <v>758</v>
      </c>
      <c r="C102" s="51" t="s">
        <v>859</v>
      </c>
      <c r="D102" s="52" t="s">
        <v>860</v>
      </c>
      <c r="E102" s="50" t="s">
        <v>861</v>
      </c>
      <c r="F102" s="53" t="s">
        <v>852</v>
      </c>
    </row>
    <row r="103">
      <c r="A103" s="54">
        <v>43202.0</v>
      </c>
      <c r="B103" s="55" t="s">
        <v>759</v>
      </c>
      <c r="C103" s="56" t="s">
        <v>859</v>
      </c>
      <c r="D103" s="57" t="s">
        <v>860</v>
      </c>
      <c r="E103" s="55" t="s">
        <v>861</v>
      </c>
      <c r="F103" s="58" t="s">
        <v>852</v>
      </c>
    </row>
    <row r="104">
      <c r="A104" s="59">
        <v>43203.0</v>
      </c>
      <c r="B104" s="50" t="s">
        <v>760</v>
      </c>
      <c r="C104" s="51" t="s">
        <v>859</v>
      </c>
      <c r="D104" s="52" t="s">
        <v>860</v>
      </c>
      <c r="E104" s="50" t="s">
        <v>861</v>
      </c>
      <c r="F104" s="53" t="s">
        <v>852</v>
      </c>
    </row>
    <row r="105">
      <c r="A105" s="54">
        <v>43204.0</v>
      </c>
      <c r="B105" s="55" t="s">
        <v>761</v>
      </c>
      <c r="C105" s="56" t="s">
        <v>859</v>
      </c>
      <c r="D105" s="57" t="s">
        <v>860</v>
      </c>
      <c r="E105" s="55" t="s">
        <v>861</v>
      </c>
      <c r="F105" s="58" t="s">
        <v>852</v>
      </c>
    </row>
    <row r="106">
      <c r="A106" s="59">
        <v>43205.0</v>
      </c>
      <c r="B106" s="50" t="s">
        <v>762</v>
      </c>
      <c r="C106" s="51" t="s">
        <v>859</v>
      </c>
      <c r="D106" s="52" t="s">
        <v>860</v>
      </c>
      <c r="E106" s="50" t="s">
        <v>861</v>
      </c>
      <c r="F106" s="53" t="s">
        <v>852</v>
      </c>
    </row>
    <row r="107">
      <c r="A107" s="54">
        <v>43206.0</v>
      </c>
      <c r="B107" s="55" t="s">
        <v>763</v>
      </c>
      <c r="C107" s="56" t="s">
        <v>859</v>
      </c>
      <c r="D107" s="57" t="s">
        <v>860</v>
      </c>
      <c r="E107" s="55" t="s">
        <v>861</v>
      </c>
      <c r="F107" s="58" t="s">
        <v>852</v>
      </c>
    </row>
    <row r="108">
      <c r="A108" s="59">
        <v>43207.0</v>
      </c>
      <c r="B108" s="50" t="s">
        <v>764</v>
      </c>
      <c r="C108" s="51" t="s">
        <v>859</v>
      </c>
      <c r="D108" s="52" t="s">
        <v>860</v>
      </c>
      <c r="E108" s="50" t="s">
        <v>861</v>
      </c>
      <c r="F108" s="53" t="s">
        <v>852</v>
      </c>
    </row>
    <row r="109">
      <c r="A109" s="54">
        <v>43208.0</v>
      </c>
      <c r="B109" s="55" t="s">
        <v>765</v>
      </c>
      <c r="C109" s="56" t="s">
        <v>859</v>
      </c>
      <c r="D109" s="57" t="s">
        <v>860</v>
      </c>
      <c r="E109" s="55" t="s">
        <v>861</v>
      </c>
      <c r="F109" s="58" t="s">
        <v>852</v>
      </c>
    </row>
    <row r="110">
      <c r="A110" s="59">
        <v>43209.0</v>
      </c>
      <c r="B110" s="50" t="s">
        <v>743</v>
      </c>
      <c r="C110" s="51" t="s">
        <v>859</v>
      </c>
      <c r="D110" s="52" t="s">
        <v>860</v>
      </c>
      <c r="E110" s="50" t="s">
        <v>861</v>
      </c>
      <c r="F110" s="53" t="s">
        <v>852</v>
      </c>
    </row>
    <row r="111">
      <c r="A111" s="54">
        <v>43210.0</v>
      </c>
      <c r="B111" s="55" t="s">
        <v>766</v>
      </c>
      <c r="C111" s="56" t="s">
        <v>859</v>
      </c>
      <c r="D111" s="57" t="s">
        <v>860</v>
      </c>
      <c r="E111" s="55" t="s">
        <v>861</v>
      </c>
      <c r="F111" s="58" t="s">
        <v>852</v>
      </c>
    </row>
    <row r="112">
      <c r="A112" s="59">
        <v>43211.0</v>
      </c>
      <c r="B112" s="50" t="s">
        <v>745</v>
      </c>
      <c r="C112" s="51" t="s">
        <v>859</v>
      </c>
      <c r="D112" s="52" t="s">
        <v>860</v>
      </c>
      <c r="E112" s="50" t="s">
        <v>861</v>
      </c>
      <c r="F112" s="53" t="s">
        <v>852</v>
      </c>
    </row>
    <row r="113">
      <c r="A113" s="54">
        <v>43212.0</v>
      </c>
      <c r="B113" s="55" t="s">
        <v>767</v>
      </c>
      <c r="C113" s="56" t="s">
        <v>859</v>
      </c>
      <c r="D113" s="57" t="s">
        <v>860</v>
      </c>
      <c r="E113" s="55" t="s">
        <v>861</v>
      </c>
      <c r="F113" s="58" t="s">
        <v>852</v>
      </c>
    </row>
    <row r="114">
      <c r="A114" s="59">
        <v>43213.0</v>
      </c>
      <c r="B114" s="50" t="s">
        <v>768</v>
      </c>
      <c r="C114" s="51" t="s">
        <v>859</v>
      </c>
      <c r="D114" s="52" t="s">
        <v>860</v>
      </c>
      <c r="E114" s="50" t="s">
        <v>861</v>
      </c>
      <c r="F114" s="53" t="s">
        <v>852</v>
      </c>
    </row>
    <row r="115">
      <c r="A115" s="54">
        <v>43214.0</v>
      </c>
      <c r="B115" s="55" t="s">
        <v>747</v>
      </c>
      <c r="C115" s="56" t="s">
        <v>859</v>
      </c>
      <c r="D115" s="57" t="s">
        <v>860</v>
      </c>
      <c r="E115" s="55" t="s">
        <v>861</v>
      </c>
      <c r="F115" s="58" t="s">
        <v>852</v>
      </c>
    </row>
    <row r="116">
      <c r="A116" s="59">
        <v>43215.0</v>
      </c>
      <c r="B116" s="50" t="s">
        <v>769</v>
      </c>
      <c r="C116" s="51" t="s">
        <v>859</v>
      </c>
      <c r="D116" s="52" t="s">
        <v>860</v>
      </c>
      <c r="E116" s="50" t="s">
        <v>861</v>
      </c>
      <c r="F116" s="53" t="s">
        <v>852</v>
      </c>
    </row>
    <row r="117">
      <c r="A117" s="54">
        <v>43216.0</v>
      </c>
      <c r="B117" s="55" t="s">
        <v>770</v>
      </c>
      <c r="C117" s="56" t="s">
        <v>859</v>
      </c>
      <c r="D117" s="57" t="s">
        <v>860</v>
      </c>
      <c r="E117" s="55" t="s">
        <v>861</v>
      </c>
      <c r="F117" s="58" t="s">
        <v>852</v>
      </c>
    </row>
    <row r="118">
      <c r="A118" s="59">
        <v>43217.0</v>
      </c>
      <c r="B118" s="50" t="s">
        <v>749</v>
      </c>
      <c r="C118" s="51" t="s">
        <v>859</v>
      </c>
      <c r="D118" s="52" t="s">
        <v>860</v>
      </c>
      <c r="E118" s="50" t="s">
        <v>861</v>
      </c>
      <c r="F118" s="53" t="s">
        <v>852</v>
      </c>
    </row>
    <row r="119">
      <c r="A119" s="54">
        <v>43218.0</v>
      </c>
      <c r="B119" s="55" t="s">
        <v>771</v>
      </c>
      <c r="C119" s="56" t="s">
        <v>859</v>
      </c>
      <c r="D119" s="57" t="s">
        <v>860</v>
      </c>
      <c r="E119" s="55" t="s">
        <v>861</v>
      </c>
      <c r="F119" s="58" t="s">
        <v>852</v>
      </c>
    </row>
    <row r="120">
      <c r="A120" s="59">
        <v>43219.0</v>
      </c>
      <c r="B120" s="50" t="s">
        <v>772</v>
      </c>
      <c r="C120" s="51" t="s">
        <v>859</v>
      </c>
      <c r="D120" s="52" t="s">
        <v>860</v>
      </c>
      <c r="E120" s="50" t="s">
        <v>861</v>
      </c>
      <c r="F120" s="53" t="s">
        <v>852</v>
      </c>
    </row>
    <row r="121">
      <c r="A121" s="54">
        <v>43220.0</v>
      </c>
      <c r="B121" s="55" t="s">
        <v>773</v>
      </c>
      <c r="C121" s="56" t="s">
        <v>859</v>
      </c>
      <c r="D121" s="57" t="s">
        <v>860</v>
      </c>
      <c r="E121" s="55" t="s">
        <v>861</v>
      </c>
      <c r="F121" s="58" t="s">
        <v>852</v>
      </c>
    </row>
    <row r="122">
      <c r="A122" s="59">
        <v>43221.0</v>
      </c>
      <c r="B122" s="50" t="s">
        <v>742</v>
      </c>
      <c r="C122" s="51" t="s">
        <v>862</v>
      </c>
      <c r="D122" s="52" t="s">
        <v>863</v>
      </c>
      <c r="E122" s="50" t="s">
        <v>864</v>
      </c>
      <c r="F122" s="53" t="s">
        <v>852</v>
      </c>
    </row>
    <row r="123">
      <c r="A123" s="54">
        <v>43222.0</v>
      </c>
      <c r="B123" s="55" t="s">
        <v>744</v>
      </c>
      <c r="C123" s="56" t="s">
        <v>862</v>
      </c>
      <c r="D123" s="57" t="s">
        <v>863</v>
      </c>
      <c r="E123" s="55" t="s">
        <v>864</v>
      </c>
      <c r="F123" s="58" t="s">
        <v>852</v>
      </c>
    </row>
    <row r="124">
      <c r="A124" s="59">
        <v>43223.0</v>
      </c>
      <c r="B124" s="50" t="s">
        <v>746</v>
      </c>
      <c r="C124" s="51" t="s">
        <v>862</v>
      </c>
      <c r="D124" s="52" t="s">
        <v>863</v>
      </c>
      <c r="E124" s="50" t="s">
        <v>864</v>
      </c>
      <c r="F124" s="53" t="s">
        <v>852</v>
      </c>
    </row>
    <row r="125">
      <c r="A125" s="54">
        <v>43224.0</v>
      </c>
      <c r="B125" s="55" t="s">
        <v>748</v>
      </c>
      <c r="C125" s="56" t="s">
        <v>862</v>
      </c>
      <c r="D125" s="57" t="s">
        <v>863</v>
      </c>
      <c r="E125" s="55" t="s">
        <v>864</v>
      </c>
      <c r="F125" s="58" t="s">
        <v>852</v>
      </c>
    </row>
    <row r="126">
      <c r="A126" s="59">
        <v>43225.0</v>
      </c>
      <c r="B126" s="50" t="s">
        <v>750</v>
      </c>
      <c r="C126" s="51" t="s">
        <v>862</v>
      </c>
      <c r="D126" s="52" t="s">
        <v>863</v>
      </c>
      <c r="E126" s="50" t="s">
        <v>864</v>
      </c>
      <c r="F126" s="53" t="s">
        <v>852</v>
      </c>
    </row>
    <row r="127">
      <c r="A127" s="54">
        <v>43226.0</v>
      </c>
      <c r="B127" s="55" t="s">
        <v>752</v>
      </c>
      <c r="C127" s="56" t="s">
        <v>862</v>
      </c>
      <c r="D127" s="57" t="s">
        <v>863</v>
      </c>
      <c r="E127" s="55" t="s">
        <v>864</v>
      </c>
      <c r="F127" s="58" t="s">
        <v>852</v>
      </c>
    </row>
    <row r="128">
      <c r="A128" s="59">
        <v>43227.0</v>
      </c>
      <c r="B128" s="50" t="s">
        <v>753</v>
      </c>
      <c r="C128" s="51" t="s">
        <v>862</v>
      </c>
      <c r="D128" s="52" t="s">
        <v>863</v>
      </c>
      <c r="E128" s="50" t="s">
        <v>864</v>
      </c>
      <c r="F128" s="53" t="s">
        <v>852</v>
      </c>
    </row>
    <row r="129">
      <c r="A129" s="54">
        <v>43228.0</v>
      </c>
      <c r="B129" s="55" t="s">
        <v>754</v>
      </c>
      <c r="C129" s="56" t="s">
        <v>862</v>
      </c>
      <c r="D129" s="57" t="s">
        <v>863</v>
      </c>
      <c r="E129" s="55" t="s">
        <v>864</v>
      </c>
      <c r="F129" s="58" t="s">
        <v>852</v>
      </c>
    </row>
    <row r="130">
      <c r="A130" s="59">
        <v>43229.0</v>
      </c>
      <c r="B130" s="50" t="s">
        <v>755</v>
      </c>
      <c r="C130" s="51" t="s">
        <v>862</v>
      </c>
      <c r="D130" s="52" t="s">
        <v>863</v>
      </c>
      <c r="E130" s="50" t="s">
        <v>864</v>
      </c>
      <c r="F130" s="53" t="s">
        <v>852</v>
      </c>
    </row>
    <row r="131">
      <c r="A131" s="54">
        <v>43230.0</v>
      </c>
      <c r="B131" s="55" t="s">
        <v>756</v>
      </c>
      <c r="C131" s="56" t="s">
        <v>862</v>
      </c>
      <c r="D131" s="57" t="s">
        <v>863</v>
      </c>
      <c r="E131" s="55" t="s">
        <v>864</v>
      </c>
      <c r="F131" s="58" t="s">
        <v>852</v>
      </c>
    </row>
    <row r="132">
      <c r="A132" s="59">
        <v>43231.0</v>
      </c>
      <c r="B132" s="50" t="s">
        <v>758</v>
      </c>
      <c r="C132" s="51" t="s">
        <v>862</v>
      </c>
      <c r="D132" s="52" t="s">
        <v>863</v>
      </c>
      <c r="E132" s="50" t="s">
        <v>864</v>
      </c>
      <c r="F132" s="53" t="s">
        <v>852</v>
      </c>
    </row>
    <row r="133">
      <c r="A133" s="54">
        <v>43232.0</v>
      </c>
      <c r="B133" s="55" t="s">
        <v>759</v>
      </c>
      <c r="C133" s="56" t="s">
        <v>862</v>
      </c>
      <c r="D133" s="57" t="s">
        <v>863</v>
      </c>
      <c r="E133" s="55" t="s">
        <v>864</v>
      </c>
      <c r="F133" s="58" t="s">
        <v>852</v>
      </c>
    </row>
    <row r="134">
      <c r="A134" s="59">
        <v>43233.0</v>
      </c>
      <c r="B134" s="50" t="s">
        <v>760</v>
      </c>
      <c r="C134" s="51" t="s">
        <v>862</v>
      </c>
      <c r="D134" s="52" t="s">
        <v>863</v>
      </c>
      <c r="E134" s="50" t="s">
        <v>864</v>
      </c>
      <c r="F134" s="53" t="s">
        <v>852</v>
      </c>
    </row>
    <row r="135">
      <c r="A135" s="54">
        <v>43234.0</v>
      </c>
      <c r="B135" s="55" t="s">
        <v>761</v>
      </c>
      <c r="C135" s="56" t="s">
        <v>862</v>
      </c>
      <c r="D135" s="57" t="s">
        <v>863</v>
      </c>
      <c r="E135" s="55" t="s">
        <v>864</v>
      </c>
      <c r="F135" s="58" t="s">
        <v>852</v>
      </c>
    </row>
    <row r="136">
      <c r="A136" s="59">
        <v>43235.0</v>
      </c>
      <c r="B136" s="50" t="s">
        <v>762</v>
      </c>
      <c r="C136" s="51" t="s">
        <v>862</v>
      </c>
      <c r="D136" s="52" t="s">
        <v>863</v>
      </c>
      <c r="E136" s="50" t="s">
        <v>864</v>
      </c>
      <c r="F136" s="53" t="s">
        <v>852</v>
      </c>
    </row>
    <row r="137">
      <c r="A137" s="54">
        <v>43236.0</v>
      </c>
      <c r="B137" s="55" t="s">
        <v>763</v>
      </c>
      <c r="C137" s="56" t="s">
        <v>862</v>
      </c>
      <c r="D137" s="57" t="s">
        <v>863</v>
      </c>
      <c r="E137" s="55" t="s">
        <v>864</v>
      </c>
      <c r="F137" s="58" t="s">
        <v>852</v>
      </c>
    </row>
    <row r="138">
      <c r="A138" s="59">
        <v>43237.0</v>
      </c>
      <c r="B138" s="50" t="s">
        <v>764</v>
      </c>
      <c r="C138" s="51" t="s">
        <v>862</v>
      </c>
      <c r="D138" s="52" t="s">
        <v>863</v>
      </c>
      <c r="E138" s="50" t="s">
        <v>864</v>
      </c>
      <c r="F138" s="53" t="s">
        <v>852</v>
      </c>
    </row>
    <row r="139">
      <c r="A139" s="54">
        <v>43238.0</v>
      </c>
      <c r="B139" s="55" t="s">
        <v>765</v>
      </c>
      <c r="C139" s="56" t="s">
        <v>862</v>
      </c>
      <c r="D139" s="57" t="s">
        <v>863</v>
      </c>
      <c r="E139" s="55" t="s">
        <v>864</v>
      </c>
      <c r="F139" s="58" t="s">
        <v>852</v>
      </c>
    </row>
    <row r="140">
      <c r="A140" s="59">
        <v>43239.0</v>
      </c>
      <c r="B140" s="50" t="s">
        <v>743</v>
      </c>
      <c r="C140" s="51" t="s">
        <v>862</v>
      </c>
      <c r="D140" s="52" t="s">
        <v>863</v>
      </c>
      <c r="E140" s="50" t="s">
        <v>864</v>
      </c>
      <c r="F140" s="53" t="s">
        <v>852</v>
      </c>
    </row>
    <row r="141">
      <c r="A141" s="54">
        <v>43240.0</v>
      </c>
      <c r="B141" s="55" t="s">
        <v>766</v>
      </c>
      <c r="C141" s="56" t="s">
        <v>862</v>
      </c>
      <c r="D141" s="57" t="s">
        <v>863</v>
      </c>
      <c r="E141" s="55" t="s">
        <v>864</v>
      </c>
      <c r="F141" s="58" t="s">
        <v>852</v>
      </c>
    </row>
    <row r="142">
      <c r="A142" s="59">
        <v>43241.0</v>
      </c>
      <c r="B142" s="50" t="s">
        <v>745</v>
      </c>
      <c r="C142" s="51" t="s">
        <v>862</v>
      </c>
      <c r="D142" s="52" t="s">
        <v>863</v>
      </c>
      <c r="E142" s="50" t="s">
        <v>864</v>
      </c>
      <c r="F142" s="53" t="s">
        <v>852</v>
      </c>
    </row>
    <row r="143">
      <c r="A143" s="54">
        <v>43242.0</v>
      </c>
      <c r="B143" s="55" t="s">
        <v>767</v>
      </c>
      <c r="C143" s="56" t="s">
        <v>862</v>
      </c>
      <c r="D143" s="57" t="s">
        <v>863</v>
      </c>
      <c r="E143" s="55" t="s">
        <v>864</v>
      </c>
      <c r="F143" s="58" t="s">
        <v>852</v>
      </c>
    </row>
    <row r="144">
      <c r="A144" s="59">
        <v>43243.0</v>
      </c>
      <c r="B144" s="50" t="s">
        <v>768</v>
      </c>
      <c r="C144" s="51" t="s">
        <v>862</v>
      </c>
      <c r="D144" s="52" t="s">
        <v>863</v>
      </c>
      <c r="E144" s="50" t="s">
        <v>864</v>
      </c>
      <c r="F144" s="53" t="s">
        <v>852</v>
      </c>
    </row>
    <row r="145">
      <c r="A145" s="54">
        <v>43244.0</v>
      </c>
      <c r="B145" s="55" t="s">
        <v>747</v>
      </c>
      <c r="C145" s="56" t="s">
        <v>862</v>
      </c>
      <c r="D145" s="57" t="s">
        <v>863</v>
      </c>
      <c r="E145" s="55" t="s">
        <v>864</v>
      </c>
      <c r="F145" s="58" t="s">
        <v>852</v>
      </c>
    </row>
    <row r="146">
      <c r="A146" s="59">
        <v>43245.0</v>
      </c>
      <c r="B146" s="50" t="s">
        <v>769</v>
      </c>
      <c r="C146" s="51" t="s">
        <v>862</v>
      </c>
      <c r="D146" s="52" t="s">
        <v>863</v>
      </c>
      <c r="E146" s="50" t="s">
        <v>864</v>
      </c>
      <c r="F146" s="53" t="s">
        <v>852</v>
      </c>
    </row>
    <row r="147">
      <c r="A147" s="54">
        <v>43246.0</v>
      </c>
      <c r="B147" s="55" t="s">
        <v>770</v>
      </c>
      <c r="C147" s="56" t="s">
        <v>862</v>
      </c>
      <c r="D147" s="57" t="s">
        <v>863</v>
      </c>
      <c r="E147" s="55" t="s">
        <v>864</v>
      </c>
      <c r="F147" s="58" t="s">
        <v>852</v>
      </c>
    </row>
    <row r="148">
      <c r="A148" s="59">
        <v>43247.0</v>
      </c>
      <c r="B148" s="50" t="s">
        <v>749</v>
      </c>
      <c r="C148" s="51" t="s">
        <v>862</v>
      </c>
      <c r="D148" s="52" t="s">
        <v>863</v>
      </c>
      <c r="E148" s="50" t="s">
        <v>864</v>
      </c>
      <c r="F148" s="53" t="s">
        <v>852</v>
      </c>
    </row>
    <row r="149">
      <c r="A149" s="54">
        <v>43248.0</v>
      </c>
      <c r="B149" s="55" t="s">
        <v>771</v>
      </c>
      <c r="C149" s="56" t="s">
        <v>862</v>
      </c>
      <c r="D149" s="57" t="s">
        <v>863</v>
      </c>
      <c r="E149" s="55" t="s">
        <v>864</v>
      </c>
      <c r="F149" s="58" t="s">
        <v>852</v>
      </c>
    </row>
    <row r="150">
      <c r="A150" s="59">
        <v>43249.0</v>
      </c>
      <c r="B150" s="50" t="s">
        <v>772</v>
      </c>
      <c r="C150" s="51" t="s">
        <v>862</v>
      </c>
      <c r="D150" s="52" t="s">
        <v>863</v>
      </c>
      <c r="E150" s="50" t="s">
        <v>864</v>
      </c>
      <c r="F150" s="53" t="s">
        <v>852</v>
      </c>
    </row>
    <row r="151">
      <c r="A151" s="54">
        <v>43250.0</v>
      </c>
      <c r="B151" s="55" t="s">
        <v>773</v>
      </c>
      <c r="C151" s="56" t="s">
        <v>862</v>
      </c>
      <c r="D151" s="57" t="s">
        <v>863</v>
      </c>
      <c r="E151" s="55" t="s">
        <v>864</v>
      </c>
      <c r="F151" s="58" t="s">
        <v>852</v>
      </c>
    </row>
    <row r="152">
      <c r="A152" s="59">
        <v>43251.0</v>
      </c>
      <c r="B152" s="50" t="s">
        <v>774</v>
      </c>
      <c r="C152" s="51" t="s">
        <v>862</v>
      </c>
      <c r="D152" s="52" t="s">
        <v>863</v>
      </c>
      <c r="E152" s="50" t="s">
        <v>864</v>
      </c>
      <c r="F152" s="53" t="s">
        <v>852</v>
      </c>
    </row>
    <row r="153">
      <c r="A153" s="54">
        <v>43252.0</v>
      </c>
      <c r="B153" s="55" t="s">
        <v>742</v>
      </c>
      <c r="C153" s="56" t="s">
        <v>865</v>
      </c>
      <c r="D153" s="57" t="s">
        <v>866</v>
      </c>
      <c r="E153" s="55" t="s">
        <v>867</v>
      </c>
      <c r="F153" s="58" t="s">
        <v>852</v>
      </c>
    </row>
    <row r="154">
      <c r="A154" s="59">
        <v>43253.0</v>
      </c>
      <c r="B154" s="50" t="s">
        <v>744</v>
      </c>
      <c r="C154" s="51" t="s">
        <v>865</v>
      </c>
      <c r="D154" s="52" t="s">
        <v>866</v>
      </c>
      <c r="E154" s="50" t="s">
        <v>867</v>
      </c>
      <c r="F154" s="53" t="s">
        <v>852</v>
      </c>
    </row>
    <row r="155">
      <c r="A155" s="54">
        <v>43254.0</v>
      </c>
      <c r="B155" s="55" t="s">
        <v>746</v>
      </c>
      <c r="C155" s="56" t="s">
        <v>865</v>
      </c>
      <c r="D155" s="57" t="s">
        <v>866</v>
      </c>
      <c r="E155" s="55" t="s">
        <v>867</v>
      </c>
      <c r="F155" s="58" t="s">
        <v>852</v>
      </c>
    </row>
    <row r="156">
      <c r="A156" s="59">
        <v>43255.0</v>
      </c>
      <c r="B156" s="50" t="s">
        <v>748</v>
      </c>
      <c r="C156" s="51" t="s">
        <v>865</v>
      </c>
      <c r="D156" s="52" t="s">
        <v>866</v>
      </c>
      <c r="E156" s="50" t="s">
        <v>867</v>
      </c>
      <c r="F156" s="53" t="s">
        <v>852</v>
      </c>
    </row>
    <row r="157">
      <c r="A157" s="54">
        <v>43256.0</v>
      </c>
      <c r="B157" s="55" t="s">
        <v>750</v>
      </c>
      <c r="C157" s="56" t="s">
        <v>865</v>
      </c>
      <c r="D157" s="57" t="s">
        <v>866</v>
      </c>
      <c r="E157" s="55" t="s">
        <v>867</v>
      </c>
      <c r="F157" s="58" t="s">
        <v>852</v>
      </c>
    </row>
    <row r="158">
      <c r="A158" s="59">
        <v>43257.0</v>
      </c>
      <c r="B158" s="50" t="s">
        <v>752</v>
      </c>
      <c r="C158" s="51" t="s">
        <v>865</v>
      </c>
      <c r="D158" s="52" t="s">
        <v>866</v>
      </c>
      <c r="E158" s="50" t="s">
        <v>867</v>
      </c>
      <c r="F158" s="53" t="s">
        <v>852</v>
      </c>
    </row>
    <row r="159">
      <c r="A159" s="54">
        <v>43258.0</v>
      </c>
      <c r="B159" s="55" t="s">
        <v>753</v>
      </c>
      <c r="C159" s="56" t="s">
        <v>865</v>
      </c>
      <c r="D159" s="57" t="s">
        <v>866</v>
      </c>
      <c r="E159" s="55" t="s">
        <v>867</v>
      </c>
      <c r="F159" s="58" t="s">
        <v>852</v>
      </c>
    </row>
    <row r="160">
      <c r="A160" s="59">
        <v>43259.0</v>
      </c>
      <c r="B160" s="50" t="s">
        <v>754</v>
      </c>
      <c r="C160" s="51" t="s">
        <v>865</v>
      </c>
      <c r="D160" s="52" t="s">
        <v>866</v>
      </c>
      <c r="E160" s="50" t="s">
        <v>867</v>
      </c>
      <c r="F160" s="53" t="s">
        <v>852</v>
      </c>
    </row>
    <row r="161">
      <c r="A161" s="54">
        <v>43260.0</v>
      </c>
      <c r="B161" s="55" t="s">
        <v>755</v>
      </c>
      <c r="C161" s="56" t="s">
        <v>865</v>
      </c>
      <c r="D161" s="57" t="s">
        <v>866</v>
      </c>
      <c r="E161" s="55" t="s">
        <v>867</v>
      </c>
      <c r="F161" s="58" t="s">
        <v>852</v>
      </c>
    </row>
    <row r="162">
      <c r="A162" s="59">
        <v>43261.0</v>
      </c>
      <c r="B162" s="50" t="s">
        <v>756</v>
      </c>
      <c r="C162" s="51" t="s">
        <v>865</v>
      </c>
      <c r="D162" s="52" t="s">
        <v>866</v>
      </c>
      <c r="E162" s="50" t="s">
        <v>867</v>
      </c>
      <c r="F162" s="53" t="s">
        <v>852</v>
      </c>
    </row>
    <row r="163">
      <c r="A163" s="54">
        <v>43262.0</v>
      </c>
      <c r="B163" s="55" t="s">
        <v>758</v>
      </c>
      <c r="C163" s="56" t="s">
        <v>865</v>
      </c>
      <c r="D163" s="57" t="s">
        <v>866</v>
      </c>
      <c r="E163" s="55" t="s">
        <v>867</v>
      </c>
      <c r="F163" s="58" t="s">
        <v>852</v>
      </c>
    </row>
    <row r="164">
      <c r="A164" s="59">
        <v>43263.0</v>
      </c>
      <c r="B164" s="50" t="s">
        <v>759</v>
      </c>
      <c r="C164" s="51" t="s">
        <v>865</v>
      </c>
      <c r="D164" s="52" t="s">
        <v>866</v>
      </c>
      <c r="E164" s="50" t="s">
        <v>867</v>
      </c>
      <c r="F164" s="53" t="s">
        <v>852</v>
      </c>
    </row>
    <row r="165">
      <c r="A165" s="54">
        <v>43264.0</v>
      </c>
      <c r="B165" s="55" t="s">
        <v>760</v>
      </c>
      <c r="C165" s="56" t="s">
        <v>865</v>
      </c>
      <c r="D165" s="57" t="s">
        <v>866</v>
      </c>
      <c r="E165" s="55" t="s">
        <v>867</v>
      </c>
      <c r="F165" s="58" t="s">
        <v>852</v>
      </c>
    </row>
    <row r="166">
      <c r="A166" s="59">
        <v>43265.0</v>
      </c>
      <c r="B166" s="50" t="s">
        <v>761</v>
      </c>
      <c r="C166" s="51" t="s">
        <v>865</v>
      </c>
      <c r="D166" s="52" t="s">
        <v>866</v>
      </c>
      <c r="E166" s="50" t="s">
        <v>867</v>
      </c>
      <c r="F166" s="53" t="s">
        <v>852</v>
      </c>
    </row>
    <row r="167">
      <c r="A167" s="54">
        <v>43266.0</v>
      </c>
      <c r="B167" s="55" t="s">
        <v>762</v>
      </c>
      <c r="C167" s="56" t="s">
        <v>865</v>
      </c>
      <c r="D167" s="57" t="s">
        <v>866</v>
      </c>
      <c r="E167" s="55" t="s">
        <v>867</v>
      </c>
      <c r="F167" s="58" t="s">
        <v>852</v>
      </c>
    </row>
    <row r="168">
      <c r="A168" s="59">
        <v>43267.0</v>
      </c>
      <c r="B168" s="50" t="s">
        <v>763</v>
      </c>
      <c r="C168" s="51" t="s">
        <v>865</v>
      </c>
      <c r="D168" s="52" t="s">
        <v>866</v>
      </c>
      <c r="E168" s="50" t="s">
        <v>867</v>
      </c>
      <c r="F168" s="53" t="s">
        <v>852</v>
      </c>
    </row>
    <row r="169">
      <c r="A169" s="54">
        <v>43268.0</v>
      </c>
      <c r="B169" s="55" t="s">
        <v>764</v>
      </c>
      <c r="C169" s="56" t="s">
        <v>865</v>
      </c>
      <c r="D169" s="57" t="s">
        <v>866</v>
      </c>
      <c r="E169" s="55" t="s">
        <v>867</v>
      </c>
      <c r="F169" s="58" t="s">
        <v>852</v>
      </c>
    </row>
    <row r="170">
      <c r="A170" s="59">
        <v>43269.0</v>
      </c>
      <c r="B170" s="50" t="s">
        <v>765</v>
      </c>
      <c r="C170" s="51" t="s">
        <v>865</v>
      </c>
      <c r="D170" s="52" t="s">
        <v>866</v>
      </c>
      <c r="E170" s="50" t="s">
        <v>867</v>
      </c>
      <c r="F170" s="53" t="s">
        <v>852</v>
      </c>
    </row>
    <row r="171">
      <c r="A171" s="54">
        <v>43270.0</v>
      </c>
      <c r="B171" s="55" t="s">
        <v>743</v>
      </c>
      <c r="C171" s="56" t="s">
        <v>865</v>
      </c>
      <c r="D171" s="57" t="s">
        <v>866</v>
      </c>
      <c r="E171" s="55" t="s">
        <v>867</v>
      </c>
      <c r="F171" s="58" t="s">
        <v>852</v>
      </c>
    </row>
    <row r="172">
      <c r="A172" s="59">
        <v>43271.0</v>
      </c>
      <c r="B172" s="50" t="s">
        <v>766</v>
      </c>
      <c r="C172" s="51" t="s">
        <v>865</v>
      </c>
      <c r="D172" s="52" t="s">
        <v>866</v>
      </c>
      <c r="E172" s="50" t="s">
        <v>867</v>
      </c>
      <c r="F172" s="53" t="s">
        <v>852</v>
      </c>
    </row>
    <row r="173">
      <c r="A173" s="54">
        <v>43272.0</v>
      </c>
      <c r="B173" s="55" t="s">
        <v>745</v>
      </c>
      <c r="C173" s="56" t="s">
        <v>865</v>
      </c>
      <c r="D173" s="57" t="s">
        <v>866</v>
      </c>
      <c r="E173" s="55" t="s">
        <v>867</v>
      </c>
      <c r="F173" s="58" t="s">
        <v>852</v>
      </c>
    </row>
    <row r="174">
      <c r="A174" s="59">
        <v>43273.0</v>
      </c>
      <c r="B174" s="50" t="s">
        <v>767</v>
      </c>
      <c r="C174" s="51" t="s">
        <v>865</v>
      </c>
      <c r="D174" s="52" t="s">
        <v>866</v>
      </c>
      <c r="E174" s="50" t="s">
        <v>867</v>
      </c>
      <c r="F174" s="53" t="s">
        <v>852</v>
      </c>
    </row>
    <row r="175">
      <c r="A175" s="54">
        <v>43274.0</v>
      </c>
      <c r="B175" s="55" t="s">
        <v>768</v>
      </c>
      <c r="C175" s="56" t="s">
        <v>865</v>
      </c>
      <c r="D175" s="57" t="s">
        <v>866</v>
      </c>
      <c r="E175" s="55" t="s">
        <v>867</v>
      </c>
      <c r="F175" s="58" t="s">
        <v>852</v>
      </c>
    </row>
    <row r="176">
      <c r="A176" s="59">
        <v>43275.0</v>
      </c>
      <c r="B176" s="50" t="s">
        <v>747</v>
      </c>
      <c r="C176" s="51" t="s">
        <v>865</v>
      </c>
      <c r="D176" s="52" t="s">
        <v>866</v>
      </c>
      <c r="E176" s="50" t="s">
        <v>867</v>
      </c>
      <c r="F176" s="53" t="s">
        <v>852</v>
      </c>
    </row>
    <row r="177">
      <c r="A177" s="54">
        <v>43276.0</v>
      </c>
      <c r="B177" s="55" t="s">
        <v>769</v>
      </c>
      <c r="C177" s="56" t="s">
        <v>865</v>
      </c>
      <c r="D177" s="57" t="s">
        <v>866</v>
      </c>
      <c r="E177" s="55" t="s">
        <v>867</v>
      </c>
      <c r="F177" s="58" t="s">
        <v>852</v>
      </c>
    </row>
    <row r="178">
      <c r="A178" s="59">
        <v>43277.0</v>
      </c>
      <c r="B178" s="50" t="s">
        <v>770</v>
      </c>
      <c r="C178" s="51" t="s">
        <v>865</v>
      </c>
      <c r="D178" s="52" t="s">
        <v>866</v>
      </c>
      <c r="E178" s="50" t="s">
        <v>867</v>
      </c>
      <c r="F178" s="53" t="s">
        <v>852</v>
      </c>
    </row>
    <row r="179">
      <c r="A179" s="54">
        <v>43278.0</v>
      </c>
      <c r="B179" s="55" t="s">
        <v>749</v>
      </c>
      <c r="C179" s="56" t="s">
        <v>865</v>
      </c>
      <c r="D179" s="57" t="s">
        <v>866</v>
      </c>
      <c r="E179" s="55" t="s">
        <v>867</v>
      </c>
      <c r="F179" s="58" t="s">
        <v>852</v>
      </c>
    </row>
    <row r="180">
      <c r="A180" s="59">
        <v>43279.0</v>
      </c>
      <c r="B180" s="50" t="s">
        <v>771</v>
      </c>
      <c r="C180" s="51" t="s">
        <v>865</v>
      </c>
      <c r="D180" s="52" t="s">
        <v>866</v>
      </c>
      <c r="E180" s="50" t="s">
        <v>867</v>
      </c>
      <c r="F180" s="53" t="s">
        <v>852</v>
      </c>
    </row>
    <row r="181">
      <c r="A181" s="54">
        <v>43280.0</v>
      </c>
      <c r="B181" s="55" t="s">
        <v>772</v>
      </c>
      <c r="C181" s="56" t="s">
        <v>865</v>
      </c>
      <c r="D181" s="57" t="s">
        <v>866</v>
      </c>
      <c r="E181" s="55" t="s">
        <v>867</v>
      </c>
      <c r="F181" s="58" t="s">
        <v>852</v>
      </c>
    </row>
    <row r="182">
      <c r="A182" s="59">
        <v>43281.0</v>
      </c>
      <c r="B182" s="50" t="s">
        <v>773</v>
      </c>
      <c r="C182" s="51" t="s">
        <v>865</v>
      </c>
      <c r="D182" s="52" t="s">
        <v>866</v>
      </c>
      <c r="E182" s="50" t="s">
        <v>867</v>
      </c>
      <c r="F182" s="53" t="s">
        <v>852</v>
      </c>
    </row>
    <row r="183">
      <c r="A183" s="54">
        <v>43282.0</v>
      </c>
      <c r="B183" s="55" t="s">
        <v>742</v>
      </c>
      <c r="C183" s="56" t="s">
        <v>868</v>
      </c>
      <c r="D183" s="57" t="s">
        <v>869</v>
      </c>
      <c r="E183" s="55" t="s">
        <v>870</v>
      </c>
      <c r="F183" s="58" t="s">
        <v>852</v>
      </c>
    </row>
    <row r="184">
      <c r="A184" s="59">
        <v>43283.0</v>
      </c>
      <c r="B184" s="50" t="s">
        <v>744</v>
      </c>
      <c r="C184" s="51" t="s">
        <v>868</v>
      </c>
      <c r="D184" s="52" t="s">
        <v>869</v>
      </c>
      <c r="E184" s="50" t="s">
        <v>870</v>
      </c>
      <c r="F184" s="53" t="s">
        <v>852</v>
      </c>
    </row>
    <row r="185">
      <c r="A185" s="54">
        <v>43284.0</v>
      </c>
      <c r="B185" s="55" t="s">
        <v>746</v>
      </c>
      <c r="C185" s="56" t="s">
        <v>868</v>
      </c>
      <c r="D185" s="57" t="s">
        <v>869</v>
      </c>
      <c r="E185" s="55" t="s">
        <v>870</v>
      </c>
      <c r="F185" s="58" t="s">
        <v>852</v>
      </c>
    </row>
    <row r="186">
      <c r="A186" s="59">
        <v>43285.0</v>
      </c>
      <c r="B186" s="50" t="s">
        <v>748</v>
      </c>
      <c r="C186" s="51" t="s">
        <v>868</v>
      </c>
      <c r="D186" s="52" t="s">
        <v>869</v>
      </c>
      <c r="E186" s="50" t="s">
        <v>870</v>
      </c>
      <c r="F186" s="53" t="s">
        <v>852</v>
      </c>
    </row>
    <row r="187">
      <c r="A187" s="54">
        <v>43286.0</v>
      </c>
      <c r="B187" s="55" t="s">
        <v>750</v>
      </c>
      <c r="C187" s="56" t="s">
        <v>868</v>
      </c>
      <c r="D187" s="57" t="s">
        <v>869</v>
      </c>
      <c r="E187" s="55" t="s">
        <v>870</v>
      </c>
      <c r="F187" s="58" t="s">
        <v>852</v>
      </c>
    </row>
    <row r="188">
      <c r="A188" s="59">
        <v>43287.0</v>
      </c>
      <c r="B188" s="50" t="s">
        <v>752</v>
      </c>
      <c r="C188" s="51" t="s">
        <v>868</v>
      </c>
      <c r="D188" s="52" t="s">
        <v>869</v>
      </c>
      <c r="E188" s="50" t="s">
        <v>870</v>
      </c>
      <c r="F188" s="53" t="s">
        <v>852</v>
      </c>
    </row>
    <row r="189">
      <c r="A189" s="54">
        <v>43288.0</v>
      </c>
      <c r="B189" s="55" t="s">
        <v>753</v>
      </c>
      <c r="C189" s="56" t="s">
        <v>868</v>
      </c>
      <c r="D189" s="57" t="s">
        <v>869</v>
      </c>
      <c r="E189" s="55" t="s">
        <v>870</v>
      </c>
      <c r="F189" s="58" t="s">
        <v>852</v>
      </c>
    </row>
    <row r="190">
      <c r="A190" s="59">
        <v>43289.0</v>
      </c>
      <c r="B190" s="50" t="s">
        <v>754</v>
      </c>
      <c r="C190" s="51" t="s">
        <v>868</v>
      </c>
      <c r="D190" s="52" t="s">
        <v>869</v>
      </c>
      <c r="E190" s="50" t="s">
        <v>870</v>
      </c>
      <c r="F190" s="53" t="s">
        <v>852</v>
      </c>
    </row>
    <row r="191">
      <c r="A191" s="54">
        <v>43290.0</v>
      </c>
      <c r="B191" s="55" t="s">
        <v>755</v>
      </c>
      <c r="C191" s="56" t="s">
        <v>868</v>
      </c>
      <c r="D191" s="57" t="s">
        <v>869</v>
      </c>
      <c r="E191" s="55" t="s">
        <v>870</v>
      </c>
      <c r="F191" s="58" t="s">
        <v>852</v>
      </c>
    </row>
    <row r="192">
      <c r="A192" s="59">
        <v>43291.0</v>
      </c>
      <c r="B192" s="50" t="s">
        <v>756</v>
      </c>
      <c r="C192" s="51" t="s">
        <v>868</v>
      </c>
      <c r="D192" s="52" t="s">
        <v>869</v>
      </c>
      <c r="E192" s="50" t="s">
        <v>870</v>
      </c>
      <c r="F192" s="53" t="s">
        <v>852</v>
      </c>
    </row>
    <row r="193">
      <c r="A193" s="54">
        <v>43292.0</v>
      </c>
      <c r="B193" s="55" t="s">
        <v>758</v>
      </c>
      <c r="C193" s="56" t="s">
        <v>868</v>
      </c>
      <c r="D193" s="57" t="s">
        <v>869</v>
      </c>
      <c r="E193" s="55" t="s">
        <v>870</v>
      </c>
      <c r="F193" s="58" t="s">
        <v>852</v>
      </c>
    </row>
    <row r="194">
      <c r="A194" s="59">
        <v>43293.0</v>
      </c>
      <c r="B194" s="50" t="s">
        <v>759</v>
      </c>
      <c r="C194" s="51" t="s">
        <v>868</v>
      </c>
      <c r="D194" s="52" t="s">
        <v>869</v>
      </c>
      <c r="E194" s="50" t="s">
        <v>870</v>
      </c>
      <c r="F194" s="53" t="s">
        <v>852</v>
      </c>
    </row>
    <row r="195">
      <c r="A195" s="54">
        <v>43294.0</v>
      </c>
      <c r="B195" s="55" t="s">
        <v>760</v>
      </c>
      <c r="C195" s="56" t="s">
        <v>868</v>
      </c>
      <c r="D195" s="57" t="s">
        <v>869</v>
      </c>
      <c r="E195" s="55" t="s">
        <v>870</v>
      </c>
      <c r="F195" s="58" t="s">
        <v>852</v>
      </c>
    </row>
    <row r="196">
      <c r="A196" s="59">
        <v>43295.0</v>
      </c>
      <c r="B196" s="50" t="s">
        <v>761</v>
      </c>
      <c r="C196" s="51" t="s">
        <v>868</v>
      </c>
      <c r="D196" s="52" t="s">
        <v>869</v>
      </c>
      <c r="E196" s="50" t="s">
        <v>870</v>
      </c>
      <c r="F196" s="53" t="s">
        <v>852</v>
      </c>
    </row>
    <row r="197">
      <c r="A197" s="54">
        <v>43296.0</v>
      </c>
      <c r="B197" s="55" t="s">
        <v>762</v>
      </c>
      <c r="C197" s="56" t="s">
        <v>868</v>
      </c>
      <c r="D197" s="57" t="s">
        <v>869</v>
      </c>
      <c r="E197" s="55" t="s">
        <v>870</v>
      </c>
      <c r="F197" s="58" t="s">
        <v>852</v>
      </c>
    </row>
    <row r="198">
      <c r="A198" s="59">
        <v>43297.0</v>
      </c>
      <c r="B198" s="50" t="s">
        <v>763</v>
      </c>
      <c r="C198" s="51" t="s">
        <v>868</v>
      </c>
      <c r="D198" s="52" t="s">
        <v>869</v>
      </c>
      <c r="E198" s="50" t="s">
        <v>870</v>
      </c>
      <c r="F198" s="53" t="s">
        <v>852</v>
      </c>
    </row>
    <row r="199">
      <c r="A199" s="54">
        <v>43298.0</v>
      </c>
      <c r="B199" s="55" t="s">
        <v>764</v>
      </c>
      <c r="C199" s="56" t="s">
        <v>868</v>
      </c>
      <c r="D199" s="57" t="s">
        <v>869</v>
      </c>
      <c r="E199" s="55" t="s">
        <v>870</v>
      </c>
      <c r="F199" s="58" t="s">
        <v>852</v>
      </c>
    </row>
    <row r="200">
      <c r="A200" s="59">
        <v>43299.0</v>
      </c>
      <c r="B200" s="50" t="s">
        <v>765</v>
      </c>
      <c r="C200" s="51" t="s">
        <v>868</v>
      </c>
      <c r="D200" s="52" t="s">
        <v>869</v>
      </c>
      <c r="E200" s="50" t="s">
        <v>870</v>
      </c>
      <c r="F200" s="53" t="s">
        <v>852</v>
      </c>
    </row>
    <row r="201">
      <c r="A201" s="54">
        <v>43300.0</v>
      </c>
      <c r="B201" s="55" t="s">
        <v>743</v>
      </c>
      <c r="C201" s="56" t="s">
        <v>868</v>
      </c>
      <c r="D201" s="57" t="s">
        <v>869</v>
      </c>
      <c r="E201" s="55" t="s">
        <v>870</v>
      </c>
      <c r="F201" s="58" t="s">
        <v>852</v>
      </c>
    </row>
    <row r="202">
      <c r="A202" s="59">
        <v>43301.0</v>
      </c>
      <c r="B202" s="50" t="s">
        <v>766</v>
      </c>
      <c r="C202" s="51" t="s">
        <v>868</v>
      </c>
      <c r="D202" s="52" t="s">
        <v>869</v>
      </c>
      <c r="E202" s="50" t="s">
        <v>870</v>
      </c>
      <c r="F202" s="53" t="s">
        <v>852</v>
      </c>
    </row>
    <row r="203">
      <c r="A203" s="54">
        <v>43302.0</v>
      </c>
      <c r="B203" s="55" t="s">
        <v>745</v>
      </c>
      <c r="C203" s="56" t="s">
        <v>868</v>
      </c>
      <c r="D203" s="57" t="s">
        <v>869</v>
      </c>
      <c r="E203" s="55" t="s">
        <v>870</v>
      </c>
      <c r="F203" s="58" t="s">
        <v>852</v>
      </c>
    </row>
    <row r="204">
      <c r="A204" s="59">
        <v>43303.0</v>
      </c>
      <c r="B204" s="50" t="s">
        <v>767</v>
      </c>
      <c r="C204" s="51" t="s">
        <v>868</v>
      </c>
      <c r="D204" s="52" t="s">
        <v>869</v>
      </c>
      <c r="E204" s="50" t="s">
        <v>870</v>
      </c>
      <c r="F204" s="53" t="s">
        <v>852</v>
      </c>
    </row>
    <row r="205">
      <c r="A205" s="54">
        <v>43304.0</v>
      </c>
      <c r="B205" s="55" t="s">
        <v>768</v>
      </c>
      <c r="C205" s="56" t="s">
        <v>868</v>
      </c>
      <c r="D205" s="57" t="s">
        <v>869</v>
      </c>
      <c r="E205" s="55" t="s">
        <v>870</v>
      </c>
      <c r="F205" s="58" t="s">
        <v>852</v>
      </c>
    </row>
    <row r="206">
      <c r="A206" s="59">
        <v>43305.0</v>
      </c>
      <c r="B206" s="50" t="s">
        <v>747</v>
      </c>
      <c r="C206" s="51" t="s">
        <v>868</v>
      </c>
      <c r="D206" s="52" t="s">
        <v>869</v>
      </c>
      <c r="E206" s="50" t="s">
        <v>870</v>
      </c>
      <c r="F206" s="53" t="s">
        <v>852</v>
      </c>
    </row>
    <row r="207">
      <c r="A207" s="54">
        <v>43306.0</v>
      </c>
      <c r="B207" s="55" t="s">
        <v>769</v>
      </c>
      <c r="C207" s="56" t="s">
        <v>868</v>
      </c>
      <c r="D207" s="57" t="s">
        <v>869</v>
      </c>
      <c r="E207" s="55" t="s">
        <v>870</v>
      </c>
      <c r="F207" s="58" t="s">
        <v>852</v>
      </c>
    </row>
    <row r="208">
      <c r="A208" s="59">
        <v>43307.0</v>
      </c>
      <c r="B208" s="50" t="s">
        <v>770</v>
      </c>
      <c r="C208" s="51" t="s">
        <v>868</v>
      </c>
      <c r="D208" s="52" t="s">
        <v>869</v>
      </c>
      <c r="E208" s="50" t="s">
        <v>870</v>
      </c>
      <c r="F208" s="53" t="s">
        <v>852</v>
      </c>
    </row>
    <row r="209">
      <c r="A209" s="54">
        <v>43308.0</v>
      </c>
      <c r="B209" s="55" t="s">
        <v>749</v>
      </c>
      <c r="C209" s="56" t="s">
        <v>868</v>
      </c>
      <c r="D209" s="57" t="s">
        <v>869</v>
      </c>
      <c r="E209" s="55" t="s">
        <v>870</v>
      </c>
      <c r="F209" s="58" t="s">
        <v>852</v>
      </c>
    </row>
    <row r="210">
      <c r="A210" s="59">
        <v>43309.0</v>
      </c>
      <c r="B210" s="50" t="s">
        <v>771</v>
      </c>
      <c r="C210" s="51" t="s">
        <v>868</v>
      </c>
      <c r="D210" s="52" t="s">
        <v>869</v>
      </c>
      <c r="E210" s="50" t="s">
        <v>870</v>
      </c>
      <c r="F210" s="53" t="s">
        <v>852</v>
      </c>
    </row>
    <row r="211">
      <c r="A211" s="54">
        <v>43310.0</v>
      </c>
      <c r="B211" s="55" t="s">
        <v>772</v>
      </c>
      <c r="C211" s="56" t="s">
        <v>868</v>
      </c>
      <c r="D211" s="57" t="s">
        <v>869</v>
      </c>
      <c r="E211" s="55" t="s">
        <v>870</v>
      </c>
      <c r="F211" s="58" t="s">
        <v>852</v>
      </c>
    </row>
    <row r="212">
      <c r="A212" s="59">
        <v>43311.0</v>
      </c>
      <c r="B212" s="50" t="s">
        <v>773</v>
      </c>
      <c r="C212" s="51" t="s">
        <v>868</v>
      </c>
      <c r="D212" s="52" t="s">
        <v>869</v>
      </c>
      <c r="E212" s="50" t="s">
        <v>870</v>
      </c>
      <c r="F212" s="53" t="s">
        <v>852</v>
      </c>
    </row>
    <row r="213">
      <c r="A213" s="54">
        <v>43312.0</v>
      </c>
      <c r="B213" s="55" t="s">
        <v>774</v>
      </c>
      <c r="C213" s="56" t="s">
        <v>868</v>
      </c>
      <c r="D213" s="57" t="s">
        <v>869</v>
      </c>
      <c r="E213" s="55" t="s">
        <v>870</v>
      </c>
      <c r="F213" s="58" t="s">
        <v>852</v>
      </c>
    </row>
    <row r="214">
      <c r="A214" s="59">
        <v>43313.0</v>
      </c>
      <c r="B214" s="50" t="s">
        <v>742</v>
      </c>
      <c r="C214" s="51" t="s">
        <v>871</v>
      </c>
      <c r="D214" s="52" t="s">
        <v>872</v>
      </c>
      <c r="E214" s="50" t="s">
        <v>873</v>
      </c>
      <c r="F214" s="53" t="s">
        <v>852</v>
      </c>
    </row>
    <row r="215">
      <c r="A215" s="54">
        <v>43314.0</v>
      </c>
      <c r="B215" s="55" t="s">
        <v>744</v>
      </c>
      <c r="C215" s="56" t="s">
        <v>871</v>
      </c>
      <c r="D215" s="57" t="s">
        <v>872</v>
      </c>
      <c r="E215" s="55" t="s">
        <v>873</v>
      </c>
      <c r="F215" s="58" t="s">
        <v>852</v>
      </c>
    </row>
    <row r="216">
      <c r="A216" s="59">
        <v>43315.0</v>
      </c>
      <c r="B216" s="50" t="s">
        <v>746</v>
      </c>
      <c r="C216" s="51" t="s">
        <v>871</v>
      </c>
      <c r="D216" s="52" t="s">
        <v>872</v>
      </c>
      <c r="E216" s="50" t="s">
        <v>873</v>
      </c>
      <c r="F216" s="53" t="s">
        <v>852</v>
      </c>
    </row>
    <row r="217">
      <c r="A217" s="54">
        <v>43316.0</v>
      </c>
      <c r="B217" s="55" t="s">
        <v>748</v>
      </c>
      <c r="C217" s="56" t="s">
        <v>871</v>
      </c>
      <c r="D217" s="57" t="s">
        <v>872</v>
      </c>
      <c r="E217" s="55" t="s">
        <v>873</v>
      </c>
      <c r="F217" s="58" t="s">
        <v>852</v>
      </c>
    </row>
    <row r="218">
      <c r="A218" s="59">
        <v>43317.0</v>
      </c>
      <c r="B218" s="50" t="s">
        <v>750</v>
      </c>
      <c r="C218" s="51" t="s">
        <v>871</v>
      </c>
      <c r="D218" s="52" t="s">
        <v>872</v>
      </c>
      <c r="E218" s="50" t="s">
        <v>873</v>
      </c>
      <c r="F218" s="53" t="s">
        <v>852</v>
      </c>
    </row>
    <row r="219">
      <c r="A219" s="54">
        <v>43318.0</v>
      </c>
      <c r="B219" s="55" t="s">
        <v>752</v>
      </c>
      <c r="C219" s="56" t="s">
        <v>871</v>
      </c>
      <c r="D219" s="57" t="s">
        <v>872</v>
      </c>
      <c r="E219" s="55" t="s">
        <v>873</v>
      </c>
      <c r="F219" s="58" t="s">
        <v>852</v>
      </c>
    </row>
    <row r="220">
      <c r="A220" s="59">
        <v>43319.0</v>
      </c>
      <c r="B220" s="50" t="s">
        <v>753</v>
      </c>
      <c r="C220" s="51" t="s">
        <v>871</v>
      </c>
      <c r="D220" s="52" t="s">
        <v>872</v>
      </c>
      <c r="E220" s="50" t="s">
        <v>873</v>
      </c>
      <c r="F220" s="53" t="s">
        <v>852</v>
      </c>
    </row>
    <row r="221">
      <c r="A221" s="54">
        <v>43320.0</v>
      </c>
      <c r="B221" s="55" t="s">
        <v>754</v>
      </c>
      <c r="C221" s="56" t="s">
        <v>871</v>
      </c>
      <c r="D221" s="57" t="s">
        <v>872</v>
      </c>
      <c r="E221" s="55" t="s">
        <v>873</v>
      </c>
      <c r="F221" s="58" t="s">
        <v>852</v>
      </c>
    </row>
    <row r="222">
      <c r="A222" s="59">
        <v>43321.0</v>
      </c>
      <c r="B222" s="50" t="s">
        <v>755</v>
      </c>
      <c r="C222" s="51" t="s">
        <v>871</v>
      </c>
      <c r="D222" s="52" t="s">
        <v>872</v>
      </c>
      <c r="E222" s="50" t="s">
        <v>873</v>
      </c>
      <c r="F222" s="53" t="s">
        <v>852</v>
      </c>
    </row>
    <row r="223">
      <c r="A223" s="54">
        <v>43322.0</v>
      </c>
      <c r="B223" s="55" t="s">
        <v>756</v>
      </c>
      <c r="C223" s="56" t="s">
        <v>871</v>
      </c>
      <c r="D223" s="57" t="s">
        <v>872</v>
      </c>
      <c r="E223" s="55" t="s">
        <v>873</v>
      </c>
      <c r="F223" s="58" t="s">
        <v>852</v>
      </c>
    </row>
    <row r="224">
      <c r="A224" s="59">
        <v>43323.0</v>
      </c>
      <c r="B224" s="50" t="s">
        <v>758</v>
      </c>
      <c r="C224" s="51" t="s">
        <v>871</v>
      </c>
      <c r="D224" s="52" t="s">
        <v>872</v>
      </c>
      <c r="E224" s="50" t="s">
        <v>873</v>
      </c>
      <c r="F224" s="53" t="s">
        <v>852</v>
      </c>
    </row>
    <row r="225">
      <c r="A225" s="54">
        <v>43324.0</v>
      </c>
      <c r="B225" s="55" t="s">
        <v>759</v>
      </c>
      <c r="C225" s="56" t="s">
        <v>871</v>
      </c>
      <c r="D225" s="57" t="s">
        <v>872</v>
      </c>
      <c r="E225" s="55" t="s">
        <v>873</v>
      </c>
      <c r="F225" s="58" t="s">
        <v>852</v>
      </c>
    </row>
    <row r="226">
      <c r="A226" s="59">
        <v>43325.0</v>
      </c>
      <c r="B226" s="50" t="s">
        <v>760</v>
      </c>
      <c r="C226" s="51" t="s">
        <v>871</v>
      </c>
      <c r="D226" s="52" t="s">
        <v>872</v>
      </c>
      <c r="E226" s="50" t="s">
        <v>873</v>
      </c>
      <c r="F226" s="53" t="s">
        <v>852</v>
      </c>
    </row>
    <row r="227">
      <c r="A227" s="54">
        <v>43326.0</v>
      </c>
      <c r="B227" s="55" t="s">
        <v>761</v>
      </c>
      <c r="C227" s="56" t="s">
        <v>871</v>
      </c>
      <c r="D227" s="57" t="s">
        <v>872</v>
      </c>
      <c r="E227" s="55" t="s">
        <v>873</v>
      </c>
      <c r="F227" s="58" t="s">
        <v>852</v>
      </c>
    </row>
    <row r="228">
      <c r="A228" s="59">
        <v>43327.0</v>
      </c>
      <c r="B228" s="50" t="s">
        <v>762</v>
      </c>
      <c r="C228" s="51" t="s">
        <v>871</v>
      </c>
      <c r="D228" s="52" t="s">
        <v>872</v>
      </c>
      <c r="E228" s="50" t="s">
        <v>873</v>
      </c>
      <c r="F228" s="53" t="s">
        <v>852</v>
      </c>
    </row>
    <row r="229">
      <c r="A229" s="54">
        <v>43328.0</v>
      </c>
      <c r="B229" s="55" t="s">
        <v>763</v>
      </c>
      <c r="C229" s="56" t="s">
        <v>871</v>
      </c>
      <c r="D229" s="57" t="s">
        <v>872</v>
      </c>
      <c r="E229" s="55" t="s">
        <v>873</v>
      </c>
      <c r="F229" s="58" t="s">
        <v>852</v>
      </c>
    </row>
    <row r="230">
      <c r="A230" s="59">
        <v>43329.0</v>
      </c>
      <c r="B230" s="50" t="s">
        <v>764</v>
      </c>
      <c r="C230" s="51" t="s">
        <v>871</v>
      </c>
      <c r="D230" s="52" t="s">
        <v>872</v>
      </c>
      <c r="E230" s="50" t="s">
        <v>873</v>
      </c>
      <c r="F230" s="53" t="s">
        <v>852</v>
      </c>
    </row>
    <row r="231">
      <c r="A231" s="54">
        <v>43330.0</v>
      </c>
      <c r="B231" s="55" t="s">
        <v>765</v>
      </c>
      <c r="C231" s="56" t="s">
        <v>871</v>
      </c>
      <c r="D231" s="57" t="s">
        <v>872</v>
      </c>
      <c r="E231" s="55" t="s">
        <v>873</v>
      </c>
      <c r="F231" s="58" t="s">
        <v>852</v>
      </c>
    </row>
    <row r="232">
      <c r="A232" s="59">
        <v>43331.0</v>
      </c>
      <c r="B232" s="50" t="s">
        <v>743</v>
      </c>
      <c r="C232" s="51" t="s">
        <v>871</v>
      </c>
      <c r="D232" s="52" t="s">
        <v>872</v>
      </c>
      <c r="E232" s="50" t="s">
        <v>873</v>
      </c>
      <c r="F232" s="53" t="s">
        <v>852</v>
      </c>
    </row>
    <row r="233">
      <c r="A233" s="54">
        <v>43332.0</v>
      </c>
      <c r="B233" s="55" t="s">
        <v>766</v>
      </c>
      <c r="C233" s="56" t="s">
        <v>871</v>
      </c>
      <c r="D233" s="57" t="s">
        <v>872</v>
      </c>
      <c r="E233" s="55" t="s">
        <v>873</v>
      </c>
      <c r="F233" s="58" t="s">
        <v>852</v>
      </c>
    </row>
    <row r="234">
      <c r="A234" s="59">
        <v>43333.0</v>
      </c>
      <c r="B234" s="50" t="s">
        <v>745</v>
      </c>
      <c r="C234" s="51" t="s">
        <v>871</v>
      </c>
      <c r="D234" s="52" t="s">
        <v>872</v>
      </c>
      <c r="E234" s="50" t="s">
        <v>873</v>
      </c>
      <c r="F234" s="53" t="s">
        <v>852</v>
      </c>
    </row>
    <row r="235">
      <c r="A235" s="54">
        <v>43334.0</v>
      </c>
      <c r="B235" s="55" t="s">
        <v>767</v>
      </c>
      <c r="C235" s="56" t="s">
        <v>871</v>
      </c>
      <c r="D235" s="57" t="s">
        <v>872</v>
      </c>
      <c r="E235" s="55" t="s">
        <v>873</v>
      </c>
      <c r="F235" s="58" t="s">
        <v>852</v>
      </c>
    </row>
    <row r="236">
      <c r="A236" s="59">
        <v>43335.0</v>
      </c>
      <c r="B236" s="50" t="s">
        <v>768</v>
      </c>
      <c r="C236" s="51" t="s">
        <v>871</v>
      </c>
      <c r="D236" s="52" t="s">
        <v>872</v>
      </c>
      <c r="E236" s="50" t="s">
        <v>873</v>
      </c>
      <c r="F236" s="53" t="s">
        <v>852</v>
      </c>
    </row>
    <row r="237">
      <c r="A237" s="54">
        <v>43336.0</v>
      </c>
      <c r="B237" s="55" t="s">
        <v>747</v>
      </c>
      <c r="C237" s="56" t="s">
        <v>871</v>
      </c>
      <c r="D237" s="57" t="s">
        <v>872</v>
      </c>
      <c r="E237" s="55" t="s">
        <v>873</v>
      </c>
      <c r="F237" s="58" t="s">
        <v>852</v>
      </c>
    </row>
    <row r="238">
      <c r="A238" s="59">
        <v>43337.0</v>
      </c>
      <c r="B238" s="50" t="s">
        <v>769</v>
      </c>
      <c r="C238" s="51" t="s">
        <v>871</v>
      </c>
      <c r="D238" s="52" t="s">
        <v>872</v>
      </c>
      <c r="E238" s="50" t="s">
        <v>873</v>
      </c>
      <c r="F238" s="53" t="s">
        <v>852</v>
      </c>
    </row>
    <row r="239">
      <c r="A239" s="54">
        <v>43338.0</v>
      </c>
      <c r="B239" s="55" t="s">
        <v>770</v>
      </c>
      <c r="C239" s="56" t="s">
        <v>871</v>
      </c>
      <c r="D239" s="57" t="s">
        <v>872</v>
      </c>
      <c r="E239" s="55" t="s">
        <v>873</v>
      </c>
      <c r="F239" s="58" t="s">
        <v>852</v>
      </c>
    </row>
    <row r="240">
      <c r="A240" s="59">
        <v>43339.0</v>
      </c>
      <c r="B240" s="50" t="s">
        <v>749</v>
      </c>
      <c r="C240" s="51" t="s">
        <v>871</v>
      </c>
      <c r="D240" s="52" t="s">
        <v>872</v>
      </c>
      <c r="E240" s="50" t="s">
        <v>873</v>
      </c>
      <c r="F240" s="53" t="s">
        <v>852</v>
      </c>
    </row>
    <row r="241">
      <c r="A241" s="54">
        <v>43340.0</v>
      </c>
      <c r="B241" s="55" t="s">
        <v>771</v>
      </c>
      <c r="C241" s="56" t="s">
        <v>871</v>
      </c>
      <c r="D241" s="57" t="s">
        <v>872</v>
      </c>
      <c r="E241" s="55" t="s">
        <v>873</v>
      </c>
      <c r="F241" s="58" t="s">
        <v>852</v>
      </c>
    </row>
    <row r="242">
      <c r="A242" s="59">
        <v>43341.0</v>
      </c>
      <c r="B242" s="50" t="s">
        <v>772</v>
      </c>
      <c r="C242" s="51" t="s">
        <v>871</v>
      </c>
      <c r="D242" s="52" t="s">
        <v>872</v>
      </c>
      <c r="E242" s="50" t="s">
        <v>873</v>
      </c>
      <c r="F242" s="53" t="s">
        <v>852</v>
      </c>
    </row>
    <row r="243">
      <c r="A243" s="54">
        <v>43342.0</v>
      </c>
      <c r="B243" s="55" t="s">
        <v>773</v>
      </c>
      <c r="C243" s="56" t="s">
        <v>871</v>
      </c>
      <c r="D243" s="57" t="s">
        <v>872</v>
      </c>
      <c r="E243" s="55" t="s">
        <v>873</v>
      </c>
      <c r="F243" s="58" t="s">
        <v>852</v>
      </c>
    </row>
    <row r="244">
      <c r="A244" s="59">
        <v>43343.0</v>
      </c>
      <c r="B244" s="50" t="s">
        <v>774</v>
      </c>
      <c r="C244" s="51" t="s">
        <v>871</v>
      </c>
      <c r="D244" s="52" t="s">
        <v>872</v>
      </c>
      <c r="E244" s="50" t="s">
        <v>873</v>
      </c>
      <c r="F244" s="53" t="s">
        <v>852</v>
      </c>
    </row>
    <row r="245">
      <c r="A245" s="54">
        <v>43344.0</v>
      </c>
      <c r="B245" s="55" t="s">
        <v>742</v>
      </c>
      <c r="C245" s="56" t="s">
        <v>874</v>
      </c>
      <c r="D245" s="57" t="s">
        <v>875</v>
      </c>
      <c r="E245" s="55" t="s">
        <v>876</v>
      </c>
      <c r="F245" s="58" t="s">
        <v>852</v>
      </c>
    </row>
    <row r="246">
      <c r="A246" s="59">
        <v>43345.0</v>
      </c>
      <c r="B246" s="50" t="s">
        <v>744</v>
      </c>
      <c r="C246" s="51" t="s">
        <v>874</v>
      </c>
      <c r="D246" s="52" t="s">
        <v>875</v>
      </c>
      <c r="E246" s="50" t="s">
        <v>876</v>
      </c>
      <c r="F246" s="53" t="s">
        <v>852</v>
      </c>
    </row>
    <row r="247">
      <c r="A247" s="54">
        <v>43346.0</v>
      </c>
      <c r="B247" s="55" t="s">
        <v>746</v>
      </c>
      <c r="C247" s="56" t="s">
        <v>874</v>
      </c>
      <c r="D247" s="57" t="s">
        <v>875</v>
      </c>
      <c r="E247" s="55" t="s">
        <v>876</v>
      </c>
      <c r="F247" s="58" t="s">
        <v>852</v>
      </c>
    </row>
    <row r="248">
      <c r="A248" s="59">
        <v>43347.0</v>
      </c>
      <c r="B248" s="50" t="s">
        <v>748</v>
      </c>
      <c r="C248" s="51" t="s">
        <v>874</v>
      </c>
      <c r="D248" s="52" t="s">
        <v>875</v>
      </c>
      <c r="E248" s="50" t="s">
        <v>876</v>
      </c>
      <c r="F248" s="53" t="s">
        <v>852</v>
      </c>
    </row>
    <row r="249">
      <c r="A249" s="54">
        <v>43348.0</v>
      </c>
      <c r="B249" s="55" t="s">
        <v>750</v>
      </c>
      <c r="C249" s="56" t="s">
        <v>874</v>
      </c>
      <c r="D249" s="57" t="s">
        <v>875</v>
      </c>
      <c r="E249" s="55" t="s">
        <v>876</v>
      </c>
      <c r="F249" s="58" t="s">
        <v>852</v>
      </c>
    </row>
    <row r="250">
      <c r="A250" s="59">
        <v>43349.0</v>
      </c>
      <c r="B250" s="50" t="s">
        <v>752</v>
      </c>
      <c r="C250" s="51" t="s">
        <v>874</v>
      </c>
      <c r="D250" s="52" t="s">
        <v>875</v>
      </c>
      <c r="E250" s="50" t="s">
        <v>876</v>
      </c>
      <c r="F250" s="53" t="s">
        <v>852</v>
      </c>
    </row>
    <row r="251">
      <c r="A251" s="54">
        <v>43350.0</v>
      </c>
      <c r="B251" s="55" t="s">
        <v>753</v>
      </c>
      <c r="C251" s="56" t="s">
        <v>874</v>
      </c>
      <c r="D251" s="57" t="s">
        <v>875</v>
      </c>
      <c r="E251" s="55" t="s">
        <v>876</v>
      </c>
      <c r="F251" s="58" t="s">
        <v>852</v>
      </c>
    </row>
    <row r="252">
      <c r="A252" s="59">
        <v>43351.0</v>
      </c>
      <c r="B252" s="50" t="s">
        <v>754</v>
      </c>
      <c r="C252" s="51" t="s">
        <v>874</v>
      </c>
      <c r="D252" s="52" t="s">
        <v>875</v>
      </c>
      <c r="E252" s="50" t="s">
        <v>876</v>
      </c>
      <c r="F252" s="53" t="s">
        <v>852</v>
      </c>
    </row>
    <row r="253">
      <c r="A253" s="54">
        <v>43352.0</v>
      </c>
      <c r="B253" s="55" t="s">
        <v>755</v>
      </c>
      <c r="C253" s="56" t="s">
        <v>874</v>
      </c>
      <c r="D253" s="57" t="s">
        <v>875</v>
      </c>
      <c r="E253" s="55" t="s">
        <v>876</v>
      </c>
      <c r="F253" s="58" t="s">
        <v>852</v>
      </c>
    </row>
    <row r="254">
      <c r="A254" s="59">
        <v>43353.0</v>
      </c>
      <c r="B254" s="50" t="s">
        <v>756</v>
      </c>
      <c r="C254" s="51" t="s">
        <v>874</v>
      </c>
      <c r="D254" s="52" t="s">
        <v>875</v>
      </c>
      <c r="E254" s="50" t="s">
        <v>876</v>
      </c>
      <c r="F254" s="53" t="s">
        <v>852</v>
      </c>
    </row>
    <row r="255">
      <c r="A255" s="54">
        <v>43354.0</v>
      </c>
      <c r="B255" s="55" t="s">
        <v>758</v>
      </c>
      <c r="C255" s="56" t="s">
        <v>874</v>
      </c>
      <c r="D255" s="57" t="s">
        <v>875</v>
      </c>
      <c r="E255" s="55" t="s">
        <v>876</v>
      </c>
      <c r="F255" s="58" t="s">
        <v>852</v>
      </c>
    </row>
    <row r="256">
      <c r="A256" s="59">
        <v>43355.0</v>
      </c>
      <c r="B256" s="50" t="s">
        <v>759</v>
      </c>
      <c r="C256" s="51" t="s">
        <v>874</v>
      </c>
      <c r="D256" s="52" t="s">
        <v>875</v>
      </c>
      <c r="E256" s="50" t="s">
        <v>876</v>
      </c>
      <c r="F256" s="53" t="s">
        <v>852</v>
      </c>
    </row>
    <row r="257">
      <c r="A257" s="54">
        <v>43356.0</v>
      </c>
      <c r="B257" s="55" t="s">
        <v>760</v>
      </c>
      <c r="C257" s="56" t="s">
        <v>874</v>
      </c>
      <c r="D257" s="57" t="s">
        <v>875</v>
      </c>
      <c r="E257" s="55" t="s">
        <v>876</v>
      </c>
      <c r="F257" s="58" t="s">
        <v>852</v>
      </c>
    </row>
    <row r="258">
      <c r="A258" s="59">
        <v>43357.0</v>
      </c>
      <c r="B258" s="50" t="s">
        <v>761</v>
      </c>
      <c r="C258" s="51" t="s">
        <v>874</v>
      </c>
      <c r="D258" s="52" t="s">
        <v>875</v>
      </c>
      <c r="E258" s="50" t="s">
        <v>876</v>
      </c>
      <c r="F258" s="53" t="s">
        <v>852</v>
      </c>
    </row>
    <row r="259">
      <c r="A259" s="54">
        <v>43358.0</v>
      </c>
      <c r="B259" s="55" t="s">
        <v>762</v>
      </c>
      <c r="C259" s="56" t="s">
        <v>874</v>
      </c>
      <c r="D259" s="57" t="s">
        <v>875</v>
      </c>
      <c r="E259" s="55" t="s">
        <v>876</v>
      </c>
      <c r="F259" s="58" t="s">
        <v>852</v>
      </c>
    </row>
    <row r="260">
      <c r="A260" s="59">
        <v>43359.0</v>
      </c>
      <c r="B260" s="50" t="s">
        <v>763</v>
      </c>
      <c r="C260" s="51" t="s">
        <v>874</v>
      </c>
      <c r="D260" s="52" t="s">
        <v>875</v>
      </c>
      <c r="E260" s="50" t="s">
        <v>876</v>
      </c>
      <c r="F260" s="53" t="s">
        <v>852</v>
      </c>
    </row>
    <row r="261">
      <c r="A261" s="54">
        <v>43360.0</v>
      </c>
      <c r="B261" s="55" t="s">
        <v>764</v>
      </c>
      <c r="C261" s="56" t="s">
        <v>874</v>
      </c>
      <c r="D261" s="57" t="s">
        <v>875</v>
      </c>
      <c r="E261" s="55" t="s">
        <v>876</v>
      </c>
      <c r="F261" s="58" t="s">
        <v>852</v>
      </c>
    </row>
    <row r="262">
      <c r="A262" s="59">
        <v>43361.0</v>
      </c>
      <c r="B262" s="50" t="s">
        <v>765</v>
      </c>
      <c r="C262" s="51" t="s">
        <v>874</v>
      </c>
      <c r="D262" s="52" t="s">
        <v>875</v>
      </c>
      <c r="E262" s="50" t="s">
        <v>876</v>
      </c>
      <c r="F262" s="53" t="s">
        <v>852</v>
      </c>
    </row>
    <row r="263">
      <c r="A263" s="54">
        <v>43362.0</v>
      </c>
      <c r="B263" s="55" t="s">
        <v>743</v>
      </c>
      <c r="C263" s="56" t="s">
        <v>874</v>
      </c>
      <c r="D263" s="57" t="s">
        <v>875</v>
      </c>
      <c r="E263" s="55" t="s">
        <v>876</v>
      </c>
      <c r="F263" s="58" t="s">
        <v>852</v>
      </c>
    </row>
    <row r="264">
      <c r="A264" s="59">
        <v>43363.0</v>
      </c>
      <c r="B264" s="50" t="s">
        <v>766</v>
      </c>
      <c r="C264" s="51" t="s">
        <v>874</v>
      </c>
      <c r="D264" s="52" t="s">
        <v>875</v>
      </c>
      <c r="E264" s="50" t="s">
        <v>876</v>
      </c>
      <c r="F264" s="53" t="s">
        <v>852</v>
      </c>
    </row>
    <row r="265">
      <c r="A265" s="54">
        <v>43364.0</v>
      </c>
      <c r="B265" s="55" t="s">
        <v>745</v>
      </c>
      <c r="C265" s="56" t="s">
        <v>874</v>
      </c>
      <c r="D265" s="57" t="s">
        <v>875</v>
      </c>
      <c r="E265" s="55" t="s">
        <v>876</v>
      </c>
      <c r="F265" s="58" t="s">
        <v>852</v>
      </c>
    </row>
    <row r="266">
      <c r="A266" s="59">
        <v>43365.0</v>
      </c>
      <c r="B266" s="50" t="s">
        <v>767</v>
      </c>
      <c r="C266" s="51" t="s">
        <v>874</v>
      </c>
      <c r="D266" s="52" t="s">
        <v>875</v>
      </c>
      <c r="E266" s="50" t="s">
        <v>876</v>
      </c>
      <c r="F266" s="53" t="s">
        <v>852</v>
      </c>
    </row>
    <row r="267">
      <c r="A267" s="54">
        <v>43366.0</v>
      </c>
      <c r="B267" s="55" t="s">
        <v>768</v>
      </c>
      <c r="C267" s="56" t="s">
        <v>874</v>
      </c>
      <c r="D267" s="57" t="s">
        <v>875</v>
      </c>
      <c r="E267" s="55" t="s">
        <v>876</v>
      </c>
      <c r="F267" s="58" t="s">
        <v>852</v>
      </c>
    </row>
    <row r="268">
      <c r="A268" s="59">
        <v>43367.0</v>
      </c>
      <c r="B268" s="50" t="s">
        <v>747</v>
      </c>
      <c r="C268" s="51" t="s">
        <v>874</v>
      </c>
      <c r="D268" s="52" t="s">
        <v>875</v>
      </c>
      <c r="E268" s="50" t="s">
        <v>876</v>
      </c>
      <c r="F268" s="53" t="s">
        <v>852</v>
      </c>
    </row>
    <row r="269">
      <c r="A269" s="54">
        <v>43368.0</v>
      </c>
      <c r="B269" s="55" t="s">
        <v>769</v>
      </c>
      <c r="C269" s="56" t="s">
        <v>874</v>
      </c>
      <c r="D269" s="57" t="s">
        <v>875</v>
      </c>
      <c r="E269" s="55" t="s">
        <v>876</v>
      </c>
      <c r="F269" s="58" t="s">
        <v>852</v>
      </c>
    </row>
    <row r="270">
      <c r="A270" s="59">
        <v>43369.0</v>
      </c>
      <c r="B270" s="50" t="s">
        <v>770</v>
      </c>
      <c r="C270" s="51" t="s">
        <v>874</v>
      </c>
      <c r="D270" s="52" t="s">
        <v>875</v>
      </c>
      <c r="E270" s="50" t="s">
        <v>876</v>
      </c>
      <c r="F270" s="53" t="s">
        <v>852</v>
      </c>
    </row>
    <row r="271">
      <c r="A271" s="54">
        <v>43370.0</v>
      </c>
      <c r="B271" s="55" t="s">
        <v>749</v>
      </c>
      <c r="C271" s="56" t="s">
        <v>874</v>
      </c>
      <c r="D271" s="57" t="s">
        <v>875</v>
      </c>
      <c r="E271" s="55" t="s">
        <v>876</v>
      </c>
      <c r="F271" s="58" t="s">
        <v>852</v>
      </c>
    </row>
    <row r="272">
      <c r="A272" s="59">
        <v>43371.0</v>
      </c>
      <c r="B272" s="50" t="s">
        <v>771</v>
      </c>
      <c r="C272" s="51" t="s">
        <v>874</v>
      </c>
      <c r="D272" s="52" t="s">
        <v>875</v>
      </c>
      <c r="E272" s="50" t="s">
        <v>876</v>
      </c>
      <c r="F272" s="53" t="s">
        <v>852</v>
      </c>
    </row>
    <row r="273">
      <c r="A273" s="54">
        <v>43372.0</v>
      </c>
      <c r="B273" s="55" t="s">
        <v>772</v>
      </c>
      <c r="C273" s="56" t="s">
        <v>874</v>
      </c>
      <c r="D273" s="57" t="s">
        <v>875</v>
      </c>
      <c r="E273" s="55" t="s">
        <v>876</v>
      </c>
      <c r="F273" s="58" t="s">
        <v>852</v>
      </c>
    </row>
    <row r="274">
      <c r="A274" s="59">
        <v>43373.0</v>
      </c>
      <c r="B274" s="50" t="s">
        <v>773</v>
      </c>
      <c r="C274" s="51" t="s">
        <v>874</v>
      </c>
      <c r="D274" s="52" t="s">
        <v>875</v>
      </c>
      <c r="E274" s="50" t="s">
        <v>876</v>
      </c>
      <c r="F274" s="53" t="s">
        <v>852</v>
      </c>
    </row>
    <row r="275">
      <c r="A275" s="54">
        <v>43374.0</v>
      </c>
      <c r="B275" s="55" t="s">
        <v>742</v>
      </c>
      <c r="C275" s="60" t="s">
        <v>756</v>
      </c>
      <c r="D275" s="57" t="s">
        <v>877</v>
      </c>
      <c r="E275" s="55" t="s">
        <v>878</v>
      </c>
      <c r="F275" s="58" t="s">
        <v>852</v>
      </c>
    </row>
    <row r="276">
      <c r="A276" s="59">
        <v>43375.0</v>
      </c>
      <c r="B276" s="50" t="s">
        <v>744</v>
      </c>
      <c r="C276" s="61" t="s">
        <v>756</v>
      </c>
      <c r="D276" s="52" t="s">
        <v>877</v>
      </c>
      <c r="E276" s="50" t="s">
        <v>878</v>
      </c>
      <c r="F276" s="53" t="s">
        <v>852</v>
      </c>
    </row>
    <row r="277">
      <c r="A277" s="54">
        <v>43376.0</v>
      </c>
      <c r="B277" s="55" t="s">
        <v>746</v>
      </c>
      <c r="C277" s="60" t="s">
        <v>756</v>
      </c>
      <c r="D277" s="57" t="s">
        <v>877</v>
      </c>
      <c r="E277" s="55" t="s">
        <v>878</v>
      </c>
      <c r="F277" s="58" t="s">
        <v>852</v>
      </c>
    </row>
    <row r="278">
      <c r="A278" s="59">
        <v>43377.0</v>
      </c>
      <c r="B278" s="50" t="s">
        <v>748</v>
      </c>
      <c r="C278" s="61" t="s">
        <v>756</v>
      </c>
      <c r="D278" s="52" t="s">
        <v>877</v>
      </c>
      <c r="E278" s="50" t="s">
        <v>878</v>
      </c>
      <c r="F278" s="53" t="s">
        <v>852</v>
      </c>
    </row>
    <row r="279">
      <c r="A279" s="54">
        <v>43378.0</v>
      </c>
      <c r="B279" s="55" t="s">
        <v>750</v>
      </c>
      <c r="C279" s="60" t="s">
        <v>756</v>
      </c>
      <c r="D279" s="57" t="s">
        <v>877</v>
      </c>
      <c r="E279" s="55" t="s">
        <v>878</v>
      </c>
      <c r="F279" s="58" t="s">
        <v>852</v>
      </c>
    </row>
    <row r="280">
      <c r="A280" s="59">
        <v>43379.0</v>
      </c>
      <c r="B280" s="50" t="s">
        <v>752</v>
      </c>
      <c r="C280" s="61" t="s">
        <v>756</v>
      </c>
      <c r="D280" s="52" t="s">
        <v>877</v>
      </c>
      <c r="E280" s="50" t="s">
        <v>878</v>
      </c>
      <c r="F280" s="53" t="s">
        <v>852</v>
      </c>
    </row>
    <row r="281">
      <c r="A281" s="54">
        <v>43380.0</v>
      </c>
      <c r="B281" s="55" t="s">
        <v>753</v>
      </c>
      <c r="C281" s="60" t="s">
        <v>756</v>
      </c>
      <c r="D281" s="57" t="s">
        <v>877</v>
      </c>
      <c r="E281" s="55" t="s">
        <v>878</v>
      </c>
      <c r="F281" s="58" t="s">
        <v>852</v>
      </c>
    </row>
    <row r="282">
      <c r="A282" s="59">
        <v>43381.0</v>
      </c>
      <c r="B282" s="50" t="s">
        <v>754</v>
      </c>
      <c r="C282" s="61" t="s">
        <v>756</v>
      </c>
      <c r="D282" s="52" t="s">
        <v>877</v>
      </c>
      <c r="E282" s="50" t="s">
        <v>878</v>
      </c>
      <c r="F282" s="53" t="s">
        <v>852</v>
      </c>
    </row>
    <row r="283">
      <c r="A283" s="54">
        <v>43382.0</v>
      </c>
      <c r="B283" s="55" t="s">
        <v>755</v>
      </c>
      <c r="C283" s="60" t="s">
        <v>756</v>
      </c>
      <c r="D283" s="57" t="s">
        <v>877</v>
      </c>
      <c r="E283" s="55" t="s">
        <v>878</v>
      </c>
      <c r="F283" s="58" t="s">
        <v>852</v>
      </c>
    </row>
    <row r="284">
      <c r="A284" s="59">
        <v>43383.0</v>
      </c>
      <c r="B284" s="50" t="s">
        <v>756</v>
      </c>
      <c r="C284" s="61" t="s">
        <v>756</v>
      </c>
      <c r="D284" s="52" t="s">
        <v>877</v>
      </c>
      <c r="E284" s="50" t="s">
        <v>878</v>
      </c>
      <c r="F284" s="53" t="s">
        <v>852</v>
      </c>
    </row>
    <row r="285">
      <c r="A285" s="54">
        <v>43384.0</v>
      </c>
      <c r="B285" s="55" t="s">
        <v>758</v>
      </c>
      <c r="C285" s="60" t="s">
        <v>756</v>
      </c>
      <c r="D285" s="57" t="s">
        <v>877</v>
      </c>
      <c r="E285" s="55" t="s">
        <v>878</v>
      </c>
      <c r="F285" s="58" t="s">
        <v>852</v>
      </c>
    </row>
    <row r="286">
      <c r="A286" s="59">
        <v>43385.0</v>
      </c>
      <c r="B286" s="50" t="s">
        <v>759</v>
      </c>
      <c r="C286" s="61" t="s">
        <v>756</v>
      </c>
      <c r="D286" s="52" t="s">
        <v>877</v>
      </c>
      <c r="E286" s="50" t="s">
        <v>878</v>
      </c>
      <c r="F286" s="53" t="s">
        <v>852</v>
      </c>
    </row>
    <row r="287">
      <c r="A287" s="54">
        <v>43386.0</v>
      </c>
      <c r="B287" s="55" t="s">
        <v>760</v>
      </c>
      <c r="C287" s="60" t="s">
        <v>756</v>
      </c>
      <c r="D287" s="57" t="s">
        <v>877</v>
      </c>
      <c r="E287" s="55" t="s">
        <v>878</v>
      </c>
      <c r="F287" s="58" t="s">
        <v>852</v>
      </c>
    </row>
    <row r="288">
      <c r="A288" s="59">
        <v>43387.0</v>
      </c>
      <c r="B288" s="50" t="s">
        <v>761</v>
      </c>
      <c r="C288" s="61" t="s">
        <v>756</v>
      </c>
      <c r="D288" s="52" t="s">
        <v>877</v>
      </c>
      <c r="E288" s="50" t="s">
        <v>878</v>
      </c>
      <c r="F288" s="53" t="s">
        <v>852</v>
      </c>
    </row>
    <row r="289">
      <c r="A289" s="54">
        <v>43388.0</v>
      </c>
      <c r="B289" s="55" t="s">
        <v>762</v>
      </c>
      <c r="C289" s="60" t="s">
        <v>756</v>
      </c>
      <c r="D289" s="57" t="s">
        <v>877</v>
      </c>
      <c r="E289" s="55" t="s">
        <v>878</v>
      </c>
      <c r="F289" s="58" t="s">
        <v>852</v>
      </c>
    </row>
    <row r="290">
      <c r="A290" s="59">
        <v>43389.0</v>
      </c>
      <c r="B290" s="50" t="s">
        <v>763</v>
      </c>
      <c r="C290" s="61" t="s">
        <v>756</v>
      </c>
      <c r="D290" s="52" t="s">
        <v>877</v>
      </c>
      <c r="E290" s="50" t="s">
        <v>878</v>
      </c>
      <c r="F290" s="53" t="s">
        <v>852</v>
      </c>
    </row>
    <row r="291">
      <c r="A291" s="54">
        <v>43390.0</v>
      </c>
      <c r="B291" s="55" t="s">
        <v>764</v>
      </c>
      <c r="C291" s="60" t="s">
        <v>756</v>
      </c>
      <c r="D291" s="57" t="s">
        <v>877</v>
      </c>
      <c r="E291" s="55" t="s">
        <v>878</v>
      </c>
      <c r="F291" s="58" t="s">
        <v>852</v>
      </c>
    </row>
    <row r="292">
      <c r="A292" s="59">
        <v>43391.0</v>
      </c>
      <c r="B292" s="50" t="s">
        <v>765</v>
      </c>
      <c r="C292" s="61" t="s">
        <v>756</v>
      </c>
      <c r="D292" s="52" t="s">
        <v>877</v>
      </c>
      <c r="E292" s="50" t="s">
        <v>878</v>
      </c>
      <c r="F292" s="53" t="s">
        <v>852</v>
      </c>
    </row>
    <row r="293">
      <c r="A293" s="54">
        <v>43392.0</v>
      </c>
      <c r="B293" s="55" t="s">
        <v>743</v>
      </c>
      <c r="C293" s="60" t="s">
        <v>756</v>
      </c>
      <c r="D293" s="57" t="s">
        <v>877</v>
      </c>
      <c r="E293" s="55" t="s">
        <v>878</v>
      </c>
      <c r="F293" s="58" t="s">
        <v>852</v>
      </c>
    </row>
    <row r="294">
      <c r="A294" s="59">
        <v>43393.0</v>
      </c>
      <c r="B294" s="50" t="s">
        <v>766</v>
      </c>
      <c r="C294" s="61" t="s">
        <v>756</v>
      </c>
      <c r="D294" s="52" t="s">
        <v>877</v>
      </c>
      <c r="E294" s="50" t="s">
        <v>878</v>
      </c>
      <c r="F294" s="53" t="s">
        <v>852</v>
      </c>
    </row>
    <row r="295">
      <c r="A295" s="54">
        <v>43394.0</v>
      </c>
      <c r="B295" s="55" t="s">
        <v>745</v>
      </c>
      <c r="C295" s="60" t="s">
        <v>756</v>
      </c>
      <c r="D295" s="57" t="s">
        <v>877</v>
      </c>
      <c r="E295" s="55" t="s">
        <v>878</v>
      </c>
      <c r="F295" s="58" t="s">
        <v>852</v>
      </c>
    </row>
    <row r="296">
      <c r="A296" s="59">
        <v>43395.0</v>
      </c>
      <c r="B296" s="50" t="s">
        <v>767</v>
      </c>
      <c r="C296" s="61" t="s">
        <v>756</v>
      </c>
      <c r="D296" s="52" t="s">
        <v>877</v>
      </c>
      <c r="E296" s="50" t="s">
        <v>878</v>
      </c>
      <c r="F296" s="53" t="s">
        <v>852</v>
      </c>
    </row>
    <row r="297">
      <c r="A297" s="54">
        <v>43396.0</v>
      </c>
      <c r="B297" s="55" t="s">
        <v>768</v>
      </c>
      <c r="C297" s="60" t="s">
        <v>756</v>
      </c>
      <c r="D297" s="57" t="s">
        <v>877</v>
      </c>
      <c r="E297" s="55" t="s">
        <v>878</v>
      </c>
      <c r="F297" s="58" t="s">
        <v>852</v>
      </c>
    </row>
    <row r="298">
      <c r="A298" s="59">
        <v>43397.0</v>
      </c>
      <c r="B298" s="50" t="s">
        <v>747</v>
      </c>
      <c r="C298" s="61" t="s">
        <v>756</v>
      </c>
      <c r="D298" s="52" t="s">
        <v>877</v>
      </c>
      <c r="E298" s="50" t="s">
        <v>878</v>
      </c>
      <c r="F298" s="53" t="s">
        <v>852</v>
      </c>
    </row>
    <row r="299">
      <c r="A299" s="54">
        <v>43398.0</v>
      </c>
      <c r="B299" s="55" t="s">
        <v>769</v>
      </c>
      <c r="C299" s="60" t="s">
        <v>756</v>
      </c>
      <c r="D299" s="57" t="s">
        <v>877</v>
      </c>
      <c r="E299" s="55" t="s">
        <v>878</v>
      </c>
      <c r="F299" s="58" t="s">
        <v>852</v>
      </c>
    </row>
    <row r="300">
      <c r="A300" s="59">
        <v>43399.0</v>
      </c>
      <c r="B300" s="50" t="s">
        <v>770</v>
      </c>
      <c r="C300" s="61" t="s">
        <v>756</v>
      </c>
      <c r="D300" s="52" t="s">
        <v>877</v>
      </c>
      <c r="E300" s="50" t="s">
        <v>878</v>
      </c>
      <c r="F300" s="53" t="s">
        <v>852</v>
      </c>
    </row>
    <row r="301">
      <c r="A301" s="54">
        <v>43400.0</v>
      </c>
      <c r="B301" s="55" t="s">
        <v>749</v>
      </c>
      <c r="C301" s="60" t="s">
        <v>756</v>
      </c>
      <c r="D301" s="57" t="s">
        <v>877</v>
      </c>
      <c r="E301" s="55" t="s">
        <v>878</v>
      </c>
      <c r="F301" s="58" t="s">
        <v>852</v>
      </c>
    </row>
    <row r="302">
      <c r="A302" s="59">
        <v>43401.0</v>
      </c>
      <c r="B302" s="50" t="s">
        <v>771</v>
      </c>
      <c r="C302" s="61" t="s">
        <v>756</v>
      </c>
      <c r="D302" s="52" t="s">
        <v>877</v>
      </c>
      <c r="E302" s="50" t="s">
        <v>878</v>
      </c>
      <c r="F302" s="53" t="s">
        <v>852</v>
      </c>
    </row>
    <row r="303">
      <c r="A303" s="54">
        <v>43402.0</v>
      </c>
      <c r="B303" s="55" t="s">
        <v>772</v>
      </c>
      <c r="C303" s="60" t="s">
        <v>756</v>
      </c>
      <c r="D303" s="57" t="s">
        <v>877</v>
      </c>
      <c r="E303" s="55" t="s">
        <v>878</v>
      </c>
      <c r="F303" s="58" t="s">
        <v>852</v>
      </c>
    </row>
    <row r="304">
      <c r="A304" s="59">
        <v>43403.0</v>
      </c>
      <c r="B304" s="50" t="s">
        <v>773</v>
      </c>
      <c r="C304" s="61" t="s">
        <v>756</v>
      </c>
      <c r="D304" s="52" t="s">
        <v>877</v>
      </c>
      <c r="E304" s="50" t="s">
        <v>878</v>
      </c>
      <c r="F304" s="53" t="s">
        <v>852</v>
      </c>
    </row>
    <row r="305">
      <c r="A305" s="54">
        <v>43404.0</v>
      </c>
      <c r="B305" s="55" t="s">
        <v>774</v>
      </c>
      <c r="C305" s="60" t="s">
        <v>756</v>
      </c>
      <c r="D305" s="57" t="s">
        <v>877</v>
      </c>
      <c r="E305" s="55" t="s">
        <v>878</v>
      </c>
      <c r="F305" s="58" t="s">
        <v>852</v>
      </c>
    </row>
    <row r="306">
      <c r="A306" s="59">
        <v>43405.0</v>
      </c>
      <c r="B306" s="50" t="s">
        <v>742</v>
      </c>
      <c r="C306" s="61" t="s">
        <v>758</v>
      </c>
      <c r="D306" s="52" t="s">
        <v>879</v>
      </c>
      <c r="E306" s="50" t="s">
        <v>880</v>
      </c>
      <c r="F306" s="53" t="s">
        <v>852</v>
      </c>
    </row>
    <row r="307">
      <c r="A307" s="54">
        <v>43406.0</v>
      </c>
      <c r="B307" s="55" t="s">
        <v>744</v>
      </c>
      <c r="C307" s="60" t="s">
        <v>758</v>
      </c>
      <c r="D307" s="57" t="s">
        <v>879</v>
      </c>
      <c r="E307" s="55" t="s">
        <v>880</v>
      </c>
      <c r="F307" s="58" t="s">
        <v>852</v>
      </c>
    </row>
    <row r="308">
      <c r="A308" s="59">
        <v>43407.0</v>
      </c>
      <c r="B308" s="50" t="s">
        <v>746</v>
      </c>
      <c r="C308" s="61" t="s">
        <v>758</v>
      </c>
      <c r="D308" s="52" t="s">
        <v>879</v>
      </c>
      <c r="E308" s="50" t="s">
        <v>880</v>
      </c>
      <c r="F308" s="53" t="s">
        <v>852</v>
      </c>
    </row>
    <row r="309">
      <c r="A309" s="54">
        <v>43408.0</v>
      </c>
      <c r="B309" s="55" t="s">
        <v>748</v>
      </c>
      <c r="C309" s="60" t="s">
        <v>758</v>
      </c>
      <c r="D309" s="57" t="s">
        <v>879</v>
      </c>
      <c r="E309" s="55" t="s">
        <v>880</v>
      </c>
      <c r="F309" s="58" t="s">
        <v>852</v>
      </c>
    </row>
    <row r="310">
      <c r="A310" s="59">
        <v>43409.0</v>
      </c>
      <c r="B310" s="50" t="s">
        <v>750</v>
      </c>
      <c r="C310" s="61" t="s">
        <v>758</v>
      </c>
      <c r="D310" s="52" t="s">
        <v>879</v>
      </c>
      <c r="E310" s="50" t="s">
        <v>880</v>
      </c>
      <c r="F310" s="53" t="s">
        <v>852</v>
      </c>
    </row>
    <row r="311">
      <c r="A311" s="54">
        <v>43410.0</v>
      </c>
      <c r="B311" s="55" t="s">
        <v>752</v>
      </c>
      <c r="C311" s="60" t="s">
        <v>758</v>
      </c>
      <c r="D311" s="57" t="s">
        <v>879</v>
      </c>
      <c r="E311" s="55" t="s">
        <v>880</v>
      </c>
      <c r="F311" s="58" t="s">
        <v>852</v>
      </c>
    </row>
    <row r="312">
      <c r="A312" s="59">
        <v>43411.0</v>
      </c>
      <c r="B312" s="50" t="s">
        <v>753</v>
      </c>
      <c r="C312" s="61" t="s">
        <v>758</v>
      </c>
      <c r="D312" s="52" t="s">
        <v>879</v>
      </c>
      <c r="E312" s="50" t="s">
        <v>880</v>
      </c>
      <c r="F312" s="53" t="s">
        <v>852</v>
      </c>
    </row>
    <row r="313">
      <c r="A313" s="54">
        <v>43412.0</v>
      </c>
      <c r="B313" s="55" t="s">
        <v>754</v>
      </c>
      <c r="C313" s="60" t="s">
        <v>758</v>
      </c>
      <c r="D313" s="57" t="s">
        <v>879</v>
      </c>
      <c r="E313" s="55" t="s">
        <v>880</v>
      </c>
      <c r="F313" s="58" t="s">
        <v>852</v>
      </c>
    </row>
    <row r="314">
      <c r="A314" s="59">
        <v>43413.0</v>
      </c>
      <c r="B314" s="50" t="s">
        <v>755</v>
      </c>
      <c r="C314" s="61" t="s">
        <v>758</v>
      </c>
      <c r="D314" s="52" t="s">
        <v>879</v>
      </c>
      <c r="E314" s="50" t="s">
        <v>880</v>
      </c>
      <c r="F314" s="53" t="s">
        <v>852</v>
      </c>
    </row>
    <row r="315">
      <c r="A315" s="54">
        <v>43414.0</v>
      </c>
      <c r="B315" s="55" t="s">
        <v>756</v>
      </c>
      <c r="C315" s="60" t="s">
        <v>758</v>
      </c>
      <c r="D315" s="57" t="s">
        <v>879</v>
      </c>
      <c r="E315" s="55" t="s">
        <v>880</v>
      </c>
      <c r="F315" s="58" t="s">
        <v>852</v>
      </c>
    </row>
    <row r="316">
      <c r="A316" s="59">
        <v>43415.0</v>
      </c>
      <c r="B316" s="50" t="s">
        <v>758</v>
      </c>
      <c r="C316" s="61" t="s">
        <v>758</v>
      </c>
      <c r="D316" s="52" t="s">
        <v>879</v>
      </c>
      <c r="E316" s="50" t="s">
        <v>880</v>
      </c>
      <c r="F316" s="53" t="s">
        <v>852</v>
      </c>
    </row>
    <row r="317">
      <c r="A317" s="54">
        <v>43416.0</v>
      </c>
      <c r="B317" s="55" t="s">
        <v>759</v>
      </c>
      <c r="C317" s="60" t="s">
        <v>758</v>
      </c>
      <c r="D317" s="57" t="s">
        <v>879</v>
      </c>
      <c r="E317" s="55" t="s">
        <v>880</v>
      </c>
      <c r="F317" s="58" t="s">
        <v>852</v>
      </c>
    </row>
    <row r="318">
      <c r="A318" s="59">
        <v>43417.0</v>
      </c>
      <c r="B318" s="50" t="s">
        <v>760</v>
      </c>
      <c r="C318" s="61" t="s">
        <v>758</v>
      </c>
      <c r="D318" s="52" t="s">
        <v>879</v>
      </c>
      <c r="E318" s="50" t="s">
        <v>880</v>
      </c>
      <c r="F318" s="53" t="s">
        <v>852</v>
      </c>
    </row>
    <row r="319">
      <c r="A319" s="54">
        <v>43418.0</v>
      </c>
      <c r="B319" s="55" t="s">
        <v>761</v>
      </c>
      <c r="C319" s="60" t="s">
        <v>758</v>
      </c>
      <c r="D319" s="57" t="s">
        <v>879</v>
      </c>
      <c r="E319" s="55" t="s">
        <v>880</v>
      </c>
      <c r="F319" s="58" t="s">
        <v>852</v>
      </c>
    </row>
    <row r="320">
      <c r="A320" s="59">
        <v>43419.0</v>
      </c>
      <c r="B320" s="50" t="s">
        <v>762</v>
      </c>
      <c r="C320" s="61" t="s">
        <v>758</v>
      </c>
      <c r="D320" s="52" t="s">
        <v>879</v>
      </c>
      <c r="E320" s="50" t="s">
        <v>880</v>
      </c>
      <c r="F320" s="53" t="s">
        <v>852</v>
      </c>
    </row>
    <row r="321">
      <c r="A321" s="54">
        <v>43420.0</v>
      </c>
      <c r="B321" s="55" t="s">
        <v>763</v>
      </c>
      <c r="C321" s="60" t="s">
        <v>758</v>
      </c>
      <c r="D321" s="57" t="s">
        <v>879</v>
      </c>
      <c r="E321" s="55" t="s">
        <v>880</v>
      </c>
      <c r="F321" s="58" t="s">
        <v>852</v>
      </c>
    </row>
    <row r="322">
      <c r="A322" s="59">
        <v>43421.0</v>
      </c>
      <c r="B322" s="50" t="s">
        <v>764</v>
      </c>
      <c r="C322" s="61" t="s">
        <v>758</v>
      </c>
      <c r="D322" s="52" t="s">
        <v>879</v>
      </c>
      <c r="E322" s="50" t="s">
        <v>880</v>
      </c>
      <c r="F322" s="53" t="s">
        <v>852</v>
      </c>
    </row>
    <row r="323">
      <c r="A323" s="54">
        <v>43422.0</v>
      </c>
      <c r="B323" s="55" t="s">
        <v>765</v>
      </c>
      <c r="C323" s="60" t="s">
        <v>758</v>
      </c>
      <c r="D323" s="57" t="s">
        <v>879</v>
      </c>
      <c r="E323" s="55" t="s">
        <v>880</v>
      </c>
      <c r="F323" s="58" t="s">
        <v>852</v>
      </c>
    </row>
    <row r="324">
      <c r="A324" s="59">
        <v>43423.0</v>
      </c>
      <c r="B324" s="50" t="s">
        <v>743</v>
      </c>
      <c r="C324" s="61" t="s">
        <v>758</v>
      </c>
      <c r="D324" s="52" t="s">
        <v>879</v>
      </c>
      <c r="E324" s="50" t="s">
        <v>880</v>
      </c>
      <c r="F324" s="53" t="s">
        <v>852</v>
      </c>
    </row>
    <row r="325">
      <c r="A325" s="54">
        <v>43424.0</v>
      </c>
      <c r="B325" s="55" t="s">
        <v>766</v>
      </c>
      <c r="C325" s="60" t="s">
        <v>758</v>
      </c>
      <c r="D325" s="57" t="s">
        <v>879</v>
      </c>
      <c r="E325" s="55" t="s">
        <v>880</v>
      </c>
      <c r="F325" s="58" t="s">
        <v>852</v>
      </c>
    </row>
    <row r="326">
      <c r="A326" s="59">
        <v>43425.0</v>
      </c>
      <c r="B326" s="50" t="s">
        <v>745</v>
      </c>
      <c r="C326" s="61" t="s">
        <v>758</v>
      </c>
      <c r="D326" s="52" t="s">
        <v>879</v>
      </c>
      <c r="E326" s="50" t="s">
        <v>880</v>
      </c>
      <c r="F326" s="53" t="s">
        <v>852</v>
      </c>
    </row>
    <row r="327">
      <c r="A327" s="54">
        <v>43426.0</v>
      </c>
      <c r="B327" s="55" t="s">
        <v>767</v>
      </c>
      <c r="C327" s="60" t="s">
        <v>758</v>
      </c>
      <c r="D327" s="57" t="s">
        <v>879</v>
      </c>
      <c r="E327" s="55" t="s">
        <v>880</v>
      </c>
      <c r="F327" s="58" t="s">
        <v>852</v>
      </c>
    </row>
    <row r="328">
      <c r="A328" s="59">
        <v>43427.0</v>
      </c>
      <c r="B328" s="50" t="s">
        <v>768</v>
      </c>
      <c r="C328" s="61" t="s">
        <v>758</v>
      </c>
      <c r="D328" s="52" t="s">
        <v>879</v>
      </c>
      <c r="E328" s="50" t="s">
        <v>880</v>
      </c>
      <c r="F328" s="53" t="s">
        <v>852</v>
      </c>
    </row>
    <row r="329">
      <c r="A329" s="54">
        <v>43428.0</v>
      </c>
      <c r="B329" s="55" t="s">
        <v>747</v>
      </c>
      <c r="C329" s="60" t="s">
        <v>758</v>
      </c>
      <c r="D329" s="57" t="s">
        <v>879</v>
      </c>
      <c r="E329" s="55" t="s">
        <v>880</v>
      </c>
      <c r="F329" s="58" t="s">
        <v>852</v>
      </c>
    </row>
    <row r="330">
      <c r="A330" s="59">
        <v>43429.0</v>
      </c>
      <c r="B330" s="50" t="s">
        <v>769</v>
      </c>
      <c r="C330" s="61" t="s">
        <v>758</v>
      </c>
      <c r="D330" s="52" t="s">
        <v>879</v>
      </c>
      <c r="E330" s="50" t="s">
        <v>880</v>
      </c>
      <c r="F330" s="53" t="s">
        <v>852</v>
      </c>
    </row>
    <row r="331">
      <c r="A331" s="54">
        <v>43430.0</v>
      </c>
      <c r="B331" s="55" t="s">
        <v>770</v>
      </c>
      <c r="C331" s="60" t="s">
        <v>758</v>
      </c>
      <c r="D331" s="57" t="s">
        <v>879</v>
      </c>
      <c r="E331" s="55" t="s">
        <v>880</v>
      </c>
      <c r="F331" s="58" t="s">
        <v>852</v>
      </c>
    </row>
    <row r="332">
      <c r="A332" s="59">
        <v>43431.0</v>
      </c>
      <c r="B332" s="50" t="s">
        <v>749</v>
      </c>
      <c r="C332" s="61" t="s">
        <v>758</v>
      </c>
      <c r="D332" s="52" t="s">
        <v>879</v>
      </c>
      <c r="E332" s="50" t="s">
        <v>880</v>
      </c>
      <c r="F332" s="53" t="s">
        <v>852</v>
      </c>
    </row>
    <row r="333">
      <c r="A333" s="54">
        <v>43432.0</v>
      </c>
      <c r="B333" s="55" t="s">
        <v>771</v>
      </c>
      <c r="C333" s="60" t="s">
        <v>758</v>
      </c>
      <c r="D333" s="57" t="s">
        <v>879</v>
      </c>
      <c r="E333" s="55" t="s">
        <v>880</v>
      </c>
      <c r="F333" s="58" t="s">
        <v>852</v>
      </c>
    </row>
    <row r="334">
      <c r="A334" s="59">
        <v>43433.0</v>
      </c>
      <c r="B334" s="50" t="s">
        <v>772</v>
      </c>
      <c r="C334" s="61" t="s">
        <v>758</v>
      </c>
      <c r="D334" s="52" t="s">
        <v>879</v>
      </c>
      <c r="E334" s="50" t="s">
        <v>880</v>
      </c>
      <c r="F334" s="53" t="s">
        <v>852</v>
      </c>
    </row>
    <row r="335">
      <c r="A335" s="54">
        <v>43434.0</v>
      </c>
      <c r="B335" s="55" t="s">
        <v>773</v>
      </c>
      <c r="C335" s="60" t="s">
        <v>758</v>
      </c>
      <c r="D335" s="57" t="s">
        <v>879</v>
      </c>
      <c r="E335" s="55" t="s">
        <v>880</v>
      </c>
      <c r="F335" s="58" t="s">
        <v>852</v>
      </c>
    </row>
    <row r="336">
      <c r="A336" s="59">
        <v>43435.0</v>
      </c>
      <c r="B336" s="50" t="s">
        <v>742</v>
      </c>
      <c r="C336" s="61" t="s">
        <v>759</v>
      </c>
      <c r="D336" s="52" t="s">
        <v>881</v>
      </c>
      <c r="E336" s="50" t="s">
        <v>882</v>
      </c>
      <c r="F336" s="53" t="s">
        <v>852</v>
      </c>
    </row>
    <row r="337">
      <c r="A337" s="54">
        <v>43436.0</v>
      </c>
      <c r="B337" s="55" t="s">
        <v>744</v>
      </c>
      <c r="C337" s="60" t="s">
        <v>759</v>
      </c>
      <c r="D337" s="57" t="s">
        <v>881</v>
      </c>
      <c r="E337" s="55" t="s">
        <v>882</v>
      </c>
      <c r="F337" s="58" t="s">
        <v>852</v>
      </c>
    </row>
    <row r="338">
      <c r="A338" s="59">
        <v>43437.0</v>
      </c>
      <c r="B338" s="50" t="s">
        <v>746</v>
      </c>
      <c r="C338" s="61" t="s">
        <v>759</v>
      </c>
      <c r="D338" s="52" t="s">
        <v>881</v>
      </c>
      <c r="E338" s="50" t="s">
        <v>882</v>
      </c>
      <c r="F338" s="53" t="s">
        <v>852</v>
      </c>
    </row>
    <row r="339">
      <c r="A339" s="54">
        <v>43438.0</v>
      </c>
      <c r="B339" s="55" t="s">
        <v>748</v>
      </c>
      <c r="C339" s="60" t="s">
        <v>759</v>
      </c>
      <c r="D339" s="57" t="s">
        <v>881</v>
      </c>
      <c r="E339" s="55" t="s">
        <v>882</v>
      </c>
      <c r="F339" s="58" t="s">
        <v>852</v>
      </c>
    </row>
    <row r="340">
      <c r="A340" s="59">
        <v>43439.0</v>
      </c>
      <c r="B340" s="50" t="s">
        <v>750</v>
      </c>
      <c r="C340" s="61" t="s">
        <v>759</v>
      </c>
      <c r="D340" s="52" t="s">
        <v>881</v>
      </c>
      <c r="E340" s="50" t="s">
        <v>882</v>
      </c>
      <c r="F340" s="53" t="s">
        <v>852</v>
      </c>
    </row>
    <row r="341">
      <c r="A341" s="54">
        <v>43440.0</v>
      </c>
      <c r="B341" s="55" t="s">
        <v>752</v>
      </c>
      <c r="C341" s="60" t="s">
        <v>759</v>
      </c>
      <c r="D341" s="57" t="s">
        <v>881</v>
      </c>
      <c r="E341" s="55" t="s">
        <v>882</v>
      </c>
      <c r="F341" s="58" t="s">
        <v>852</v>
      </c>
    </row>
    <row r="342">
      <c r="A342" s="59">
        <v>43441.0</v>
      </c>
      <c r="B342" s="50" t="s">
        <v>753</v>
      </c>
      <c r="C342" s="61" t="s">
        <v>759</v>
      </c>
      <c r="D342" s="52" t="s">
        <v>881</v>
      </c>
      <c r="E342" s="50" t="s">
        <v>882</v>
      </c>
      <c r="F342" s="53" t="s">
        <v>852</v>
      </c>
    </row>
    <row r="343">
      <c r="A343" s="54">
        <v>43442.0</v>
      </c>
      <c r="B343" s="55" t="s">
        <v>754</v>
      </c>
      <c r="C343" s="60" t="s">
        <v>759</v>
      </c>
      <c r="D343" s="57" t="s">
        <v>881</v>
      </c>
      <c r="E343" s="55" t="s">
        <v>882</v>
      </c>
      <c r="F343" s="58" t="s">
        <v>852</v>
      </c>
    </row>
    <row r="344">
      <c r="A344" s="59">
        <v>43443.0</v>
      </c>
      <c r="B344" s="50" t="s">
        <v>755</v>
      </c>
      <c r="C344" s="61" t="s">
        <v>759</v>
      </c>
      <c r="D344" s="52" t="s">
        <v>881</v>
      </c>
      <c r="E344" s="50" t="s">
        <v>882</v>
      </c>
      <c r="F344" s="53" t="s">
        <v>852</v>
      </c>
    </row>
    <row r="345">
      <c r="A345" s="54">
        <v>43444.0</v>
      </c>
      <c r="B345" s="55" t="s">
        <v>756</v>
      </c>
      <c r="C345" s="60" t="s">
        <v>759</v>
      </c>
      <c r="D345" s="57" t="s">
        <v>881</v>
      </c>
      <c r="E345" s="55" t="s">
        <v>882</v>
      </c>
      <c r="F345" s="58" t="s">
        <v>852</v>
      </c>
    </row>
    <row r="346">
      <c r="A346" s="59">
        <v>43445.0</v>
      </c>
      <c r="B346" s="50" t="s">
        <v>758</v>
      </c>
      <c r="C346" s="61" t="s">
        <v>759</v>
      </c>
      <c r="D346" s="52" t="s">
        <v>881</v>
      </c>
      <c r="E346" s="50" t="s">
        <v>882</v>
      </c>
      <c r="F346" s="53" t="s">
        <v>852</v>
      </c>
    </row>
    <row r="347">
      <c r="A347" s="54">
        <v>43446.0</v>
      </c>
      <c r="B347" s="55" t="s">
        <v>759</v>
      </c>
      <c r="C347" s="60" t="s">
        <v>759</v>
      </c>
      <c r="D347" s="57" t="s">
        <v>881</v>
      </c>
      <c r="E347" s="55" t="s">
        <v>882</v>
      </c>
      <c r="F347" s="58" t="s">
        <v>852</v>
      </c>
    </row>
    <row r="348">
      <c r="A348" s="59">
        <v>43447.0</v>
      </c>
      <c r="B348" s="50" t="s">
        <v>760</v>
      </c>
      <c r="C348" s="61" t="s">
        <v>759</v>
      </c>
      <c r="D348" s="52" t="s">
        <v>881</v>
      </c>
      <c r="E348" s="50" t="s">
        <v>882</v>
      </c>
      <c r="F348" s="53" t="s">
        <v>852</v>
      </c>
    </row>
    <row r="349">
      <c r="A349" s="54">
        <v>43448.0</v>
      </c>
      <c r="B349" s="55" t="s">
        <v>761</v>
      </c>
      <c r="C349" s="60" t="s">
        <v>759</v>
      </c>
      <c r="D349" s="57" t="s">
        <v>881</v>
      </c>
      <c r="E349" s="55" t="s">
        <v>882</v>
      </c>
      <c r="F349" s="58" t="s">
        <v>852</v>
      </c>
    </row>
    <row r="350">
      <c r="A350" s="59">
        <v>43449.0</v>
      </c>
      <c r="B350" s="50" t="s">
        <v>762</v>
      </c>
      <c r="C350" s="61" t="s">
        <v>759</v>
      </c>
      <c r="D350" s="52" t="s">
        <v>881</v>
      </c>
      <c r="E350" s="50" t="s">
        <v>882</v>
      </c>
      <c r="F350" s="53" t="s">
        <v>852</v>
      </c>
    </row>
    <row r="351">
      <c r="A351" s="54">
        <v>43450.0</v>
      </c>
      <c r="B351" s="55" t="s">
        <v>763</v>
      </c>
      <c r="C351" s="60" t="s">
        <v>759</v>
      </c>
      <c r="D351" s="57" t="s">
        <v>881</v>
      </c>
      <c r="E351" s="55" t="s">
        <v>882</v>
      </c>
      <c r="F351" s="58" t="s">
        <v>852</v>
      </c>
    </row>
    <row r="352">
      <c r="A352" s="59">
        <v>43451.0</v>
      </c>
      <c r="B352" s="50" t="s">
        <v>764</v>
      </c>
      <c r="C352" s="61" t="s">
        <v>759</v>
      </c>
      <c r="D352" s="52" t="s">
        <v>881</v>
      </c>
      <c r="E352" s="50" t="s">
        <v>882</v>
      </c>
      <c r="F352" s="53" t="s">
        <v>852</v>
      </c>
    </row>
    <row r="353">
      <c r="A353" s="54">
        <v>43452.0</v>
      </c>
      <c r="B353" s="55" t="s">
        <v>765</v>
      </c>
      <c r="C353" s="60" t="s">
        <v>759</v>
      </c>
      <c r="D353" s="57" t="s">
        <v>881</v>
      </c>
      <c r="E353" s="55" t="s">
        <v>882</v>
      </c>
      <c r="F353" s="58" t="s">
        <v>852</v>
      </c>
    </row>
    <row r="354">
      <c r="A354" s="59">
        <v>43453.0</v>
      </c>
      <c r="B354" s="50" t="s">
        <v>743</v>
      </c>
      <c r="C354" s="61" t="s">
        <v>759</v>
      </c>
      <c r="D354" s="52" t="s">
        <v>881</v>
      </c>
      <c r="E354" s="50" t="s">
        <v>882</v>
      </c>
      <c r="F354" s="53" t="s">
        <v>852</v>
      </c>
    </row>
    <row r="355">
      <c r="A355" s="54">
        <v>43454.0</v>
      </c>
      <c r="B355" s="55" t="s">
        <v>766</v>
      </c>
      <c r="C355" s="60" t="s">
        <v>759</v>
      </c>
      <c r="D355" s="57" t="s">
        <v>881</v>
      </c>
      <c r="E355" s="55" t="s">
        <v>882</v>
      </c>
      <c r="F355" s="58" t="s">
        <v>852</v>
      </c>
    </row>
    <row r="356">
      <c r="A356" s="59">
        <v>43455.0</v>
      </c>
      <c r="B356" s="50" t="s">
        <v>745</v>
      </c>
      <c r="C356" s="61" t="s">
        <v>759</v>
      </c>
      <c r="D356" s="52" t="s">
        <v>881</v>
      </c>
      <c r="E356" s="50" t="s">
        <v>882</v>
      </c>
      <c r="F356" s="53" t="s">
        <v>852</v>
      </c>
    </row>
    <row r="357">
      <c r="A357" s="54">
        <v>43456.0</v>
      </c>
      <c r="B357" s="55" t="s">
        <v>767</v>
      </c>
      <c r="C357" s="60" t="s">
        <v>759</v>
      </c>
      <c r="D357" s="57" t="s">
        <v>881</v>
      </c>
      <c r="E357" s="55" t="s">
        <v>882</v>
      </c>
      <c r="F357" s="58" t="s">
        <v>852</v>
      </c>
    </row>
    <row r="358">
      <c r="A358" s="59">
        <v>43457.0</v>
      </c>
      <c r="B358" s="50" t="s">
        <v>768</v>
      </c>
      <c r="C358" s="61" t="s">
        <v>759</v>
      </c>
      <c r="D358" s="52" t="s">
        <v>881</v>
      </c>
      <c r="E358" s="50" t="s">
        <v>882</v>
      </c>
      <c r="F358" s="53" t="s">
        <v>852</v>
      </c>
    </row>
    <row r="359">
      <c r="A359" s="54">
        <v>43458.0</v>
      </c>
      <c r="B359" s="55" t="s">
        <v>747</v>
      </c>
      <c r="C359" s="60" t="s">
        <v>759</v>
      </c>
      <c r="D359" s="57" t="s">
        <v>881</v>
      </c>
      <c r="E359" s="55" t="s">
        <v>882</v>
      </c>
      <c r="F359" s="58" t="s">
        <v>852</v>
      </c>
    </row>
    <row r="360">
      <c r="A360" s="59">
        <v>43459.0</v>
      </c>
      <c r="B360" s="50" t="s">
        <v>769</v>
      </c>
      <c r="C360" s="61" t="s">
        <v>759</v>
      </c>
      <c r="D360" s="52" t="s">
        <v>881</v>
      </c>
      <c r="E360" s="50" t="s">
        <v>882</v>
      </c>
      <c r="F360" s="53" t="s">
        <v>852</v>
      </c>
    </row>
    <row r="361">
      <c r="A361" s="54">
        <v>43460.0</v>
      </c>
      <c r="B361" s="55" t="s">
        <v>770</v>
      </c>
      <c r="C361" s="60" t="s">
        <v>759</v>
      </c>
      <c r="D361" s="57" t="s">
        <v>881</v>
      </c>
      <c r="E361" s="55" t="s">
        <v>882</v>
      </c>
      <c r="F361" s="58" t="s">
        <v>852</v>
      </c>
    </row>
    <row r="362">
      <c r="A362" s="59">
        <v>43461.0</v>
      </c>
      <c r="B362" s="50" t="s">
        <v>749</v>
      </c>
      <c r="C362" s="61" t="s">
        <v>759</v>
      </c>
      <c r="D362" s="52" t="s">
        <v>881</v>
      </c>
      <c r="E362" s="50" t="s">
        <v>882</v>
      </c>
      <c r="F362" s="53" t="s">
        <v>852</v>
      </c>
    </row>
    <row r="363">
      <c r="A363" s="54">
        <v>43462.0</v>
      </c>
      <c r="B363" s="55" t="s">
        <v>771</v>
      </c>
      <c r="C363" s="60" t="s">
        <v>759</v>
      </c>
      <c r="D363" s="57" t="s">
        <v>881</v>
      </c>
      <c r="E363" s="55" t="s">
        <v>882</v>
      </c>
      <c r="F363" s="58" t="s">
        <v>852</v>
      </c>
    </row>
    <row r="364">
      <c r="A364" s="59">
        <v>43463.0</v>
      </c>
      <c r="B364" s="50" t="s">
        <v>772</v>
      </c>
      <c r="C364" s="61" t="s">
        <v>759</v>
      </c>
      <c r="D364" s="52" t="s">
        <v>881</v>
      </c>
      <c r="E364" s="50" t="s">
        <v>882</v>
      </c>
      <c r="F364" s="53" t="s">
        <v>852</v>
      </c>
    </row>
    <row r="365">
      <c r="A365" s="54">
        <v>43464.0</v>
      </c>
      <c r="B365" s="55" t="s">
        <v>773</v>
      </c>
      <c r="C365" s="60" t="s">
        <v>759</v>
      </c>
      <c r="D365" s="57" t="s">
        <v>881</v>
      </c>
      <c r="E365" s="55" t="s">
        <v>882</v>
      </c>
      <c r="F365" s="58" t="s">
        <v>852</v>
      </c>
    </row>
    <row r="366">
      <c r="A366" s="59">
        <v>43465.0</v>
      </c>
      <c r="B366" s="50" t="s">
        <v>774</v>
      </c>
      <c r="C366" s="61" t="s">
        <v>759</v>
      </c>
      <c r="D366" s="52" t="s">
        <v>881</v>
      </c>
      <c r="E366" s="50" t="s">
        <v>882</v>
      </c>
      <c r="F366" s="53" t="s">
        <v>852</v>
      </c>
    </row>
    <row r="367">
      <c r="A367" s="54">
        <v>43466.0</v>
      </c>
      <c r="B367" s="55" t="s">
        <v>742</v>
      </c>
      <c r="C367" s="56" t="s">
        <v>849</v>
      </c>
      <c r="D367" s="57" t="s">
        <v>850</v>
      </c>
      <c r="E367" s="55" t="s">
        <v>851</v>
      </c>
      <c r="F367" s="58" t="s">
        <v>883</v>
      </c>
    </row>
    <row r="368">
      <c r="A368" s="59">
        <v>43467.0</v>
      </c>
      <c r="B368" s="50" t="s">
        <v>744</v>
      </c>
      <c r="C368" s="51" t="s">
        <v>849</v>
      </c>
      <c r="D368" s="52" t="s">
        <v>850</v>
      </c>
      <c r="E368" s="50" t="s">
        <v>851</v>
      </c>
      <c r="F368" s="53" t="s">
        <v>883</v>
      </c>
    </row>
    <row r="369">
      <c r="A369" s="54">
        <v>43468.0</v>
      </c>
      <c r="B369" s="55" t="s">
        <v>746</v>
      </c>
      <c r="C369" s="56" t="s">
        <v>849</v>
      </c>
      <c r="D369" s="57" t="s">
        <v>850</v>
      </c>
      <c r="E369" s="55" t="s">
        <v>851</v>
      </c>
      <c r="F369" s="58" t="s">
        <v>883</v>
      </c>
    </row>
    <row r="370">
      <c r="A370" s="59">
        <v>43469.0</v>
      </c>
      <c r="B370" s="50" t="s">
        <v>748</v>
      </c>
      <c r="C370" s="51" t="s">
        <v>849</v>
      </c>
      <c r="D370" s="52" t="s">
        <v>850</v>
      </c>
      <c r="E370" s="50" t="s">
        <v>851</v>
      </c>
      <c r="F370" s="53" t="s">
        <v>883</v>
      </c>
    </row>
    <row r="371">
      <c r="A371" s="54">
        <v>43470.0</v>
      </c>
      <c r="B371" s="55" t="s">
        <v>750</v>
      </c>
      <c r="C371" s="56" t="s">
        <v>849</v>
      </c>
      <c r="D371" s="57" t="s">
        <v>850</v>
      </c>
      <c r="E371" s="55" t="s">
        <v>851</v>
      </c>
      <c r="F371" s="58" t="s">
        <v>883</v>
      </c>
    </row>
    <row r="372">
      <c r="A372" s="59">
        <v>43471.0</v>
      </c>
      <c r="B372" s="50" t="s">
        <v>752</v>
      </c>
      <c r="C372" s="51" t="s">
        <v>849</v>
      </c>
      <c r="D372" s="52" t="s">
        <v>850</v>
      </c>
      <c r="E372" s="50" t="s">
        <v>851</v>
      </c>
      <c r="F372" s="53" t="s">
        <v>883</v>
      </c>
    </row>
    <row r="373">
      <c r="A373" s="54">
        <v>43472.0</v>
      </c>
      <c r="B373" s="55" t="s">
        <v>753</v>
      </c>
      <c r="C373" s="56" t="s">
        <v>849</v>
      </c>
      <c r="D373" s="57" t="s">
        <v>850</v>
      </c>
      <c r="E373" s="55" t="s">
        <v>851</v>
      </c>
      <c r="F373" s="58" t="s">
        <v>883</v>
      </c>
    </row>
    <row r="374">
      <c r="A374" s="59">
        <v>43473.0</v>
      </c>
      <c r="B374" s="50" t="s">
        <v>754</v>
      </c>
      <c r="C374" s="51" t="s">
        <v>849</v>
      </c>
      <c r="D374" s="52" t="s">
        <v>850</v>
      </c>
      <c r="E374" s="50" t="s">
        <v>851</v>
      </c>
      <c r="F374" s="53" t="s">
        <v>883</v>
      </c>
    </row>
    <row r="375">
      <c r="A375" s="54">
        <v>43474.0</v>
      </c>
      <c r="B375" s="55" t="s">
        <v>755</v>
      </c>
      <c r="C375" s="56" t="s">
        <v>849</v>
      </c>
      <c r="D375" s="57" t="s">
        <v>850</v>
      </c>
      <c r="E375" s="55" t="s">
        <v>851</v>
      </c>
      <c r="F375" s="58" t="s">
        <v>883</v>
      </c>
    </row>
    <row r="376">
      <c r="A376" s="59">
        <v>43475.0</v>
      </c>
      <c r="B376" s="50" t="s">
        <v>756</v>
      </c>
      <c r="C376" s="51" t="s">
        <v>849</v>
      </c>
      <c r="D376" s="52" t="s">
        <v>850</v>
      </c>
      <c r="E376" s="50" t="s">
        <v>851</v>
      </c>
      <c r="F376" s="53" t="s">
        <v>883</v>
      </c>
    </row>
    <row r="377">
      <c r="A377" s="54">
        <v>43476.0</v>
      </c>
      <c r="B377" s="55" t="s">
        <v>758</v>
      </c>
      <c r="C377" s="56" t="s">
        <v>849</v>
      </c>
      <c r="D377" s="57" t="s">
        <v>850</v>
      </c>
      <c r="E377" s="55" t="s">
        <v>851</v>
      </c>
      <c r="F377" s="58" t="s">
        <v>883</v>
      </c>
    </row>
    <row r="378">
      <c r="A378" s="59">
        <v>43477.0</v>
      </c>
      <c r="B378" s="50" t="s">
        <v>759</v>
      </c>
      <c r="C378" s="51" t="s">
        <v>849</v>
      </c>
      <c r="D378" s="52" t="s">
        <v>850</v>
      </c>
      <c r="E378" s="50" t="s">
        <v>851</v>
      </c>
      <c r="F378" s="53" t="s">
        <v>883</v>
      </c>
    </row>
    <row r="379">
      <c r="A379" s="54">
        <v>43478.0</v>
      </c>
      <c r="B379" s="55" t="s">
        <v>760</v>
      </c>
      <c r="C379" s="56" t="s">
        <v>849</v>
      </c>
      <c r="D379" s="57" t="s">
        <v>850</v>
      </c>
      <c r="E379" s="55" t="s">
        <v>851</v>
      </c>
      <c r="F379" s="58" t="s">
        <v>883</v>
      </c>
    </row>
    <row r="380">
      <c r="A380" s="59">
        <v>43479.0</v>
      </c>
      <c r="B380" s="50" t="s">
        <v>761</v>
      </c>
      <c r="C380" s="51" t="s">
        <v>849</v>
      </c>
      <c r="D380" s="52" t="s">
        <v>850</v>
      </c>
      <c r="E380" s="50" t="s">
        <v>851</v>
      </c>
      <c r="F380" s="53" t="s">
        <v>883</v>
      </c>
    </row>
    <row r="381">
      <c r="A381" s="54">
        <v>43480.0</v>
      </c>
      <c r="B381" s="55" t="s">
        <v>762</v>
      </c>
      <c r="C381" s="56" t="s">
        <v>849</v>
      </c>
      <c r="D381" s="57" t="s">
        <v>850</v>
      </c>
      <c r="E381" s="55" t="s">
        <v>851</v>
      </c>
      <c r="F381" s="58" t="s">
        <v>883</v>
      </c>
    </row>
    <row r="382">
      <c r="A382" s="59">
        <v>43481.0</v>
      </c>
      <c r="B382" s="50" t="s">
        <v>763</v>
      </c>
      <c r="C382" s="51" t="s">
        <v>849</v>
      </c>
      <c r="D382" s="52" t="s">
        <v>850</v>
      </c>
      <c r="E382" s="50" t="s">
        <v>851</v>
      </c>
      <c r="F382" s="53" t="s">
        <v>883</v>
      </c>
    </row>
    <row r="383">
      <c r="A383" s="54">
        <v>43482.0</v>
      </c>
      <c r="B383" s="55" t="s">
        <v>764</v>
      </c>
      <c r="C383" s="56" t="s">
        <v>849</v>
      </c>
      <c r="D383" s="57" t="s">
        <v>850</v>
      </c>
      <c r="E383" s="55" t="s">
        <v>851</v>
      </c>
      <c r="F383" s="58" t="s">
        <v>883</v>
      </c>
    </row>
    <row r="384">
      <c r="A384" s="59">
        <v>43483.0</v>
      </c>
      <c r="B384" s="50" t="s">
        <v>765</v>
      </c>
      <c r="C384" s="51" t="s">
        <v>849</v>
      </c>
      <c r="D384" s="52" t="s">
        <v>850</v>
      </c>
      <c r="E384" s="50" t="s">
        <v>851</v>
      </c>
      <c r="F384" s="53" t="s">
        <v>883</v>
      </c>
    </row>
    <row r="385">
      <c r="A385" s="54">
        <v>43484.0</v>
      </c>
      <c r="B385" s="55" t="s">
        <v>743</v>
      </c>
      <c r="C385" s="56" t="s">
        <v>849</v>
      </c>
      <c r="D385" s="57" t="s">
        <v>850</v>
      </c>
      <c r="E385" s="55" t="s">
        <v>851</v>
      </c>
      <c r="F385" s="58" t="s">
        <v>883</v>
      </c>
    </row>
    <row r="386">
      <c r="A386" s="59">
        <v>43485.0</v>
      </c>
      <c r="B386" s="50" t="s">
        <v>766</v>
      </c>
      <c r="C386" s="51" t="s">
        <v>849</v>
      </c>
      <c r="D386" s="52" t="s">
        <v>850</v>
      </c>
      <c r="E386" s="50" t="s">
        <v>851</v>
      </c>
      <c r="F386" s="53" t="s">
        <v>883</v>
      </c>
    </row>
    <row r="387">
      <c r="A387" s="54">
        <v>43486.0</v>
      </c>
      <c r="B387" s="55" t="s">
        <v>745</v>
      </c>
      <c r="C387" s="56" t="s">
        <v>849</v>
      </c>
      <c r="D387" s="57" t="s">
        <v>850</v>
      </c>
      <c r="E387" s="55" t="s">
        <v>851</v>
      </c>
      <c r="F387" s="58" t="s">
        <v>883</v>
      </c>
    </row>
    <row r="388">
      <c r="A388" s="59">
        <v>43487.0</v>
      </c>
      <c r="B388" s="50" t="s">
        <v>767</v>
      </c>
      <c r="C388" s="51" t="s">
        <v>849</v>
      </c>
      <c r="D388" s="52" t="s">
        <v>850</v>
      </c>
      <c r="E388" s="50" t="s">
        <v>851</v>
      </c>
      <c r="F388" s="53" t="s">
        <v>883</v>
      </c>
    </row>
    <row r="389">
      <c r="A389" s="54">
        <v>43488.0</v>
      </c>
      <c r="B389" s="55" t="s">
        <v>768</v>
      </c>
      <c r="C389" s="56" t="s">
        <v>849</v>
      </c>
      <c r="D389" s="57" t="s">
        <v>850</v>
      </c>
      <c r="E389" s="55" t="s">
        <v>851</v>
      </c>
      <c r="F389" s="58" t="s">
        <v>883</v>
      </c>
    </row>
    <row r="390">
      <c r="A390" s="59">
        <v>43489.0</v>
      </c>
      <c r="B390" s="50" t="s">
        <v>747</v>
      </c>
      <c r="C390" s="51" t="s">
        <v>849</v>
      </c>
      <c r="D390" s="52" t="s">
        <v>850</v>
      </c>
      <c r="E390" s="50" t="s">
        <v>851</v>
      </c>
      <c r="F390" s="53" t="s">
        <v>883</v>
      </c>
    </row>
    <row r="391">
      <c r="A391" s="54">
        <v>43490.0</v>
      </c>
      <c r="B391" s="55" t="s">
        <v>769</v>
      </c>
      <c r="C391" s="56" t="s">
        <v>849</v>
      </c>
      <c r="D391" s="57" t="s">
        <v>850</v>
      </c>
      <c r="E391" s="55" t="s">
        <v>851</v>
      </c>
      <c r="F391" s="58" t="s">
        <v>883</v>
      </c>
    </row>
    <row r="392">
      <c r="A392" s="59">
        <v>43491.0</v>
      </c>
      <c r="B392" s="50" t="s">
        <v>770</v>
      </c>
      <c r="C392" s="51" t="s">
        <v>849</v>
      </c>
      <c r="D392" s="52" t="s">
        <v>850</v>
      </c>
      <c r="E392" s="50" t="s">
        <v>851</v>
      </c>
      <c r="F392" s="53" t="s">
        <v>883</v>
      </c>
    </row>
    <row r="393">
      <c r="A393" s="54">
        <v>43492.0</v>
      </c>
      <c r="B393" s="55" t="s">
        <v>749</v>
      </c>
      <c r="C393" s="56" t="s">
        <v>849</v>
      </c>
      <c r="D393" s="57" t="s">
        <v>850</v>
      </c>
      <c r="E393" s="55" t="s">
        <v>851</v>
      </c>
      <c r="F393" s="58" t="s">
        <v>883</v>
      </c>
    </row>
    <row r="394">
      <c r="A394" s="59">
        <v>43493.0</v>
      </c>
      <c r="B394" s="50" t="s">
        <v>771</v>
      </c>
      <c r="C394" s="51" t="s">
        <v>849</v>
      </c>
      <c r="D394" s="52" t="s">
        <v>850</v>
      </c>
      <c r="E394" s="50" t="s">
        <v>851</v>
      </c>
      <c r="F394" s="53" t="s">
        <v>883</v>
      </c>
    </row>
    <row r="395">
      <c r="A395" s="54">
        <v>43494.0</v>
      </c>
      <c r="B395" s="55" t="s">
        <v>772</v>
      </c>
      <c r="C395" s="56" t="s">
        <v>849</v>
      </c>
      <c r="D395" s="57" t="s">
        <v>850</v>
      </c>
      <c r="E395" s="55" t="s">
        <v>851</v>
      </c>
      <c r="F395" s="58" t="s">
        <v>883</v>
      </c>
    </row>
    <row r="396">
      <c r="A396" s="59">
        <v>43495.0</v>
      </c>
      <c r="B396" s="50" t="s">
        <v>773</v>
      </c>
      <c r="C396" s="51" t="s">
        <v>849</v>
      </c>
      <c r="D396" s="52" t="s">
        <v>850</v>
      </c>
      <c r="E396" s="50" t="s">
        <v>851</v>
      </c>
      <c r="F396" s="53" t="s">
        <v>883</v>
      </c>
    </row>
    <row r="397">
      <c r="A397" s="54">
        <v>43496.0</v>
      </c>
      <c r="B397" s="55" t="s">
        <v>774</v>
      </c>
      <c r="C397" s="56" t="s">
        <v>849</v>
      </c>
      <c r="D397" s="57" t="s">
        <v>850</v>
      </c>
      <c r="E397" s="55" t="s">
        <v>851</v>
      </c>
      <c r="F397" s="58" t="s">
        <v>883</v>
      </c>
    </row>
    <row r="398">
      <c r="A398" s="59">
        <v>43497.0</v>
      </c>
      <c r="B398" s="50" t="s">
        <v>742</v>
      </c>
      <c r="C398" s="51" t="s">
        <v>853</v>
      </c>
      <c r="D398" s="52" t="s">
        <v>854</v>
      </c>
      <c r="E398" s="50" t="s">
        <v>855</v>
      </c>
      <c r="F398" s="53" t="s">
        <v>883</v>
      </c>
    </row>
    <row r="399">
      <c r="A399" s="54">
        <v>43498.0</v>
      </c>
      <c r="B399" s="55" t="s">
        <v>744</v>
      </c>
      <c r="C399" s="56" t="s">
        <v>853</v>
      </c>
      <c r="D399" s="57" t="s">
        <v>854</v>
      </c>
      <c r="E399" s="55" t="s">
        <v>855</v>
      </c>
      <c r="F399" s="58" t="s">
        <v>883</v>
      </c>
    </row>
    <row r="400">
      <c r="A400" s="59">
        <v>43499.0</v>
      </c>
      <c r="B400" s="50" t="s">
        <v>746</v>
      </c>
      <c r="C400" s="51" t="s">
        <v>853</v>
      </c>
      <c r="D400" s="52" t="s">
        <v>854</v>
      </c>
      <c r="E400" s="50" t="s">
        <v>855</v>
      </c>
      <c r="F400" s="53" t="s">
        <v>883</v>
      </c>
    </row>
    <row r="401">
      <c r="A401" s="54">
        <v>43500.0</v>
      </c>
      <c r="B401" s="55" t="s">
        <v>748</v>
      </c>
      <c r="C401" s="56" t="s">
        <v>853</v>
      </c>
      <c r="D401" s="57" t="s">
        <v>854</v>
      </c>
      <c r="E401" s="55" t="s">
        <v>855</v>
      </c>
      <c r="F401" s="58" t="s">
        <v>883</v>
      </c>
    </row>
    <row r="402">
      <c r="A402" s="59">
        <v>43501.0</v>
      </c>
      <c r="B402" s="50" t="s">
        <v>750</v>
      </c>
      <c r="C402" s="51" t="s">
        <v>853</v>
      </c>
      <c r="D402" s="52" t="s">
        <v>854</v>
      </c>
      <c r="E402" s="50" t="s">
        <v>855</v>
      </c>
      <c r="F402" s="53" t="s">
        <v>883</v>
      </c>
    </row>
    <row r="403">
      <c r="A403" s="54">
        <v>43502.0</v>
      </c>
      <c r="B403" s="55" t="s">
        <v>752</v>
      </c>
      <c r="C403" s="56" t="s">
        <v>853</v>
      </c>
      <c r="D403" s="57" t="s">
        <v>854</v>
      </c>
      <c r="E403" s="55" t="s">
        <v>855</v>
      </c>
      <c r="F403" s="58" t="s">
        <v>883</v>
      </c>
    </row>
    <row r="404">
      <c r="A404" s="59">
        <v>43503.0</v>
      </c>
      <c r="B404" s="50" t="s">
        <v>753</v>
      </c>
      <c r="C404" s="51" t="s">
        <v>853</v>
      </c>
      <c r="D404" s="52" t="s">
        <v>854</v>
      </c>
      <c r="E404" s="50" t="s">
        <v>855</v>
      </c>
      <c r="F404" s="53" t="s">
        <v>883</v>
      </c>
    </row>
    <row r="405">
      <c r="A405" s="54">
        <v>43504.0</v>
      </c>
      <c r="B405" s="55" t="s">
        <v>754</v>
      </c>
      <c r="C405" s="56" t="s">
        <v>853</v>
      </c>
      <c r="D405" s="57" t="s">
        <v>854</v>
      </c>
      <c r="E405" s="55" t="s">
        <v>855</v>
      </c>
      <c r="F405" s="58" t="s">
        <v>883</v>
      </c>
    </row>
    <row r="406">
      <c r="A406" s="59">
        <v>43505.0</v>
      </c>
      <c r="B406" s="50" t="s">
        <v>755</v>
      </c>
      <c r="C406" s="51" t="s">
        <v>853</v>
      </c>
      <c r="D406" s="52" t="s">
        <v>854</v>
      </c>
      <c r="E406" s="50" t="s">
        <v>855</v>
      </c>
      <c r="F406" s="53" t="s">
        <v>883</v>
      </c>
    </row>
    <row r="407">
      <c r="A407" s="54">
        <v>43506.0</v>
      </c>
      <c r="B407" s="55" t="s">
        <v>756</v>
      </c>
      <c r="C407" s="56" t="s">
        <v>853</v>
      </c>
      <c r="D407" s="57" t="s">
        <v>854</v>
      </c>
      <c r="E407" s="55" t="s">
        <v>855</v>
      </c>
      <c r="F407" s="58" t="s">
        <v>883</v>
      </c>
    </row>
    <row r="408">
      <c r="A408" s="59">
        <v>43507.0</v>
      </c>
      <c r="B408" s="50" t="s">
        <v>758</v>
      </c>
      <c r="C408" s="51" t="s">
        <v>853</v>
      </c>
      <c r="D408" s="52" t="s">
        <v>854</v>
      </c>
      <c r="E408" s="50" t="s">
        <v>855</v>
      </c>
      <c r="F408" s="53" t="s">
        <v>883</v>
      </c>
    </row>
    <row r="409">
      <c r="A409" s="54">
        <v>43508.0</v>
      </c>
      <c r="B409" s="55" t="s">
        <v>759</v>
      </c>
      <c r="C409" s="56" t="s">
        <v>853</v>
      </c>
      <c r="D409" s="57" t="s">
        <v>854</v>
      </c>
      <c r="E409" s="55" t="s">
        <v>855</v>
      </c>
      <c r="F409" s="58" t="s">
        <v>883</v>
      </c>
    </row>
    <row r="410">
      <c r="A410" s="59">
        <v>43509.0</v>
      </c>
      <c r="B410" s="50" t="s">
        <v>760</v>
      </c>
      <c r="C410" s="51" t="s">
        <v>853</v>
      </c>
      <c r="D410" s="52" t="s">
        <v>854</v>
      </c>
      <c r="E410" s="50" t="s">
        <v>855</v>
      </c>
      <c r="F410" s="53" t="s">
        <v>883</v>
      </c>
    </row>
    <row r="411">
      <c r="A411" s="54">
        <v>43510.0</v>
      </c>
      <c r="B411" s="55" t="s">
        <v>761</v>
      </c>
      <c r="C411" s="56" t="s">
        <v>853</v>
      </c>
      <c r="D411" s="57" t="s">
        <v>854</v>
      </c>
      <c r="E411" s="55" t="s">
        <v>855</v>
      </c>
      <c r="F411" s="58" t="s">
        <v>883</v>
      </c>
    </row>
    <row r="412">
      <c r="A412" s="59">
        <v>43511.0</v>
      </c>
      <c r="B412" s="50" t="s">
        <v>762</v>
      </c>
      <c r="C412" s="51" t="s">
        <v>853</v>
      </c>
      <c r="D412" s="52" t="s">
        <v>854</v>
      </c>
      <c r="E412" s="50" t="s">
        <v>855</v>
      </c>
      <c r="F412" s="53" t="s">
        <v>883</v>
      </c>
    </row>
    <row r="413">
      <c r="A413" s="54">
        <v>43512.0</v>
      </c>
      <c r="B413" s="55" t="s">
        <v>763</v>
      </c>
      <c r="C413" s="56" t="s">
        <v>853</v>
      </c>
      <c r="D413" s="57" t="s">
        <v>854</v>
      </c>
      <c r="E413" s="55" t="s">
        <v>855</v>
      </c>
      <c r="F413" s="58" t="s">
        <v>883</v>
      </c>
    </row>
    <row r="414">
      <c r="A414" s="59">
        <v>43513.0</v>
      </c>
      <c r="B414" s="50" t="s">
        <v>764</v>
      </c>
      <c r="C414" s="51" t="s">
        <v>853</v>
      </c>
      <c r="D414" s="52" t="s">
        <v>854</v>
      </c>
      <c r="E414" s="50" t="s">
        <v>855</v>
      </c>
      <c r="F414" s="53" t="s">
        <v>883</v>
      </c>
    </row>
    <row r="415">
      <c r="A415" s="54">
        <v>43514.0</v>
      </c>
      <c r="B415" s="55" t="s">
        <v>765</v>
      </c>
      <c r="C415" s="56" t="s">
        <v>853</v>
      </c>
      <c r="D415" s="57" t="s">
        <v>854</v>
      </c>
      <c r="E415" s="55" t="s">
        <v>855</v>
      </c>
      <c r="F415" s="58" t="s">
        <v>883</v>
      </c>
    </row>
    <row r="416">
      <c r="A416" s="59">
        <v>43515.0</v>
      </c>
      <c r="B416" s="50" t="s">
        <v>743</v>
      </c>
      <c r="C416" s="51" t="s">
        <v>853</v>
      </c>
      <c r="D416" s="52" t="s">
        <v>854</v>
      </c>
      <c r="E416" s="50" t="s">
        <v>855</v>
      </c>
      <c r="F416" s="53" t="s">
        <v>883</v>
      </c>
    </row>
    <row r="417">
      <c r="A417" s="54">
        <v>43516.0</v>
      </c>
      <c r="B417" s="55" t="s">
        <v>766</v>
      </c>
      <c r="C417" s="56" t="s">
        <v>853</v>
      </c>
      <c r="D417" s="57" t="s">
        <v>854</v>
      </c>
      <c r="E417" s="55" t="s">
        <v>855</v>
      </c>
      <c r="F417" s="58" t="s">
        <v>883</v>
      </c>
    </row>
    <row r="418">
      <c r="A418" s="59">
        <v>43517.0</v>
      </c>
      <c r="B418" s="50" t="s">
        <v>745</v>
      </c>
      <c r="C418" s="51" t="s">
        <v>853</v>
      </c>
      <c r="D418" s="52" t="s">
        <v>854</v>
      </c>
      <c r="E418" s="50" t="s">
        <v>855</v>
      </c>
      <c r="F418" s="53" t="s">
        <v>883</v>
      </c>
    </row>
    <row r="419">
      <c r="A419" s="54">
        <v>43518.0</v>
      </c>
      <c r="B419" s="55" t="s">
        <v>767</v>
      </c>
      <c r="C419" s="56" t="s">
        <v>853</v>
      </c>
      <c r="D419" s="57" t="s">
        <v>854</v>
      </c>
      <c r="E419" s="55" t="s">
        <v>855</v>
      </c>
      <c r="F419" s="58" t="s">
        <v>883</v>
      </c>
    </row>
    <row r="420">
      <c r="A420" s="59">
        <v>43519.0</v>
      </c>
      <c r="B420" s="50" t="s">
        <v>768</v>
      </c>
      <c r="C420" s="51" t="s">
        <v>853</v>
      </c>
      <c r="D420" s="52" t="s">
        <v>854</v>
      </c>
      <c r="E420" s="50" t="s">
        <v>855</v>
      </c>
      <c r="F420" s="53" t="s">
        <v>883</v>
      </c>
    </row>
    <row r="421">
      <c r="A421" s="54">
        <v>43520.0</v>
      </c>
      <c r="B421" s="55" t="s">
        <v>747</v>
      </c>
      <c r="C421" s="56" t="s">
        <v>853</v>
      </c>
      <c r="D421" s="57" t="s">
        <v>854</v>
      </c>
      <c r="E421" s="55" t="s">
        <v>855</v>
      </c>
      <c r="F421" s="58" t="s">
        <v>883</v>
      </c>
    </row>
    <row r="422">
      <c r="A422" s="59">
        <v>43521.0</v>
      </c>
      <c r="B422" s="50" t="s">
        <v>769</v>
      </c>
      <c r="C422" s="51" t="s">
        <v>853</v>
      </c>
      <c r="D422" s="52" t="s">
        <v>854</v>
      </c>
      <c r="E422" s="50" t="s">
        <v>855</v>
      </c>
      <c r="F422" s="53" t="s">
        <v>883</v>
      </c>
    </row>
    <row r="423">
      <c r="A423" s="54">
        <v>43522.0</v>
      </c>
      <c r="B423" s="55" t="s">
        <v>770</v>
      </c>
      <c r="C423" s="56" t="s">
        <v>853</v>
      </c>
      <c r="D423" s="57" t="s">
        <v>854</v>
      </c>
      <c r="E423" s="55" t="s">
        <v>855</v>
      </c>
      <c r="F423" s="58" t="s">
        <v>883</v>
      </c>
    </row>
    <row r="424">
      <c r="A424" s="59">
        <v>43523.0</v>
      </c>
      <c r="B424" s="50" t="s">
        <v>749</v>
      </c>
      <c r="C424" s="51" t="s">
        <v>853</v>
      </c>
      <c r="D424" s="52" t="s">
        <v>854</v>
      </c>
      <c r="E424" s="50" t="s">
        <v>855</v>
      </c>
      <c r="F424" s="53" t="s">
        <v>883</v>
      </c>
    </row>
    <row r="425">
      <c r="A425" s="54">
        <v>43524.0</v>
      </c>
      <c r="B425" s="55" t="s">
        <v>771</v>
      </c>
      <c r="C425" s="56" t="s">
        <v>853</v>
      </c>
      <c r="D425" s="57" t="s">
        <v>854</v>
      </c>
      <c r="E425" s="55" t="s">
        <v>855</v>
      </c>
      <c r="F425" s="58" t="s">
        <v>883</v>
      </c>
    </row>
    <row r="426">
      <c r="A426" s="59">
        <v>43525.0</v>
      </c>
      <c r="B426" s="50" t="s">
        <v>742</v>
      </c>
      <c r="C426" s="51" t="s">
        <v>856</v>
      </c>
      <c r="D426" s="52" t="s">
        <v>857</v>
      </c>
      <c r="E426" s="50" t="s">
        <v>858</v>
      </c>
      <c r="F426" s="53" t="s">
        <v>883</v>
      </c>
    </row>
    <row r="427">
      <c r="A427" s="54">
        <v>43526.0</v>
      </c>
      <c r="B427" s="55" t="s">
        <v>744</v>
      </c>
      <c r="C427" s="56" t="s">
        <v>856</v>
      </c>
      <c r="D427" s="57" t="s">
        <v>857</v>
      </c>
      <c r="E427" s="55" t="s">
        <v>858</v>
      </c>
      <c r="F427" s="58" t="s">
        <v>883</v>
      </c>
    </row>
    <row r="428">
      <c r="A428" s="59">
        <v>43527.0</v>
      </c>
      <c r="B428" s="50" t="s">
        <v>746</v>
      </c>
      <c r="C428" s="51" t="s">
        <v>856</v>
      </c>
      <c r="D428" s="52" t="s">
        <v>857</v>
      </c>
      <c r="E428" s="50" t="s">
        <v>858</v>
      </c>
      <c r="F428" s="53" t="s">
        <v>883</v>
      </c>
    </row>
    <row r="429">
      <c r="A429" s="54">
        <v>43528.0</v>
      </c>
      <c r="B429" s="55" t="s">
        <v>748</v>
      </c>
      <c r="C429" s="56" t="s">
        <v>856</v>
      </c>
      <c r="D429" s="57" t="s">
        <v>857</v>
      </c>
      <c r="E429" s="55" t="s">
        <v>858</v>
      </c>
      <c r="F429" s="58" t="s">
        <v>883</v>
      </c>
    </row>
    <row r="430">
      <c r="A430" s="59">
        <v>43529.0</v>
      </c>
      <c r="B430" s="50" t="s">
        <v>750</v>
      </c>
      <c r="C430" s="51" t="s">
        <v>856</v>
      </c>
      <c r="D430" s="52" t="s">
        <v>857</v>
      </c>
      <c r="E430" s="50" t="s">
        <v>858</v>
      </c>
      <c r="F430" s="53" t="s">
        <v>883</v>
      </c>
    </row>
    <row r="431">
      <c r="A431" s="54">
        <v>43530.0</v>
      </c>
      <c r="B431" s="55" t="s">
        <v>752</v>
      </c>
      <c r="C431" s="56" t="s">
        <v>856</v>
      </c>
      <c r="D431" s="57" t="s">
        <v>857</v>
      </c>
      <c r="E431" s="55" t="s">
        <v>858</v>
      </c>
      <c r="F431" s="58" t="s">
        <v>883</v>
      </c>
    </row>
    <row r="432">
      <c r="A432" s="59">
        <v>43531.0</v>
      </c>
      <c r="B432" s="50" t="s">
        <v>753</v>
      </c>
      <c r="C432" s="51" t="s">
        <v>856</v>
      </c>
      <c r="D432" s="52" t="s">
        <v>857</v>
      </c>
      <c r="E432" s="50" t="s">
        <v>858</v>
      </c>
      <c r="F432" s="53" t="s">
        <v>883</v>
      </c>
    </row>
    <row r="433">
      <c r="A433" s="54">
        <v>43532.0</v>
      </c>
      <c r="B433" s="55" t="s">
        <v>754</v>
      </c>
      <c r="C433" s="56" t="s">
        <v>856</v>
      </c>
      <c r="D433" s="57" t="s">
        <v>857</v>
      </c>
      <c r="E433" s="55" t="s">
        <v>858</v>
      </c>
      <c r="F433" s="58" t="s">
        <v>883</v>
      </c>
    </row>
    <row r="434">
      <c r="A434" s="59">
        <v>43533.0</v>
      </c>
      <c r="B434" s="50" t="s">
        <v>755</v>
      </c>
      <c r="C434" s="51" t="s">
        <v>856</v>
      </c>
      <c r="D434" s="52" t="s">
        <v>857</v>
      </c>
      <c r="E434" s="50" t="s">
        <v>858</v>
      </c>
      <c r="F434" s="53" t="s">
        <v>883</v>
      </c>
    </row>
    <row r="435">
      <c r="A435" s="54">
        <v>43534.0</v>
      </c>
      <c r="B435" s="55" t="s">
        <v>756</v>
      </c>
      <c r="C435" s="56" t="s">
        <v>856</v>
      </c>
      <c r="D435" s="57" t="s">
        <v>857</v>
      </c>
      <c r="E435" s="55" t="s">
        <v>858</v>
      </c>
      <c r="F435" s="58" t="s">
        <v>883</v>
      </c>
    </row>
    <row r="436">
      <c r="A436" s="59">
        <v>43535.0</v>
      </c>
      <c r="B436" s="50" t="s">
        <v>758</v>
      </c>
      <c r="C436" s="51" t="s">
        <v>856</v>
      </c>
      <c r="D436" s="52" t="s">
        <v>857</v>
      </c>
      <c r="E436" s="50" t="s">
        <v>858</v>
      </c>
      <c r="F436" s="53" t="s">
        <v>883</v>
      </c>
    </row>
    <row r="437">
      <c r="A437" s="54">
        <v>43536.0</v>
      </c>
      <c r="B437" s="55" t="s">
        <v>759</v>
      </c>
      <c r="C437" s="56" t="s">
        <v>856</v>
      </c>
      <c r="D437" s="57" t="s">
        <v>857</v>
      </c>
      <c r="E437" s="55" t="s">
        <v>858</v>
      </c>
      <c r="F437" s="58" t="s">
        <v>883</v>
      </c>
    </row>
    <row r="438">
      <c r="A438" s="59">
        <v>43537.0</v>
      </c>
      <c r="B438" s="50" t="s">
        <v>760</v>
      </c>
      <c r="C438" s="51" t="s">
        <v>856</v>
      </c>
      <c r="D438" s="52" t="s">
        <v>857</v>
      </c>
      <c r="E438" s="50" t="s">
        <v>858</v>
      </c>
      <c r="F438" s="53" t="s">
        <v>883</v>
      </c>
    </row>
    <row r="439">
      <c r="A439" s="54">
        <v>43538.0</v>
      </c>
      <c r="B439" s="55" t="s">
        <v>761</v>
      </c>
      <c r="C439" s="56" t="s">
        <v>856</v>
      </c>
      <c r="D439" s="57" t="s">
        <v>857</v>
      </c>
      <c r="E439" s="55" t="s">
        <v>858</v>
      </c>
      <c r="F439" s="58" t="s">
        <v>883</v>
      </c>
    </row>
    <row r="440">
      <c r="A440" s="59">
        <v>43539.0</v>
      </c>
      <c r="B440" s="50" t="s">
        <v>762</v>
      </c>
      <c r="C440" s="51" t="s">
        <v>856</v>
      </c>
      <c r="D440" s="52" t="s">
        <v>857</v>
      </c>
      <c r="E440" s="50" t="s">
        <v>858</v>
      </c>
      <c r="F440" s="53" t="s">
        <v>883</v>
      </c>
    </row>
    <row r="441">
      <c r="A441" s="54">
        <v>43540.0</v>
      </c>
      <c r="B441" s="55" t="s">
        <v>763</v>
      </c>
      <c r="C441" s="56" t="s">
        <v>856</v>
      </c>
      <c r="D441" s="57" t="s">
        <v>857</v>
      </c>
      <c r="E441" s="55" t="s">
        <v>858</v>
      </c>
      <c r="F441" s="58" t="s">
        <v>883</v>
      </c>
    </row>
    <row r="442">
      <c r="A442" s="59">
        <v>43541.0</v>
      </c>
      <c r="B442" s="50" t="s">
        <v>764</v>
      </c>
      <c r="C442" s="51" t="s">
        <v>856</v>
      </c>
      <c r="D442" s="52" t="s">
        <v>857</v>
      </c>
      <c r="E442" s="50" t="s">
        <v>858</v>
      </c>
      <c r="F442" s="53" t="s">
        <v>883</v>
      </c>
    </row>
    <row r="443">
      <c r="A443" s="54">
        <v>43542.0</v>
      </c>
      <c r="B443" s="55" t="s">
        <v>765</v>
      </c>
      <c r="C443" s="56" t="s">
        <v>856</v>
      </c>
      <c r="D443" s="57" t="s">
        <v>857</v>
      </c>
      <c r="E443" s="55" t="s">
        <v>858</v>
      </c>
      <c r="F443" s="58" t="s">
        <v>883</v>
      </c>
    </row>
    <row r="444">
      <c r="A444" s="59">
        <v>43543.0</v>
      </c>
      <c r="B444" s="50" t="s">
        <v>743</v>
      </c>
      <c r="C444" s="51" t="s">
        <v>856</v>
      </c>
      <c r="D444" s="52" t="s">
        <v>857</v>
      </c>
      <c r="E444" s="50" t="s">
        <v>858</v>
      </c>
      <c r="F444" s="53" t="s">
        <v>883</v>
      </c>
    </row>
    <row r="445">
      <c r="A445" s="54">
        <v>43544.0</v>
      </c>
      <c r="B445" s="55" t="s">
        <v>766</v>
      </c>
      <c r="C445" s="56" t="s">
        <v>856</v>
      </c>
      <c r="D445" s="57" t="s">
        <v>857</v>
      </c>
      <c r="E445" s="55" t="s">
        <v>858</v>
      </c>
      <c r="F445" s="58" t="s">
        <v>883</v>
      </c>
    </row>
    <row r="446">
      <c r="A446" s="59">
        <v>43545.0</v>
      </c>
      <c r="B446" s="50" t="s">
        <v>745</v>
      </c>
      <c r="C446" s="51" t="s">
        <v>856</v>
      </c>
      <c r="D446" s="52" t="s">
        <v>857</v>
      </c>
      <c r="E446" s="50" t="s">
        <v>858</v>
      </c>
      <c r="F446" s="53" t="s">
        <v>883</v>
      </c>
    </row>
    <row r="447">
      <c r="A447" s="54">
        <v>43546.0</v>
      </c>
      <c r="B447" s="55" t="s">
        <v>767</v>
      </c>
      <c r="C447" s="56" t="s">
        <v>856</v>
      </c>
      <c r="D447" s="57" t="s">
        <v>857</v>
      </c>
      <c r="E447" s="55" t="s">
        <v>858</v>
      </c>
      <c r="F447" s="58" t="s">
        <v>883</v>
      </c>
    </row>
    <row r="448">
      <c r="A448" s="59">
        <v>43547.0</v>
      </c>
      <c r="B448" s="50" t="s">
        <v>768</v>
      </c>
      <c r="C448" s="51" t="s">
        <v>856</v>
      </c>
      <c r="D448" s="52" t="s">
        <v>857</v>
      </c>
      <c r="E448" s="50" t="s">
        <v>858</v>
      </c>
      <c r="F448" s="53" t="s">
        <v>883</v>
      </c>
    </row>
    <row r="449">
      <c r="A449" s="54">
        <v>43548.0</v>
      </c>
      <c r="B449" s="55" t="s">
        <v>747</v>
      </c>
      <c r="C449" s="56" t="s">
        <v>856</v>
      </c>
      <c r="D449" s="57" t="s">
        <v>857</v>
      </c>
      <c r="E449" s="55" t="s">
        <v>858</v>
      </c>
      <c r="F449" s="58" t="s">
        <v>883</v>
      </c>
    </row>
    <row r="450">
      <c r="A450" s="59">
        <v>43549.0</v>
      </c>
      <c r="B450" s="50" t="s">
        <v>769</v>
      </c>
      <c r="C450" s="51" t="s">
        <v>856</v>
      </c>
      <c r="D450" s="52" t="s">
        <v>857</v>
      </c>
      <c r="E450" s="50" t="s">
        <v>858</v>
      </c>
      <c r="F450" s="53" t="s">
        <v>883</v>
      </c>
    </row>
    <row r="451">
      <c r="A451" s="54">
        <v>43550.0</v>
      </c>
      <c r="B451" s="55" t="s">
        <v>770</v>
      </c>
      <c r="C451" s="56" t="s">
        <v>856</v>
      </c>
      <c r="D451" s="57" t="s">
        <v>857</v>
      </c>
      <c r="E451" s="55" t="s">
        <v>858</v>
      </c>
      <c r="F451" s="58" t="s">
        <v>883</v>
      </c>
    </row>
    <row r="452">
      <c r="A452" s="59">
        <v>43551.0</v>
      </c>
      <c r="B452" s="50" t="s">
        <v>749</v>
      </c>
      <c r="C452" s="51" t="s">
        <v>856</v>
      </c>
      <c r="D452" s="52" t="s">
        <v>857</v>
      </c>
      <c r="E452" s="50" t="s">
        <v>858</v>
      </c>
      <c r="F452" s="53" t="s">
        <v>883</v>
      </c>
    </row>
    <row r="453">
      <c r="A453" s="54">
        <v>43552.0</v>
      </c>
      <c r="B453" s="55" t="s">
        <v>771</v>
      </c>
      <c r="C453" s="56" t="s">
        <v>856</v>
      </c>
      <c r="D453" s="57" t="s">
        <v>857</v>
      </c>
      <c r="E453" s="55" t="s">
        <v>858</v>
      </c>
      <c r="F453" s="58" t="s">
        <v>883</v>
      </c>
    </row>
    <row r="454">
      <c r="A454" s="59">
        <v>43553.0</v>
      </c>
      <c r="B454" s="50" t="s">
        <v>772</v>
      </c>
      <c r="C454" s="51" t="s">
        <v>856</v>
      </c>
      <c r="D454" s="52" t="s">
        <v>857</v>
      </c>
      <c r="E454" s="50" t="s">
        <v>858</v>
      </c>
      <c r="F454" s="53" t="s">
        <v>883</v>
      </c>
    </row>
    <row r="455">
      <c r="A455" s="54">
        <v>43554.0</v>
      </c>
      <c r="B455" s="55" t="s">
        <v>773</v>
      </c>
      <c r="C455" s="56" t="s">
        <v>856</v>
      </c>
      <c r="D455" s="57" t="s">
        <v>857</v>
      </c>
      <c r="E455" s="55" t="s">
        <v>858</v>
      </c>
      <c r="F455" s="58" t="s">
        <v>883</v>
      </c>
    </row>
    <row r="456">
      <c r="A456" s="59">
        <v>43555.0</v>
      </c>
      <c r="B456" s="50" t="s">
        <v>774</v>
      </c>
      <c r="C456" s="51" t="s">
        <v>856</v>
      </c>
      <c r="D456" s="52" t="s">
        <v>857</v>
      </c>
      <c r="E456" s="50" t="s">
        <v>858</v>
      </c>
      <c r="F456" s="53" t="s">
        <v>883</v>
      </c>
    </row>
    <row r="457">
      <c r="A457" s="54">
        <v>43556.0</v>
      </c>
      <c r="B457" s="55" t="s">
        <v>742</v>
      </c>
      <c r="C457" s="56" t="s">
        <v>859</v>
      </c>
      <c r="D457" s="57" t="s">
        <v>860</v>
      </c>
      <c r="E457" s="55" t="s">
        <v>861</v>
      </c>
      <c r="F457" s="58" t="s">
        <v>883</v>
      </c>
    </row>
    <row r="458">
      <c r="A458" s="59">
        <v>43557.0</v>
      </c>
      <c r="B458" s="50" t="s">
        <v>744</v>
      </c>
      <c r="C458" s="51" t="s">
        <v>859</v>
      </c>
      <c r="D458" s="52" t="s">
        <v>860</v>
      </c>
      <c r="E458" s="50" t="s">
        <v>861</v>
      </c>
      <c r="F458" s="53" t="s">
        <v>883</v>
      </c>
    </row>
    <row r="459">
      <c r="A459" s="54">
        <v>43558.0</v>
      </c>
      <c r="B459" s="55" t="s">
        <v>746</v>
      </c>
      <c r="C459" s="56" t="s">
        <v>859</v>
      </c>
      <c r="D459" s="57" t="s">
        <v>860</v>
      </c>
      <c r="E459" s="55" t="s">
        <v>861</v>
      </c>
      <c r="F459" s="58" t="s">
        <v>883</v>
      </c>
    </row>
    <row r="460">
      <c r="A460" s="59">
        <v>43559.0</v>
      </c>
      <c r="B460" s="50" t="s">
        <v>748</v>
      </c>
      <c r="C460" s="51" t="s">
        <v>859</v>
      </c>
      <c r="D460" s="52" t="s">
        <v>860</v>
      </c>
      <c r="E460" s="50" t="s">
        <v>861</v>
      </c>
      <c r="F460" s="53" t="s">
        <v>883</v>
      </c>
    </row>
    <row r="461">
      <c r="A461" s="54">
        <v>43560.0</v>
      </c>
      <c r="B461" s="55" t="s">
        <v>750</v>
      </c>
      <c r="C461" s="56" t="s">
        <v>859</v>
      </c>
      <c r="D461" s="57" t="s">
        <v>860</v>
      </c>
      <c r="E461" s="55" t="s">
        <v>861</v>
      </c>
      <c r="F461" s="58" t="s">
        <v>883</v>
      </c>
    </row>
    <row r="462">
      <c r="A462" s="59">
        <v>43561.0</v>
      </c>
      <c r="B462" s="50" t="s">
        <v>752</v>
      </c>
      <c r="C462" s="51" t="s">
        <v>859</v>
      </c>
      <c r="D462" s="52" t="s">
        <v>860</v>
      </c>
      <c r="E462" s="50" t="s">
        <v>861</v>
      </c>
      <c r="F462" s="53" t="s">
        <v>883</v>
      </c>
    </row>
    <row r="463">
      <c r="A463" s="54">
        <v>43562.0</v>
      </c>
      <c r="B463" s="55" t="s">
        <v>753</v>
      </c>
      <c r="C463" s="56" t="s">
        <v>859</v>
      </c>
      <c r="D463" s="57" t="s">
        <v>860</v>
      </c>
      <c r="E463" s="55" t="s">
        <v>861</v>
      </c>
      <c r="F463" s="58" t="s">
        <v>883</v>
      </c>
    </row>
    <row r="464">
      <c r="A464" s="59">
        <v>43563.0</v>
      </c>
      <c r="B464" s="50" t="s">
        <v>754</v>
      </c>
      <c r="C464" s="51" t="s">
        <v>859</v>
      </c>
      <c r="D464" s="52" t="s">
        <v>860</v>
      </c>
      <c r="E464" s="50" t="s">
        <v>861</v>
      </c>
      <c r="F464" s="53" t="s">
        <v>883</v>
      </c>
    </row>
    <row r="465">
      <c r="A465" s="54">
        <v>43564.0</v>
      </c>
      <c r="B465" s="55" t="s">
        <v>755</v>
      </c>
      <c r="C465" s="56" t="s">
        <v>859</v>
      </c>
      <c r="D465" s="57" t="s">
        <v>860</v>
      </c>
      <c r="E465" s="55" t="s">
        <v>861</v>
      </c>
      <c r="F465" s="58" t="s">
        <v>883</v>
      </c>
    </row>
    <row r="466">
      <c r="A466" s="59">
        <v>43565.0</v>
      </c>
      <c r="B466" s="50" t="s">
        <v>756</v>
      </c>
      <c r="C466" s="51" t="s">
        <v>859</v>
      </c>
      <c r="D466" s="52" t="s">
        <v>860</v>
      </c>
      <c r="E466" s="50" t="s">
        <v>861</v>
      </c>
      <c r="F466" s="53" t="s">
        <v>883</v>
      </c>
    </row>
    <row r="467">
      <c r="A467" s="54">
        <v>43566.0</v>
      </c>
      <c r="B467" s="55" t="s">
        <v>758</v>
      </c>
      <c r="C467" s="56" t="s">
        <v>859</v>
      </c>
      <c r="D467" s="57" t="s">
        <v>860</v>
      </c>
      <c r="E467" s="55" t="s">
        <v>861</v>
      </c>
      <c r="F467" s="58" t="s">
        <v>883</v>
      </c>
    </row>
    <row r="468">
      <c r="A468" s="59">
        <v>43567.0</v>
      </c>
      <c r="B468" s="50" t="s">
        <v>759</v>
      </c>
      <c r="C468" s="51" t="s">
        <v>859</v>
      </c>
      <c r="D468" s="52" t="s">
        <v>860</v>
      </c>
      <c r="E468" s="50" t="s">
        <v>861</v>
      </c>
      <c r="F468" s="53" t="s">
        <v>883</v>
      </c>
    </row>
    <row r="469">
      <c r="A469" s="54">
        <v>43568.0</v>
      </c>
      <c r="B469" s="55" t="s">
        <v>760</v>
      </c>
      <c r="C469" s="56" t="s">
        <v>859</v>
      </c>
      <c r="D469" s="57" t="s">
        <v>860</v>
      </c>
      <c r="E469" s="55" t="s">
        <v>861</v>
      </c>
      <c r="F469" s="58" t="s">
        <v>883</v>
      </c>
    </row>
    <row r="470">
      <c r="A470" s="59">
        <v>43569.0</v>
      </c>
      <c r="B470" s="50" t="s">
        <v>761</v>
      </c>
      <c r="C470" s="51" t="s">
        <v>859</v>
      </c>
      <c r="D470" s="52" t="s">
        <v>860</v>
      </c>
      <c r="E470" s="50" t="s">
        <v>861</v>
      </c>
      <c r="F470" s="53" t="s">
        <v>883</v>
      </c>
    </row>
    <row r="471">
      <c r="A471" s="54">
        <v>43570.0</v>
      </c>
      <c r="B471" s="55" t="s">
        <v>762</v>
      </c>
      <c r="C471" s="56" t="s">
        <v>859</v>
      </c>
      <c r="D471" s="57" t="s">
        <v>860</v>
      </c>
      <c r="E471" s="55" t="s">
        <v>861</v>
      </c>
      <c r="F471" s="58" t="s">
        <v>883</v>
      </c>
    </row>
    <row r="472">
      <c r="A472" s="59">
        <v>43571.0</v>
      </c>
      <c r="B472" s="50" t="s">
        <v>763</v>
      </c>
      <c r="C472" s="51" t="s">
        <v>859</v>
      </c>
      <c r="D472" s="52" t="s">
        <v>860</v>
      </c>
      <c r="E472" s="50" t="s">
        <v>861</v>
      </c>
      <c r="F472" s="53" t="s">
        <v>883</v>
      </c>
    </row>
    <row r="473">
      <c r="A473" s="54">
        <v>43572.0</v>
      </c>
      <c r="B473" s="55" t="s">
        <v>764</v>
      </c>
      <c r="C473" s="56" t="s">
        <v>859</v>
      </c>
      <c r="D473" s="57" t="s">
        <v>860</v>
      </c>
      <c r="E473" s="55" t="s">
        <v>861</v>
      </c>
      <c r="F473" s="58" t="s">
        <v>883</v>
      </c>
    </row>
    <row r="474">
      <c r="A474" s="59">
        <v>43573.0</v>
      </c>
      <c r="B474" s="50" t="s">
        <v>765</v>
      </c>
      <c r="C474" s="51" t="s">
        <v>859</v>
      </c>
      <c r="D474" s="52" t="s">
        <v>860</v>
      </c>
      <c r="E474" s="50" t="s">
        <v>861</v>
      </c>
      <c r="F474" s="53" t="s">
        <v>883</v>
      </c>
    </row>
    <row r="475">
      <c r="A475" s="54">
        <v>43574.0</v>
      </c>
      <c r="B475" s="55" t="s">
        <v>743</v>
      </c>
      <c r="C475" s="56" t="s">
        <v>859</v>
      </c>
      <c r="D475" s="57" t="s">
        <v>860</v>
      </c>
      <c r="E475" s="55" t="s">
        <v>861</v>
      </c>
      <c r="F475" s="58" t="s">
        <v>883</v>
      </c>
    </row>
    <row r="476">
      <c r="A476" s="59">
        <v>43575.0</v>
      </c>
      <c r="B476" s="50" t="s">
        <v>766</v>
      </c>
      <c r="C476" s="51" t="s">
        <v>859</v>
      </c>
      <c r="D476" s="52" t="s">
        <v>860</v>
      </c>
      <c r="E476" s="50" t="s">
        <v>861</v>
      </c>
      <c r="F476" s="53" t="s">
        <v>883</v>
      </c>
    </row>
    <row r="477">
      <c r="A477" s="54">
        <v>43576.0</v>
      </c>
      <c r="B477" s="55" t="s">
        <v>745</v>
      </c>
      <c r="C477" s="56" t="s">
        <v>859</v>
      </c>
      <c r="D477" s="57" t="s">
        <v>860</v>
      </c>
      <c r="E477" s="55" t="s">
        <v>861</v>
      </c>
      <c r="F477" s="58" t="s">
        <v>883</v>
      </c>
    </row>
    <row r="478">
      <c r="A478" s="59">
        <v>43577.0</v>
      </c>
      <c r="B478" s="50" t="s">
        <v>767</v>
      </c>
      <c r="C478" s="51" t="s">
        <v>859</v>
      </c>
      <c r="D478" s="52" t="s">
        <v>860</v>
      </c>
      <c r="E478" s="50" t="s">
        <v>861</v>
      </c>
      <c r="F478" s="53" t="s">
        <v>883</v>
      </c>
    </row>
    <row r="479">
      <c r="A479" s="54">
        <v>43578.0</v>
      </c>
      <c r="B479" s="55" t="s">
        <v>768</v>
      </c>
      <c r="C479" s="56" t="s">
        <v>859</v>
      </c>
      <c r="D479" s="57" t="s">
        <v>860</v>
      </c>
      <c r="E479" s="55" t="s">
        <v>861</v>
      </c>
      <c r="F479" s="58" t="s">
        <v>883</v>
      </c>
    </row>
    <row r="480">
      <c r="A480" s="59">
        <v>43579.0</v>
      </c>
      <c r="B480" s="50" t="s">
        <v>747</v>
      </c>
      <c r="C480" s="51" t="s">
        <v>859</v>
      </c>
      <c r="D480" s="52" t="s">
        <v>860</v>
      </c>
      <c r="E480" s="50" t="s">
        <v>861</v>
      </c>
      <c r="F480" s="53" t="s">
        <v>883</v>
      </c>
    </row>
    <row r="481">
      <c r="A481" s="54">
        <v>43580.0</v>
      </c>
      <c r="B481" s="55" t="s">
        <v>769</v>
      </c>
      <c r="C481" s="56" t="s">
        <v>859</v>
      </c>
      <c r="D481" s="57" t="s">
        <v>860</v>
      </c>
      <c r="E481" s="55" t="s">
        <v>861</v>
      </c>
      <c r="F481" s="58" t="s">
        <v>883</v>
      </c>
    </row>
    <row r="482">
      <c r="A482" s="59">
        <v>43581.0</v>
      </c>
      <c r="B482" s="50" t="s">
        <v>770</v>
      </c>
      <c r="C482" s="51" t="s">
        <v>859</v>
      </c>
      <c r="D482" s="52" t="s">
        <v>860</v>
      </c>
      <c r="E482" s="50" t="s">
        <v>861</v>
      </c>
      <c r="F482" s="53" t="s">
        <v>883</v>
      </c>
    </row>
    <row r="483">
      <c r="A483" s="54">
        <v>43582.0</v>
      </c>
      <c r="B483" s="55" t="s">
        <v>749</v>
      </c>
      <c r="C483" s="56" t="s">
        <v>859</v>
      </c>
      <c r="D483" s="57" t="s">
        <v>860</v>
      </c>
      <c r="E483" s="55" t="s">
        <v>861</v>
      </c>
      <c r="F483" s="58" t="s">
        <v>883</v>
      </c>
    </row>
    <row r="484">
      <c r="A484" s="59">
        <v>43583.0</v>
      </c>
      <c r="B484" s="50" t="s">
        <v>771</v>
      </c>
      <c r="C484" s="51" t="s">
        <v>859</v>
      </c>
      <c r="D484" s="52" t="s">
        <v>860</v>
      </c>
      <c r="E484" s="50" t="s">
        <v>861</v>
      </c>
      <c r="F484" s="53" t="s">
        <v>883</v>
      </c>
    </row>
    <row r="485">
      <c r="A485" s="54">
        <v>43584.0</v>
      </c>
      <c r="B485" s="55" t="s">
        <v>772</v>
      </c>
      <c r="C485" s="56" t="s">
        <v>859</v>
      </c>
      <c r="D485" s="57" t="s">
        <v>860</v>
      </c>
      <c r="E485" s="55" t="s">
        <v>861</v>
      </c>
      <c r="F485" s="58" t="s">
        <v>883</v>
      </c>
    </row>
    <row r="486">
      <c r="A486" s="59">
        <v>43585.0</v>
      </c>
      <c r="B486" s="50" t="s">
        <v>773</v>
      </c>
      <c r="C486" s="51" t="s">
        <v>859</v>
      </c>
      <c r="D486" s="52" t="s">
        <v>860</v>
      </c>
      <c r="E486" s="50" t="s">
        <v>861</v>
      </c>
      <c r="F486" s="53" t="s">
        <v>883</v>
      </c>
    </row>
    <row r="487">
      <c r="A487" s="54">
        <v>43586.0</v>
      </c>
      <c r="B487" s="55" t="s">
        <v>742</v>
      </c>
      <c r="C487" s="56" t="s">
        <v>862</v>
      </c>
      <c r="D487" s="57" t="s">
        <v>863</v>
      </c>
      <c r="E487" s="55" t="s">
        <v>864</v>
      </c>
      <c r="F487" s="58" t="s">
        <v>883</v>
      </c>
    </row>
    <row r="488">
      <c r="A488" s="59">
        <v>43587.0</v>
      </c>
      <c r="B488" s="50" t="s">
        <v>744</v>
      </c>
      <c r="C488" s="51" t="s">
        <v>862</v>
      </c>
      <c r="D488" s="52" t="s">
        <v>863</v>
      </c>
      <c r="E488" s="50" t="s">
        <v>864</v>
      </c>
      <c r="F488" s="53" t="s">
        <v>883</v>
      </c>
    </row>
    <row r="489">
      <c r="A489" s="54">
        <v>43588.0</v>
      </c>
      <c r="B489" s="55" t="s">
        <v>746</v>
      </c>
      <c r="C489" s="56" t="s">
        <v>862</v>
      </c>
      <c r="D489" s="57" t="s">
        <v>863</v>
      </c>
      <c r="E489" s="55" t="s">
        <v>864</v>
      </c>
      <c r="F489" s="58" t="s">
        <v>883</v>
      </c>
    </row>
    <row r="490">
      <c r="A490" s="59">
        <v>43589.0</v>
      </c>
      <c r="B490" s="50" t="s">
        <v>748</v>
      </c>
      <c r="C490" s="51" t="s">
        <v>862</v>
      </c>
      <c r="D490" s="52" t="s">
        <v>863</v>
      </c>
      <c r="E490" s="50" t="s">
        <v>864</v>
      </c>
      <c r="F490" s="53" t="s">
        <v>883</v>
      </c>
    </row>
    <row r="491">
      <c r="A491" s="54">
        <v>43590.0</v>
      </c>
      <c r="B491" s="55" t="s">
        <v>750</v>
      </c>
      <c r="C491" s="56" t="s">
        <v>862</v>
      </c>
      <c r="D491" s="57" t="s">
        <v>863</v>
      </c>
      <c r="E491" s="55" t="s">
        <v>864</v>
      </c>
      <c r="F491" s="58" t="s">
        <v>883</v>
      </c>
    </row>
    <row r="492">
      <c r="A492" s="59">
        <v>43591.0</v>
      </c>
      <c r="B492" s="50" t="s">
        <v>752</v>
      </c>
      <c r="C492" s="51" t="s">
        <v>862</v>
      </c>
      <c r="D492" s="52" t="s">
        <v>863</v>
      </c>
      <c r="E492" s="50" t="s">
        <v>864</v>
      </c>
      <c r="F492" s="53" t="s">
        <v>883</v>
      </c>
    </row>
    <row r="493">
      <c r="A493" s="54">
        <v>43592.0</v>
      </c>
      <c r="B493" s="55" t="s">
        <v>753</v>
      </c>
      <c r="C493" s="56" t="s">
        <v>862</v>
      </c>
      <c r="D493" s="57" t="s">
        <v>863</v>
      </c>
      <c r="E493" s="55" t="s">
        <v>864</v>
      </c>
      <c r="F493" s="58" t="s">
        <v>883</v>
      </c>
    </row>
    <row r="494">
      <c r="A494" s="59">
        <v>43593.0</v>
      </c>
      <c r="B494" s="50" t="s">
        <v>754</v>
      </c>
      <c r="C494" s="51" t="s">
        <v>862</v>
      </c>
      <c r="D494" s="52" t="s">
        <v>863</v>
      </c>
      <c r="E494" s="50" t="s">
        <v>864</v>
      </c>
      <c r="F494" s="53" t="s">
        <v>883</v>
      </c>
    </row>
    <row r="495">
      <c r="A495" s="54">
        <v>43594.0</v>
      </c>
      <c r="B495" s="55" t="s">
        <v>755</v>
      </c>
      <c r="C495" s="56" t="s">
        <v>862</v>
      </c>
      <c r="D495" s="57" t="s">
        <v>863</v>
      </c>
      <c r="E495" s="55" t="s">
        <v>864</v>
      </c>
      <c r="F495" s="58" t="s">
        <v>883</v>
      </c>
    </row>
    <row r="496">
      <c r="A496" s="59">
        <v>43595.0</v>
      </c>
      <c r="B496" s="50" t="s">
        <v>756</v>
      </c>
      <c r="C496" s="51" t="s">
        <v>862</v>
      </c>
      <c r="D496" s="52" t="s">
        <v>863</v>
      </c>
      <c r="E496" s="50" t="s">
        <v>864</v>
      </c>
      <c r="F496" s="53" t="s">
        <v>883</v>
      </c>
    </row>
    <row r="497">
      <c r="A497" s="54">
        <v>43596.0</v>
      </c>
      <c r="B497" s="55" t="s">
        <v>758</v>
      </c>
      <c r="C497" s="56" t="s">
        <v>862</v>
      </c>
      <c r="D497" s="57" t="s">
        <v>863</v>
      </c>
      <c r="E497" s="55" t="s">
        <v>864</v>
      </c>
      <c r="F497" s="58" t="s">
        <v>883</v>
      </c>
    </row>
    <row r="498">
      <c r="A498" s="59">
        <v>43597.0</v>
      </c>
      <c r="B498" s="50" t="s">
        <v>759</v>
      </c>
      <c r="C498" s="51" t="s">
        <v>862</v>
      </c>
      <c r="D498" s="52" t="s">
        <v>863</v>
      </c>
      <c r="E498" s="50" t="s">
        <v>864</v>
      </c>
      <c r="F498" s="53" t="s">
        <v>883</v>
      </c>
    </row>
    <row r="499">
      <c r="A499" s="54">
        <v>43598.0</v>
      </c>
      <c r="B499" s="55" t="s">
        <v>760</v>
      </c>
      <c r="C499" s="56" t="s">
        <v>862</v>
      </c>
      <c r="D499" s="57" t="s">
        <v>863</v>
      </c>
      <c r="E499" s="55" t="s">
        <v>864</v>
      </c>
      <c r="F499" s="58" t="s">
        <v>883</v>
      </c>
    </row>
    <row r="500">
      <c r="A500" s="59">
        <v>43599.0</v>
      </c>
      <c r="B500" s="50" t="s">
        <v>761</v>
      </c>
      <c r="C500" s="51" t="s">
        <v>862</v>
      </c>
      <c r="D500" s="52" t="s">
        <v>863</v>
      </c>
      <c r="E500" s="50" t="s">
        <v>864</v>
      </c>
      <c r="F500" s="53" t="s">
        <v>883</v>
      </c>
    </row>
    <row r="501">
      <c r="A501" s="54">
        <v>43600.0</v>
      </c>
      <c r="B501" s="55" t="s">
        <v>762</v>
      </c>
      <c r="C501" s="56" t="s">
        <v>862</v>
      </c>
      <c r="D501" s="57" t="s">
        <v>863</v>
      </c>
      <c r="E501" s="55" t="s">
        <v>864</v>
      </c>
      <c r="F501" s="58" t="s">
        <v>883</v>
      </c>
    </row>
    <row r="502">
      <c r="A502" s="59">
        <v>43601.0</v>
      </c>
      <c r="B502" s="50" t="s">
        <v>763</v>
      </c>
      <c r="C502" s="51" t="s">
        <v>862</v>
      </c>
      <c r="D502" s="52" t="s">
        <v>863</v>
      </c>
      <c r="E502" s="50" t="s">
        <v>864</v>
      </c>
      <c r="F502" s="53" t="s">
        <v>883</v>
      </c>
    </row>
    <row r="503">
      <c r="A503" s="54">
        <v>43602.0</v>
      </c>
      <c r="B503" s="55" t="s">
        <v>764</v>
      </c>
      <c r="C503" s="56" t="s">
        <v>862</v>
      </c>
      <c r="D503" s="57" t="s">
        <v>863</v>
      </c>
      <c r="E503" s="55" t="s">
        <v>864</v>
      </c>
      <c r="F503" s="58" t="s">
        <v>883</v>
      </c>
    </row>
    <row r="504">
      <c r="A504" s="59">
        <v>43603.0</v>
      </c>
      <c r="B504" s="50" t="s">
        <v>765</v>
      </c>
      <c r="C504" s="51" t="s">
        <v>862</v>
      </c>
      <c r="D504" s="52" t="s">
        <v>863</v>
      </c>
      <c r="E504" s="50" t="s">
        <v>864</v>
      </c>
      <c r="F504" s="53" t="s">
        <v>883</v>
      </c>
    </row>
    <row r="505">
      <c r="A505" s="54">
        <v>43604.0</v>
      </c>
      <c r="B505" s="55" t="s">
        <v>743</v>
      </c>
      <c r="C505" s="56" t="s">
        <v>862</v>
      </c>
      <c r="D505" s="57" t="s">
        <v>863</v>
      </c>
      <c r="E505" s="55" t="s">
        <v>864</v>
      </c>
      <c r="F505" s="58" t="s">
        <v>883</v>
      </c>
    </row>
    <row r="506">
      <c r="A506" s="59">
        <v>43605.0</v>
      </c>
      <c r="B506" s="50" t="s">
        <v>766</v>
      </c>
      <c r="C506" s="51" t="s">
        <v>862</v>
      </c>
      <c r="D506" s="52" t="s">
        <v>863</v>
      </c>
      <c r="E506" s="50" t="s">
        <v>864</v>
      </c>
      <c r="F506" s="53" t="s">
        <v>883</v>
      </c>
    </row>
    <row r="507">
      <c r="A507" s="54">
        <v>43606.0</v>
      </c>
      <c r="B507" s="55" t="s">
        <v>745</v>
      </c>
      <c r="C507" s="56" t="s">
        <v>862</v>
      </c>
      <c r="D507" s="57" t="s">
        <v>863</v>
      </c>
      <c r="E507" s="55" t="s">
        <v>864</v>
      </c>
      <c r="F507" s="58" t="s">
        <v>883</v>
      </c>
    </row>
    <row r="508">
      <c r="A508" s="59">
        <v>43607.0</v>
      </c>
      <c r="B508" s="50" t="s">
        <v>767</v>
      </c>
      <c r="C508" s="51" t="s">
        <v>862</v>
      </c>
      <c r="D508" s="52" t="s">
        <v>863</v>
      </c>
      <c r="E508" s="50" t="s">
        <v>864</v>
      </c>
      <c r="F508" s="53" t="s">
        <v>883</v>
      </c>
    </row>
    <row r="509">
      <c r="A509" s="54">
        <v>43608.0</v>
      </c>
      <c r="B509" s="55" t="s">
        <v>768</v>
      </c>
      <c r="C509" s="56" t="s">
        <v>862</v>
      </c>
      <c r="D509" s="57" t="s">
        <v>863</v>
      </c>
      <c r="E509" s="55" t="s">
        <v>864</v>
      </c>
      <c r="F509" s="58" t="s">
        <v>883</v>
      </c>
    </row>
    <row r="510">
      <c r="A510" s="59">
        <v>43609.0</v>
      </c>
      <c r="B510" s="50" t="s">
        <v>747</v>
      </c>
      <c r="C510" s="51" t="s">
        <v>862</v>
      </c>
      <c r="D510" s="52" t="s">
        <v>863</v>
      </c>
      <c r="E510" s="50" t="s">
        <v>864</v>
      </c>
      <c r="F510" s="53" t="s">
        <v>883</v>
      </c>
    </row>
    <row r="511">
      <c r="A511" s="54">
        <v>43610.0</v>
      </c>
      <c r="B511" s="55" t="s">
        <v>769</v>
      </c>
      <c r="C511" s="56" t="s">
        <v>862</v>
      </c>
      <c r="D511" s="57" t="s">
        <v>863</v>
      </c>
      <c r="E511" s="55" t="s">
        <v>864</v>
      </c>
      <c r="F511" s="58" t="s">
        <v>883</v>
      </c>
    </row>
    <row r="512">
      <c r="A512" s="59">
        <v>43611.0</v>
      </c>
      <c r="B512" s="50" t="s">
        <v>770</v>
      </c>
      <c r="C512" s="51" t="s">
        <v>862</v>
      </c>
      <c r="D512" s="52" t="s">
        <v>863</v>
      </c>
      <c r="E512" s="50" t="s">
        <v>864</v>
      </c>
      <c r="F512" s="53" t="s">
        <v>883</v>
      </c>
    </row>
    <row r="513">
      <c r="A513" s="54">
        <v>43612.0</v>
      </c>
      <c r="B513" s="55" t="s">
        <v>749</v>
      </c>
      <c r="C513" s="56" t="s">
        <v>862</v>
      </c>
      <c r="D513" s="57" t="s">
        <v>863</v>
      </c>
      <c r="E513" s="55" t="s">
        <v>864</v>
      </c>
      <c r="F513" s="58" t="s">
        <v>883</v>
      </c>
    </row>
    <row r="514">
      <c r="A514" s="59">
        <v>43613.0</v>
      </c>
      <c r="B514" s="50" t="s">
        <v>771</v>
      </c>
      <c r="C514" s="51" t="s">
        <v>862</v>
      </c>
      <c r="D514" s="52" t="s">
        <v>863</v>
      </c>
      <c r="E514" s="50" t="s">
        <v>864</v>
      </c>
      <c r="F514" s="53" t="s">
        <v>883</v>
      </c>
    </row>
    <row r="515">
      <c r="A515" s="54">
        <v>43614.0</v>
      </c>
      <c r="B515" s="55" t="s">
        <v>772</v>
      </c>
      <c r="C515" s="56" t="s">
        <v>862</v>
      </c>
      <c r="D515" s="57" t="s">
        <v>863</v>
      </c>
      <c r="E515" s="55" t="s">
        <v>864</v>
      </c>
      <c r="F515" s="58" t="s">
        <v>883</v>
      </c>
    </row>
    <row r="516">
      <c r="A516" s="59">
        <v>43615.0</v>
      </c>
      <c r="B516" s="50" t="s">
        <v>773</v>
      </c>
      <c r="C516" s="51" t="s">
        <v>862</v>
      </c>
      <c r="D516" s="52" t="s">
        <v>863</v>
      </c>
      <c r="E516" s="50" t="s">
        <v>864</v>
      </c>
      <c r="F516" s="53" t="s">
        <v>883</v>
      </c>
    </row>
    <row r="517">
      <c r="A517" s="54">
        <v>43616.0</v>
      </c>
      <c r="B517" s="55" t="s">
        <v>774</v>
      </c>
      <c r="C517" s="56" t="s">
        <v>862</v>
      </c>
      <c r="D517" s="57" t="s">
        <v>863</v>
      </c>
      <c r="E517" s="55" t="s">
        <v>864</v>
      </c>
      <c r="F517" s="58" t="s">
        <v>883</v>
      </c>
    </row>
    <row r="518">
      <c r="A518" s="59">
        <v>43617.0</v>
      </c>
      <c r="B518" s="50" t="s">
        <v>742</v>
      </c>
      <c r="C518" s="51" t="s">
        <v>865</v>
      </c>
      <c r="D518" s="52" t="s">
        <v>866</v>
      </c>
      <c r="E518" s="50" t="s">
        <v>867</v>
      </c>
      <c r="F518" s="53" t="s">
        <v>883</v>
      </c>
    </row>
    <row r="519">
      <c r="A519" s="54">
        <v>43618.0</v>
      </c>
      <c r="B519" s="55" t="s">
        <v>744</v>
      </c>
      <c r="C519" s="56" t="s">
        <v>865</v>
      </c>
      <c r="D519" s="57" t="s">
        <v>866</v>
      </c>
      <c r="E519" s="55" t="s">
        <v>867</v>
      </c>
      <c r="F519" s="58" t="s">
        <v>883</v>
      </c>
    </row>
    <row r="520">
      <c r="A520" s="59">
        <v>43619.0</v>
      </c>
      <c r="B520" s="50" t="s">
        <v>746</v>
      </c>
      <c r="C520" s="51" t="s">
        <v>865</v>
      </c>
      <c r="D520" s="52" t="s">
        <v>866</v>
      </c>
      <c r="E520" s="50" t="s">
        <v>867</v>
      </c>
      <c r="F520" s="53" t="s">
        <v>883</v>
      </c>
    </row>
    <row r="521">
      <c r="A521" s="54">
        <v>43620.0</v>
      </c>
      <c r="B521" s="55" t="s">
        <v>748</v>
      </c>
      <c r="C521" s="56" t="s">
        <v>865</v>
      </c>
      <c r="D521" s="57" t="s">
        <v>866</v>
      </c>
      <c r="E521" s="55" t="s">
        <v>867</v>
      </c>
      <c r="F521" s="58" t="s">
        <v>883</v>
      </c>
    </row>
    <row r="522">
      <c r="A522" s="59">
        <v>43621.0</v>
      </c>
      <c r="B522" s="50" t="s">
        <v>750</v>
      </c>
      <c r="C522" s="51" t="s">
        <v>865</v>
      </c>
      <c r="D522" s="52" t="s">
        <v>866</v>
      </c>
      <c r="E522" s="50" t="s">
        <v>867</v>
      </c>
      <c r="F522" s="53" t="s">
        <v>883</v>
      </c>
    </row>
    <row r="523">
      <c r="A523" s="54">
        <v>43622.0</v>
      </c>
      <c r="B523" s="55" t="s">
        <v>752</v>
      </c>
      <c r="C523" s="56" t="s">
        <v>865</v>
      </c>
      <c r="D523" s="57" t="s">
        <v>866</v>
      </c>
      <c r="E523" s="55" t="s">
        <v>867</v>
      </c>
      <c r="F523" s="58" t="s">
        <v>883</v>
      </c>
    </row>
    <row r="524">
      <c r="A524" s="59">
        <v>43623.0</v>
      </c>
      <c r="B524" s="50" t="s">
        <v>753</v>
      </c>
      <c r="C524" s="51" t="s">
        <v>865</v>
      </c>
      <c r="D524" s="52" t="s">
        <v>866</v>
      </c>
      <c r="E524" s="50" t="s">
        <v>867</v>
      </c>
      <c r="F524" s="53" t="s">
        <v>883</v>
      </c>
    </row>
    <row r="525">
      <c r="A525" s="54">
        <v>43624.0</v>
      </c>
      <c r="B525" s="55" t="s">
        <v>754</v>
      </c>
      <c r="C525" s="56" t="s">
        <v>865</v>
      </c>
      <c r="D525" s="57" t="s">
        <v>866</v>
      </c>
      <c r="E525" s="55" t="s">
        <v>867</v>
      </c>
      <c r="F525" s="58" t="s">
        <v>883</v>
      </c>
    </row>
    <row r="526">
      <c r="A526" s="59">
        <v>43625.0</v>
      </c>
      <c r="B526" s="50" t="s">
        <v>755</v>
      </c>
      <c r="C526" s="51" t="s">
        <v>865</v>
      </c>
      <c r="D526" s="52" t="s">
        <v>866</v>
      </c>
      <c r="E526" s="50" t="s">
        <v>867</v>
      </c>
      <c r="F526" s="53" t="s">
        <v>883</v>
      </c>
    </row>
    <row r="527">
      <c r="A527" s="54">
        <v>43626.0</v>
      </c>
      <c r="B527" s="55" t="s">
        <v>756</v>
      </c>
      <c r="C527" s="56" t="s">
        <v>865</v>
      </c>
      <c r="D527" s="57" t="s">
        <v>866</v>
      </c>
      <c r="E527" s="55" t="s">
        <v>867</v>
      </c>
      <c r="F527" s="58" t="s">
        <v>883</v>
      </c>
    </row>
    <row r="528">
      <c r="A528" s="59">
        <v>43627.0</v>
      </c>
      <c r="B528" s="50" t="s">
        <v>758</v>
      </c>
      <c r="C528" s="51" t="s">
        <v>865</v>
      </c>
      <c r="D528" s="52" t="s">
        <v>866</v>
      </c>
      <c r="E528" s="50" t="s">
        <v>867</v>
      </c>
      <c r="F528" s="53" t="s">
        <v>883</v>
      </c>
    </row>
    <row r="529">
      <c r="A529" s="54">
        <v>43628.0</v>
      </c>
      <c r="B529" s="55" t="s">
        <v>759</v>
      </c>
      <c r="C529" s="56" t="s">
        <v>865</v>
      </c>
      <c r="D529" s="57" t="s">
        <v>866</v>
      </c>
      <c r="E529" s="55" t="s">
        <v>867</v>
      </c>
      <c r="F529" s="58" t="s">
        <v>883</v>
      </c>
    </row>
    <row r="530">
      <c r="A530" s="59">
        <v>43629.0</v>
      </c>
      <c r="B530" s="50" t="s">
        <v>760</v>
      </c>
      <c r="C530" s="51" t="s">
        <v>865</v>
      </c>
      <c r="D530" s="52" t="s">
        <v>866</v>
      </c>
      <c r="E530" s="50" t="s">
        <v>867</v>
      </c>
      <c r="F530" s="53" t="s">
        <v>883</v>
      </c>
    </row>
    <row r="531">
      <c r="A531" s="54">
        <v>43630.0</v>
      </c>
      <c r="B531" s="55" t="s">
        <v>761</v>
      </c>
      <c r="C531" s="56" t="s">
        <v>865</v>
      </c>
      <c r="D531" s="57" t="s">
        <v>866</v>
      </c>
      <c r="E531" s="55" t="s">
        <v>867</v>
      </c>
      <c r="F531" s="58" t="s">
        <v>883</v>
      </c>
    </row>
    <row r="532">
      <c r="A532" s="59">
        <v>43631.0</v>
      </c>
      <c r="B532" s="50" t="s">
        <v>762</v>
      </c>
      <c r="C532" s="51" t="s">
        <v>865</v>
      </c>
      <c r="D532" s="52" t="s">
        <v>866</v>
      </c>
      <c r="E532" s="50" t="s">
        <v>867</v>
      </c>
      <c r="F532" s="53" t="s">
        <v>883</v>
      </c>
    </row>
    <row r="533">
      <c r="A533" s="54">
        <v>43632.0</v>
      </c>
      <c r="B533" s="55" t="s">
        <v>763</v>
      </c>
      <c r="C533" s="56" t="s">
        <v>865</v>
      </c>
      <c r="D533" s="57" t="s">
        <v>866</v>
      </c>
      <c r="E533" s="55" t="s">
        <v>867</v>
      </c>
      <c r="F533" s="58" t="s">
        <v>883</v>
      </c>
    </row>
    <row r="534">
      <c r="A534" s="59">
        <v>43633.0</v>
      </c>
      <c r="B534" s="50" t="s">
        <v>764</v>
      </c>
      <c r="C534" s="51" t="s">
        <v>865</v>
      </c>
      <c r="D534" s="52" t="s">
        <v>866</v>
      </c>
      <c r="E534" s="50" t="s">
        <v>867</v>
      </c>
      <c r="F534" s="53" t="s">
        <v>883</v>
      </c>
    </row>
    <row r="535">
      <c r="A535" s="54">
        <v>43634.0</v>
      </c>
      <c r="B535" s="55" t="s">
        <v>765</v>
      </c>
      <c r="C535" s="56" t="s">
        <v>865</v>
      </c>
      <c r="D535" s="57" t="s">
        <v>866</v>
      </c>
      <c r="E535" s="55" t="s">
        <v>867</v>
      </c>
      <c r="F535" s="58" t="s">
        <v>883</v>
      </c>
    </row>
    <row r="536">
      <c r="A536" s="59">
        <v>43635.0</v>
      </c>
      <c r="B536" s="50" t="s">
        <v>743</v>
      </c>
      <c r="C536" s="51" t="s">
        <v>865</v>
      </c>
      <c r="D536" s="52" t="s">
        <v>866</v>
      </c>
      <c r="E536" s="50" t="s">
        <v>867</v>
      </c>
      <c r="F536" s="53" t="s">
        <v>883</v>
      </c>
    </row>
    <row r="537">
      <c r="A537" s="54">
        <v>43636.0</v>
      </c>
      <c r="B537" s="55" t="s">
        <v>766</v>
      </c>
      <c r="C537" s="56" t="s">
        <v>865</v>
      </c>
      <c r="D537" s="57" t="s">
        <v>866</v>
      </c>
      <c r="E537" s="55" t="s">
        <v>867</v>
      </c>
      <c r="F537" s="58" t="s">
        <v>883</v>
      </c>
    </row>
    <row r="538">
      <c r="A538" s="59">
        <v>43637.0</v>
      </c>
      <c r="B538" s="50" t="s">
        <v>745</v>
      </c>
      <c r="C538" s="51" t="s">
        <v>865</v>
      </c>
      <c r="D538" s="52" t="s">
        <v>866</v>
      </c>
      <c r="E538" s="50" t="s">
        <v>867</v>
      </c>
      <c r="F538" s="53" t="s">
        <v>883</v>
      </c>
    </row>
    <row r="539">
      <c r="A539" s="54">
        <v>43638.0</v>
      </c>
      <c r="B539" s="55" t="s">
        <v>767</v>
      </c>
      <c r="C539" s="56" t="s">
        <v>865</v>
      </c>
      <c r="D539" s="57" t="s">
        <v>866</v>
      </c>
      <c r="E539" s="55" t="s">
        <v>867</v>
      </c>
      <c r="F539" s="58" t="s">
        <v>883</v>
      </c>
    </row>
    <row r="540">
      <c r="A540" s="59">
        <v>43639.0</v>
      </c>
      <c r="B540" s="50" t="s">
        <v>768</v>
      </c>
      <c r="C540" s="51" t="s">
        <v>865</v>
      </c>
      <c r="D540" s="52" t="s">
        <v>866</v>
      </c>
      <c r="E540" s="50" t="s">
        <v>867</v>
      </c>
      <c r="F540" s="53" t="s">
        <v>883</v>
      </c>
    </row>
    <row r="541">
      <c r="A541" s="54">
        <v>43640.0</v>
      </c>
      <c r="B541" s="55" t="s">
        <v>747</v>
      </c>
      <c r="C541" s="56" t="s">
        <v>865</v>
      </c>
      <c r="D541" s="57" t="s">
        <v>866</v>
      </c>
      <c r="E541" s="55" t="s">
        <v>867</v>
      </c>
      <c r="F541" s="58" t="s">
        <v>883</v>
      </c>
    </row>
    <row r="542">
      <c r="A542" s="59">
        <v>43641.0</v>
      </c>
      <c r="B542" s="50" t="s">
        <v>769</v>
      </c>
      <c r="C542" s="51" t="s">
        <v>865</v>
      </c>
      <c r="D542" s="52" t="s">
        <v>866</v>
      </c>
      <c r="E542" s="50" t="s">
        <v>867</v>
      </c>
      <c r="F542" s="53" t="s">
        <v>883</v>
      </c>
    </row>
    <row r="543">
      <c r="A543" s="54">
        <v>43642.0</v>
      </c>
      <c r="B543" s="55" t="s">
        <v>770</v>
      </c>
      <c r="C543" s="56" t="s">
        <v>865</v>
      </c>
      <c r="D543" s="57" t="s">
        <v>866</v>
      </c>
      <c r="E543" s="55" t="s">
        <v>867</v>
      </c>
      <c r="F543" s="58" t="s">
        <v>883</v>
      </c>
    </row>
    <row r="544">
      <c r="A544" s="59">
        <v>43643.0</v>
      </c>
      <c r="B544" s="50" t="s">
        <v>749</v>
      </c>
      <c r="C544" s="51" t="s">
        <v>865</v>
      </c>
      <c r="D544" s="52" t="s">
        <v>866</v>
      </c>
      <c r="E544" s="50" t="s">
        <v>867</v>
      </c>
      <c r="F544" s="53" t="s">
        <v>883</v>
      </c>
    </row>
    <row r="545">
      <c r="A545" s="54">
        <v>43644.0</v>
      </c>
      <c r="B545" s="55" t="s">
        <v>771</v>
      </c>
      <c r="C545" s="56" t="s">
        <v>865</v>
      </c>
      <c r="D545" s="57" t="s">
        <v>866</v>
      </c>
      <c r="E545" s="55" t="s">
        <v>867</v>
      </c>
      <c r="F545" s="58" t="s">
        <v>883</v>
      </c>
    </row>
    <row r="546">
      <c r="A546" s="59">
        <v>43645.0</v>
      </c>
      <c r="B546" s="50" t="s">
        <v>772</v>
      </c>
      <c r="C546" s="51" t="s">
        <v>865</v>
      </c>
      <c r="D546" s="52" t="s">
        <v>866</v>
      </c>
      <c r="E546" s="50" t="s">
        <v>867</v>
      </c>
      <c r="F546" s="53" t="s">
        <v>883</v>
      </c>
    </row>
    <row r="547">
      <c r="A547" s="54">
        <v>43646.0</v>
      </c>
      <c r="B547" s="55" t="s">
        <v>773</v>
      </c>
      <c r="C547" s="56" t="s">
        <v>865</v>
      </c>
      <c r="D547" s="57" t="s">
        <v>866</v>
      </c>
      <c r="E547" s="55" t="s">
        <v>867</v>
      </c>
      <c r="F547" s="58" t="s">
        <v>883</v>
      </c>
    </row>
    <row r="548">
      <c r="A548" s="59">
        <v>43647.0</v>
      </c>
      <c r="B548" s="50" t="s">
        <v>742</v>
      </c>
      <c r="C548" s="51" t="s">
        <v>868</v>
      </c>
      <c r="D548" s="52" t="s">
        <v>869</v>
      </c>
      <c r="E548" s="50" t="s">
        <v>870</v>
      </c>
      <c r="F548" s="53" t="s">
        <v>883</v>
      </c>
    </row>
    <row r="549">
      <c r="A549" s="54">
        <v>43648.0</v>
      </c>
      <c r="B549" s="55" t="s">
        <v>744</v>
      </c>
      <c r="C549" s="56" t="s">
        <v>868</v>
      </c>
      <c r="D549" s="57" t="s">
        <v>869</v>
      </c>
      <c r="E549" s="55" t="s">
        <v>870</v>
      </c>
      <c r="F549" s="58" t="s">
        <v>883</v>
      </c>
    </row>
    <row r="550">
      <c r="A550" s="59">
        <v>43649.0</v>
      </c>
      <c r="B550" s="50" t="s">
        <v>746</v>
      </c>
      <c r="C550" s="51" t="s">
        <v>868</v>
      </c>
      <c r="D550" s="52" t="s">
        <v>869</v>
      </c>
      <c r="E550" s="50" t="s">
        <v>870</v>
      </c>
      <c r="F550" s="53" t="s">
        <v>883</v>
      </c>
    </row>
    <row r="551">
      <c r="A551" s="54">
        <v>43650.0</v>
      </c>
      <c r="B551" s="55" t="s">
        <v>748</v>
      </c>
      <c r="C551" s="56" t="s">
        <v>868</v>
      </c>
      <c r="D551" s="57" t="s">
        <v>869</v>
      </c>
      <c r="E551" s="55" t="s">
        <v>870</v>
      </c>
      <c r="F551" s="58" t="s">
        <v>883</v>
      </c>
    </row>
    <row r="552">
      <c r="A552" s="59">
        <v>43651.0</v>
      </c>
      <c r="B552" s="50" t="s">
        <v>750</v>
      </c>
      <c r="C552" s="51" t="s">
        <v>868</v>
      </c>
      <c r="D552" s="52" t="s">
        <v>869</v>
      </c>
      <c r="E552" s="50" t="s">
        <v>870</v>
      </c>
      <c r="F552" s="53" t="s">
        <v>883</v>
      </c>
    </row>
    <row r="553">
      <c r="A553" s="54">
        <v>43652.0</v>
      </c>
      <c r="B553" s="55" t="s">
        <v>752</v>
      </c>
      <c r="C553" s="56" t="s">
        <v>868</v>
      </c>
      <c r="D553" s="57" t="s">
        <v>869</v>
      </c>
      <c r="E553" s="55" t="s">
        <v>870</v>
      </c>
      <c r="F553" s="58" t="s">
        <v>883</v>
      </c>
    </row>
    <row r="554">
      <c r="A554" s="59">
        <v>43653.0</v>
      </c>
      <c r="B554" s="50" t="s">
        <v>753</v>
      </c>
      <c r="C554" s="51" t="s">
        <v>868</v>
      </c>
      <c r="D554" s="52" t="s">
        <v>869</v>
      </c>
      <c r="E554" s="50" t="s">
        <v>870</v>
      </c>
      <c r="F554" s="53" t="s">
        <v>883</v>
      </c>
    </row>
    <row r="555">
      <c r="A555" s="54">
        <v>43654.0</v>
      </c>
      <c r="B555" s="55" t="s">
        <v>754</v>
      </c>
      <c r="C555" s="56" t="s">
        <v>868</v>
      </c>
      <c r="D555" s="57" t="s">
        <v>869</v>
      </c>
      <c r="E555" s="55" t="s">
        <v>870</v>
      </c>
      <c r="F555" s="58" t="s">
        <v>883</v>
      </c>
    </row>
    <row r="556">
      <c r="A556" s="59">
        <v>43655.0</v>
      </c>
      <c r="B556" s="50" t="s">
        <v>755</v>
      </c>
      <c r="C556" s="51" t="s">
        <v>868</v>
      </c>
      <c r="D556" s="52" t="s">
        <v>869</v>
      </c>
      <c r="E556" s="50" t="s">
        <v>870</v>
      </c>
      <c r="F556" s="53" t="s">
        <v>883</v>
      </c>
    </row>
    <row r="557">
      <c r="A557" s="54">
        <v>43656.0</v>
      </c>
      <c r="B557" s="55" t="s">
        <v>756</v>
      </c>
      <c r="C557" s="56" t="s">
        <v>868</v>
      </c>
      <c r="D557" s="57" t="s">
        <v>869</v>
      </c>
      <c r="E557" s="55" t="s">
        <v>870</v>
      </c>
      <c r="F557" s="58" t="s">
        <v>883</v>
      </c>
    </row>
    <row r="558">
      <c r="A558" s="59">
        <v>43657.0</v>
      </c>
      <c r="B558" s="50" t="s">
        <v>758</v>
      </c>
      <c r="C558" s="51" t="s">
        <v>868</v>
      </c>
      <c r="D558" s="52" t="s">
        <v>869</v>
      </c>
      <c r="E558" s="50" t="s">
        <v>870</v>
      </c>
      <c r="F558" s="53" t="s">
        <v>883</v>
      </c>
    </row>
    <row r="559">
      <c r="A559" s="54">
        <v>43658.0</v>
      </c>
      <c r="B559" s="55" t="s">
        <v>759</v>
      </c>
      <c r="C559" s="56" t="s">
        <v>868</v>
      </c>
      <c r="D559" s="57" t="s">
        <v>869</v>
      </c>
      <c r="E559" s="55" t="s">
        <v>870</v>
      </c>
      <c r="F559" s="58" t="s">
        <v>883</v>
      </c>
    </row>
    <row r="560">
      <c r="A560" s="59">
        <v>43659.0</v>
      </c>
      <c r="B560" s="50" t="s">
        <v>760</v>
      </c>
      <c r="C560" s="51" t="s">
        <v>868</v>
      </c>
      <c r="D560" s="52" t="s">
        <v>869</v>
      </c>
      <c r="E560" s="50" t="s">
        <v>870</v>
      </c>
      <c r="F560" s="53" t="s">
        <v>883</v>
      </c>
    </row>
    <row r="561">
      <c r="A561" s="54">
        <v>43660.0</v>
      </c>
      <c r="B561" s="55" t="s">
        <v>761</v>
      </c>
      <c r="C561" s="56" t="s">
        <v>868</v>
      </c>
      <c r="D561" s="57" t="s">
        <v>869</v>
      </c>
      <c r="E561" s="55" t="s">
        <v>870</v>
      </c>
      <c r="F561" s="58" t="s">
        <v>883</v>
      </c>
    </row>
    <row r="562">
      <c r="A562" s="59">
        <v>43661.0</v>
      </c>
      <c r="B562" s="50" t="s">
        <v>762</v>
      </c>
      <c r="C562" s="51" t="s">
        <v>868</v>
      </c>
      <c r="D562" s="52" t="s">
        <v>869</v>
      </c>
      <c r="E562" s="50" t="s">
        <v>870</v>
      </c>
      <c r="F562" s="53" t="s">
        <v>883</v>
      </c>
    </row>
    <row r="563">
      <c r="A563" s="54">
        <v>43662.0</v>
      </c>
      <c r="B563" s="55" t="s">
        <v>763</v>
      </c>
      <c r="C563" s="56" t="s">
        <v>868</v>
      </c>
      <c r="D563" s="57" t="s">
        <v>869</v>
      </c>
      <c r="E563" s="55" t="s">
        <v>870</v>
      </c>
      <c r="F563" s="58" t="s">
        <v>883</v>
      </c>
    </row>
    <row r="564">
      <c r="A564" s="59">
        <v>43663.0</v>
      </c>
      <c r="B564" s="50" t="s">
        <v>764</v>
      </c>
      <c r="C564" s="51" t="s">
        <v>868</v>
      </c>
      <c r="D564" s="52" t="s">
        <v>869</v>
      </c>
      <c r="E564" s="50" t="s">
        <v>870</v>
      </c>
      <c r="F564" s="53" t="s">
        <v>883</v>
      </c>
    </row>
    <row r="565">
      <c r="A565" s="54">
        <v>43664.0</v>
      </c>
      <c r="B565" s="55" t="s">
        <v>765</v>
      </c>
      <c r="C565" s="56" t="s">
        <v>868</v>
      </c>
      <c r="D565" s="57" t="s">
        <v>869</v>
      </c>
      <c r="E565" s="55" t="s">
        <v>870</v>
      </c>
      <c r="F565" s="58" t="s">
        <v>883</v>
      </c>
    </row>
    <row r="566">
      <c r="A566" s="59">
        <v>43665.0</v>
      </c>
      <c r="B566" s="50" t="s">
        <v>743</v>
      </c>
      <c r="C566" s="51" t="s">
        <v>868</v>
      </c>
      <c r="D566" s="52" t="s">
        <v>869</v>
      </c>
      <c r="E566" s="50" t="s">
        <v>870</v>
      </c>
      <c r="F566" s="53" t="s">
        <v>883</v>
      </c>
    </row>
    <row r="567">
      <c r="A567" s="54">
        <v>43666.0</v>
      </c>
      <c r="B567" s="55" t="s">
        <v>766</v>
      </c>
      <c r="C567" s="56" t="s">
        <v>868</v>
      </c>
      <c r="D567" s="57" t="s">
        <v>869</v>
      </c>
      <c r="E567" s="55" t="s">
        <v>870</v>
      </c>
      <c r="F567" s="58" t="s">
        <v>883</v>
      </c>
    </row>
    <row r="568">
      <c r="A568" s="59">
        <v>43667.0</v>
      </c>
      <c r="B568" s="50" t="s">
        <v>745</v>
      </c>
      <c r="C568" s="51" t="s">
        <v>868</v>
      </c>
      <c r="D568" s="52" t="s">
        <v>869</v>
      </c>
      <c r="E568" s="50" t="s">
        <v>870</v>
      </c>
      <c r="F568" s="53" t="s">
        <v>883</v>
      </c>
    </row>
    <row r="569">
      <c r="A569" s="54">
        <v>43668.0</v>
      </c>
      <c r="B569" s="55" t="s">
        <v>767</v>
      </c>
      <c r="C569" s="56" t="s">
        <v>868</v>
      </c>
      <c r="D569" s="57" t="s">
        <v>869</v>
      </c>
      <c r="E569" s="55" t="s">
        <v>870</v>
      </c>
      <c r="F569" s="58" t="s">
        <v>883</v>
      </c>
    </row>
    <row r="570">
      <c r="A570" s="59">
        <v>43669.0</v>
      </c>
      <c r="B570" s="50" t="s">
        <v>768</v>
      </c>
      <c r="C570" s="51" t="s">
        <v>868</v>
      </c>
      <c r="D570" s="52" t="s">
        <v>869</v>
      </c>
      <c r="E570" s="50" t="s">
        <v>870</v>
      </c>
      <c r="F570" s="53" t="s">
        <v>883</v>
      </c>
    </row>
    <row r="571">
      <c r="A571" s="54">
        <v>43670.0</v>
      </c>
      <c r="B571" s="55" t="s">
        <v>747</v>
      </c>
      <c r="C571" s="56" t="s">
        <v>868</v>
      </c>
      <c r="D571" s="57" t="s">
        <v>869</v>
      </c>
      <c r="E571" s="55" t="s">
        <v>870</v>
      </c>
      <c r="F571" s="58" t="s">
        <v>883</v>
      </c>
    </row>
    <row r="572">
      <c r="A572" s="59">
        <v>43671.0</v>
      </c>
      <c r="B572" s="50" t="s">
        <v>769</v>
      </c>
      <c r="C572" s="51" t="s">
        <v>868</v>
      </c>
      <c r="D572" s="52" t="s">
        <v>869</v>
      </c>
      <c r="E572" s="50" t="s">
        <v>870</v>
      </c>
      <c r="F572" s="53" t="s">
        <v>883</v>
      </c>
    </row>
    <row r="573">
      <c r="A573" s="54">
        <v>43672.0</v>
      </c>
      <c r="B573" s="55" t="s">
        <v>770</v>
      </c>
      <c r="C573" s="56" t="s">
        <v>868</v>
      </c>
      <c r="D573" s="57" t="s">
        <v>869</v>
      </c>
      <c r="E573" s="55" t="s">
        <v>870</v>
      </c>
      <c r="F573" s="58" t="s">
        <v>883</v>
      </c>
    </row>
    <row r="574">
      <c r="A574" s="59">
        <v>43673.0</v>
      </c>
      <c r="B574" s="50" t="s">
        <v>749</v>
      </c>
      <c r="C574" s="51" t="s">
        <v>868</v>
      </c>
      <c r="D574" s="52" t="s">
        <v>869</v>
      </c>
      <c r="E574" s="50" t="s">
        <v>870</v>
      </c>
      <c r="F574" s="53" t="s">
        <v>883</v>
      </c>
    </row>
    <row r="575">
      <c r="A575" s="54">
        <v>43674.0</v>
      </c>
      <c r="B575" s="55" t="s">
        <v>771</v>
      </c>
      <c r="C575" s="56" t="s">
        <v>868</v>
      </c>
      <c r="D575" s="57" t="s">
        <v>869</v>
      </c>
      <c r="E575" s="55" t="s">
        <v>870</v>
      </c>
      <c r="F575" s="58" t="s">
        <v>883</v>
      </c>
    </row>
    <row r="576">
      <c r="A576" s="59">
        <v>43675.0</v>
      </c>
      <c r="B576" s="50" t="s">
        <v>772</v>
      </c>
      <c r="C576" s="51" t="s">
        <v>868</v>
      </c>
      <c r="D576" s="52" t="s">
        <v>869</v>
      </c>
      <c r="E576" s="50" t="s">
        <v>870</v>
      </c>
      <c r="F576" s="53" t="s">
        <v>883</v>
      </c>
    </row>
    <row r="577">
      <c r="A577" s="54">
        <v>43676.0</v>
      </c>
      <c r="B577" s="55" t="s">
        <v>773</v>
      </c>
      <c r="C577" s="56" t="s">
        <v>868</v>
      </c>
      <c r="D577" s="57" t="s">
        <v>869</v>
      </c>
      <c r="E577" s="55" t="s">
        <v>870</v>
      </c>
      <c r="F577" s="58" t="s">
        <v>883</v>
      </c>
    </row>
    <row r="578">
      <c r="A578" s="59">
        <v>43677.0</v>
      </c>
      <c r="B578" s="50" t="s">
        <v>774</v>
      </c>
      <c r="C578" s="51" t="s">
        <v>868</v>
      </c>
      <c r="D578" s="52" t="s">
        <v>869</v>
      </c>
      <c r="E578" s="50" t="s">
        <v>870</v>
      </c>
      <c r="F578" s="53" t="s">
        <v>883</v>
      </c>
    </row>
    <row r="579">
      <c r="A579" s="54">
        <v>43678.0</v>
      </c>
      <c r="B579" s="55" t="s">
        <v>742</v>
      </c>
      <c r="C579" s="56" t="s">
        <v>871</v>
      </c>
      <c r="D579" s="57" t="s">
        <v>872</v>
      </c>
      <c r="E579" s="55" t="s">
        <v>873</v>
      </c>
      <c r="F579" s="58" t="s">
        <v>883</v>
      </c>
    </row>
    <row r="580">
      <c r="A580" s="59">
        <v>43679.0</v>
      </c>
      <c r="B580" s="50" t="s">
        <v>744</v>
      </c>
      <c r="C580" s="51" t="s">
        <v>871</v>
      </c>
      <c r="D580" s="52" t="s">
        <v>872</v>
      </c>
      <c r="E580" s="50" t="s">
        <v>873</v>
      </c>
      <c r="F580" s="53" t="s">
        <v>883</v>
      </c>
    </row>
    <row r="581">
      <c r="A581" s="54">
        <v>43680.0</v>
      </c>
      <c r="B581" s="55" t="s">
        <v>746</v>
      </c>
      <c r="C581" s="56" t="s">
        <v>871</v>
      </c>
      <c r="D581" s="57" t="s">
        <v>872</v>
      </c>
      <c r="E581" s="55" t="s">
        <v>873</v>
      </c>
      <c r="F581" s="58" t="s">
        <v>883</v>
      </c>
    </row>
    <row r="582">
      <c r="A582" s="59">
        <v>43681.0</v>
      </c>
      <c r="B582" s="50" t="s">
        <v>748</v>
      </c>
      <c r="C582" s="51" t="s">
        <v>871</v>
      </c>
      <c r="D582" s="52" t="s">
        <v>872</v>
      </c>
      <c r="E582" s="50" t="s">
        <v>873</v>
      </c>
      <c r="F582" s="53" t="s">
        <v>883</v>
      </c>
    </row>
    <row r="583">
      <c r="A583" s="54">
        <v>43682.0</v>
      </c>
      <c r="B583" s="55" t="s">
        <v>750</v>
      </c>
      <c r="C583" s="56" t="s">
        <v>871</v>
      </c>
      <c r="D583" s="57" t="s">
        <v>872</v>
      </c>
      <c r="E583" s="55" t="s">
        <v>873</v>
      </c>
      <c r="F583" s="58" t="s">
        <v>883</v>
      </c>
    </row>
    <row r="584">
      <c r="A584" s="59">
        <v>43683.0</v>
      </c>
      <c r="B584" s="50" t="s">
        <v>752</v>
      </c>
      <c r="C584" s="51" t="s">
        <v>871</v>
      </c>
      <c r="D584" s="52" t="s">
        <v>872</v>
      </c>
      <c r="E584" s="50" t="s">
        <v>873</v>
      </c>
      <c r="F584" s="53" t="s">
        <v>883</v>
      </c>
    </row>
    <row r="585">
      <c r="A585" s="54">
        <v>43684.0</v>
      </c>
      <c r="B585" s="55" t="s">
        <v>753</v>
      </c>
      <c r="C585" s="56" t="s">
        <v>871</v>
      </c>
      <c r="D585" s="57" t="s">
        <v>872</v>
      </c>
      <c r="E585" s="55" t="s">
        <v>873</v>
      </c>
      <c r="F585" s="58" t="s">
        <v>883</v>
      </c>
    </row>
    <row r="586">
      <c r="A586" s="59">
        <v>43685.0</v>
      </c>
      <c r="B586" s="50" t="s">
        <v>754</v>
      </c>
      <c r="C586" s="51" t="s">
        <v>871</v>
      </c>
      <c r="D586" s="52" t="s">
        <v>872</v>
      </c>
      <c r="E586" s="50" t="s">
        <v>873</v>
      </c>
      <c r="F586" s="53" t="s">
        <v>883</v>
      </c>
    </row>
    <row r="587">
      <c r="A587" s="54">
        <v>43686.0</v>
      </c>
      <c r="B587" s="55" t="s">
        <v>755</v>
      </c>
      <c r="C587" s="56" t="s">
        <v>871</v>
      </c>
      <c r="D587" s="57" t="s">
        <v>872</v>
      </c>
      <c r="E587" s="55" t="s">
        <v>873</v>
      </c>
      <c r="F587" s="58" t="s">
        <v>883</v>
      </c>
    </row>
    <row r="588">
      <c r="A588" s="59">
        <v>43687.0</v>
      </c>
      <c r="B588" s="50" t="s">
        <v>756</v>
      </c>
      <c r="C588" s="51" t="s">
        <v>871</v>
      </c>
      <c r="D588" s="52" t="s">
        <v>872</v>
      </c>
      <c r="E588" s="50" t="s">
        <v>873</v>
      </c>
      <c r="F588" s="53" t="s">
        <v>883</v>
      </c>
    </row>
    <row r="589">
      <c r="A589" s="54">
        <v>43688.0</v>
      </c>
      <c r="B589" s="55" t="s">
        <v>758</v>
      </c>
      <c r="C589" s="56" t="s">
        <v>871</v>
      </c>
      <c r="D589" s="57" t="s">
        <v>872</v>
      </c>
      <c r="E589" s="55" t="s">
        <v>873</v>
      </c>
      <c r="F589" s="58" t="s">
        <v>883</v>
      </c>
    </row>
    <row r="590">
      <c r="A590" s="59">
        <v>43689.0</v>
      </c>
      <c r="B590" s="50" t="s">
        <v>759</v>
      </c>
      <c r="C590" s="51" t="s">
        <v>871</v>
      </c>
      <c r="D590" s="52" t="s">
        <v>872</v>
      </c>
      <c r="E590" s="50" t="s">
        <v>873</v>
      </c>
      <c r="F590" s="53" t="s">
        <v>883</v>
      </c>
    </row>
    <row r="591">
      <c r="A591" s="54">
        <v>43690.0</v>
      </c>
      <c r="B591" s="55" t="s">
        <v>760</v>
      </c>
      <c r="C591" s="56" t="s">
        <v>871</v>
      </c>
      <c r="D591" s="57" t="s">
        <v>872</v>
      </c>
      <c r="E591" s="55" t="s">
        <v>873</v>
      </c>
      <c r="F591" s="58" t="s">
        <v>883</v>
      </c>
    </row>
    <row r="592">
      <c r="A592" s="59">
        <v>43691.0</v>
      </c>
      <c r="B592" s="50" t="s">
        <v>761</v>
      </c>
      <c r="C592" s="51" t="s">
        <v>871</v>
      </c>
      <c r="D592" s="52" t="s">
        <v>872</v>
      </c>
      <c r="E592" s="50" t="s">
        <v>873</v>
      </c>
      <c r="F592" s="53" t="s">
        <v>883</v>
      </c>
    </row>
    <row r="593">
      <c r="A593" s="54">
        <v>43692.0</v>
      </c>
      <c r="B593" s="55" t="s">
        <v>762</v>
      </c>
      <c r="C593" s="56" t="s">
        <v>871</v>
      </c>
      <c r="D593" s="57" t="s">
        <v>872</v>
      </c>
      <c r="E593" s="55" t="s">
        <v>873</v>
      </c>
      <c r="F593" s="58" t="s">
        <v>883</v>
      </c>
    </row>
    <row r="594">
      <c r="A594" s="59">
        <v>43693.0</v>
      </c>
      <c r="B594" s="50" t="s">
        <v>763</v>
      </c>
      <c r="C594" s="51" t="s">
        <v>871</v>
      </c>
      <c r="D594" s="52" t="s">
        <v>872</v>
      </c>
      <c r="E594" s="50" t="s">
        <v>873</v>
      </c>
      <c r="F594" s="53" t="s">
        <v>883</v>
      </c>
    </row>
    <row r="595">
      <c r="A595" s="54">
        <v>43694.0</v>
      </c>
      <c r="B595" s="55" t="s">
        <v>764</v>
      </c>
      <c r="C595" s="56" t="s">
        <v>871</v>
      </c>
      <c r="D595" s="57" t="s">
        <v>872</v>
      </c>
      <c r="E595" s="55" t="s">
        <v>873</v>
      </c>
      <c r="F595" s="58" t="s">
        <v>883</v>
      </c>
    </row>
    <row r="596">
      <c r="A596" s="59">
        <v>43695.0</v>
      </c>
      <c r="B596" s="50" t="s">
        <v>765</v>
      </c>
      <c r="C596" s="51" t="s">
        <v>871</v>
      </c>
      <c r="D596" s="52" t="s">
        <v>872</v>
      </c>
      <c r="E596" s="50" t="s">
        <v>873</v>
      </c>
      <c r="F596" s="53" t="s">
        <v>883</v>
      </c>
    </row>
    <row r="597">
      <c r="A597" s="54">
        <v>43696.0</v>
      </c>
      <c r="B597" s="55" t="s">
        <v>743</v>
      </c>
      <c r="C597" s="56" t="s">
        <v>871</v>
      </c>
      <c r="D597" s="57" t="s">
        <v>872</v>
      </c>
      <c r="E597" s="55" t="s">
        <v>873</v>
      </c>
      <c r="F597" s="58" t="s">
        <v>883</v>
      </c>
    </row>
    <row r="598">
      <c r="A598" s="59">
        <v>43697.0</v>
      </c>
      <c r="B598" s="50" t="s">
        <v>766</v>
      </c>
      <c r="C598" s="51" t="s">
        <v>871</v>
      </c>
      <c r="D598" s="52" t="s">
        <v>872</v>
      </c>
      <c r="E598" s="50" t="s">
        <v>873</v>
      </c>
      <c r="F598" s="53" t="s">
        <v>883</v>
      </c>
    </row>
    <row r="599">
      <c r="A599" s="54">
        <v>43698.0</v>
      </c>
      <c r="B599" s="55" t="s">
        <v>745</v>
      </c>
      <c r="C599" s="56" t="s">
        <v>871</v>
      </c>
      <c r="D599" s="57" t="s">
        <v>872</v>
      </c>
      <c r="E599" s="55" t="s">
        <v>873</v>
      </c>
      <c r="F599" s="58" t="s">
        <v>883</v>
      </c>
    </row>
    <row r="600">
      <c r="A600" s="59">
        <v>43699.0</v>
      </c>
      <c r="B600" s="50" t="s">
        <v>767</v>
      </c>
      <c r="C600" s="51" t="s">
        <v>871</v>
      </c>
      <c r="D600" s="52" t="s">
        <v>872</v>
      </c>
      <c r="E600" s="50" t="s">
        <v>873</v>
      </c>
      <c r="F600" s="53" t="s">
        <v>883</v>
      </c>
    </row>
    <row r="601">
      <c r="A601" s="54">
        <v>43700.0</v>
      </c>
      <c r="B601" s="55" t="s">
        <v>768</v>
      </c>
      <c r="C601" s="56" t="s">
        <v>871</v>
      </c>
      <c r="D601" s="57" t="s">
        <v>872</v>
      </c>
      <c r="E601" s="55" t="s">
        <v>873</v>
      </c>
      <c r="F601" s="58" t="s">
        <v>883</v>
      </c>
    </row>
    <row r="602">
      <c r="A602" s="59">
        <v>43701.0</v>
      </c>
      <c r="B602" s="50" t="s">
        <v>747</v>
      </c>
      <c r="C602" s="51" t="s">
        <v>871</v>
      </c>
      <c r="D602" s="52" t="s">
        <v>872</v>
      </c>
      <c r="E602" s="50" t="s">
        <v>873</v>
      </c>
      <c r="F602" s="53" t="s">
        <v>883</v>
      </c>
    </row>
    <row r="603">
      <c r="A603" s="54">
        <v>43702.0</v>
      </c>
      <c r="B603" s="55" t="s">
        <v>769</v>
      </c>
      <c r="C603" s="56" t="s">
        <v>871</v>
      </c>
      <c r="D603" s="57" t="s">
        <v>872</v>
      </c>
      <c r="E603" s="55" t="s">
        <v>873</v>
      </c>
      <c r="F603" s="58" t="s">
        <v>883</v>
      </c>
    </row>
    <row r="604">
      <c r="A604" s="59">
        <v>43703.0</v>
      </c>
      <c r="B604" s="50" t="s">
        <v>770</v>
      </c>
      <c r="C604" s="51" t="s">
        <v>871</v>
      </c>
      <c r="D604" s="52" t="s">
        <v>872</v>
      </c>
      <c r="E604" s="50" t="s">
        <v>873</v>
      </c>
      <c r="F604" s="53" t="s">
        <v>883</v>
      </c>
    </row>
    <row r="605">
      <c r="A605" s="54">
        <v>43704.0</v>
      </c>
      <c r="B605" s="55" t="s">
        <v>749</v>
      </c>
      <c r="C605" s="56" t="s">
        <v>871</v>
      </c>
      <c r="D605" s="57" t="s">
        <v>872</v>
      </c>
      <c r="E605" s="55" t="s">
        <v>873</v>
      </c>
      <c r="F605" s="58" t="s">
        <v>883</v>
      </c>
    </row>
    <row r="606">
      <c r="A606" s="59">
        <v>43705.0</v>
      </c>
      <c r="B606" s="50" t="s">
        <v>771</v>
      </c>
      <c r="C606" s="51" t="s">
        <v>871</v>
      </c>
      <c r="D606" s="52" t="s">
        <v>872</v>
      </c>
      <c r="E606" s="50" t="s">
        <v>873</v>
      </c>
      <c r="F606" s="53" t="s">
        <v>883</v>
      </c>
    </row>
    <row r="607">
      <c r="A607" s="54">
        <v>43706.0</v>
      </c>
      <c r="B607" s="55" t="s">
        <v>772</v>
      </c>
      <c r="C607" s="56" t="s">
        <v>871</v>
      </c>
      <c r="D607" s="57" t="s">
        <v>872</v>
      </c>
      <c r="E607" s="55" t="s">
        <v>873</v>
      </c>
      <c r="F607" s="58" t="s">
        <v>883</v>
      </c>
    </row>
    <row r="608">
      <c r="A608" s="59">
        <v>43707.0</v>
      </c>
      <c r="B608" s="50" t="s">
        <v>773</v>
      </c>
      <c r="C608" s="51" t="s">
        <v>871</v>
      </c>
      <c r="D608" s="52" t="s">
        <v>872</v>
      </c>
      <c r="E608" s="50" t="s">
        <v>873</v>
      </c>
      <c r="F608" s="53" t="s">
        <v>883</v>
      </c>
    </row>
    <row r="609">
      <c r="A609" s="54">
        <v>43708.0</v>
      </c>
      <c r="B609" s="55" t="s">
        <v>774</v>
      </c>
      <c r="C609" s="56" t="s">
        <v>871</v>
      </c>
      <c r="D609" s="57" t="s">
        <v>872</v>
      </c>
      <c r="E609" s="55" t="s">
        <v>873</v>
      </c>
      <c r="F609" s="58" t="s">
        <v>883</v>
      </c>
    </row>
    <row r="610">
      <c r="A610" s="59">
        <v>43709.0</v>
      </c>
      <c r="B610" s="50" t="s">
        <v>742</v>
      </c>
      <c r="C610" s="51" t="s">
        <v>874</v>
      </c>
      <c r="D610" s="52" t="s">
        <v>875</v>
      </c>
      <c r="E610" s="50" t="s">
        <v>876</v>
      </c>
      <c r="F610" s="53" t="s">
        <v>883</v>
      </c>
    </row>
    <row r="611">
      <c r="A611" s="54">
        <v>43710.0</v>
      </c>
      <c r="B611" s="55" t="s">
        <v>744</v>
      </c>
      <c r="C611" s="56" t="s">
        <v>874</v>
      </c>
      <c r="D611" s="57" t="s">
        <v>875</v>
      </c>
      <c r="E611" s="55" t="s">
        <v>876</v>
      </c>
      <c r="F611" s="58" t="s">
        <v>883</v>
      </c>
    </row>
    <row r="612">
      <c r="A612" s="59">
        <v>43711.0</v>
      </c>
      <c r="B612" s="50" t="s">
        <v>746</v>
      </c>
      <c r="C612" s="51" t="s">
        <v>874</v>
      </c>
      <c r="D612" s="52" t="s">
        <v>875</v>
      </c>
      <c r="E612" s="50" t="s">
        <v>876</v>
      </c>
      <c r="F612" s="53" t="s">
        <v>883</v>
      </c>
    </row>
    <row r="613">
      <c r="A613" s="54">
        <v>43712.0</v>
      </c>
      <c r="B613" s="55" t="s">
        <v>748</v>
      </c>
      <c r="C613" s="56" t="s">
        <v>874</v>
      </c>
      <c r="D613" s="57" t="s">
        <v>875</v>
      </c>
      <c r="E613" s="55" t="s">
        <v>876</v>
      </c>
      <c r="F613" s="58" t="s">
        <v>883</v>
      </c>
    </row>
    <row r="614">
      <c r="A614" s="59">
        <v>43713.0</v>
      </c>
      <c r="B614" s="50" t="s">
        <v>750</v>
      </c>
      <c r="C614" s="51" t="s">
        <v>874</v>
      </c>
      <c r="D614" s="52" t="s">
        <v>875</v>
      </c>
      <c r="E614" s="50" t="s">
        <v>876</v>
      </c>
      <c r="F614" s="53" t="s">
        <v>883</v>
      </c>
    </row>
    <row r="615">
      <c r="A615" s="54">
        <v>43714.0</v>
      </c>
      <c r="B615" s="55" t="s">
        <v>752</v>
      </c>
      <c r="C615" s="56" t="s">
        <v>874</v>
      </c>
      <c r="D615" s="57" t="s">
        <v>875</v>
      </c>
      <c r="E615" s="55" t="s">
        <v>876</v>
      </c>
      <c r="F615" s="58" t="s">
        <v>883</v>
      </c>
    </row>
    <row r="616">
      <c r="A616" s="59">
        <v>43715.0</v>
      </c>
      <c r="B616" s="50" t="s">
        <v>753</v>
      </c>
      <c r="C616" s="51" t="s">
        <v>874</v>
      </c>
      <c r="D616" s="52" t="s">
        <v>875</v>
      </c>
      <c r="E616" s="50" t="s">
        <v>876</v>
      </c>
      <c r="F616" s="53" t="s">
        <v>883</v>
      </c>
    </row>
    <row r="617">
      <c r="A617" s="54">
        <v>43716.0</v>
      </c>
      <c r="B617" s="55" t="s">
        <v>754</v>
      </c>
      <c r="C617" s="56" t="s">
        <v>874</v>
      </c>
      <c r="D617" s="57" t="s">
        <v>875</v>
      </c>
      <c r="E617" s="55" t="s">
        <v>876</v>
      </c>
      <c r="F617" s="58" t="s">
        <v>883</v>
      </c>
    </row>
    <row r="618">
      <c r="A618" s="59">
        <v>43717.0</v>
      </c>
      <c r="B618" s="50" t="s">
        <v>755</v>
      </c>
      <c r="C618" s="51" t="s">
        <v>874</v>
      </c>
      <c r="D618" s="52" t="s">
        <v>875</v>
      </c>
      <c r="E618" s="50" t="s">
        <v>876</v>
      </c>
      <c r="F618" s="53" t="s">
        <v>883</v>
      </c>
    </row>
    <row r="619">
      <c r="A619" s="54">
        <v>43718.0</v>
      </c>
      <c r="B619" s="55" t="s">
        <v>756</v>
      </c>
      <c r="C619" s="56" t="s">
        <v>874</v>
      </c>
      <c r="D619" s="57" t="s">
        <v>875</v>
      </c>
      <c r="E619" s="55" t="s">
        <v>876</v>
      </c>
      <c r="F619" s="58" t="s">
        <v>883</v>
      </c>
    </row>
    <row r="620">
      <c r="A620" s="59">
        <v>43719.0</v>
      </c>
      <c r="B620" s="50" t="s">
        <v>758</v>
      </c>
      <c r="C620" s="51" t="s">
        <v>874</v>
      </c>
      <c r="D620" s="52" t="s">
        <v>875</v>
      </c>
      <c r="E620" s="50" t="s">
        <v>876</v>
      </c>
      <c r="F620" s="53" t="s">
        <v>883</v>
      </c>
    </row>
    <row r="621">
      <c r="A621" s="54">
        <v>43720.0</v>
      </c>
      <c r="B621" s="55" t="s">
        <v>759</v>
      </c>
      <c r="C621" s="56" t="s">
        <v>874</v>
      </c>
      <c r="D621" s="57" t="s">
        <v>875</v>
      </c>
      <c r="E621" s="55" t="s">
        <v>876</v>
      </c>
      <c r="F621" s="58" t="s">
        <v>883</v>
      </c>
    </row>
    <row r="622">
      <c r="A622" s="59">
        <v>43721.0</v>
      </c>
      <c r="B622" s="50" t="s">
        <v>760</v>
      </c>
      <c r="C622" s="51" t="s">
        <v>874</v>
      </c>
      <c r="D622" s="52" t="s">
        <v>875</v>
      </c>
      <c r="E622" s="50" t="s">
        <v>876</v>
      </c>
      <c r="F622" s="53" t="s">
        <v>883</v>
      </c>
    </row>
    <row r="623">
      <c r="A623" s="54">
        <v>43722.0</v>
      </c>
      <c r="B623" s="55" t="s">
        <v>761</v>
      </c>
      <c r="C623" s="56" t="s">
        <v>874</v>
      </c>
      <c r="D623" s="57" t="s">
        <v>875</v>
      </c>
      <c r="E623" s="55" t="s">
        <v>876</v>
      </c>
      <c r="F623" s="58" t="s">
        <v>883</v>
      </c>
    </row>
    <row r="624">
      <c r="A624" s="59">
        <v>43723.0</v>
      </c>
      <c r="B624" s="50" t="s">
        <v>762</v>
      </c>
      <c r="C624" s="51" t="s">
        <v>874</v>
      </c>
      <c r="D624" s="52" t="s">
        <v>875</v>
      </c>
      <c r="E624" s="50" t="s">
        <v>876</v>
      </c>
      <c r="F624" s="53" t="s">
        <v>883</v>
      </c>
    </row>
    <row r="625">
      <c r="A625" s="54">
        <v>43724.0</v>
      </c>
      <c r="B625" s="55" t="s">
        <v>763</v>
      </c>
      <c r="C625" s="56" t="s">
        <v>874</v>
      </c>
      <c r="D625" s="57" t="s">
        <v>875</v>
      </c>
      <c r="E625" s="55" t="s">
        <v>876</v>
      </c>
      <c r="F625" s="58" t="s">
        <v>883</v>
      </c>
    </row>
    <row r="626">
      <c r="A626" s="59">
        <v>43725.0</v>
      </c>
      <c r="B626" s="50" t="s">
        <v>764</v>
      </c>
      <c r="C626" s="51" t="s">
        <v>874</v>
      </c>
      <c r="D626" s="52" t="s">
        <v>875</v>
      </c>
      <c r="E626" s="50" t="s">
        <v>876</v>
      </c>
      <c r="F626" s="53" t="s">
        <v>883</v>
      </c>
    </row>
    <row r="627">
      <c r="A627" s="54">
        <v>43726.0</v>
      </c>
      <c r="B627" s="55" t="s">
        <v>765</v>
      </c>
      <c r="C627" s="56" t="s">
        <v>874</v>
      </c>
      <c r="D627" s="57" t="s">
        <v>875</v>
      </c>
      <c r="E627" s="55" t="s">
        <v>876</v>
      </c>
      <c r="F627" s="58" t="s">
        <v>883</v>
      </c>
    </row>
    <row r="628">
      <c r="A628" s="59">
        <v>43727.0</v>
      </c>
      <c r="B628" s="50" t="s">
        <v>743</v>
      </c>
      <c r="C628" s="51" t="s">
        <v>874</v>
      </c>
      <c r="D628" s="52" t="s">
        <v>875</v>
      </c>
      <c r="E628" s="50" t="s">
        <v>876</v>
      </c>
      <c r="F628" s="53" t="s">
        <v>883</v>
      </c>
    </row>
    <row r="629">
      <c r="A629" s="54">
        <v>43728.0</v>
      </c>
      <c r="B629" s="55" t="s">
        <v>766</v>
      </c>
      <c r="C629" s="56" t="s">
        <v>874</v>
      </c>
      <c r="D629" s="57" t="s">
        <v>875</v>
      </c>
      <c r="E629" s="55" t="s">
        <v>876</v>
      </c>
      <c r="F629" s="58" t="s">
        <v>883</v>
      </c>
    </row>
    <row r="630">
      <c r="A630" s="59">
        <v>43729.0</v>
      </c>
      <c r="B630" s="50" t="s">
        <v>745</v>
      </c>
      <c r="C630" s="51" t="s">
        <v>874</v>
      </c>
      <c r="D630" s="52" t="s">
        <v>875</v>
      </c>
      <c r="E630" s="50" t="s">
        <v>876</v>
      </c>
      <c r="F630" s="53" t="s">
        <v>883</v>
      </c>
    </row>
    <row r="631">
      <c r="A631" s="54">
        <v>43730.0</v>
      </c>
      <c r="B631" s="55" t="s">
        <v>767</v>
      </c>
      <c r="C631" s="56" t="s">
        <v>874</v>
      </c>
      <c r="D631" s="57" t="s">
        <v>875</v>
      </c>
      <c r="E631" s="55" t="s">
        <v>876</v>
      </c>
      <c r="F631" s="58" t="s">
        <v>883</v>
      </c>
    </row>
    <row r="632">
      <c r="A632" s="59">
        <v>43731.0</v>
      </c>
      <c r="B632" s="50" t="s">
        <v>768</v>
      </c>
      <c r="C632" s="51" t="s">
        <v>874</v>
      </c>
      <c r="D632" s="52" t="s">
        <v>875</v>
      </c>
      <c r="E632" s="50" t="s">
        <v>876</v>
      </c>
      <c r="F632" s="53" t="s">
        <v>883</v>
      </c>
    </row>
    <row r="633">
      <c r="A633" s="54">
        <v>43732.0</v>
      </c>
      <c r="B633" s="55" t="s">
        <v>747</v>
      </c>
      <c r="C633" s="56" t="s">
        <v>874</v>
      </c>
      <c r="D633" s="57" t="s">
        <v>875</v>
      </c>
      <c r="E633" s="55" t="s">
        <v>876</v>
      </c>
      <c r="F633" s="58" t="s">
        <v>883</v>
      </c>
    </row>
    <row r="634">
      <c r="A634" s="59">
        <v>43733.0</v>
      </c>
      <c r="B634" s="50" t="s">
        <v>769</v>
      </c>
      <c r="C634" s="51" t="s">
        <v>874</v>
      </c>
      <c r="D634" s="52" t="s">
        <v>875</v>
      </c>
      <c r="E634" s="50" t="s">
        <v>876</v>
      </c>
      <c r="F634" s="53" t="s">
        <v>883</v>
      </c>
    </row>
    <row r="635">
      <c r="A635" s="54">
        <v>43734.0</v>
      </c>
      <c r="B635" s="55" t="s">
        <v>770</v>
      </c>
      <c r="C635" s="56" t="s">
        <v>874</v>
      </c>
      <c r="D635" s="57" t="s">
        <v>875</v>
      </c>
      <c r="E635" s="55" t="s">
        <v>876</v>
      </c>
      <c r="F635" s="58" t="s">
        <v>883</v>
      </c>
    </row>
    <row r="636">
      <c r="A636" s="59">
        <v>43735.0</v>
      </c>
      <c r="B636" s="50" t="s">
        <v>749</v>
      </c>
      <c r="C636" s="51" t="s">
        <v>874</v>
      </c>
      <c r="D636" s="52" t="s">
        <v>875</v>
      </c>
      <c r="E636" s="50" t="s">
        <v>876</v>
      </c>
      <c r="F636" s="53" t="s">
        <v>883</v>
      </c>
    </row>
    <row r="637">
      <c r="A637" s="54">
        <v>43736.0</v>
      </c>
      <c r="B637" s="55" t="s">
        <v>771</v>
      </c>
      <c r="C637" s="56" t="s">
        <v>874</v>
      </c>
      <c r="D637" s="57" t="s">
        <v>875</v>
      </c>
      <c r="E637" s="55" t="s">
        <v>876</v>
      </c>
      <c r="F637" s="58" t="s">
        <v>883</v>
      </c>
    </row>
    <row r="638">
      <c r="A638" s="59">
        <v>43737.0</v>
      </c>
      <c r="B638" s="50" t="s">
        <v>772</v>
      </c>
      <c r="C638" s="51" t="s">
        <v>874</v>
      </c>
      <c r="D638" s="52" t="s">
        <v>875</v>
      </c>
      <c r="E638" s="50" t="s">
        <v>876</v>
      </c>
      <c r="F638" s="53" t="s">
        <v>883</v>
      </c>
    </row>
    <row r="639">
      <c r="A639" s="54">
        <v>43738.0</v>
      </c>
      <c r="B639" s="55" t="s">
        <v>773</v>
      </c>
      <c r="C639" s="56" t="s">
        <v>874</v>
      </c>
      <c r="D639" s="57" t="s">
        <v>875</v>
      </c>
      <c r="E639" s="55" t="s">
        <v>876</v>
      </c>
      <c r="F639" s="58" t="s">
        <v>883</v>
      </c>
    </row>
    <row r="640">
      <c r="A640" s="59">
        <v>43739.0</v>
      </c>
      <c r="B640" s="50" t="s">
        <v>742</v>
      </c>
      <c r="C640" s="61" t="s">
        <v>756</v>
      </c>
      <c r="D640" s="52" t="s">
        <v>877</v>
      </c>
      <c r="E640" s="50" t="s">
        <v>878</v>
      </c>
      <c r="F640" s="53" t="s">
        <v>883</v>
      </c>
    </row>
    <row r="641">
      <c r="A641" s="54">
        <v>43740.0</v>
      </c>
      <c r="B641" s="55" t="s">
        <v>744</v>
      </c>
      <c r="C641" s="60" t="s">
        <v>756</v>
      </c>
      <c r="D641" s="57" t="s">
        <v>877</v>
      </c>
      <c r="E641" s="55" t="s">
        <v>878</v>
      </c>
      <c r="F641" s="58" t="s">
        <v>883</v>
      </c>
    </row>
    <row r="642">
      <c r="A642" s="59">
        <v>43741.0</v>
      </c>
      <c r="B642" s="50" t="s">
        <v>746</v>
      </c>
      <c r="C642" s="61" t="s">
        <v>756</v>
      </c>
      <c r="D642" s="52" t="s">
        <v>877</v>
      </c>
      <c r="E642" s="50" t="s">
        <v>878</v>
      </c>
      <c r="F642" s="53" t="s">
        <v>883</v>
      </c>
    </row>
    <row r="643">
      <c r="A643" s="54">
        <v>43742.0</v>
      </c>
      <c r="B643" s="55" t="s">
        <v>748</v>
      </c>
      <c r="C643" s="60" t="s">
        <v>756</v>
      </c>
      <c r="D643" s="57" t="s">
        <v>877</v>
      </c>
      <c r="E643" s="55" t="s">
        <v>878</v>
      </c>
      <c r="F643" s="58" t="s">
        <v>883</v>
      </c>
    </row>
    <row r="644">
      <c r="A644" s="59">
        <v>43743.0</v>
      </c>
      <c r="B644" s="50" t="s">
        <v>750</v>
      </c>
      <c r="C644" s="61" t="s">
        <v>756</v>
      </c>
      <c r="D644" s="52" t="s">
        <v>877</v>
      </c>
      <c r="E644" s="50" t="s">
        <v>878</v>
      </c>
      <c r="F644" s="53" t="s">
        <v>883</v>
      </c>
    </row>
    <row r="645">
      <c r="A645" s="54">
        <v>43744.0</v>
      </c>
      <c r="B645" s="55" t="s">
        <v>752</v>
      </c>
      <c r="C645" s="60" t="s">
        <v>756</v>
      </c>
      <c r="D645" s="57" t="s">
        <v>877</v>
      </c>
      <c r="E645" s="55" t="s">
        <v>878</v>
      </c>
      <c r="F645" s="58" t="s">
        <v>883</v>
      </c>
    </row>
    <row r="646">
      <c r="A646" s="59">
        <v>43745.0</v>
      </c>
      <c r="B646" s="50" t="s">
        <v>753</v>
      </c>
      <c r="C646" s="61" t="s">
        <v>756</v>
      </c>
      <c r="D646" s="52" t="s">
        <v>877</v>
      </c>
      <c r="E646" s="50" t="s">
        <v>878</v>
      </c>
      <c r="F646" s="53" t="s">
        <v>883</v>
      </c>
    </row>
    <row r="647">
      <c r="A647" s="54">
        <v>43746.0</v>
      </c>
      <c r="B647" s="55" t="s">
        <v>754</v>
      </c>
      <c r="C647" s="60" t="s">
        <v>756</v>
      </c>
      <c r="D647" s="57" t="s">
        <v>877</v>
      </c>
      <c r="E647" s="55" t="s">
        <v>878</v>
      </c>
      <c r="F647" s="58" t="s">
        <v>883</v>
      </c>
    </row>
    <row r="648">
      <c r="A648" s="59">
        <v>43747.0</v>
      </c>
      <c r="B648" s="50" t="s">
        <v>755</v>
      </c>
      <c r="C648" s="61" t="s">
        <v>756</v>
      </c>
      <c r="D648" s="52" t="s">
        <v>877</v>
      </c>
      <c r="E648" s="50" t="s">
        <v>878</v>
      </c>
      <c r="F648" s="53" t="s">
        <v>883</v>
      </c>
    </row>
    <row r="649">
      <c r="A649" s="54">
        <v>43748.0</v>
      </c>
      <c r="B649" s="55" t="s">
        <v>756</v>
      </c>
      <c r="C649" s="60" t="s">
        <v>756</v>
      </c>
      <c r="D649" s="57" t="s">
        <v>877</v>
      </c>
      <c r="E649" s="55" t="s">
        <v>878</v>
      </c>
      <c r="F649" s="58" t="s">
        <v>883</v>
      </c>
    </row>
    <row r="650">
      <c r="A650" s="59">
        <v>43749.0</v>
      </c>
      <c r="B650" s="50" t="s">
        <v>758</v>
      </c>
      <c r="C650" s="61" t="s">
        <v>756</v>
      </c>
      <c r="D650" s="52" t="s">
        <v>877</v>
      </c>
      <c r="E650" s="50" t="s">
        <v>878</v>
      </c>
      <c r="F650" s="53" t="s">
        <v>883</v>
      </c>
    </row>
    <row r="651">
      <c r="A651" s="54">
        <v>43750.0</v>
      </c>
      <c r="B651" s="55" t="s">
        <v>759</v>
      </c>
      <c r="C651" s="60" t="s">
        <v>756</v>
      </c>
      <c r="D651" s="57" t="s">
        <v>877</v>
      </c>
      <c r="E651" s="55" t="s">
        <v>878</v>
      </c>
      <c r="F651" s="58" t="s">
        <v>883</v>
      </c>
    </row>
    <row r="652">
      <c r="A652" s="59">
        <v>43751.0</v>
      </c>
      <c r="B652" s="50" t="s">
        <v>760</v>
      </c>
      <c r="C652" s="61" t="s">
        <v>756</v>
      </c>
      <c r="D652" s="52" t="s">
        <v>877</v>
      </c>
      <c r="E652" s="50" t="s">
        <v>878</v>
      </c>
      <c r="F652" s="53" t="s">
        <v>883</v>
      </c>
    </row>
    <row r="653">
      <c r="A653" s="54">
        <v>43752.0</v>
      </c>
      <c r="B653" s="55" t="s">
        <v>761</v>
      </c>
      <c r="C653" s="60" t="s">
        <v>756</v>
      </c>
      <c r="D653" s="57" t="s">
        <v>877</v>
      </c>
      <c r="E653" s="55" t="s">
        <v>878</v>
      </c>
      <c r="F653" s="58" t="s">
        <v>883</v>
      </c>
    </row>
    <row r="654">
      <c r="A654" s="59">
        <v>43753.0</v>
      </c>
      <c r="B654" s="50" t="s">
        <v>762</v>
      </c>
      <c r="C654" s="61" t="s">
        <v>756</v>
      </c>
      <c r="D654" s="52" t="s">
        <v>877</v>
      </c>
      <c r="E654" s="50" t="s">
        <v>878</v>
      </c>
      <c r="F654" s="53" t="s">
        <v>883</v>
      </c>
    </row>
    <row r="655">
      <c r="A655" s="54">
        <v>43754.0</v>
      </c>
      <c r="B655" s="55" t="s">
        <v>763</v>
      </c>
      <c r="C655" s="60" t="s">
        <v>756</v>
      </c>
      <c r="D655" s="57" t="s">
        <v>877</v>
      </c>
      <c r="E655" s="55" t="s">
        <v>878</v>
      </c>
      <c r="F655" s="58" t="s">
        <v>883</v>
      </c>
    </row>
    <row r="656">
      <c r="A656" s="59">
        <v>43755.0</v>
      </c>
      <c r="B656" s="50" t="s">
        <v>764</v>
      </c>
      <c r="C656" s="61" t="s">
        <v>756</v>
      </c>
      <c r="D656" s="52" t="s">
        <v>877</v>
      </c>
      <c r="E656" s="50" t="s">
        <v>878</v>
      </c>
      <c r="F656" s="53" t="s">
        <v>883</v>
      </c>
    </row>
    <row r="657">
      <c r="A657" s="54">
        <v>43756.0</v>
      </c>
      <c r="B657" s="55" t="s">
        <v>765</v>
      </c>
      <c r="C657" s="60" t="s">
        <v>756</v>
      </c>
      <c r="D657" s="57" t="s">
        <v>877</v>
      </c>
      <c r="E657" s="55" t="s">
        <v>878</v>
      </c>
      <c r="F657" s="58" t="s">
        <v>883</v>
      </c>
    </row>
    <row r="658">
      <c r="A658" s="59">
        <v>43757.0</v>
      </c>
      <c r="B658" s="50" t="s">
        <v>743</v>
      </c>
      <c r="C658" s="61" t="s">
        <v>756</v>
      </c>
      <c r="D658" s="52" t="s">
        <v>877</v>
      </c>
      <c r="E658" s="50" t="s">
        <v>878</v>
      </c>
      <c r="F658" s="53" t="s">
        <v>883</v>
      </c>
    </row>
    <row r="659">
      <c r="A659" s="54">
        <v>43758.0</v>
      </c>
      <c r="B659" s="55" t="s">
        <v>766</v>
      </c>
      <c r="C659" s="60" t="s">
        <v>756</v>
      </c>
      <c r="D659" s="57" t="s">
        <v>877</v>
      </c>
      <c r="E659" s="55" t="s">
        <v>878</v>
      </c>
      <c r="F659" s="58" t="s">
        <v>883</v>
      </c>
    </row>
    <row r="660">
      <c r="A660" s="59">
        <v>43759.0</v>
      </c>
      <c r="B660" s="50" t="s">
        <v>745</v>
      </c>
      <c r="C660" s="61" t="s">
        <v>756</v>
      </c>
      <c r="D660" s="52" t="s">
        <v>877</v>
      </c>
      <c r="E660" s="50" t="s">
        <v>878</v>
      </c>
      <c r="F660" s="53" t="s">
        <v>883</v>
      </c>
    </row>
    <row r="661">
      <c r="A661" s="54">
        <v>43760.0</v>
      </c>
      <c r="B661" s="55" t="s">
        <v>767</v>
      </c>
      <c r="C661" s="60" t="s">
        <v>756</v>
      </c>
      <c r="D661" s="57" t="s">
        <v>877</v>
      </c>
      <c r="E661" s="55" t="s">
        <v>878</v>
      </c>
      <c r="F661" s="58" t="s">
        <v>883</v>
      </c>
    </row>
    <row r="662">
      <c r="A662" s="59">
        <v>43761.0</v>
      </c>
      <c r="B662" s="50" t="s">
        <v>768</v>
      </c>
      <c r="C662" s="61" t="s">
        <v>756</v>
      </c>
      <c r="D662" s="52" t="s">
        <v>877</v>
      </c>
      <c r="E662" s="50" t="s">
        <v>878</v>
      </c>
      <c r="F662" s="53" t="s">
        <v>883</v>
      </c>
    </row>
    <row r="663">
      <c r="A663" s="54">
        <v>43762.0</v>
      </c>
      <c r="B663" s="55" t="s">
        <v>747</v>
      </c>
      <c r="C663" s="60" t="s">
        <v>756</v>
      </c>
      <c r="D663" s="57" t="s">
        <v>877</v>
      </c>
      <c r="E663" s="55" t="s">
        <v>878</v>
      </c>
      <c r="F663" s="58" t="s">
        <v>883</v>
      </c>
    </row>
    <row r="664">
      <c r="A664" s="59">
        <v>43763.0</v>
      </c>
      <c r="B664" s="50" t="s">
        <v>769</v>
      </c>
      <c r="C664" s="61" t="s">
        <v>756</v>
      </c>
      <c r="D664" s="52" t="s">
        <v>877</v>
      </c>
      <c r="E664" s="50" t="s">
        <v>878</v>
      </c>
      <c r="F664" s="53" t="s">
        <v>883</v>
      </c>
    </row>
    <row r="665">
      <c r="A665" s="54">
        <v>43764.0</v>
      </c>
      <c r="B665" s="55" t="s">
        <v>770</v>
      </c>
      <c r="C665" s="60" t="s">
        <v>756</v>
      </c>
      <c r="D665" s="57" t="s">
        <v>877</v>
      </c>
      <c r="E665" s="55" t="s">
        <v>878</v>
      </c>
      <c r="F665" s="58" t="s">
        <v>883</v>
      </c>
    </row>
    <row r="666">
      <c r="A666" s="59">
        <v>43765.0</v>
      </c>
      <c r="B666" s="50" t="s">
        <v>749</v>
      </c>
      <c r="C666" s="61" t="s">
        <v>756</v>
      </c>
      <c r="D666" s="52" t="s">
        <v>877</v>
      </c>
      <c r="E666" s="50" t="s">
        <v>878</v>
      </c>
      <c r="F666" s="53" t="s">
        <v>883</v>
      </c>
    </row>
    <row r="667">
      <c r="A667" s="54">
        <v>43766.0</v>
      </c>
      <c r="B667" s="55" t="s">
        <v>771</v>
      </c>
      <c r="C667" s="60" t="s">
        <v>756</v>
      </c>
      <c r="D667" s="57" t="s">
        <v>877</v>
      </c>
      <c r="E667" s="55" t="s">
        <v>878</v>
      </c>
      <c r="F667" s="58" t="s">
        <v>883</v>
      </c>
    </row>
    <row r="668">
      <c r="A668" s="59">
        <v>43767.0</v>
      </c>
      <c r="B668" s="50" t="s">
        <v>772</v>
      </c>
      <c r="C668" s="61" t="s">
        <v>756</v>
      </c>
      <c r="D668" s="52" t="s">
        <v>877</v>
      </c>
      <c r="E668" s="50" t="s">
        <v>878</v>
      </c>
      <c r="F668" s="53" t="s">
        <v>883</v>
      </c>
    </row>
    <row r="669">
      <c r="A669" s="54">
        <v>43768.0</v>
      </c>
      <c r="B669" s="55" t="s">
        <v>773</v>
      </c>
      <c r="C669" s="60" t="s">
        <v>756</v>
      </c>
      <c r="D669" s="57" t="s">
        <v>877</v>
      </c>
      <c r="E669" s="55" t="s">
        <v>878</v>
      </c>
      <c r="F669" s="58" t="s">
        <v>883</v>
      </c>
    </row>
    <row r="670">
      <c r="A670" s="59">
        <v>43769.0</v>
      </c>
      <c r="B670" s="50" t="s">
        <v>774</v>
      </c>
      <c r="C670" s="61" t="s">
        <v>756</v>
      </c>
      <c r="D670" s="52" t="s">
        <v>877</v>
      </c>
      <c r="E670" s="50" t="s">
        <v>878</v>
      </c>
      <c r="F670" s="53" t="s">
        <v>883</v>
      </c>
    </row>
    <row r="671">
      <c r="A671" s="54">
        <v>43770.0</v>
      </c>
      <c r="B671" s="55" t="s">
        <v>742</v>
      </c>
      <c r="C671" s="60" t="s">
        <v>758</v>
      </c>
      <c r="D671" s="57" t="s">
        <v>879</v>
      </c>
      <c r="E671" s="55" t="s">
        <v>880</v>
      </c>
      <c r="F671" s="58" t="s">
        <v>883</v>
      </c>
    </row>
    <row r="672">
      <c r="A672" s="59">
        <v>43771.0</v>
      </c>
      <c r="B672" s="50" t="s">
        <v>744</v>
      </c>
      <c r="C672" s="61" t="s">
        <v>758</v>
      </c>
      <c r="D672" s="52" t="s">
        <v>879</v>
      </c>
      <c r="E672" s="50" t="s">
        <v>880</v>
      </c>
      <c r="F672" s="53" t="s">
        <v>883</v>
      </c>
    </row>
    <row r="673">
      <c r="A673" s="54">
        <v>43772.0</v>
      </c>
      <c r="B673" s="55" t="s">
        <v>746</v>
      </c>
      <c r="C673" s="60" t="s">
        <v>758</v>
      </c>
      <c r="D673" s="57" t="s">
        <v>879</v>
      </c>
      <c r="E673" s="55" t="s">
        <v>880</v>
      </c>
      <c r="F673" s="58" t="s">
        <v>883</v>
      </c>
    </row>
    <row r="674">
      <c r="A674" s="59">
        <v>43773.0</v>
      </c>
      <c r="B674" s="50" t="s">
        <v>748</v>
      </c>
      <c r="C674" s="61" t="s">
        <v>758</v>
      </c>
      <c r="D674" s="52" t="s">
        <v>879</v>
      </c>
      <c r="E674" s="50" t="s">
        <v>880</v>
      </c>
      <c r="F674" s="53" t="s">
        <v>883</v>
      </c>
    </row>
    <row r="675">
      <c r="A675" s="54">
        <v>43774.0</v>
      </c>
      <c r="B675" s="55" t="s">
        <v>750</v>
      </c>
      <c r="C675" s="60" t="s">
        <v>758</v>
      </c>
      <c r="D675" s="57" t="s">
        <v>879</v>
      </c>
      <c r="E675" s="55" t="s">
        <v>880</v>
      </c>
      <c r="F675" s="58" t="s">
        <v>883</v>
      </c>
    </row>
    <row r="676">
      <c r="A676" s="59">
        <v>43775.0</v>
      </c>
      <c r="B676" s="50" t="s">
        <v>752</v>
      </c>
      <c r="C676" s="61" t="s">
        <v>758</v>
      </c>
      <c r="D676" s="52" t="s">
        <v>879</v>
      </c>
      <c r="E676" s="50" t="s">
        <v>880</v>
      </c>
      <c r="F676" s="53" t="s">
        <v>883</v>
      </c>
    </row>
    <row r="677">
      <c r="A677" s="54">
        <v>43776.0</v>
      </c>
      <c r="B677" s="55" t="s">
        <v>753</v>
      </c>
      <c r="C677" s="60" t="s">
        <v>758</v>
      </c>
      <c r="D677" s="57" t="s">
        <v>879</v>
      </c>
      <c r="E677" s="55" t="s">
        <v>880</v>
      </c>
      <c r="F677" s="58" t="s">
        <v>883</v>
      </c>
    </row>
    <row r="678">
      <c r="A678" s="59">
        <v>43777.0</v>
      </c>
      <c r="B678" s="50" t="s">
        <v>754</v>
      </c>
      <c r="C678" s="61" t="s">
        <v>758</v>
      </c>
      <c r="D678" s="52" t="s">
        <v>879</v>
      </c>
      <c r="E678" s="50" t="s">
        <v>880</v>
      </c>
      <c r="F678" s="53" t="s">
        <v>883</v>
      </c>
    </row>
    <row r="679">
      <c r="A679" s="54">
        <v>43778.0</v>
      </c>
      <c r="B679" s="55" t="s">
        <v>755</v>
      </c>
      <c r="C679" s="60" t="s">
        <v>758</v>
      </c>
      <c r="D679" s="57" t="s">
        <v>879</v>
      </c>
      <c r="E679" s="55" t="s">
        <v>880</v>
      </c>
      <c r="F679" s="58" t="s">
        <v>883</v>
      </c>
    </row>
    <row r="680">
      <c r="A680" s="59">
        <v>43779.0</v>
      </c>
      <c r="B680" s="50" t="s">
        <v>756</v>
      </c>
      <c r="C680" s="61" t="s">
        <v>758</v>
      </c>
      <c r="D680" s="52" t="s">
        <v>879</v>
      </c>
      <c r="E680" s="50" t="s">
        <v>880</v>
      </c>
      <c r="F680" s="53" t="s">
        <v>883</v>
      </c>
    </row>
    <row r="681">
      <c r="A681" s="54">
        <v>43780.0</v>
      </c>
      <c r="B681" s="55" t="s">
        <v>758</v>
      </c>
      <c r="C681" s="60" t="s">
        <v>758</v>
      </c>
      <c r="D681" s="57" t="s">
        <v>879</v>
      </c>
      <c r="E681" s="55" t="s">
        <v>880</v>
      </c>
      <c r="F681" s="58" t="s">
        <v>883</v>
      </c>
    </row>
    <row r="682">
      <c r="A682" s="59">
        <v>43781.0</v>
      </c>
      <c r="B682" s="50" t="s">
        <v>759</v>
      </c>
      <c r="C682" s="61" t="s">
        <v>758</v>
      </c>
      <c r="D682" s="52" t="s">
        <v>879</v>
      </c>
      <c r="E682" s="50" t="s">
        <v>880</v>
      </c>
      <c r="F682" s="53" t="s">
        <v>883</v>
      </c>
    </row>
    <row r="683">
      <c r="A683" s="54">
        <v>43782.0</v>
      </c>
      <c r="B683" s="55" t="s">
        <v>760</v>
      </c>
      <c r="C683" s="60" t="s">
        <v>758</v>
      </c>
      <c r="D683" s="57" t="s">
        <v>879</v>
      </c>
      <c r="E683" s="55" t="s">
        <v>880</v>
      </c>
      <c r="F683" s="58" t="s">
        <v>883</v>
      </c>
    </row>
    <row r="684">
      <c r="A684" s="59">
        <v>43783.0</v>
      </c>
      <c r="B684" s="50" t="s">
        <v>761</v>
      </c>
      <c r="C684" s="61" t="s">
        <v>758</v>
      </c>
      <c r="D684" s="52" t="s">
        <v>879</v>
      </c>
      <c r="E684" s="50" t="s">
        <v>880</v>
      </c>
      <c r="F684" s="53" t="s">
        <v>883</v>
      </c>
    </row>
    <row r="685">
      <c r="A685" s="54">
        <v>43784.0</v>
      </c>
      <c r="B685" s="55" t="s">
        <v>762</v>
      </c>
      <c r="C685" s="60" t="s">
        <v>758</v>
      </c>
      <c r="D685" s="57" t="s">
        <v>879</v>
      </c>
      <c r="E685" s="55" t="s">
        <v>880</v>
      </c>
      <c r="F685" s="58" t="s">
        <v>883</v>
      </c>
    </row>
    <row r="686">
      <c r="A686" s="59">
        <v>43785.0</v>
      </c>
      <c r="B686" s="50" t="s">
        <v>763</v>
      </c>
      <c r="C686" s="61" t="s">
        <v>758</v>
      </c>
      <c r="D686" s="52" t="s">
        <v>879</v>
      </c>
      <c r="E686" s="50" t="s">
        <v>880</v>
      </c>
      <c r="F686" s="53" t="s">
        <v>883</v>
      </c>
    </row>
    <row r="687">
      <c r="A687" s="54">
        <v>43786.0</v>
      </c>
      <c r="B687" s="55" t="s">
        <v>764</v>
      </c>
      <c r="C687" s="60" t="s">
        <v>758</v>
      </c>
      <c r="D687" s="57" t="s">
        <v>879</v>
      </c>
      <c r="E687" s="55" t="s">
        <v>880</v>
      </c>
      <c r="F687" s="58" t="s">
        <v>883</v>
      </c>
    </row>
    <row r="688">
      <c r="A688" s="59">
        <v>43787.0</v>
      </c>
      <c r="B688" s="50" t="s">
        <v>765</v>
      </c>
      <c r="C688" s="61" t="s">
        <v>758</v>
      </c>
      <c r="D688" s="52" t="s">
        <v>879</v>
      </c>
      <c r="E688" s="50" t="s">
        <v>880</v>
      </c>
      <c r="F688" s="53" t="s">
        <v>883</v>
      </c>
    </row>
    <row r="689">
      <c r="A689" s="54">
        <v>43788.0</v>
      </c>
      <c r="B689" s="55" t="s">
        <v>743</v>
      </c>
      <c r="C689" s="60" t="s">
        <v>758</v>
      </c>
      <c r="D689" s="57" t="s">
        <v>879</v>
      </c>
      <c r="E689" s="55" t="s">
        <v>880</v>
      </c>
      <c r="F689" s="58" t="s">
        <v>883</v>
      </c>
    </row>
    <row r="690">
      <c r="A690" s="59">
        <v>43789.0</v>
      </c>
      <c r="B690" s="50" t="s">
        <v>766</v>
      </c>
      <c r="C690" s="61" t="s">
        <v>758</v>
      </c>
      <c r="D690" s="52" t="s">
        <v>879</v>
      </c>
      <c r="E690" s="50" t="s">
        <v>880</v>
      </c>
      <c r="F690" s="53" t="s">
        <v>883</v>
      </c>
    </row>
    <row r="691">
      <c r="A691" s="54">
        <v>43790.0</v>
      </c>
      <c r="B691" s="55" t="s">
        <v>745</v>
      </c>
      <c r="C691" s="60" t="s">
        <v>758</v>
      </c>
      <c r="D691" s="57" t="s">
        <v>879</v>
      </c>
      <c r="E691" s="55" t="s">
        <v>880</v>
      </c>
      <c r="F691" s="58" t="s">
        <v>883</v>
      </c>
    </row>
    <row r="692">
      <c r="A692" s="59">
        <v>43791.0</v>
      </c>
      <c r="B692" s="50" t="s">
        <v>767</v>
      </c>
      <c r="C692" s="61" t="s">
        <v>758</v>
      </c>
      <c r="D692" s="52" t="s">
        <v>879</v>
      </c>
      <c r="E692" s="50" t="s">
        <v>880</v>
      </c>
      <c r="F692" s="53" t="s">
        <v>883</v>
      </c>
    </row>
    <row r="693">
      <c r="A693" s="54">
        <v>43792.0</v>
      </c>
      <c r="B693" s="55" t="s">
        <v>768</v>
      </c>
      <c r="C693" s="60" t="s">
        <v>758</v>
      </c>
      <c r="D693" s="57" t="s">
        <v>879</v>
      </c>
      <c r="E693" s="55" t="s">
        <v>880</v>
      </c>
      <c r="F693" s="58" t="s">
        <v>883</v>
      </c>
    </row>
    <row r="694">
      <c r="A694" s="59">
        <v>43793.0</v>
      </c>
      <c r="B694" s="50" t="s">
        <v>747</v>
      </c>
      <c r="C694" s="61" t="s">
        <v>758</v>
      </c>
      <c r="D694" s="52" t="s">
        <v>879</v>
      </c>
      <c r="E694" s="50" t="s">
        <v>880</v>
      </c>
      <c r="F694" s="53" t="s">
        <v>883</v>
      </c>
    </row>
    <row r="695">
      <c r="A695" s="54">
        <v>43794.0</v>
      </c>
      <c r="B695" s="55" t="s">
        <v>769</v>
      </c>
      <c r="C695" s="60" t="s">
        <v>758</v>
      </c>
      <c r="D695" s="57" t="s">
        <v>879</v>
      </c>
      <c r="E695" s="55" t="s">
        <v>880</v>
      </c>
      <c r="F695" s="58" t="s">
        <v>883</v>
      </c>
    </row>
    <row r="696">
      <c r="A696" s="59">
        <v>43795.0</v>
      </c>
      <c r="B696" s="50" t="s">
        <v>770</v>
      </c>
      <c r="C696" s="61" t="s">
        <v>758</v>
      </c>
      <c r="D696" s="52" t="s">
        <v>879</v>
      </c>
      <c r="E696" s="50" t="s">
        <v>880</v>
      </c>
      <c r="F696" s="53" t="s">
        <v>883</v>
      </c>
    </row>
    <row r="697">
      <c r="A697" s="54">
        <v>43796.0</v>
      </c>
      <c r="B697" s="55" t="s">
        <v>749</v>
      </c>
      <c r="C697" s="60" t="s">
        <v>758</v>
      </c>
      <c r="D697" s="57" t="s">
        <v>879</v>
      </c>
      <c r="E697" s="55" t="s">
        <v>880</v>
      </c>
      <c r="F697" s="58" t="s">
        <v>883</v>
      </c>
    </row>
    <row r="698">
      <c r="A698" s="59">
        <v>43797.0</v>
      </c>
      <c r="B698" s="50" t="s">
        <v>771</v>
      </c>
      <c r="C698" s="61" t="s">
        <v>758</v>
      </c>
      <c r="D698" s="52" t="s">
        <v>879</v>
      </c>
      <c r="E698" s="50" t="s">
        <v>880</v>
      </c>
      <c r="F698" s="53" t="s">
        <v>883</v>
      </c>
    </row>
    <row r="699">
      <c r="A699" s="54">
        <v>43798.0</v>
      </c>
      <c r="B699" s="55" t="s">
        <v>772</v>
      </c>
      <c r="C699" s="60" t="s">
        <v>758</v>
      </c>
      <c r="D699" s="57" t="s">
        <v>879</v>
      </c>
      <c r="E699" s="55" t="s">
        <v>880</v>
      </c>
      <c r="F699" s="58" t="s">
        <v>883</v>
      </c>
    </row>
    <row r="700">
      <c r="A700" s="59">
        <v>43799.0</v>
      </c>
      <c r="B700" s="50" t="s">
        <v>773</v>
      </c>
      <c r="C700" s="61" t="s">
        <v>758</v>
      </c>
      <c r="D700" s="52" t="s">
        <v>879</v>
      </c>
      <c r="E700" s="50" t="s">
        <v>880</v>
      </c>
      <c r="F700" s="53" t="s">
        <v>883</v>
      </c>
    </row>
    <row r="701">
      <c r="A701" s="54">
        <v>43800.0</v>
      </c>
      <c r="B701" s="55" t="s">
        <v>742</v>
      </c>
      <c r="C701" s="60" t="s">
        <v>759</v>
      </c>
      <c r="D701" s="57" t="s">
        <v>881</v>
      </c>
      <c r="E701" s="55" t="s">
        <v>882</v>
      </c>
      <c r="F701" s="58" t="s">
        <v>883</v>
      </c>
    </row>
    <row r="702">
      <c r="A702" s="59">
        <v>43801.0</v>
      </c>
      <c r="B702" s="50" t="s">
        <v>744</v>
      </c>
      <c r="C702" s="61" t="s">
        <v>759</v>
      </c>
      <c r="D702" s="52" t="s">
        <v>881</v>
      </c>
      <c r="E702" s="50" t="s">
        <v>882</v>
      </c>
      <c r="F702" s="53" t="s">
        <v>883</v>
      </c>
    </row>
    <row r="703">
      <c r="A703" s="54">
        <v>43802.0</v>
      </c>
      <c r="B703" s="55" t="s">
        <v>746</v>
      </c>
      <c r="C703" s="60" t="s">
        <v>759</v>
      </c>
      <c r="D703" s="57" t="s">
        <v>881</v>
      </c>
      <c r="E703" s="55" t="s">
        <v>882</v>
      </c>
      <c r="F703" s="58" t="s">
        <v>883</v>
      </c>
    </row>
    <row r="704">
      <c r="A704" s="59">
        <v>43803.0</v>
      </c>
      <c r="B704" s="50" t="s">
        <v>748</v>
      </c>
      <c r="C704" s="61" t="s">
        <v>759</v>
      </c>
      <c r="D704" s="52" t="s">
        <v>881</v>
      </c>
      <c r="E704" s="50" t="s">
        <v>882</v>
      </c>
      <c r="F704" s="53" t="s">
        <v>883</v>
      </c>
    </row>
    <row r="705">
      <c r="A705" s="54">
        <v>43804.0</v>
      </c>
      <c r="B705" s="55" t="s">
        <v>750</v>
      </c>
      <c r="C705" s="60" t="s">
        <v>759</v>
      </c>
      <c r="D705" s="57" t="s">
        <v>881</v>
      </c>
      <c r="E705" s="55" t="s">
        <v>882</v>
      </c>
      <c r="F705" s="58" t="s">
        <v>883</v>
      </c>
    </row>
    <row r="706">
      <c r="A706" s="59">
        <v>43805.0</v>
      </c>
      <c r="B706" s="50" t="s">
        <v>752</v>
      </c>
      <c r="C706" s="61" t="s">
        <v>759</v>
      </c>
      <c r="D706" s="52" t="s">
        <v>881</v>
      </c>
      <c r="E706" s="50" t="s">
        <v>882</v>
      </c>
      <c r="F706" s="53" t="s">
        <v>883</v>
      </c>
    </row>
    <row r="707">
      <c r="A707" s="54">
        <v>43806.0</v>
      </c>
      <c r="B707" s="55" t="s">
        <v>753</v>
      </c>
      <c r="C707" s="60" t="s">
        <v>759</v>
      </c>
      <c r="D707" s="57" t="s">
        <v>881</v>
      </c>
      <c r="E707" s="55" t="s">
        <v>882</v>
      </c>
      <c r="F707" s="58" t="s">
        <v>883</v>
      </c>
    </row>
    <row r="708">
      <c r="A708" s="59">
        <v>43807.0</v>
      </c>
      <c r="B708" s="50" t="s">
        <v>754</v>
      </c>
      <c r="C708" s="61" t="s">
        <v>759</v>
      </c>
      <c r="D708" s="52" t="s">
        <v>881</v>
      </c>
      <c r="E708" s="50" t="s">
        <v>882</v>
      </c>
      <c r="F708" s="53" t="s">
        <v>883</v>
      </c>
    </row>
    <row r="709">
      <c r="A709" s="54">
        <v>43808.0</v>
      </c>
      <c r="B709" s="55" t="s">
        <v>755</v>
      </c>
      <c r="C709" s="60" t="s">
        <v>759</v>
      </c>
      <c r="D709" s="57" t="s">
        <v>881</v>
      </c>
      <c r="E709" s="55" t="s">
        <v>882</v>
      </c>
      <c r="F709" s="58" t="s">
        <v>883</v>
      </c>
    </row>
    <row r="710">
      <c r="A710" s="59">
        <v>43809.0</v>
      </c>
      <c r="B710" s="50" t="s">
        <v>756</v>
      </c>
      <c r="C710" s="61" t="s">
        <v>759</v>
      </c>
      <c r="D710" s="52" t="s">
        <v>881</v>
      </c>
      <c r="E710" s="50" t="s">
        <v>882</v>
      </c>
      <c r="F710" s="53" t="s">
        <v>883</v>
      </c>
    </row>
    <row r="711">
      <c r="A711" s="54">
        <v>43810.0</v>
      </c>
      <c r="B711" s="55" t="s">
        <v>758</v>
      </c>
      <c r="C711" s="60" t="s">
        <v>759</v>
      </c>
      <c r="D711" s="57" t="s">
        <v>881</v>
      </c>
      <c r="E711" s="55" t="s">
        <v>882</v>
      </c>
      <c r="F711" s="58" t="s">
        <v>883</v>
      </c>
    </row>
    <row r="712">
      <c r="A712" s="59">
        <v>43811.0</v>
      </c>
      <c r="B712" s="50" t="s">
        <v>759</v>
      </c>
      <c r="C712" s="61" t="s">
        <v>759</v>
      </c>
      <c r="D712" s="52" t="s">
        <v>881</v>
      </c>
      <c r="E712" s="50" t="s">
        <v>882</v>
      </c>
      <c r="F712" s="53" t="s">
        <v>883</v>
      </c>
    </row>
    <row r="713">
      <c r="A713" s="54">
        <v>43812.0</v>
      </c>
      <c r="B713" s="55" t="s">
        <v>760</v>
      </c>
      <c r="C713" s="60" t="s">
        <v>759</v>
      </c>
      <c r="D713" s="57" t="s">
        <v>881</v>
      </c>
      <c r="E713" s="55" t="s">
        <v>882</v>
      </c>
      <c r="F713" s="58" t="s">
        <v>883</v>
      </c>
    </row>
    <row r="714">
      <c r="A714" s="59">
        <v>43813.0</v>
      </c>
      <c r="B714" s="50" t="s">
        <v>761</v>
      </c>
      <c r="C714" s="61" t="s">
        <v>759</v>
      </c>
      <c r="D714" s="52" t="s">
        <v>881</v>
      </c>
      <c r="E714" s="50" t="s">
        <v>882</v>
      </c>
      <c r="F714" s="53" t="s">
        <v>883</v>
      </c>
    </row>
    <row r="715">
      <c r="A715" s="54">
        <v>43814.0</v>
      </c>
      <c r="B715" s="55" t="s">
        <v>762</v>
      </c>
      <c r="C715" s="60" t="s">
        <v>759</v>
      </c>
      <c r="D715" s="57" t="s">
        <v>881</v>
      </c>
      <c r="E715" s="55" t="s">
        <v>882</v>
      </c>
      <c r="F715" s="58" t="s">
        <v>883</v>
      </c>
    </row>
    <row r="716">
      <c r="A716" s="59">
        <v>43815.0</v>
      </c>
      <c r="B716" s="50" t="s">
        <v>763</v>
      </c>
      <c r="C716" s="61" t="s">
        <v>759</v>
      </c>
      <c r="D716" s="52" t="s">
        <v>881</v>
      </c>
      <c r="E716" s="50" t="s">
        <v>882</v>
      </c>
      <c r="F716" s="53" t="s">
        <v>883</v>
      </c>
    </row>
    <row r="717">
      <c r="A717" s="54">
        <v>43816.0</v>
      </c>
      <c r="B717" s="55" t="s">
        <v>764</v>
      </c>
      <c r="C717" s="60" t="s">
        <v>759</v>
      </c>
      <c r="D717" s="57" t="s">
        <v>881</v>
      </c>
      <c r="E717" s="55" t="s">
        <v>882</v>
      </c>
      <c r="F717" s="58" t="s">
        <v>883</v>
      </c>
    </row>
    <row r="718">
      <c r="A718" s="59">
        <v>43817.0</v>
      </c>
      <c r="B718" s="50" t="s">
        <v>765</v>
      </c>
      <c r="C718" s="61" t="s">
        <v>759</v>
      </c>
      <c r="D718" s="52" t="s">
        <v>881</v>
      </c>
      <c r="E718" s="50" t="s">
        <v>882</v>
      </c>
      <c r="F718" s="53" t="s">
        <v>883</v>
      </c>
    </row>
    <row r="719">
      <c r="A719" s="54">
        <v>43818.0</v>
      </c>
      <c r="B719" s="55" t="s">
        <v>743</v>
      </c>
      <c r="C719" s="60" t="s">
        <v>759</v>
      </c>
      <c r="D719" s="57" t="s">
        <v>881</v>
      </c>
      <c r="E719" s="55" t="s">
        <v>882</v>
      </c>
      <c r="F719" s="58" t="s">
        <v>883</v>
      </c>
    </row>
    <row r="720">
      <c r="A720" s="59">
        <v>43819.0</v>
      </c>
      <c r="B720" s="50" t="s">
        <v>766</v>
      </c>
      <c r="C720" s="61" t="s">
        <v>759</v>
      </c>
      <c r="D720" s="52" t="s">
        <v>881</v>
      </c>
      <c r="E720" s="50" t="s">
        <v>882</v>
      </c>
      <c r="F720" s="53" t="s">
        <v>883</v>
      </c>
    </row>
    <row r="721">
      <c r="A721" s="54">
        <v>43820.0</v>
      </c>
      <c r="B721" s="55" t="s">
        <v>745</v>
      </c>
      <c r="C721" s="60" t="s">
        <v>759</v>
      </c>
      <c r="D721" s="57" t="s">
        <v>881</v>
      </c>
      <c r="E721" s="55" t="s">
        <v>882</v>
      </c>
      <c r="F721" s="58" t="s">
        <v>883</v>
      </c>
    </row>
    <row r="722">
      <c r="A722" s="59">
        <v>43821.0</v>
      </c>
      <c r="B722" s="50" t="s">
        <v>767</v>
      </c>
      <c r="C722" s="61" t="s">
        <v>759</v>
      </c>
      <c r="D722" s="52" t="s">
        <v>881</v>
      </c>
      <c r="E722" s="50" t="s">
        <v>882</v>
      </c>
      <c r="F722" s="53" t="s">
        <v>883</v>
      </c>
    </row>
    <row r="723">
      <c r="A723" s="54">
        <v>43822.0</v>
      </c>
      <c r="B723" s="55" t="s">
        <v>768</v>
      </c>
      <c r="C723" s="60" t="s">
        <v>759</v>
      </c>
      <c r="D723" s="57" t="s">
        <v>881</v>
      </c>
      <c r="E723" s="55" t="s">
        <v>882</v>
      </c>
      <c r="F723" s="58" t="s">
        <v>883</v>
      </c>
    </row>
    <row r="724">
      <c r="A724" s="59">
        <v>43823.0</v>
      </c>
      <c r="B724" s="50" t="s">
        <v>747</v>
      </c>
      <c r="C724" s="61" t="s">
        <v>759</v>
      </c>
      <c r="D724" s="52" t="s">
        <v>881</v>
      </c>
      <c r="E724" s="50" t="s">
        <v>882</v>
      </c>
      <c r="F724" s="53" t="s">
        <v>883</v>
      </c>
    </row>
    <row r="725">
      <c r="A725" s="54">
        <v>43824.0</v>
      </c>
      <c r="B725" s="55" t="s">
        <v>769</v>
      </c>
      <c r="C725" s="60" t="s">
        <v>759</v>
      </c>
      <c r="D725" s="57" t="s">
        <v>881</v>
      </c>
      <c r="E725" s="55" t="s">
        <v>882</v>
      </c>
      <c r="F725" s="58" t="s">
        <v>883</v>
      </c>
    </row>
    <row r="726">
      <c r="A726" s="59">
        <v>43825.0</v>
      </c>
      <c r="B726" s="50" t="s">
        <v>770</v>
      </c>
      <c r="C726" s="61" t="s">
        <v>759</v>
      </c>
      <c r="D726" s="52" t="s">
        <v>881</v>
      </c>
      <c r="E726" s="50" t="s">
        <v>882</v>
      </c>
      <c r="F726" s="53" t="s">
        <v>883</v>
      </c>
    </row>
    <row r="727">
      <c r="A727" s="54">
        <v>43826.0</v>
      </c>
      <c r="B727" s="55" t="s">
        <v>749</v>
      </c>
      <c r="C727" s="60" t="s">
        <v>759</v>
      </c>
      <c r="D727" s="57" t="s">
        <v>881</v>
      </c>
      <c r="E727" s="55" t="s">
        <v>882</v>
      </c>
      <c r="F727" s="58" t="s">
        <v>883</v>
      </c>
    </row>
    <row r="728">
      <c r="A728" s="59">
        <v>43827.0</v>
      </c>
      <c r="B728" s="50" t="s">
        <v>771</v>
      </c>
      <c r="C728" s="61" t="s">
        <v>759</v>
      </c>
      <c r="D728" s="52" t="s">
        <v>881</v>
      </c>
      <c r="E728" s="50" t="s">
        <v>882</v>
      </c>
      <c r="F728" s="53" t="s">
        <v>883</v>
      </c>
    </row>
    <row r="729">
      <c r="A729" s="54">
        <v>43828.0</v>
      </c>
      <c r="B729" s="55" t="s">
        <v>772</v>
      </c>
      <c r="C729" s="60" t="s">
        <v>759</v>
      </c>
      <c r="D729" s="57" t="s">
        <v>881</v>
      </c>
      <c r="E729" s="55" t="s">
        <v>882</v>
      </c>
      <c r="F729" s="58" t="s">
        <v>883</v>
      </c>
    </row>
    <row r="730">
      <c r="A730" s="59">
        <v>43829.0</v>
      </c>
      <c r="B730" s="50" t="s">
        <v>773</v>
      </c>
      <c r="C730" s="61" t="s">
        <v>759</v>
      </c>
      <c r="D730" s="52" t="s">
        <v>881</v>
      </c>
      <c r="E730" s="50" t="s">
        <v>882</v>
      </c>
      <c r="F730" s="53" t="s">
        <v>883</v>
      </c>
    </row>
    <row r="731">
      <c r="A731" s="54">
        <v>43830.0</v>
      </c>
      <c r="B731" s="55" t="s">
        <v>774</v>
      </c>
      <c r="C731" s="60" t="s">
        <v>759</v>
      </c>
      <c r="D731" s="57" t="s">
        <v>881</v>
      </c>
      <c r="E731" s="55" t="s">
        <v>882</v>
      </c>
      <c r="F731" s="58" t="s">
        <v>883</v>
      </c>
    </row>
    <row r="732">
      <c r="A732" s="59">
        <v>43831.0</v>
      </c>
      <c r="B732" s="50" t="s">
        <v>742</v>
      </c>
      <c r="C732" s="51" t="s">
        <v>849</v>
      </c>
      <c r="D732" s="52" t="s">
        <v>850</v>
      </c>
      <c r="E732" s="50" t="s">
        <v>851</v>
      </c>
      <c r="F732" s="53" t="s">
        <v>884</v>
      </c>
    </row>
    <row r="733">
      <c r="A733" s="54">
        <v>43832.0</v>
      </c>
      <c r="B733" s="55" t="s">
        <v>744</v>
      </c>
      <c r="C733" s="56" t="s">
        <v>849</v>
      </c>
      <c r="D733" s="57" t="s">
        <v>850</v>
      </c>
      <c r="E733" s="55" t="s">
        <v>851</v>
      </c>
      <c r="F733" s="58" t="s">
        <v>884</v>
      </c>
    </row>
    <row r="734">
      <c r="A734" s="59">
        <v>43833.0</v>
      </c>
      <c r="B734" s="50" t="s">
        <v>746</v>
      </c>
      <c r="C734" s="51" t="s">
        <v>849</v>
      </c>
      <c r="D734" s="52" t="s">
        <v>850</v>
      </c>
      <c r="E734" s="50" t="s">
        <v>851</v>
      </c>
      <c r="F734" s="53" t="s">
        <v>884</v>
      </c>
    </row>
    <row r="735">
      <c r="A735" s="54">
        <v>43834.0</v>
      </c>
      <c r="B735" s="55" t="s">
        <v>748</v>
      </c>
      <c r="C735" s="56" t="s">
        <v>849</v>
      </c>
      <c r="D735" s="57" t="s">
        <v>850</v>
      </c>
      <c r="E735" s="55" t="s">
        <v>851</v>
      </c>
      <c r="F735" s="58" t="s">
        <v>884</v>
      </c>
    </row>
    <row r="736">
      <c r="A736" s="59">
        <v>43835.0</v>
      </c>
      <c r="B736" s="50" t="s">
        <v>750</v>
      </c>
      <c r="C736" s="51" t="s">
        <v>849</v>
      </c>
      <c r="D736" s="52" t="s">
        <v>850</v>
      </c>
      <c r="E736" s="50" t="s">
        <v>851</v>
      </c>
      <c r="F736" s="53" t="s">
        <v>884</v>
      </c>
    </row>
    <row r="737">
      <c r="A737" s="54">
        <v>43836.0</v>
      </c>
      <c r="B737" s="55" t="s">
        <v>752</v>
      </c>
      <c r="C737" s="56" t="s">
        <v>849</v>
      </c>
      <c r="D737" s="57" t="s">
        <v>850</v>
      </c>
      <c r="E737" s="55" t="s">
        <v>851</v>
      </c>
      <c r="F737" s="58" t="s">
        <v>884</v>
      </c>
    </row>
    <row r="738">
      <c r="A738" s="59">
        <v>43837.0</v>
      </c>
      <c r="B738" s="50" t="s">
        <v>753</v>
      </c>
      <c r="C738" s="51" t="s">
        <v>849</v>
      </c>
      <c r="D738" s="52" t="s">
        <v>850</v>
      </c>
      <c r="E738" s="50" t="s">
        <v>851</v>
      </c>
      <c r="F738" s="53" t="s">
        <v>884</v>
      </c>
    </row>
    <row r="739">
      <c r="A739" s="54">
        <v>43838.0</v>
      </c>
      <c r="B739" s="55" t="s">
        <v>754</v>
      </c>
      <c r="C739" s="56" t="s">
        <v>849</v>
      </c>
      <c r="D739" s="57" t="s">
        <v>850</v>
      </c>
      <c r="E739" s="55" t="s">
        <v>851</v>
      </c>
      <c r="F739" s="58" t="s">
        <v>884</v>
      </c>
    </row>
    <row r="740">
      <c r="A740" s="59">
        <v>43839.0</v>
      </c>
      <c r="B740" s="50" t="s">
        <v>755</v>
      </c>
      <c r="C740" s="51" t="s">
        <v>849</v>
      </c>
      <c r="D740" s="52" t="s">
        <v>850</v>
      </c>
      <c r="E740" s="50" t="s">
        <v>851</v>
      </c>
      <c r="F740" s="53" t="s">
        <v>884</v>
      </c>
    </row>
    <row r="741">
      <c r="A741" s="54">
        <v>43840.0</v>
      </c>
      <c r="B741" s="55" t="s">
        <v>756</v>
      </c>
      <c r="C741" s="56" t="s">
        <v>849</v>
      </c>
      <c r="D741" s="57" t="s">
        <v>850</v>
      </c>
      <c r="E741" s="55" t="s">
        <v>851</v>
      </c>
      <c r="F741" s="58" t="s">
        <v>884</v>
      </c>
    </row>
    <row r="742">
      <c r="A742" s="59">
        <v>43841.0</v>
      </c>
      <c r="B742" s="50" t="s">
        <v>758</v>
      </c>
      <c r="C742" s="51" t="s">
        <v>849</v>
      </c>
      <c r="D742" s="52" t="s">
        <v>850</v>
      </c>
      <c r="E742" s="50" t="s">
        <v>851</v>
      </c>
      <c r="F742" s="53" t="s">
        <v>884</v>
      </c>
    </row>
    <row r="743">
      <c r="A743" s="54">
        <v>43842.0</v>
      </c>
      <c r="B743" s="55" t="s">
        <v>759</v>
      </c>
      <c r="C743" s="56" t="s">
        <v>849</v>
      </c>
      <c r="D743" s="57" t="s">
        <v>850</v>
      </c>
      <c r="E743" s="55" t="s">
        <v>851</v>
      </c>
      <c r="F743" s="58" t="s">
        <v>884</v>
      </c>
    </row>
    <row r="744">
      <c r="A744" s="59">
        <v>43843.0</v>
      </c>
      <c r="B744" s="50" t="s">
        <v>760</v>
      </c>
      <c r="C744" s="51" t="s">
        <v>849</v>
      </c>
      <c r="D744" s="52" t="s">
        <v>850</v>
      </c>
      <c r="E744" s="50" t="s">
        <v>851</v>
      </c>
      <c r="F744" s="53" t="s">
        <v>884</v>
      </c>
    </row>
    <row r="745">
      <c r="A745" s="54">
        <v>43844.0</v>
      </c>
      <c r="B745" s="55" t="s">
        <v>761</v>
      </c>
      <c r="C745" s="56" t="s">
        <v>849</v>
      </c>
      <c r="D745" s="57" t="s">
        <v>850</v>
      </c>
      <c r="E745" s="55" t="s">
        <v>851</v>
      </c>
      <c r="F745" s="58" t="s">
        <v>884</v>
      </c>
    </row>
    <row r="746">
      <c r="A746" s="59">
        <v>43845.0</v>
      </c>
      <c r="B746" s="50" t="s">
        <v>762</v>
      </c>
      <c r="C746" s="51" t="s">
        <v>849</v>
      </c>
      <c r="D746" s="52" t="s">
        <v>850</v>
      </c>
      <c r="E746" s="50" t="s">
        <v>851</v>
      </c>
      <c r="F746" s="53" t="s">
        <v>884</v>
      </c>
    </row>
    <row r="747">
      <c r="A747" s="54">
        <v>43846.0</v>
      </c>
      <c r="B747" s="55" t="s">
        <v>763</v>
      </c>
      <c r="C747" s="56" t="s">
        <v>849</v>
      </c>
      <c r="D747" s="57" t="s">
        <v>850</v>
      </c>
      <c r="E747" s="55" t="s">
        <v>851</v>
      </c>
      <c r="F747" s="58" t="s">
        <v>884</v>
      </c>
    </row>
    <row r="748">
      <c r="A748" s="59">
        <v>43847.0</v>
      </c>
      <c r="B748" s="50" t="s">
        <v>764</v>
      </c>
      <c r="C748" s="51" t="s">
        <v>849</v>
      </c>
      <c r="D748" s="52" t="s">
        <v>850</v>
      </c>
      <c r="E748" s="50" t="s">
        <v>851</v>
      </c>
      <c r="F748" s="53" t="s">
        <v>884</v>
      </c>
    </row>
    <row r="749">
      <c r="A749" s="54">
        <v>43848.0</v>
      </c>
      <c r="B749" s="55" t="s">
        <v>765</v>
      </c>
      <c r="C749" s="56" t="s">
        <v>849</v>
      </c>
      <c r="D749" s="57" t="s">
        <v>850</v>
      </c>
      <c r="E749" s="55" t="s">
        <v>851</v>
      </c>
      <c r="F749" s="58" t="s">
        <v>884</v>
      </c>
    </row>
    <row r="750">
      <c r="A750" s="59">
        <v>43849.0</v>
      </c>
      <c r="B750" s="50" t="s">
        <v>743</v>
      </c>
      <c r="C750" s="51" t="s">
        <v>849</v>
      </c>
      <c r="D750" s="52" t="s">
        <v>850</v>
      </c>
      <c r="E750" s="50" t="s">
        <v>851</v>
      </c>
      <c r="F750" s="53" t="s">
        <v>884</v>
      </c>
    </row>
    <row r="751">
      <c r="A751" s="54">
        <v>43850.0</v>
      </c>
      <c r="B751" s="55" t="s">
        <v>766</v>
      </c>
      <c r="C751" s="56" t="s">
        <v>849</v>
      </c>
      <c r="D751" s="57" t="s">
        <v>850</v>
      </c>
      <c r="E751" s="55" t="s">
        <v>851</v>
      </c>
      <c r="F751" s="58" t="s">
        <v>884</v>
      </c>
    </row>
    <row r="752">
      <c r="A752" s="59">
        <v>43851.0</v>
      </c>
      <c r="B752" s="50" t="s">
        <v>745</v>
      </c>
      <c r="C752" s="51" t="s">
        <v>849</v>
      </c>
      <c r="D752" s="52" t="s">
        <v>850</v>
      </c>
      <c r="E752" s="50" t="s">
        <v>851</v>
      </c>
      <c r="F752" s="53" t="s">
        <v>884</v>
      </c>
    </row>
    <row r="753">
      <c r="A753" s="54">
        <v>43852.0</v>
      </c>
      <c r="B753" s="55" t="s">
        <v>767</v>
      </c>
      <c r="C753" s="56" t="s">
        <v>849</v>
      </c>
      <c r="D753" s="57" t="s">
        <v>850</v>
      </c>
      <c r="E753" s="55" t="s">
        <v>851</v>
      </c>
      <c r="F753" s="58" t="s">
        <v>884</v>
      </c>
    </row>
    <row r="754">
      <c r="A754" s="59">
        <v>43853.0</v>
      </c>
      <c r="B754" s="50" t="s">
        <v>768</v>
      </c>
      <c r="C754" s="51" t="s">
        <v>849</v>
      </c>
      <c r="D754" s="52" t="s">
        <v>850</v>
      </c>
      <c r="E754" s="50" t="s">
        <v>851</v>
      </c>
      <c r="F754" s="53" t="s">
        <v>884</v>
      </c>
    </row>
    <row r="755">
      <c r="A755" s="54">
        <v>43854.0</v>
      </c>
      <c r="B755" s="55" t="s">
        <v>747</v>
      </c>
      <c r="C755" s="56" t="s">
        <v>849</v>
      </c>
      <c r="D755" s="57" t="s">
        <v>850</v>
      </c>
      <c r="E755" s="55" t="s">
        <v>851</v>
      </c>
      <c r="F755" s="58" t="s">
        <v>884</v>
      </c>
    </row>
    <row r="756">
      <c r="A756" s="59">
        <v>43855.0</v>
      </c>
      <c r="B756" s="50" t="s">
        <v>769</v>
      </c>
      <c r="C756" s="51" t="s">
        <v>849</v>
      </c>
      <c r="D756" s="52" t="s">
        <v>850</v>
      </c>
      <c r="E756" s="50" t="s">
        <v>851</v>
      </c>
      <c r="F756" s="53" t="s">
        <v>884</v>
      </c>
    </row>
    <row r="757">
      <c r="A757" s="54">
        <v>43856.0</v>
      </c>
      <c r="B757" s="55" t="s">
        <v>770</v>
      </c>
      <c r="C757" s="56" t="s">
        <v>849</v>
      </c>
      <c r="D757" s="57" t="s">
        <v>850</v>
      </c>
      <c r="E757" s="55" t="s">
        <v>851</v>
      </c>
      <c r="F757" s="58" t="s">
        <v>884</v>
      </c>
    </row>
    <row r="758">
      <c r="A758" s="59">
        <v>43857.0</v>
      </c>
      <c r="B758" s="50" t="s">
        <v>749</v>
      </c>
      <c r="C758" s="51" t="s">
        <v>849</v>
      </c>
      <c r="D758" s="52" t="s">
        <v>850</v>
      </c>
      <c r="E758" s="50" t="s">
        <v>851</v>
      </c>
      <c r="F758" s="53" t="s">
        <v>884</v>
      </c>
    </row>
    <row r="759">
      <c r="A759" s="54">
        <v>43858.0</v>
      </c>
      <c r="B759" s="55" t="s">
        <v>771</v>
      </c>
      <c r="C759" s="56" t="s">
        <v>849</v>
      </c>
      <c r="D759" s="57" t="s">
        <v>850</v>
      </c>
      <c r="E759" s="55" t="s">
        <v>851</v>
      </c>
      <c r="F759" s="58" t="s">
        <v>884</v>
      </c>
    </row>
    <row r="760">
      <c r="A760" s="59">
        <v>43859.0</v>
      </c>
      <c r="B760" s="50" t="s">
        <v>772</v>
      </c>
      <c r="C760" s="51" t="s">
        <v>849</v>
      </c>
      <c r="D760" s="52" t="s">
        <v>850</v>
      </c>
      <c r="E760" s="50" t="s">
        <v>851</v>
      </c>
      <c r="F760" s="53" t="s">
        <v>884</v>
      </c>
    </row>
    <row r="761">
      <c r="A761" s="54">
        <v>43860.0</v>
      </c>
      <c r="B761" s="55" t="s">
        <v>773</v>
      </c>
      <c r="C761" s="56" t="s">
        <v>849</v>
      </c>
      <c r="D761" s="57" t="s">
        <v>850</v>
      </c>
      <c r="E761" s="55" t="s">
        <v>851</v>
      </c>
      <c r="F761" s="58" t="s">
        <v>884</v>
      </c>
    </row>
    <row r="762">
      <c r="A762" s="59">
        <v>43861.0</v>
      </c>
      <c r="B762" s="50" t="s">
        <v>774</v>
      </c>
      <c r="C762" s="51" t="s">
        <v>849</v>
      </c>
      <c r="D762" s="52" t="s">
        <v>850</v>
      </c>
      <c r="E762" s="50" t="s">
        <v>851</v>
      </c>
      <c r="F762" s="53" t="s">
        <v>884</v>
      </c>
    </row>
    <row r="763">
      <c r="A763" s="54">
        <v>43862.0</v>
      </c>
      <c r="B763" s="55" t="s">
        <v>742</v>
      </c>
      <c r="C763" s="56" t="s">
        <v>853</v>
      </c>
      <c r="D763" s="57" t="s">
        <v>854</v>
      </c>
      <c r="E763" s="55" t="s">
        <v>855</v>
      </c>
      <c r="F763" s="58" t="s">
        <v>884</v>
      </c>
    </row>
    <row r="764">
      <c r="A764" s="59">
        <v>43863.0</v>
      </c>
      <c r="B764" s="50" t="s">
        <v>744</v>
      </c>
      <c r="C764" s="51" t="s">
        <v>853</v>
      </c>
      <c r="D764" s="52" t="s">
        <v>854</v>
      </c>
      <c r="E764" s="50" t="s">
        <v>855</v>
      </c>
      <c r="F764" s="53" t="s">
        <v>884</v>
      </c>
    </row>
    <row r="765">
      <c r="A765" s="54">
        <v>43864.0</v>
      </c>
      <c r="B765" s="55" t="s">
        <v>746</v>
      </c>
      <c r="C765" s="56" t="s">
        <v>853</v>
      </c>
      <c r="D765" s="57" t="s">
        <v>854</v>
      </c>
      <c r="E765" s="55" t="s">
        <v>855</v>
      </c>
      <c r="F765" s="58" t="s">
        <v>884</v>
      </c>
    </row>
    <row r="766">
      <c r="A766" s="59">
        <v>43865.0</v>
      </c>
      <c r="B766" s="50" t="s">
        <v>748</v>
      </c>
      <c r="C766" s="51" t="s">
        <v>853</v>
      </c>
      <c r="D766" s="52" t="s">
        <v>854</v>
      </c>
      <c r="E766" s="50" t="s">
        <v>855</v>
      </c>
      <c r="F766" s="53" t="s">
        <v>884</v>
      </c>
    </row>
    <row r="767">
      <c r="A767" s="54">
        <v>43866.0</v>
      </c>
      <c r="B767" s="55" t="s">
        <v>750</v>
      </c>
      <c r="C767" s="56" t="s">
        <v>853</v>
      </c>
      <c r="D767" s="57" t="s">
        <v>854</v>
      </c>
      <c r="E767" s="55" t="s">
        <v>855</v>
      </c>
      <c r="F767" s="58" t="s">
        <v>884</v>
      </c>
    </row>
    <row r="768">
      <c r="A768" s="59">
        <v>43867.0</v>
      </c>
      <c r="B768" s="50" t="s">
        <v>752</v>
      </c>
      <c r="C768" s="51" t="s">
        <v>853</v>
      </c>
      <c r="D768" s="52" t="s">
        <v>854</v>
      </c>
      <c r="E768" s="50" t="s">
        <v>855</v>
      </c>
      <c r="F768" s="53" t="s">
        <v>884</v>
      </c>
    </row>
    <row r="769">
      <c r="A769" s="54">
        <v>43868.0</v>
      </c>
      <c r="B769" s="55" t="s">
        <v>753</v>
      </c>
      <c r="C769" s="56" t="s">
        <v>853</v>
      </c>
      <c r="D769" s="57" t="s">
        <v>854</v>
      </c>
      <c r="E769" s="55" t="s">
        <v>855</v>
      </c>
      <c r="F769" s="58" t="s">
        <v>884</v>
      </c>
    </row>
    <row r="770">
      <c r="A770" s="59">
        <v>43869.0</v>
      </c>
      <c r="B770" s="50" t="s">
        <v>754</v>
      </c>
      <c r="C770" s="51" t="s">
        <v>853</v>
      </c>
      <c r="D770" s="52" t="s">
        <v>854</v>
      </c>
      <c r="E770" s="50" t="s">
        <v>855</v>
      </c>
      <c r="F770" s="53" t="s">
        <v>884</v>
      </c>
    </row>
    <row r="771">
      <c r="A771" s="54">
        <v>43870.0</v>
      </c>
      <c r="B771" s="55" t="s">
        <v>755</v>
      </c>
      <c r="C771" s="56" t="s">
        <v>853</v>
      </c>
      <c r="D771" s="57" t="s">
        <v>854</v>
      </c>
      <c r="E771" s="55" t="s">
        <v>855</v>
      </c>
      <c r="F771" s="58" t="s">
        <v>884</v>
      </c>
    </row>
    <row r="772">
      <c r="A772" s="59">
        <v>43871.0</v>
      </c>
      <c r="B772" s="50" t="s">
        <v>756</v>
      </c>
      <c r="C772" s="51" t="s">
        <v>853</v>
      </c>
      <c r="D772" s="52" t="s">
        <v>854</v>
      </c>
      <c r="E772" s="50" t="s">
        <v>855</v>
      </c>
      <c r="F772" s="53" t="s">
        <v>884</v>
      </c>
    </row>
    <row r="773">
      <c r="A773" s="54">
        <v>43872.0</v>
      </c>
      <c r="B773" s="55" t="s">
        <v>758</v>
      </c>
      <c r="C773" s="56" t="s">
        <v>853</v>
      </c>
      <c r="D773" s="57" t="s">
        <v>854</v>
      </c>
      <c r="E773" s="55" t="s">
        <v>855</v>
      </c>
      <c r="F773" s="58" t="s">
        <v>884</v>
      </c>
    </row>
    <row r="774">
      <c r="A774" s="59">
        <v>43873.0</v>
      </c>
      <c r="B774" s="50" t="s">
        <v>759</v>
      </c>
      <c r="C774" s="51" t="s">
        <v>853</v>
      </c>
      <c r="D774" s="52" t="s">
        <v>854</v>
      </c>
      <c r="E774" s="50" t="s">
        <v>855</v>
      </c>
      <c r="F774" s="53" t="s">
        <v>884</v>
      </c>
    </row>
    <row r="775">
      <c r="A775" s="54">
        <v>43874.0</v>
      </c>
      <c r="B775" s="55" t="s">
        <v>760</v>
      </c>
      <c r="C775" s="56" t="s">
        <v>853</v>
      </c>
      <c r="D775" s="57" t="s">
        <v>854</v>
      </c>
      <c r="E775" s="55" t="s">
        <v>855</v>
      </c>
      <c r="F775" s="58" t="s">
        <v>884</v>
      </c>
    </row>
    <row r="776">
      <c r="A776" s="59">
        <v>43875.0</v>
      </c>
      <c r="B776" s="50" t="s">
        <v>761</v>
      </c>
      <c r="C776" s="51" t="s">
        <v>853</v>
      </c>
      <c r="D776" s="52" t="s">
        <v>854</v>
      </c>
      <c r="E776" s="50" t="s">
        <v>855</v>
      </c>
      <c r="F776" s="53" t="s">
        <v>884</v>
      </c>
    </row>
    <row r="777">
      <c r="A777" s="54">
        <v>43876.0</v>
      </c>
      <c r="B777" s="55" t="s">
        <v>762</v>
      </c>
      <c r="C777" s="56" t="s">
        <v>853</v>
      </c>
      <c r="D777" s="57" t="s">
        <v>854</v>
      </c>
      <c r="E777" s="55" t="s">
        <v>855</v>
      </c>
      <c r="F777" s="58" t="s">
        <v>884</v>
      </c>
    </row>
    <row r="778">
      <c r="A778" s="59">
        <v>43877.0</v>
      </c>
      <c r="B778" s="50" t="s">
        <v>763</v>
      </c>
      <c r="C778" s="51" t="s">
        <v>853</v>
      </c>
      <c r="D778" s="52" t="s">
        <v>854</v>
      </c>
      <c r="E778" s="50" t="s">
        <v>855</v>
      </c>
      <c r="F778" s="53" t="s">
        <v>884</v>
      </c>
    </row>
    <row r="779">
      <c r="A779" s="54">
        <v>43878.0</v>
      </c>
      <c r="B779" s="55" t="s">
        <v>764</v>
      </c>
      <c r="C779" s="56" t="s">
        <v>853</v>
      </c>
      <c r="D779" s="57" t="s">
        <v>854</v>
      </c>
      <c r="E779" s="55" t="s">
        <v>855</v>
      </c>
      <c r="F779" s="58" t="s">
        <v>884</v>
      </c>
    </row>
    <row r="780">
      <c r="A780" s="59">
        <v>43879.0</v>
      </c>
      <c r="B780" s="50" t="s">
        <v>765</v>
      </c>
      <c r="C780" s="51" t="s">
        <v>853</v>
      </c>
      <c r="D780" s="52" t="s">
        <v>854</v>
      </c>
      <c r="E780" s="50" t="s">
        <v>855</v>
      </c>
      <c r="F780" s="53" t="s">
        <v>884</v>
      </c>
    </row>
    <row r="781">
      <c r="A781" s="54">
        <v>43880.0</v>
      </c>
      <c r="B781" s="55" t="s">
        <v>743</v>
      </c>
      <c r="C781" s="56" t="s">
        <v>853</v>
      </c>
      <c r="D781" s="57" t="s">
        <v>854</v>
      </c>
      <c r="E781" s="55" t="s">
        <v>855</v>
      </c>
      <c r="F781" s="58" t="s">
        <v>884</v>
      </c>
    </row>
    <row r="782">
      <c r="A782" s="59">
        <v>43881.0</v>
      </c>
      <c r="B782" s="50" t="s">
        <v>766</v>
      </c>
      <c r="C782" s="51" t="s">
        <v>853</v>
      </c>
      <c r="D782" s="52" t="s">
        <v>854</v>
      </c>
      <c r="E782" s="50" t="s">
        <v>855</v>
      </c>
      <c r="F782" s="53" t="s">
        <v>884</v>
      </c>
    </row>
    <row r="783">
      <c r="A783" s="54">
        <v>43882.0</v>
      </c>
      <c r="B783" s="55" t="s">
        <v>745</v>
      </c>
      <c r="C783" s="56" t="s">
        <v>853</v>
      </c>
      <c r="D783" s="57" t="s">
        <v>854</v>
      </c>
      <c r="E783" s="55" t="s">
        <v>855</v>
      </c>
      <c r="F783" s="58" t="s">
        <v>884</v>
      </c>
    </row>
    <row r="784">
      <c r="A784" s="59">
        <v>43883.0</v>
      </c>
      <c r="B784" s="50" t="s">
        <v>767</v>
      </c>
      <c r="C784" s="51" t="s">
        <v>853</v>
      </c>
      <c r="D784" s="52" t="s">
        <v>854</v>
      </c>
      <c r="E784" s="50" t="s">
        <v>855</v>
      </c>
      <c r="F784" s="53" t="s">
        <v>884</v>
      </c>
    </row>
    <row r="785">
      <c r="A785" s="54">
        <v>43884.0</v>
      </c>
      <c r="B785" s="55" t="s">
        <v>768</v>
      </c>
      <c r="C785" s="56" t="s">
        <v>853</v>
      </c>
      <c r="D785" s="57" t="s">
        <v>854</v>
      </c>
      <c r="E785" s="55" t="s">
        <v>855</v>
      </c>
      <c r="F785" s="58" t="s">
        <v>884</v>
      </c>
    </row>
    <row r="786">
      <c r="A786" s="59">
        <v>43885.0</v>
      </c>
      <c r="B786" s="50" t="s">
        <v>747</v>
      </c>
      <c r="C786" s="51" t="s">
        <v>853</v>
      </c>
      <c r="D786" s="52" t="s">
        <v>854</v>
      </c>
      <c r="E786" s="50" t="s">
        <v>855</v>
      </c>
      <c r="F786" s="53" t="s">
        <v>884</v>
      </c>
    </row>
    <row r="787">
      <c r="A787" s="54">
        <v>43886.0</v>
      </c>
      <c r="B787" s="55" t="s">
        <v>769</v>
      </c>
      <c r="C787" s="56" t="s">
        <v>853</v>
      </c>
      <c r="D787" s="57" t="s">
        <v>854</v>
      </c>
      <c r="E787" s="55" t="s">
        <v>855</v>
      </c>
      <c r="F787" s="58" t="s">
        <v>884</v>
      </c>
    </row>
    <row r="788">
      <c r="A788" s="59">
        <v>43887.0</v>
      </c>
      <c r="B788" s="50" t="s">
        <v>770</v>
      </c>
      <c r="C788" s="51" t="s">
        <v>853</v>
      </c>
      <c r="D788" s="52" t="s">
        <v>854</v>
      </c>
      <c r="E788" s="50" t="s">
        <v>855</v>
      </c>
      <c r="F788" s="53" t="s">
        <v>884</v>
      </c>
    </row>
    <row r="789">
      <c r="A789" s="54">
        <v>43888.0</v>
      </c>
      <c r="B789" s="55" t="s">
        <v>749</v>
      </c>
      <c r="C789" s="56" t="s">
        <v>853</v>
      </c>
      <c r="D789" s="57" t="s">
        <v>854</v>
      </c>
      <c r="E789" s="55" t="s">
        <v>855</v>
      </c>
      <c r="F789" s="58" t="s">
        <v>884</v>
      </c>
    </row>
    <row r="790">
      <c r="A790" s="59">
        <v>43889.0</v>
      </c>
      <c r="B790" s="50" t="s">
        <v>771</v>
      </c>
      <c r="C790" s="51" t="s">
        <v>853</v>
      </c>
      <c r="D790" s="52" t="s">
        <v>854</v>
      </c>
      <c r="E790" s="50" t="s">
        <v>855</v>
      </c>
      <c r="F790" s="53" t="s">
        <v>884</v>
      </c>
    </row>
    <row r="791">
      <c r="A791" s="54">
        <v>43890.0</v>
      </c>
      <c r="B791" s="55" t="s">
        <v>772</v>
      </c>
      <c r="C791" s="56" t="s">
        <v>853</v>
      </c>
      <c r="D791" s="57" t="s">
        <v>854</v>
      </c>
      <c r="E791" s="55" t="s">
        <v>855</v>
      </c>
      <c r="F791" s="58" t="s">
        <v>884</v>
      </c>
    </row>
    <row r="792">
      <c r="A792" s="59">
        <v>43891.0</v>
      </c>
      <c r="B792" s="50" t="s">
        <v>742</v>
      </c>
      <c r="C792" s="51" t="s">
        <v>856</v>
      </c>
      <c r="D792" s="52" t="s">
        <v>857</v>
      </c>
      <c r="E792" s="50" t="s">
        <v>858</v>
      </c>
      <c r="F792" s="53" t="s">
        <v>884</v>
      </c>
    </row>
    <row r="793">
      <c r="A793" s="54">
        <v>43892.0</v>
      </c>
      <c r="B793" s="55" t="s">
        <v>744</v>
      </c>
      <c r="C793" s="56" t="s">
        <v>856</v>
      </c>
      <c r="D793" s="57" t="s">
        <v>857</v>
      </c>
      <c r="E793" s="55" t="s">
        <v>858</v>
      </c>
      <c r="F793" s="58" t="s">
        <v>884</v>
      </c>
    </row>
    <row r="794">
      <c r="A794" s="59">
        <v>43893.0</v>
      </c>
      <c r="B794" s="50" t="s">
        <v>746</v>
      </c>
      <c r="C794" s="51" t="s">
        <v>856</v>
      </c>
      <c r="D794" s="52" t="s">
        <v>857</v>
      </c>
      <c r="E794" s="50" t="s">
        <v>858</v>
      </c>
      <c r="F794" s="53" t="s">
        <v>884</v>
      </c>
    </row>
    <row r="795">
      <c r="A795" s="54">
        <v>43894.0</v>
      </c>
      <c r="B795" s="55" t="s">
        <v>748</v>
      </c>
      <c r="C795" s="56" t="s">
        <v>856</v>
      </c>
      <c r="D795" s="57" t="s">
        <v>857</v>
      </c>
      <c r="E795" s="55" t="s">
        <v>858</v>
      </c>
      <c r="F795" s="58" t="s">
        <v>884</v>
      </c>
    </row>
    <row r="796">
      <c r="A796" s="59">
        <v>43895.0</v>
      </c>
      <c r="B796" s="50" t="s">
        <v>750</v>
      </c>
      <c r="C796" s="51" t="s">
        <v>856</v>
      </c>
      <c r="D796" s="52" t="s">
        <v>857</v>
      </c>
      <c r="E796" s="50" t="s">
        <v>858</v>
      </c>
      <c r="F796" s="53" t="s">
        <v>884</v>
      </c>
    </row>
    <row r="797">
      <c r="A797" s="54">
        <v>43896.0</v>
      </c>
      <c r="B797" s="55" t="s">
        <v>752</v>
      </c>
      <c r="C797" s="56" t="s">
        <v>856</v>
      </c>
      <c r="D797" s="57" t="s">
        <v>857</v>
      </c>
      <c r="E797" s="55" t="s">
        <v>858</v>
      </c>
      <c r="F797" s="58" t="s">
        <v>884</v>
      </c>
    </row>
    <row r="798">
      <c r="A798" s="59">
        <v>43897.0</v>
      </c>
      <c r="B798" s="50" t="s">
        <v>753</v>
      </c>
      <c r="C798" s="51" t="s">
        <v>856</v>
      </c>
      <c r="D798" s="52" t="s">
        <v>857</v>
      </c>
      <c r="E798" s="50" t="s">
        <v>858</v>
      </c>
      <c r="F798" s="53" t="s">
        <v>884</v>
      </c>
    </row>
    <row r="799">
      <c r="A799" s="54">
        <v>43898.0</v>
      </c>
      <c r="B799" s="55" t="s">
        <v>754</v>
      </c>
      <c r="C799" s="56" t="s">
        <v>856</v>
      </c>
      <c r="D799" s="57" t="s">
        <v>857</v>
      </c>
      <c r="E799" s="55" t="s">
        <v>858</v>
      </c>
      <c r="F799" s="58" t="s">
        <v>884</v>
      </c>
    </row>
    <row r="800">
      <c r="A800" s="59">
        <v>43899.0</v>
      </c>
      <c r="B800" s="50" t="s">
        <v>755</v>
      </c>
      <c r="C800" s="51" t="s">
        <v>856</v>
      </c>
      <c r="D800" s="52" t="s">
        <v>857</v>
      </c>
      <c r="E800" s="50" t="s">
        <v>858</v>
      </c>
      <c r="F800" s="53" t="s">
        <v>884</v>
      </c>
    </row>
    <row r="801">
      <c r="A801" s="54">
        <v>43900.0</v>
      </c>
      <c r="B801" s="55" t="s">
        <v>756</v>
      </c>
      <c r="C801" s="56" t="s">
        <v>856</v>
      </c>
      <c r="D801" s="57" t="s">
        <v>857</v>
      </c>
      <c r="E801" s="55" t="s">
        <v>858</v>
      </c>
      <c r="F801" s="58" t="s">
        <v>884</v>
      </c>
    </row>
    <row r="802">
      <c r="A802" s="59">
        <v>43901.0</v>
      </c>
      <c r="B802" s="50" t="s">
        <v>758</v>
      </c>
      <c r="C802" s="51" t="s">
        <v>856</v>
      </c>
      <c r="D802" s="52" t="s">
        <v>857</v>
      </c>
      <c r="E802" s="50" t="s">
        <v>858</v>
      </c>
      <c r="F802" s="53" t="s">
        <v>884</v>
      </c>
    </row>
    <row r="803">
      <c r="A803" s="54">
        <v>43902.0</v>
      </c>
      <c r="B803" s="55" t="s">
        <v>759</v>
      </c>
      <c r="C803" s="56" t="s">
        <v>856</v>
      </c>
      <c r="D803" s="57" t="s">
        <v>857</v>
      </c>
      <c r="E803" s="55" t="s">
        <v>858</v>
      </c>
      <c r="F803" s="58" t="s">
        <v>884</v>
      </c>
    </row>
    <row r="804">
      <c r="A804" s="59">
        <v>43903.0</v>
      </c>
      <c r="B804" s="50" t="s">
        <v>760</v>
      </c>
      <c r="C804" s="51" t="s">
        <v>856</v>
      </c>
      <c r="D804" s="52" t="s">
        <v>857</v>
      </c>
      <c r="E804" s="50" t="s">
        <v>858</v>
      </c>
      <c r="F804" s="53" t="s">
        <v>884</v>
      </c>
    </row>
    <row r="805">
      <c r="A805" s="54">
        <v>43904.0</v>
      </c>
      <c r="B805" s="55" t="s">
        <v>761</v>
      </c>
      <c r="C805" s="56" t="s">
        <v>856</v>
      </c>
      <c r="D805" s="57" t="s">
        <v>857</v>
      </c>
      <c r="E805" s="55" t="s">
        <v>858</v>
      </c>
      <c r="F805" s="58" t="s">
        <v>884</v>
      </c>
    </row>
    <row r="806">
      <c r="A806" s="59">
        <v>43905.0</v>
      </c>
      <c r="B806" s="50" t="s">
        <v>762</v>
      </c>
      <c r="C806" s="51" t="s">
        <v>856</v>
      </c>
      <c r="D806" s="52" t="s">
        <v>857</v>
      </c>
      <c r="E806" s="50" t="s">
        <v>858</v>
      </c>
      <c r="F806" s="53" t="s">
        <v>884</v>
      </c>
    </row>
    <row r="807">
      <c r="A807" s="54">
        <v>43906.0</v>
      </c>
      <c r="B807" s="55" t="s">
        <v>763</v>
      </c>
      <c r="C807" s="56" t="s">
        <v>856</v>
      </c>
      <c r="D807" s="57" t="s">
        <v>857</v>
      </c>
      <c r="E807" s="55" t="s">
        <v>858</v>
      </c>
      <c r="F807" s="58" t="s">
        <v>884</v>
      </c>
    </row>
    <row r="808">
      <c r="A808" s="59">
        <v>43907.0</v>
      </c>
      <c r="B808" s="50" t="s">
        <v>764</v>
      </c>
      <c r="C808" s="51" t="s">
        <v>856</v>
      </c>
      <c r="D808" s="52" t="s">
        <v>857</v>
      </c>
      <c r="E808" s="50" t="s">
        <v>858</v>
      </c>
      <c r="F808" s="53" t="s">
        <v>884</v>
      </c>
    </row>
    <row r="809">
      <c r="A809" s="54">
        <v>43908.0</v>
      </c>
      <c r="B809" s="55" t="s">
        <v>765</v>
      </c>
      <c r="C809" s="56" t="s">
        <v>856</v>
      </c>
      <c r="D809" s="57" t="s">
        <v>857</v>
      </c>
      <c r="E809" s="55" t="s">
        <v>858</v>
      </c>
      <c r="F809" s="58" t="s">
        <v>884</v>
      </c>
    </row>
    <row r="810">
      <c r="A810" s="59">
        <v>43909.0</v>
      </c>
      <c r="B810" s="50" t="s">
        <v>743</v>
      </c>
      <c r="C810" s="51" t="s">
        <v>856</v>
      </c>
      <c r="D810" s="52" t="s">
        <v>857</v>
      </c>
      <c r="E810" s="50" t="s">
        <v>858</v>
      </c>
      <c r="F810" s="53" t="s">
        <v>884</v>
      </c>
    </row>
    <row r="811">
      <c r="A811" s="54">
        <v>43910.0</v>
      </c>
      <c r="B811" s="55" t="s">
        <v>766</v>
      </c>
      <c r="C811" s="56" t="s">
        <v>856</v>
      </c>
      <c r="D811" s="57" t="s">
        <v>857</v>
      </c>
      <c r="E811" s="55" t="s">
        <v>858</v>
      </c>
      <c r="F811" s="58" t="s">
        <v>884</v>
      </c>
    </row>
    <row r="812">
      <c r="A812" s="59">
        <v>43911.0</v>
      </c>
      <c r="B812" s="50" t="s">
        <v>745</v>
      </c>
      <c r="C812" s="51" t="s">
        <v>856</v>
      </c>
      <c r="D812" s="52" t="s">
        <v>857</v>
      </c>
      <c r="E812" s="50" t="s">
        <v>858</v>
      </c>
      <c r="F812" s="53" t="s">
        <v>884</v>
      </c>
    </row>
    <row r="813">
      <c r="A813" s="54">
        <v>43912.0</v>
      </c>
      <c r="B813" s="55" t="s">
        <v>767</v>
      </c>
      <c r="C813" s="56" t="s">
        <v>856</v>
      </c>
      <c r="D813" s="57" t="s">
        <v>857</v>
      </c>
      <c r="E813" s="55" t="s">
        <v>858</v>
      </c>
      <c r="F813" s="58" t="s">
        <v>884</v>
      </c>
    </row>
    <row r="814">
      <c r="A814" s="59">
        <v>43913.0</v>
      </c>
      <c r="B814" s="50" t="s">
        <v>768</v>
      </c>
      <c r="C814" s="51" t="s">
        <v>856</v>
      </c>
      <c r="D814" s="52" t="s">
        <v>857</v>
      </c>
      <c r="E814" s="50" t="s">
        <v>858</v>
      </c>
      <c r="F814" s="53" t="s">
        <v>884</v>
      </c>
    </row>
    <row r="815">
      <c r="A815" s="54">
        <v>43914.0</v>
      </c>
      <c r="B815" s="55" t="s">
        <v>747</v>
      </c>
      <c r="C815" s="56" t="s">
        <v>856</v>
      </c>
      <c r="D815" s="57" t="s">
        <v>857</v>
      </c>
      <c r="E815" s="55" t="s">
        <v>858</v>
      </c>
      <c r="F815" s="58" t="s">
        <v>884</v>
      </c>
    </row>
    <row r="816">
      <c r="A816" s="59">
        <v>43915.0</v>
      </c>
      <c r="B816" s="50" t="s">
        <v>769</v>
      </c>
      <c r="C816" s="51" t="s">
        <v>856</v>
      </c>
      <c r="D816" s="52" t="s">
        <v>857</v>
      </c>
      <c r="E816" s="50" t="s">
        <v>858</v>
      </c>
      <c r="F816" s="53" t="s">
        <v>884</v>
      </c>
    </row>
    <row r="817">
      <c r="A817" s="54">
        <v>43916.0</v>
      </c>
      <c r="B817" s="55" t="s">
        <v>770</v>
      </c>
      <c r="C817" s="56" t="s">
        <v>856</v>
      </c>
      <c r="D817" s="57" t="s">
        <v>857</v>
      </c>
      <c r="E817" s="55" t="s">
        <v>858</v>
      </c>
      <c r="F817" s="58" t="s">
        <v>884</v>
      </c>
    </row>
    <row r="818">
      <c r="A818" s="59">
        <v>43917.0</v>
      </c>
      <c r="B818" s="50" t="s">
        <v>749</v>
      </c>
      <c r="C818" s="51" t="s">
        <v>856</v>
      </c>
      <c r="D818" s="52" t="s">
        <v>857</v>
      </c>
      <c r="E818" s="50" t="s">
        <v>858</v>
      </c>
      <c r="F818" s="53" t="s">
        <v>884</v>
      </c>
    </row>
    <row r="819">
      <c r="A819" s="54">
        <v>43918.0</v>
      </c>
      <c r="B819" s="55" t="s">
        <v>771</v>
      </c>
      <c r="C819" s="56" t="s">
        <v>856</v>
      </c>
      <c r="D819" s="57" t="s">
        <v>857</v>
      </c>
      <c r="E819" s="55" t="s">
        <v>858</v>
      </c>
      <c r="F819" s="58" t="s">
        <v>884</v>
      </c>
    </row>
    <row r="820">
      <c r="A820" s="59">
        <v>43919.0</v>
      </c>
      <c r="B820" s="50" t="s">
        <v>772</v>
      </c>
      <c r="C820" s="51" t="s">
        <v>856</v>
      </c>
      <c r="D820" s="52" t="s">
        <v>857</v>
      </c>
      <c r="E820" s="50" t="s">
        <v>858</v>
      </c>
      <c r="F820" s="53" t="s">
        <v>884</v>
      </c>
    </row>
    <row r="821">
      <c r="A821" s="54">
        <v>43920.0</v>
      </c>
      <c r="B821" s="55" t="s">
        <v>773</v>
      </c>
      <c r="C821" s="56" t="s">
        <v>856</v>
      </c>
      <c r="D821" s="57" t="s">
        <v>857</v>
      </c>
      <c r="E821" s="55" t="s">
        <v>858</v>
      </c>
      <c r="F821" s="58" t="s">
        <v>884</v>
      </c>
    </row>
    <row r="822">
      <c r="A822" s="59">
        <v>43921.0</v>
      </c>
      <c r="B822" s="50" t="s">
        <v>774</v>
      </c>
      <c r="C822" s="51" t="s">
        <v>856</v>
      </c>
      <c r="D822" s="52" t="s">
        <v>857</v>
      </c>
      <c r="E822" s="50" t="s">
        <v>858</v>
      </c>
      <c r="F822" s="53" t="s">
        <v>884</v>
      </c>
    </row>
    <row r="823">
      <c r="A823" s="54">
        <v>43922.0</v>
      </c>
      <c r="B823" s="55" t="s">
        <v>742</v>
      </c>
      <c r="C823" s="56" t="s">
        <v>859</v>
      </c>
      <c r="D823" s="57" t="s">
        <v>860</v>
      </c>
      <c r="E823" s="55" t="s">
        <v>861</v>
      </c>
      <c r="F823" s="58" t="s">
        <v>884</v>
      </c>
    </row>
    <row r="824">
      <c r="A824" s="59">
        <v>43923.0</v>
      </c>
      <c r="B824" s="50" t="s">
        <v>744</v>
      </c>
      <c r="C824" s="51" t="s">
        <v>859</v>
      </c>
      <c r="D824" s="52" t="s">
        <v>860</v>
      </c>
      <c r="E824" s="50" t="s">
        <v>861</v>
      </c>
      <c r="F824" s="53" t="s">
        <v>884</v>
      </c>
    </row>
    <row r="825">
      <c r="A825" s="54">
        <v>43924.0</v>
      </c>
      <c r="B825" s="55" t="s">
        <v>746</v>
      </c>
      <c r="C825" s="56" t="s">
        <v>859</v>
      </c>
      <c r="D825" s="57" t="s">
        <v>860</v>
      </c>
      <c r="E825" s="55" t="s">
        <v>861</v>
      </c>
      <c r="F825" s="58" t="s">
        <v>884</v>
      </c>
    </row>
    <row r="826">
      <c r="A826" s="59">
        <v>43925.0</v>
      </c>
      <c r="B826" s="50" t="s">
        <v>748</v>
      </c>
      <c r="C826" s="51" t="s">
        <v>859</v>
      </c>
      <c r="D826" s="52" t="s">
        <v>860</v>
      </c>
      <c r="E826" s="50" t="s">
        <v>861</v>
      </c>
      <c r="F826" s="53" t="s">
        <v>884</v>
      </c>
    </row>
    <row r="827">
      <c r="A827" s="54">
        <v>43926.0</v>
      </c>
      <c r="B827" s="55" t="s">
        <v>750</v>
      </c>
      <c r="C827" s="56" t="s">
        <v>859</v>
      </c>
      <c r="D827" s="57" t="s">
        <v>860</v>
      </c>
      <c r="E827" s="55" t="s">
        <v>861</v>
      </c>
      <c r="F827" s="58" t="s">
        <v>884</v>
      </c>
    </row>
    <row r="828">
      <c r="A828" s="59">
        <v>43927.0</v>
      </c>
      <c r="B828" s="50" t="s">
        <v>752</v>
      </c>
      <c r="C828" s="51" t="s">
        <v>859</v>
      </c>
      <c r="D828" s="52" t="s">
        <v>860</v>
      </c>
      <c r="E828" s="50" t="s">
        <v>861</v>
      </c>
      <c r="F828" s="53" t="s">
        <v>884</v>
      </c>
    </row>
    <row r="829">
      <c r="A829" s="54">
        <v>43928.0</v>
      </c>
      <c r="B829" s="55" t="s">
        <v>753</v>
      </c>
      <c r="C829" s="56" t="s">
        <v>859</v>
      </c>
      <c r="D829" s="57" t="s">
        <v>860</v>
      </c>
      <c r="E829" s="55" t="s">
        <v>861</v>
      </c>
      <c r="F829" s="58" t="s">
        <v>884</v>
      </c>
    </row>
    <row r="830">
      <c r="A830" s="59">
        <v>43929.0</v>
      </c>
      <c r="B830" s="50" t="s">
        <v>754</v>
      </c>
      <c r="C830" s="51" t="s">
        <v>859</v>
      </c>
      <c r="D830" s="52" t="s">
        <v>860</v>
      </c>
      <c r="E830" s="50" t="s">
        <v>861</v>
      </c>
      <c r="F830" s="53" t="s">
        <v>884</v>
      </c>
    </row>
    <row r="831">
      <c r="A831" s="54">
        <v>43930.0</v>
      </c>
      <c r="B831" s="55" t="s">
        <v>755</v>
      </c>
      <c r="C831" s="56" t="s">
        <v>859</v>
      </c>
      <c r="D831" s="57" t="s">
        <v>860</v>
      </c>
      <c r="E831" s="55" t="s">
        <v>861</v>
      </c>
      <c r="F831" s="58" t="s">
        <v>884</v>
      </c>
    </row>
    <row r="832">
      <c r="A832" s="59">
        <v>43931.0</v>
      </c>
      <c r="B832" s="50" t="s">
        <v>756</v>
      </c>
      <c r="C832" s="51" t="s">
        <v>859</v>
      </c>
      <c r="D832" s="52" t="s">
        <v>860</v>
      </c>
      <c r="E832" s="50" t="s">
        <v>861</v>
      </c>
      <c r="F832" s="53" t="s">
        <v>884</v>
      </c>
    </row>
    <row r="833">
      <c r="A833" s="54">
        <v>43932.0</v>
      </c>
      <c r="B833" s="55" t="s">
        <v>758</v>
      </c>
      <c r="C833" s="56" t="s">
        <v>859</v>
      </c>
      <c r="D833" s="57" t="s">
        <v>860</v>
      </c>
      <c r="E833" s="55" t="s">
        <v>861</v>
      </c>
      <c r="F833" s="58" t="s">
        <v>884</v>
      </c>
    </row>
    <row r="834">
      <c r="A834" s="59">
        <v>43933.0</v>
      </c>
      <c r="B834" s="50" t="s">
        <v>759</v>
      </c>
      <c r="C834" s="51" t="s">
        <v>859</v>
      </c>
      <c r="D834" s="52" t="s">
        <v>860</v>
      </c>
      <c r="E834" s="50" t="s">
        <v>861</v>
      </c>
      <c r="F834" s="53" t="s">
        <v>884</v>
      </c>
    </row>
    <row r="835">
      <c r="A835" s="54">
        <v>43934.0</v>
      </c>
      <c r="B835" s="55" t="s">
        <v>760</v>
      </c>
      <c r="C835" s="56" t="s">
        <v>859</v>
      </c>
      <c r="D835" s="57" t="s">
        <v>860</v>
      </c>
      <c r="E835" s="55" t="s">
        <v>861</v>
      </c>
      <c r="F835" s="58" t="s">
        <v>884</v>
      </c>
    </row>
    <row r="836">
      <c r="A836" s="59">
        <v>43935.0</v>
      </c>
      <c r="B836" s="50" t="s">
        <v>761</v>
      </c>
      <c r="C836" s="51" t="s">
        <v>859</v>
      </c>
      <c r="D836" s="52" t="s">
        <v>860</v>
      </c>
      <c r="E836" s="50" t="s">
        <v>861</v>
      </c>
      <c r="F836" s="53" t="s">
        <v>884</v>
      </c>
    </row>
    <row r="837">
      <c r="A837" s="54">
        <v>43936.0</v>
      </c>
      <c r="B837" s="55" t="s">
        <v>762</v>
      </c>
      <c r="C837" s="56" t="s">
        <v>859</v>
      </c>
      <c r="D837" s="57" t="s">
        <v>860</v>
      </c>
      <c r="E837" s="55" t="s">
        <v>861</v>
      </c>
      <c r="F837" s="58" t="s">
        <v>884</v>
      </c>
    </row>
    <row r="838">
      <c r="A838" s="59">
        <v>43937.0</v>
      </c>
      <c r="B838" s="50" t="s">
        <v>763</v>
      </c>
      <c r="C838" s="51" t="s">
        <v>859</v>
      </c>
      <c r="D838" s="52" t="s">
        <v>860</v>
      </c>
      <c r="E838" s="50" t="s">
        <v>861</v>
      </c>
      <c r="F838" s="53" t="s">
        <v>884</v>
      </c>
    </row>
    <row r="839">
      <c r="A839" s="54">
        <v>43938.0</v>
      </c>
      <c r="B839" s="55" t="s">
        <v>764</v>
      </c>
      <c r="C839" s="56" t="s">
        <v>859</v>
      </c>
      <c r="D839" s="57" t="s">
        <v>860</v>
      </c>
      <c r="E839" s="55" t="s">
        <v>861</v>
      </c>
      <c r="F839" s="58" t="s">
        <v>884</v>
      </c>
    </row>
    <row r="840">
      <c r="A840" s="59">
        <v>43939.0</v>
      </c>
      <c r="B840" s="50" t="s">
        <v>765</v>
      </c>
      <c r="C840" s="51" t="s">
        <v>859</v>
      </c>
      <c r="D840" s="52" t="s">
        <v>860</v>
      </c>
      <c r="E840" s="50" t="s">
        <v>861</v>
      </c>
      <c r="F840" s="53" t="s">
        <v>884</v>
      </c>
    </row>
    <row r="841">
      <c r="A841" s="54">
        <v>43940.0</v>
      </c>
      <c r="B841" s="55" t="s">
        <v>743</v>
      </c>
      <c r="C841" s="56" t="s">
        <v>859</v>
      </c>
      <c r="D841" s="57" t="s">
        <v>860</v>
      </c>
      <c r="E841" s="55" t="s">
        <v>861</v>
      </c>
      <c r="F841" s="58" t="s">
        <v>884</v>
      </c>
    </row>
    <row r="842">
      <c r="A842" s="59">
        <v>43941.0</v>
      </c>
      <c r="B842" s="50" t="s">
        <v>766</v>
      </c>
      <c r="C842" s="51" t="s">
        <v>859</v>
      </c>
      <c r="D842" s="52" t="s">
        <v>860</v>
      </c>
      <c r="E842" s="50" t="s">
        <v>861</v>
      </c>
      <c r="F842" s="53" t="s">
        <v>884</v>
      </c>
    </row>
    <row r="843">
      <c r="A843" s="54">
        <v>43942.0</v>
      </c>
      <c r="B843" s="55" t="s">
        <v>745</v>
      </c>
      <c r="C843" s="56" t="s">
        <v>859</v>
      </c>
      <c r="D843" s="57" t="s">
        <v>860</v>
      </c>
      <c r="E843" s="55" t="s">
        <v>861</v>
      </c>
      <c r="F843" s="58" t="s">
        <v>884</v>
      </c>
    </row>
    <row r="844">
      <c r="A844" s="59">
        <v>43943.0</v>
      </c>
      <c r="B844" s="50" t="s">
        <v>767</v>
      </c>
      <c r="C844" s="51" t="s">
        <v>859</v>
      </c>
      <c r="D844" s="52" t="s">
        <v>860</v>
      </c>
      <c r="E844" s="50" t="s">
        <v>861</v>
      </c>
      <c r="F844" s="53" t="s">
        <v>884</v>
      </c>
    </row>
    <row r="845">
      <c r="A845" s="54">
        <v>43944.0</v>
      </c>
      <c r="B845" s="55" t="s">
        <v>768</v>
      </c>
      <c r="C845" s="56" t="s">
        <v>859</v>
      </c>
      <c r="D845" s="57" t="s">
        <v>860</v>
      </c>
      <c r="E845" s="55" t="s">
        <v>861</v>
      </c>
      <c r="F845" s="58" t="s">
        <v>884</v>
      </c>
    </row>
    <row r="846">
      <c r="A846" s="59">
        <v>43945.0</v>
      </c>
      <c r="B846" s="50" t="s">
        <v>747</v>
      </c>
      <c r="C846" s="51" t="s">
        <v>859</v>
      </c>
      <c r="D846" s="52" t="s">
        <v>860</v>
      </c>
      <c r="E846" s="50" t="s">
        <v>861</v>
      </c>
      <c r="F846" s="53" t="s">
        <v>884</v>
      </c>
    </row>
    <row r="847">
      <c r="A847" s="54">
        <v>43946.0</v>
      </c>
      <c r="B847" s="55" t="s">
        <v>769</v>
      </c>
      <c r="C847" s="56" t="s">
        <v>859</v>
      </c>
      <c r="D847" s="57" t="s">
        <v>860</v>
      </c>
      <c r="E847" s="55" t="s">
        <v>861</v>
      </c>
      <c r="F847" s="58" t="s">
        <v>884</v>
      </c>
    </row>
    <row r="848">
      <c r="A848" s="59">
        <v>43947.0</v>
      </c>
      <c r="B848" s="50" t="s">
        <v>770</v>
      </c>
      <c r="C848" s="51" t="s">
        <v>859</v>
      </c>
      <c r="D848" s="52" t="s">
        <v>860</v>
      </c>
      <c r="E848" s="50" t="s">
        <v>861</v>
      </c>
      <c r="F848" s="53" t="s">
        <v>884</v>
      </c>
    </row>
    <row r="849">
      <c r="A849" s="54">
        <v>43948.0</v>
      </c>
      <c r="B849" s="55" t="s">
        <v>749</v>
      </c>
      <c r="C849" s="56" t="s">
        <v>859</v>
      </c>
      <c r="D849" s="57" t="s">
        <v>860</v>
      </c>
      <c r="E849" s="55" t="s">
        <v>861</v>
      </c>
      <c r="F849" s="58" t="s">
        <v>884</v>
      </c>
    </row>
    <row r="850">
      <c r="A850" s="59">
        <v>43949.0</v>
      </c>
      <c r="B850" s="50" t="s">
        <v>771</v>
      </c>
      <c r="C850" s="51" t="s">
        <v>859</v>
      </c>
      <c r="D850" s="52" t="s">
        <v>860</v>
      </c>
      <c r="E850" s="50" t="s">
        <v>861</v>
      </c>
      <c r="F850" s="53" t="s">
        <v>884</v>
      </c>
    </row>
    <row r="851">
      <c r="A851" s="54">
        <v>43950.0</v>
      </c>
      <c r="B851" s="55" t="s">
        <v>772</v>
      </c>
      <c r="C851" s="56" t="s">
        <v>859</v>
      </c>
      <c r="D851" s="57" t="s">
        <v>860</v>
      </c>
      <c r="E851" s="55" t="s">
        <v>861</v>
      </c>
      <c r="F851" s="58" t="s">
        <v>884</v>
      </c>
    </row>
    <row r="852">
      <c r="A852" s="59">
        <v>43951.0</v>
      </c>
      <c r="B852" s="50" t="s">
        <v>773</v>
      </c>
      <c r="C852" s="51" t="s">
        <v>859</v>
      </c>
      <c r="D852" s="52" t="s">
        <v>860</v>
      </c>
      <c r="E852" s="50" t="s">
        <v>861</v>
      </c>
      <c r="F852" s="53" t="s">
        <v>884</v>
      </c>
    </row>
    <row r="853">
      <c r="A853" s="54">
        <v>43952.0</v>
      </c>
      <c r="B853" s="55" t="s">
        <v>742</v>
      </c>
      <c r="C853" s="56" t="s">
        <v>862</v>
      </c>
      <c r="D853" s="57" t="s">
        <v>863</v>
      </c>
      <c r="E853" s="55" t="s">
        <v>864</v>
      </c>
      <c r="F853" s="58" t="s">
        <v>884</v>
      </c>
    </row>
    <row r="854">
      <c r="A854" s="59">
        <v>43953.0</v>
      </c>
      <c r="B854" s="50" t="s">
        <v>744</v>
      </c>
      <c r="C854" s="51" t="s">
        <v>862</v>
      </c>
      <c r="D854" s="52" t="s">
        <v>863</v>
      </c>
      <c r="E854" s="50" t="s">
        <v>864</v>
      </c>
      <c r="F854" s="53" t="s">
        <v>884</v>
      </c>
    </row>
    <row r="855">
      <c r="A855" s="54">
        <v>43954.0</v>
      </c>
      <c r="B855" s="55" t="s">
        <v>746</v>
      </c>
      <c r="C855" s="56" t="s">
        <v>862</v>
      </c>
      <c r="D855" s="57" t="s">
        <v>863</v>
      </c>
      <c r="E855" s="55" t="s">
        <v>864</v>
      </c>
      <c r="F855" s="58" t="s">
        <v>884</v>
      </c>
    </row>
    <row r="856">
      <c r="A856" s="59">
        <v>43955.0</v>
      </c>
      <c r="B856" s="50" t="s">
        <v>748</v>
      </c>
      <c r="C856" s="51" t="s">
        <v>862</v>
      </c>
      <c r="D856" s="52" t="s">
        <v>863</v>
      </c>
      <c r="E856" s="50" t="s">
        <v>864</v>
      </c>
      <c r="F856" s="53" t="s">
        <v>884</v>
      </c>
    </row>
    <row r="857">
      <c r="A857" s="54">
        <v>43956.0</v>
      </c>
      <c r="B857" s="55" t="s">
        <v>750</v>
      </c>
      <c r="C857" s="56" t="s">
        <v>862</v>
      </c>
      <c r="D857" s="57" t="s">
        <v>863</v>
      </c>
      <c r="E857" s="55" t="s">
        <v>864</v>
      </c>
      <c r="F857" s="58" t="s">
        <v>884</v>
      </c>
    </row>
    <row r="858">
      <c r="A858" s="59">
        <v>43957.0</v>
      </c>
      <c r="B858" s="50" t="s">
        <v>752</v>
      </c>
      <c r="C858" s="51" t="s">
        <v>862</v>
      </c>
      <c r="D858" s="52" t="s">
        <v>863</v>
      </c>
      <c r="E858" s="50" t="s">
        <v>864</v>
      </c>
      <c r="F858" s="53" t="s">
        <v>884</v>
      </c>
    </row>
    <row r="859">
      <c r="A859" s="54">
        <v>43958.0</v>
      </c>
      <c r="B859" s="55" t="s">
        <v>753</v>
      </c>
      <c r="C859" s="56" t="s">
        <v>862</v>
      </c>
      <c r="D859" s="57" t="s">
        <v>863</v>
      </c>
      <c r="E859" s="55" t="s">
        <v>864</v>
      </c>
      <c r="F859" s="58" t="s">
        <v>884</v>
      </c>
    </row>
    <row r="860">
      <c r="A860" s="59">
        <v>43959.0</v>
      </c>
      <c r="B860" s="50" t="s">
        <v>754</v>
      </c>
      <c r="C860" s="51" t="s">
        <v>862</v>
      </c>
      <c r="D860" s="52" t="s">
        <v>863</v>
      </c>
      <c r="E860" s="50" t="s">
        <v>864</v>
      </c>
      <c r="F860" s="53" t="s">
        <v>884</v>
      </c>
    </row>
    <row r="861">
      <c r="A861" s="54">
        <v>43960.0</v>
      </c>
      <c r="B861" s="55" t="s">
        <v>755</v>
      </c>
      <c r="C861" s="56" t="s">
        <v>862</v>
      </c>
      <c r="D861" s="57" t="s">
        <v>863</v>
      </c>
      <c r="E861" s="55" t="s">
        <v>864</v>
      </c>
      <c r="F861" s="58" t="s">
        <v>884</v>
      </c>
    </row>
    <row r="862">
      <c r="A862" s="59">
        <v>43961.0</v>
      </c>
      <c r="B862" s="50" t="s">
        <v>756</v>
      </c>
      <c r="C862" s="51" t="s">
        <v>862</v>
      </c>
      <c r="D862" s="52" t="s">
        <v>863</v>
      </c>
      <c r="E862" s="50" t="s">
        <v>864</v>
      </c>
      <c r="F862" s="53" t="s">
        <v>884</v>
      </c>
    </row>
    <row r="863">
      <c r="A863" s="54">
        <v>43962.0</v>
      </c>
      <c r="B863" s="55" t="s">
        <v>758</v>
      </c>
      <c r="C863" s="56" t="s">
        <v>862</v>
      </c>
      <c r="D863" s="57" t="s">
        <v>863</v>
      </c>
      <c r="E863" s="55" t="s">
        <v>864</v>
      </c>
      <c r="F863" s="58" t="s">
        <v>884</v>
      </c>
    </row>
    <row r="864">
      <c r="A864" s="59">
        <v>43963.0</v>
      </c>
      <c r="B864" s="50" t="s">
        <v>759</v>
      </c>
      <c r="C864" s="51" t="s">
        <v>862</v>
      </c>
      <c r="D864" s="52" t="s">
        <v>863</v>
      </c>
      <c r="E864" s="50" t="s">
        <v>864</v>
      </c>
      <c r="F864" s="53" t="s">
        <v>884</v>
      </c>
    </row>
    <row r="865">
      <c r="A865" s="54">
        <v>43964.0</v>
      </c>
      <c r="B865" s="55" t="s">
        <v>760</v>
      </c>
      <c r="C865" s="56" t="s">
        <v>862</v>
      </c>
      <c r="D865" s="57" t="s">
        <v>863</v>
      </c>
      <c r="E865" s="55" t="s">
        <v>864</v>
      </c>
      <c r="F865" s="58" t="s">
        <v>884</v>
      </c>
    </row>
    <row r="866">
      <c r="A866" s="59">
        <v>43965.0</v>
      </c>
      <c r="B866" s="50" t="s">
        <v>761</v>
      </c>
      <c r="C866" s="51" t="s">
        <v>862</v>
      </c>
      <c r="D866" s="52" t="s">
        <v>863</v>
      </c>
      <c r="E866" s="50" t="s">
        <v>864</v>
      </c>
      <c r="F866" s="53" t="s">
        <v>884</v>
      </c>
    </row>
    <row r="867">
      <c r="A867" s="54">
        <v>43966.0</v>
      </c>
      <c r="B867" s="55" t="s">
        <v>762</v>
      </c>
      <c r="C867" s="56" t="s">
        <v>862</v>
      </c>
      <c r="D867" s="57" t="s">
        <v>863</v>
      </c>
      <c r="E867" s="55" t="s">
        <v>864</v>
      </c>
      <c r="F867" s="58" t="s">
        <v>884</v>
      </c>
    </row>
    <row r="868">
      <c r="A868" s="59">
        <v>43967.0</v>
      </c>
      <c r="B868" s="50" t="s">
        <v>763</v>
      </c>
      <c r="C868" s="51" t="s">
        <v>862</v>
      </c>
      <c r="D868" s="52" t="s">
        <v>863</v>
      </c>
      <c r="E868" s="50" t="s">
        <v>864</v>
      </c>
      <c r="F868" s="53" t="s">
        <v>884</v>
      </c>
    </row>
    <row r="869">
      <c r="A869" s="54">
        <v>43968.0</v>
      </c>
      <c r="B869" s="55" t="s">
        <v>764</v>
      </c>
      <c r="C869" s="56" t="s">
        <v>862</v>
      </c>
      <c r="D869" s="57" t="s">
        <v>863</v>
      </c>
      <c r="E869" s="55" t="s">
        <v>864</v>
      </c>
      <c r="F869" s="58" t="s">
        <v>884</v>
      </c>
    </row>
    <row r="870">
      <c r="A870" s="59">
        <v>43969.0</v>
      </c>
      <c r="B870" s="50" t="s">
        <v>765</v>
      </c>
      <c r="C870" s="51" t="s">
        <v>862</v>
      </c>
      <c r="D870" s="52" t="s">
        <v>863</v>
      </c>
      <c r="E870" s="50" t="s">
        <v>864</v>
      </c>
      <c r="F870" s="53" t="s">
        <v>884</v>
      </c>
    </row>
    <row r="871">
      <c r="A871" s="54">
        <v>43970.0</v>
      </c>
      <c r="B871" s="55" t="s">
        <v>743</v>
      </c>
      <c r="C871" s="56" t="s">
        <v>862</v>
      </c>
      <c r="D871" s="57" t="s">
        <v>863</v>
      </c>
      <c r="E871" s="55" t="s">
        <v>864</v>
      </c>
      <c r="F871" s="58" t="s">
        <v>884</v>
      </c>
    </row>
    <row r="872">
      <c r="A872" s="59">
        <v>43971.0</v>
      </c>
      <c r="B872" s="50" t="s">
        <v>766</v>
      </c>
      <c r="C872" s="51" t="s">
        <v>862</v>
      </c>
      <c r="D872" s="52" t="s">
        <v>863</v>
      </c>
      <c r="E872" s="50" t="s">
        <v>864</v>
      </c>
      <c r="F872" s="53" t="s">
        <v>884</v>
      </c>
    </row>
    <row r="873">
      <c r="A873" s="54">
        <v>43972.0</v>
      </c>
      <c r="B873" s="55" t="s">
        <v>745</v>
      </c>
      <c r="C873" s="56" t="s">
        <v>862</v>
      </c>
      <c r="D873" s="57" t="s">
        <v>863</v>
      </c>
      <c r="E873" s="55" t="s">
        <v>864</v>
      </c>
      <c r="F873" s="58" t="s">
        <v>884</v>
      </c>
    </row>
    <row r="874">
      <c r="A874" s="59">
        <v>43973.0</v>
      </c>
      <c r="B874" s="50" t="s">
        <v>767</v>
      </c>
      <c r="C874" s="51" t="s">
        <v>862</v>
      </c>
      <c r="D874" s="52" t="s">
        <v>863</v>
      </c>
      <c r="E874" s="50" t="s">
        <v>864</v>
      </c>
      <c r="F874" s="53" t="s">
        <v>884</v>
      </c>
    </row>
    <row r="875">
      <c r="A875" s="54">
        <v>43974.0</v>
      </c>
      <c r="B875" s="55" t="s">
        <v>768</v>
      </c>
      <c r="C875" s="56" t="s">
        <v>862</v>
      </c>
      <c r="D875" s="57" t="s">
        <v>863</v>
      </c>
      <c r="E875" s="55" t="s">
        <v>864</v>
      </c>
      <c r="F875" s="58" t="s">
        <v>884</v>
      </c>
    </row>
    <row r="876">
      <c r="A876" s="59">
        <v>43975.0</v>
      </c>
      <c r="B876" s="50" t="s">
        <v>747</v>
      </c>
      <c r="C876" s="51" t="s">
        <v>862</v>
      </c>
      <c r="D876" s="52" t="s">
        <v>863</v>
      </c>
      <c r="E876" s="50" t="s">
        <v>864</v>
      </c>
      <c r="F876" s="53" t="s">
        <v>884</v>
      </c>
    </row>
    <row r="877">
      <c r="A877" s="54">
        <v>43976.0</v>
      </c>
      <c r="B877" s="55" t="s">
        <v>769</v>
      </c>
      <c r="C877" s="56" t="s">
        <v>862</v>
      </c>
      <c r="D877" s="57" t="s">
        <v>863</v>
      </c>
      <c r="E877" s="55" t="s">
        <v>864</v>
      </c>
      <c r="F877" s="58" t="s">
        <v>884</v>
      </c>
    </row>
    <row r="878">
      <c r="A878" s="59">
        <v>43977.0</v>
      </c>
      <c r="B878" s="50" t="s">
        <v>770</v>
      </c>
      <c r="C878" s="51" t="s">
        <v>862</v>
      </c>
      <c r="D878" s="52" t="s">
        <v>863</v>
      </c>
      <c r="E878" s="50" t="s">
        <v>864</v>
      </c>
      <c r="F878" s="53" t="s">
        <v>884</v>
      </c>
    </row>
    <row r="879">
      <c r="A879" s="54">
        <v>43978.0</v>
      </c>
      <c r="B879" s="55" t="s">
        <v>749</v>
      </c>
      <c r="C879" s="56" t="s">
        <v>862</v>
      </c>
      <c r="D879" s="57" t="s">
        <v>863</v>
      </c>
      <c r="E879" s="55" t="s">
        <v>864</v>
      </c>
      <c r="F879" s="58" t="s">
        <v>884</v>
      </c>
    </row>
    <row r="880">
      <c r="A880" s="59">
        <v>43979.0</v>
      </c>
      <c r="B880" s="50" t="s">
        <v>771</v>
      </c>
      <c r="C880" s="51" t="s">
        <v>862</v>
      </c>
      <c r="D880" s="52" t="s">
        <v>863</v>
      </c>
      <c r="E880" s="50" t="s">
        <v>864</v>
      </c>
      <c r="F880" s="53" t="s">
        <v>884</v>
      </c>
    </row>
    <row r="881">
      <c r="A881" s="54">
        <v>43980.0</v>
      </c>
      <c r="B881" s="55" t="s">
        <v>772</v>
      </c>
      <c r="C881" s="56" t="s">
        <v>862</v>
      </c>
      <c r="D881" s="57" t="s">
        <v>863</v>
      </c>
      <c r="E881" s="55" t="s">
        <v>864</v>
      </c>
      <c r="F881" s="58" t="s">
        <v>884</v>
      </c>
    </row>
    <row r="882">
      <c r="A882" s="59">
        <v>43981.0</v>
      </c>
      <c r="B882" s="50" t="s">
        <v>773</v>
      </c>
      <c r="C882" s="51" t="s">
        <v>862</v>
      </c>
      <c r="D882" s="52" t="s">
        <v>863</v>
      </c>
      <c r="E882" s="50" t="s">
        <v>864</v>
      </c>
      <c r="F882" s="53" t="s">
        <v>884</v>
      </c>
    </row>
    <row r="883">
      <c r="A883" s="54">
        <v>43982.0</v>
      </c>
      <c r="B883" s="55" t="s">
        <v>774</v>
      </c>
      <c r="C883" s="56" t="s">
        <v>862</v>
      </c>
      <c r="D883" s="57" t="s">
        <v>863</v>
      </c>
      <c r="E883" s="55" t="s">
        <v>864</v>
      </c>
      <c r="F883" s="58" t="s">
        <v>884</v>
      </c>
    </row>
    <row r="884">
      <c r="A884" s="59">
        <v>43983.0</v>
      </c>
      <c r="B884" s="50" t="s">
        <v>742</v>
      </c>
      <c r="C884" s="51" t="s">
        <v>865</v>
      </c>
      <c r="D884" s="52" t="s">
        <v>866</v>
      </c>
      <c r="E884" s="50" t="s">
        <v>867</v>
      </c>
      <c r="F884" s="53" t="s">
        <v>884</v>
      </c>
    </row>
    <row r="885">
      <c r="A885" s="54">
        <v>43984.0</v>
      </c>
      <c r="B885" s="55" t="s">
        <v>744</v>
      </c>
      <c r="C885" s="56" t="s">
        <v>865</v>
      </c>
      <c r="D885" s="57" t="s">
        <v>866</v>
      </c>
      <c r="E885" s="55" t="s">
        <v>867</v>
      </c>
      <c r="F885" s="58" t="s">
        <v>884</v>
      </c>
    </row>
    <row r="886">
      <c r="A886" s="59">
        <v>43985.0</v>
      </c>
      <c r="B886" s="50" t="s">
        <v>746</v>
      </c>
      <c r="C886" s="51" t="s">
        <v>865</v>
      </c>
      <c r="D886" s="52" t="s">
        <v>866</v>
      </c>
      <c r="E886" s="50" t="s">
        <v>867</v>
      </c>
      <c r="F886" s="53" t="s">
        <v>884</v>
      </c>
    </row>
    <row r="887">
      <c r="A887" s="54">
        <v>43986.0</v>
      </c>
      <c r="B887" s="55" t="s">
        <v>748</v>
      </c>
      <c r="C887" s="56" t="s">
        <v>865</v>
      </c>
      <c r="D887" s="57" t="s">
        <v>866</v>
      </c>
      <c r="E887" s="55" t="s">
        <v>867</v>
      </c>
      <c r="F887" s="58" t="s">
        <v>884</v>
      </c>
    </row>
    <row r="888">
      <c r="A888" s="59">
        <v>43987.0</v>
      </c>
      <c r="B888" s="50" t="s">
        <v>750</v>
      </c>
      <c r="C888" s="51" t="s">
        <v>865</v>
      </c>
      <c r="D888" s="52" t="s">
        <v>866</v>
      </c>
      <c r="E888" s="50" t="s">
        <v>867</v>
      </c>
      <c r="F888" s="53" t="s">
        <v>884</v>
      </c>
    </row>
    <row r="889">
      <c r="A889" s="54">
        <v>43988.0</v>
      </c>
      <c r="B889" s="55" t="s">
        <v>752</v>
      </c>
      <c r="C889" s="56" t="s">
        <v>865</v>
      </c>
      <c r="D889" s="57" t="s">
        <v>866</v>
      </c>
      <c r="E889" s="55" t="s">
        <v>867</v>
      </c>
      <c r="F889" s="58" t="s">
        <v>884</v>
      </c>
    </row>
    <row r="890">
      <c r="A890" s="59">
        <v>43989.0</v>
      </c>
      <c r="B890" s="50" t="s">
        <v>753</v>
      </c>
      <c r="C890" s="51" t="s">
        <v>865</v>
      </c>
      <c r="D890" s="52" t="s">
        <v>866</v>
      </c>
      <c r="E890" s="50" t="s">
        <v>867</v>
      </c>
      <c r="F890" s="53" t="s">
        <v>884</v>
      </c>
    </row>
    <row r="891">
      <c r="A891" s="54">
        <v>43990.0</v>
      </c>
      <c r="B891" s="55" t="s">
        <v>754</v>
      </c>
      <c r="C891" s="56" t="s">
        <v>865</v>
      </c>
      <c r="D891" s="57" t="s">
        <v>866</v>
      </c>
      <c r="E891" s="55" t="s">
        <v>867</v>
      </c>
      <c r="F891" s="58" t="s">
        <v>884</v>
      </c>
    </row>
    <row r="892">
      <c r="A892" s="59">
        <v>43991.0</v>
      </c>
      <c r="B892" s="50" t="s">
        <v>755</v>
      </c>
      <c r="C892" s="51" t="s">
        <v>865</v>
      </c>
      <c r="D892" s="52" t="s">
        <v>866</v>
      </c>
      <c r="E892" s="50" t="s">
        <v>867</v>
      </c>
      <c r="F892" s="53" t="s">
        <v>884</v>
      </c>
    </row>
    <row r="893">
      <c r="A893" s="54">
        <v>43992.0</v>
      </c>
      <c r="B893" s="55" t="s">
        <v>756</v>
      </c>
      <c r="C893" s="56" t="s">
        <v>865</v>
      </c>
      <c r="D893" s="57" t="s">
        <v>866</v>
      </c>
      <c r="E893" s="55" t="s">
        <v>867</v>
      </c>
      <c r="F893" s="58" t="s">
        <v>884</v>
      </c>
    </row>
    <row r="894">
      <c r="A894" s="59">
        <v>43993.0</v>
      </c>
      <c r="B894" s="50" t="s">
        <v>758</v>
      </c>
      <c r="C894" s="51" t="s">
        <v>865</v>
      </c>
      <c r="D894" s="52" t="s">
        <v>866</v>
      </c>
      <c r="E894" s="50" t="s">
        <v>867</v>
      </c>
      <c r="F894" s="53" t="s">
        <v>884</v>
      </c>
    </row>
    <row r="895">
      <c r="A895" s="54">
        <v>43994.0</v>
      </c>
      <c r="B895" s="55" t="s">
        <v>759</v>
      </c>
      <c r="C895" s="56" t="s">
        <v>865</v>
      </c>
      <c r="D895" s="57" t="s">
        <v>866</v>
      </c>
      <c r="E895" s="55" t="s">
        <v>867</v>
      </c>
      <c r="F895" s="58" t="s">
        <v>884</v>
      </c>
    </row>
    <row r="896">
      <c r="A896" s="59">
        <v>43995.0</v>
      </c>
      <c r="B896" s="50" t="s">
        <v>760</v>
      </c>
      <c r="C896" s="51" t="s">
        <v>865</v>
      </c>
      <c r="D896" s="52" t="s">
        <v>866</v>
      </c>
      <c r="E896" s="50" t="s">
        <v>867</v>
      </c>
      <c r="F896" s="53" t="s">
        <v>884</v>
      </c>
    </row>
    <row r="897">
      <c r="A897" s="54">
        <v>43996.0</v>
      </c>
      <c r="B897" s="55" t="s">
        <v>761</v>
      </c>
      <c r="C897" s="56" t="s">
        <v>865</v>
      </c>
      <c r="D897" s="57" t="s">
        <v>866</v>
      </c>
      <c r="E897" s="55" t="s">
        <v>867</v>
      </c>
      <c r="F897" s="58" t="s">
        <v>884</v>
      </c>
    </row>
    <row r="898">
      <c r="A898" s="59">
        <v>43997.0</v>
      </c>
      <c r="B898" s="50" t="s">
        <v>762</v>
      </c>
      <c r="C898" s="51" t="s">
        <v>865</v>
      </c>
      <c r="D898" s="52" t="s">
        <v>866</v>
      </c>
      <c r="E898" s="50" t="s">
        <v>867</v>
      </c>
      <c r="F898" s="53" t="s">
        <v>884</v>
      </c>
    </row>
    <row r="899">
      <c r="A899" s="54">
        <v>43998.0</v>
      </c>
      <c r="B899" s="55" t="s">
        <v>763</v>
      </c>
      <c r="C899" s="56" t="s">
        <v>865</v>
      </c>
      <c r="D899" s="57" t="s">
        <v>866</v>
      </c>
      <c r="E899" s="55" t="s">
        <v>867</v>
      </c>
      <c r="F899" s="58" t="s">
        <v>884</v>
      </c>
    </row>
    <row r="900">
      <c r="A900" s="59">
        <v>43999.0</v>
      </c>
      <c r="B900" s="50" t="s">
        <v>764</v>
      </c>
      <c r="C900" s="51" t="s">
        <v>865</v>
      </c>
      <c r="D900" s="52" t="s">
        <v>866</v>
      </c>
      <c r="E900" s="50" t="s">
        <v>867</v>
      </c>
      <c r="F900" s="53" t="s">
        <v>884</v>
      </c>
    </row>
    <row r="901">
      <c r="A901" s="54">
        <v>44000.0</v>
      </c>
      <c r="B901" s="55" t="s">
        <v>765</v>
      </c>
      <c r="C901" s="56" t="s">
        <v>865</v>
      </c>
      <c r="D901" s="57" t="s">
        <v>866</v>
      </c>
      <c r="E901" s="55" t="s">
        <v>867</v>
      </c>
      <c r="F901" s="58" t="s">
        <v>884</v>
      </c>
    </row>
    <row r="902">
      <c r="A902" s="59">
        <v>44001.0</v>
      </c>
      <c r="B902" s="50" t="s">
        <v>743</v>
      </c>
      <c r="C902" s="51" t="s">
        <v>865</v>
      </c>
      <c r="D902" s="52" t="s">
        <v>866</v>
      </c>
      <c r="E902" s="50" t="s">
        <v>867</v>
      </c>
      <c r="F902" s="53" t="s">
        <v>884</v>
      </c>
    </row>
    <row r="903">
      <c r="A903" s="54">
        <v>44002.0</v>
      </c>
      <c r="B903" s="55" t="s">
        <v>766</v>
      </c>
      <c r="C903" s="56" t="s">
        <v>865</v>
      </c>
      <c r="D903" s="57" t="s">
        <v>866</v>
      </c>
      <c r="E903" s="55" t="s">
        <v>867</v>
      </c>
      <c r="F903" s="58" t="s">
        <v>884</v>
      </c>
    </row>
    <row r="904">
      <c r="A904" s="59">
        <v>44003.0</v>
      </c>
      <c r="B904" s="50" t="s">
        <v>745</v>
      </c>
      <c r="C904" s="51" t="s">
        <v>865</v>
      </c>
      <c r="D904" s="52" t="s">
        <v>866</v>
      </c>
      <c r="E904" s="50" t="s">
        <v>867</v>
      </c>
      <c r="F904" s="53" t="s">
        <v>884</v>
      </c>
    </row>
    <row r="905">
      <c r="A905" s="54">
        <v>44004.0</v>
      </c>
      <c r="B905" s="55" t="s">
        <v>767</v>
      </c>
      <c r="C905" s="56" t="s">
        <v>865</v>
      </c>
      <c r="D905" s="57" t="s">
        <v>866</v>
      </c>
      <c r="E905" s="55" t="s">
        <v>867</v>
      </c>
      <c r="F905" s="58" t="s">
        <v>884</v>
      </c>
    </row>
    <row r="906">
      <c r="A906" s="59">
        <v>44005.0</v>
      </c>
      <c r="B906" s="50" t="s">
        <v>768</v>
      </c>
      <c r="C906" s="51" t="s">
        <v>865</v>
      </c>
      <c r="D906" s="52" t="s">
        <v>866</v>
      </c>
      <c r="E906" s="50" t="s">
        <v>867</v>
      </c>
      <c r="F906" s="53" t="s">
        <v>884</v>
      </c>
    </row>
    <row r="907">
      <c r="A907" s="54">
        <v>44006.0</v>
      </c>
      <c r="B907" s="55" t="s">
        <v>747</v>
      </c>
      <c r="C907" s="56" t="s">
        <v>865</v>
      </c>
      <c r="D907" s="57" t="s">
        <v>866</v>
      </c>
      <c r="E907" s="55" t="s">
        <v>867</v>
      </c>
      <c r="F907" s="58" t="s">
        <v>884</v>
      </c>
    </row>
    <row r="908">
      <c r="A908" s="59">
        <v>44007.0</v>
      </c>
      <c r="B908" s="50" t="s">
        <v>769</v>
      </c>
      <c r="C908" s="51" t="s">
        <v>865</v>
      </c>
      <c r="D908" s="52" t="s">
        <v>866</v>
      </c>
      <c r="E908" s="50" t="s">
        <v>867</v>
      </c>
      <c r="F908" s="53" t="s">
        <v>884</v>
      </c>
    </row>
    <row r="909">
      <c r="A909" s="54">
        <v>44008.0</v>
      </c>
      <c r="B909" s="55" t="s">
        <v>770</v>
      </c>
      <c r="C909" s="56" t="s">
        <v>865</v>
      </c>
      <c r="D909" s="57" t="s">
        <v>866</v>
      </c>
      <c r="E909" s="55" t="s">
        <v>867</v>
      </c>
      <c r="F909" s="58" t="s">
        <v>884</v>
      </c>
    </row>
    <row r="910">
      <c r="A910" s="59">
        <v>44009.0</v>
      </c>
      <c r="B910" s="50" t="s">
        <v>749</v>
      </c>
      <c r="C910" s="51" t="s">
        <v>865</v>
      </c>
      <c r="D910" s="52" t="s">
        <v>866</v>
      </c>
      <c r="E910" s="50" t="s">
        <v>867</v>
      </c>
      <c r="F910" s="53" t="s">
        <v>884</v>
      </c>
    </row>
    <row r="911">
      <c r="A911" s="54">
        <v>44010.0</v>
      </c>
      <c r="B911" s="55" t="s">
        <v>771</v>
      </c>
      <c r="C911" s="56" t="s">
        <v>865</v>
      </c>
      <c r="D911" s="57" t="s">
        <v>866</v>
      </c>
      <c r="E911" s="55" t="s">
        <v>867</v>
      </c>
      <c r="F911" s="58" t="s">
        <v>884</v>
      </c>
    </row>
    <row r="912">
      <c r="A912" s="59">
        <v>44011.0</v>
      </c>
      <c r="B912" s="50" t="s">
        <v>772</v>
      </c>
      <c r="C912" s="51" t="s">
        <v>865</v>
      </c>
      <c r="D912" s="52" t="s">
        <v>866</v>
      </c>
      <c r="E912" s="50" t="s">
        <v>867</v>
      </c>
      <c r="F912" s="53" t="s">
        <v>884</v>
      </c>
    </row>
    <row r="913">
      <c r="A913" s="54">
        <v>44012.0</v>
      </c>
      <c r="B913" s="55" t="s">
        <v>773</v>
      </c>
      <c r="C913" s="56" t="s">
        <v>865</v>
      </c>
      <c r="D913" s="57" t="s">
        <v>866</v>
      </c>
      <c r="E913" s="55" t="s">
        <v>867</v>
      </c>
      <c r="F913" s="58" t="s">
        <v>884</v>
      </c>
    </row>
    <row r="914">
      <c r="A914" s="59">
        <v>44013.0</v>
      </c>
      <c r="B914" s="50" t="s">
        <v>742</v>
      </c>
      <c r="C914" s="51" t="s">
        <v>868</v>
      </c>
      <c r="D914" s="52" t="s">
        <v>869</v>
      </c>
      <c r="E914" s="50" t="s">
        <v>870</v>
      </c>
      <c r="F914" s="53" t="s">
        <v>884</v>
      </c>
    </row>
    <row r="915">
      <c r="A915" s="54">
        <v>44014.0</v>
      </c>
      <c r="B915" s="55" t="s">
        <v>744</v>
      </c>
      <c r="C915" s="56" t="s">
        <v>868</v>
      </c>
      <c r="D915" s="57" t="s">
        <v>869</v>
      </c>
      <c r="E915" s="55" t="s">
        <v>870</v>
      </c>
      <c r="F915" s="58" t="s">
        <v>884</v>
      </c>
    </row>
    <row r="916">
      <c r="A916" s="59">
        <v>44015.0</v>
      </c>
      <c r="B916" s="50" t="s">
        <v>746</v>
      </c>
      <c r="C916" s="51" t="s">
        <v>868</v>
      </c>
      <c r="D916" s="52" t="s">
        <v>869</v>
      </c>
      <c r="E916" s="50" t="s">
        <v>870</v>
      </c>
      <c r="F916" s="53" t="s">
        <v>884</v>
      </c>
    </row>
    <row r="917">
      <c r="A917" s="54">
        <v>44016.0</v>
      </c>
      <c r="B917" s="55" t="s">
        <v>748</v>
      </c>
      <c r="C917" s="56" t="s">
        <v>868</v>
      </c>
      <c r="D917" s="57" t="s">
        <v>869</v>
      </c>
      <c r="E917" s="55" t="s">
        <v>870</v>
      </c>
      <c r="F917" s="58" t="s">
        <v>884</v>
      </c>
    </row>
    <row r="918">
      <c r="A918" s="59">
        <v>44017.0</v>
      </c>
      <c r="B918" s="50" t="s">
        <v>750</v>
      </c>
      <c r="C918" s="51" t="s">
        <v>868</v>
      </c>
      <c r="D918" s="52" t="s">
        <v>869</v>
      </c>
      <c r="E918" s="50" t="s">
        <v>870</v>
      </c>
      <c r="F918" s="53" t="s">
        <v>884</v>
      </c>
    </row>
    <row r="919">
      <c r="A919" s="54">
        <v>44018.0</v>
      </c>
      <c r="B919" s="55" t="s">
        <v>752</v>
      </c>
      <c r="C919" s="56" t="s">
        <v>868</v>
      </c>
      <c r="D919" s="57" t="s">
        <v>869</v>
      </c>
      <c r="E919" s="55" t="s">
        <v>870</v>
      </c>
      <c r="F919" s="58" t="s">
        <v>884</v>
      </c>
    </row>
    <row r="920">
      <c r="A920" s="59">
        <v>44019.0</v>
      </c>
      <c r="B920" s="50" t="s">
        <v>753</v>
      </c>
      <c r="C920" s="51" t="s">
        <v>868</v>
      </c>
      <c r="D920" s="52" t="s">
        <v>869</v>
      </c>
      <c r="E920" s="50" t="s">
        <v>870</v>
      </c>
      <c r="F920" s="53" t="s">
        <v>884</v>
      </c>
    </row>
    <row r="921">
      <c r="A921" s="54">
        <v>44020.0</v>
      </c>
      <c r="B921" s="55" t="s">
        <v>754</v>
      </c>
      <c r="C921" s="56" t="s">
        <v>868</v>
      </c>
      <c r="D921" s="57" t="s">
        <v>869</v>
      </c>
      <c r="E921" s="55" t="s">
        <v>870</v>
      </c>
      <c r="F921" s="58" t="s">
        <v>884</v>
      </c>
    </row>
    <row r="922">
      <c r="A922" s="59">
        <v>44021.0</v>
      </c>
      <c r="B922" s="50" t="s">
        <v>755</v>
      </c>
      <c r="C922" s="51" t="s">
        <v>868</v>
      </c>
      <c r="D922" s="52" t="s">
        <v>869</v>
      </c>
      <c r="E922" s="50" t="s">
        <v>870</v>
      </c>
      <c r="F922" s="53" t="s">
        <v>884</v>
      </c>
    </row>
    <row r="923">
      <c r="A923" s="54">
        <v>44022.0</v>
      </c>
      <c r="B923" s="55" t="s">
        <v>756</v>
      </c>
      <c r="C923" s="56" t="s">
        <v>868</v>
      </c>
      <c r="D923" s="57" t="s">
        <v>869</v>
      </c>
      <c r="E923" s="55" t="s">
        <v>870</v>
      </c>
      <c r="F923" s="58" t="s">
        <v>884</v>
      </c>
    </row>
    <row r="924">
      <c r="A924" s="59">
        <v>44023.0</v>
      </c>
      <c r="B924" s="50" t="s">
        <v>758</v>
      </c>
      <c r="C924" s="51" t="s">
        <v>868</v>
      </c>
      <c r="D924" s="52" t="s">
        <v>869</v>
      </c>
      <c r="E924" s="50" t="s">
        <v>870</v>
      </c>
      <c r="F924" s="53" t="s">
        <v>884</v>
      </c>
    </row>
    <row r="925">
      <c r="A925" s="54">
        <v>44024.0</v>
      </c>
      <c r="B925" s="55" t="s">
        <v>759</v>
      </c>
      <c r="C925" s="56" t="s">
        <v>868</v>
      </c>
      <c r="D925" s="57" t="s">
        <v>869</v>
      </c>
      <c r="E925" s="55" t="s">
        <v>870</v>
      </c>
      <c r="F925" s="58" t="s">
        <v>884</v>
      </c>
    </row>
    <row r="926">
      <c r="A926" s="59">
        <v>44025.0</v>
      </c>
      <c r="B926" s="50" t="s">
        <v>760</v>
      </c>
      <c r="C926" s="51" t="s">
        <v>868</v>
      </c>
      <c r="D926" s="52" t="s">
        <v>869</v>
      </c>
      <c r="E926" s="50" t="s">
        <v>870</v>
      </c>
      <c r="F926" s="53" t="s">
        <v>884</v>
      </c>
    </row>
    <row r="927">
      <c r="A927" s="54">
        <v>44026.0</v>
      </c>
      <c r="B927" s="55" t="s">
        <v>761</v>
      </c>
      <c r="C927" s="56" t="s">
        <v>868</v>
      </c>
      <c r="D927" s="57" t="s">
        <v>869</v>
      </c>
      <c r="E927" s="55" t="s">
        <v>870</v>
      </c>
      <c r="F927" s="58" t="s">
        <v>884</v>
      </c>
    </row>
    <row r="928">
      <c r="A928" s="59">
        <v>44027.0</v>
      </c>
      <c r="B928" s="50" t="s">
        <v>762</v>
      </c>
      <c r="C928" s="51" t="s">
        <v>868</v>
      </c>
      <c r="D928" s="52" t="s">
        <v>869</v>
      </c>
      <c r="E928" s="50" t="s">
        <v>870</v>
      </c>
      <c r="F928" s="53" t="s">
        <v>884</v>
      </c>
    </row>
    <row r="929">
      <c r="A929" s="54">
        <v>44028.0</v>
      </c>
      <c r="B929" s="55" t="s">
        <v>763</v>
      </c>
      <c r="C929" s="56" t="s">
        <v>868</v>
      </c>
      <c r="D929" s="57" t="s">
        <v>869</v>
      </c>
      <c r="E929" s="55" t="s">
        <v>870</v>
      </c>
      <c r="F929" s="58" t="s">
        <v>884</v>
      </c>
    </row>
    <row r="930">
      <c r="A930" s="59">
        <v>44029.0</v>
      </c>
      <c r="B930" s="50" t="s">
        <v>764</v>
      </c>
      <c r="C930" s="51" t="s">
        <v>868</v>
      </c>
      <c r="D930" s="52" t="s">
        <v>869</v>
      </c>
      <c r="E930" s="50" t="s">
        <v>870</v>
      </c>
      <c r="F930" s="53" t="s">
        <v>884</v>
      </c>
    </row>
    <row r="931">
      <c r="A931" s="54">
        <v>44030.0</v>
      </c>
      <c r="B931" s="55" t="s">
        <v>765</v>
      </c>
      <c r="C931" s="56" t="s">
        <v>868</v>
      </c>
      <c r="D931" s="57" t="s">
        <v>869</v>
      </c>
      <c r="E931" s="55" t="s">
        <v>870</v>
      </c>
      <c r="F931" s="58" t="s">
        <v>884</v>
      </c>
    </row>
    <row r="932">
      <c r="A932" s="59">
        <v>44031.0</v>
      </c>
      <c r="B932" s="50" t="s">
        <v>743</v>
      </c>
      <c r="C932" s="51" t="s">
        <v>868</v>
      </c>
      <c r="D932" s="52" t="s">
        <v>869</v>
      </c>
      <c r="E932" s="50" t="s">
        <v>870</v>
      </c>
      <c r="F932" s="53" t="s">
        <v>884</v>
      </c>
    </row>
    <row r="933">
      <c r="A933" s="54">
        <v>44032.0</v>
      </c>
      <c r="B933" s="55" t="s">
        <v>766</v>
      </c>
      <c r="C933" s="56" t="s">
        <v>868</v>
      </c>
      <c r="D933" s="57" t="s">
        <v>869</v>
      </c>
      <c r="E933" s="55" t="s">
        <v>870</v>
      </c>
      <c r="F933" s="58" t="s">
        <v>884</v>
      </c>
    </row>
    <row r="934">
      <c r="A934" s="59">
        <v>44033.0</v>
      </c>
      <c r="B934" s="50" t="s">
        <v>745</v>
      </c>
      <c r="C934" s="51" t="s">
        <v>868</v>
      </c>
      <c r="D934" s="52" t="s">
        <v>869</v>
      </c>
      <c r="E934" s="50" t="s">
        <v>870</v>
      </c>
      <c r="F934" s="53" t="s">
        <v>884</v>
      </c>
    </row>
    <row r="935">
      <c r="A935" s="54">
        <v>44034.0</v>
      </c>
      <c r="B935" s="55" t="s">
        <v>767</v>
      </c>
      <c r="C935" s="56" t="s">
        <v>868</v>
      </c>
      <c r="D935" s="57" t="s">
        <v>869</v>
      </c>
      <c r="E935" s="55" t="s">
        <v>870</v>
      </c>
      <c r="F935" s="58" t="s">
        <v>884</v>
      </c>
    </row>
    <row r="936">
      <c r="A936" s="59">
        <v>44035.0</v>
      </c>
      <c r="B936" s="50" t="s">
        <v>768</v>
      </c>
      <c r="C936" s="51" t="s">
        <v>868</v>
      </c>
      <c r="D936" s="52" t="s">
        <v>869</v>
      </c>
      <c r="E936" s="50" t="s">
        <v>870</v>
      </c>
      <c r="F936" s="53" t="s">
        <v>884</v>
      </c>
    </row>
    <row r="937">
      <c r="A937" s="54">
        <v>44036.0</v>
      </c>
      <c r="B937" s="55" t="s">
        <v>747</v>
      </c>
      <c r="C937" s="56" t="s">
        <v>868</v>
      </c>
      <c r="D937" s="57" t="s">
        <v>869</v>
      </c>
      <c r="E937" s="55" t="s">
        <v>870</v>
      </c>
      <c r="F937" s="58" t="s">
        <v>884</v>
      </c>
    </row>
    <row r="938">
      <c r="A938" s="59">
        <v>44037.0</v>
      </c>
      <c r="B938" s="50" t="s">
        <v>769</v>
      </c>
      <c r="C938" s="51" t="s">
        <v>868</v>
      </c>
      <c r="D938" s="52" t="s">
        <v>869</v>
      </c>
      <c r="E938" s="50" t="s">
        <v>870</v>
      </c>
      <c r="F938" s="53" t="s">
        <v>884</v>
      </c>
    </row>
    <row r="939">
      <c r="A939" s="54">
        <v>44038.0</v>
      </c>
      <c r="B939" s="55" t="s">
        <v>770</v>
      </c>
      <c r="C939" s="56" t="s">
        <v>868</v>
      </c>
      <c r="D939" s="57" t="s">
        <v>869</v>
      </c>
      <c r="E939" s="55" t="s">
        <v>870</v>
      </c>
      <c r="F939" s="58" t="s">
        <v>884</v>
      </c>
    </row>
    <row r="940">
      <c r="A940" s="59">
        <v>44039.0</v>
      </c>
      <c r="B940" s="50" t="s">
        <v>749</v>
      </c>
      <c r="C940" s="51" t="s">
        <v>868</v>
      </c>
      <c r="D940" s="52" t="s">
        <v>869</v>
      </c>
      <c r="E940" s="50" t="s">
        <v>870</v>
      </c>
      <c r="F940" s="53" t="s">
        <v>884</v>
      </c>
    </row>
    <row r="941">
      <c r="A941" s="54">
        <v>44040.0</v>
      </c>
      <c r="B941" s="55" t="s">
        <v>771</v>
      </c>
      <c r="C941" s="56" t="s">
        <v>868</v>
      </c>
      <c r="D941" s="57" t="s">
        <v>869</v>
      </c>
      <c r="E941" s="55" t="s">
        <v>870</v>
      </c>
      <c r="F941" s="58" t="s">
        <v>884</v>
      </c>
    </row>
    <row r="942">
      <c r="A942" s="59">
        <v>44041.0</v>
      </c>
      <c r="B942" s="50" t="s">
        <v>772</v>
      </c>
      <c r="C942" s="51" t="s">
        <v>868</v>
      </c>
      <c r="D942" s="52" t="s">
        <v>869</v>
      </c>
      <c r="E942" s="50" t="s">
        <v>870</v>
      </c>
      <c r="F942" s="53" t="s">
        <v>884</v>
      </c>
    </row>
    <row r="943">
      <c r="A943" s="54">
        <v>44042.0</v>
      </c>
      <c r="B943" s="55" t="s">
        <v>773</v>
      </c>
      <c r="C943" s="56" t="s">
        <v>868</v>
      </c>
      <c r="D943" s="57" t="s">
        <v>869</v>
      </c>
      <c r="E943" s="55" t="s">
        <v>870</v>
      </c>
      <c r="F943" s="58" t="s">
        <v>884</v>
      </c>
    </row>
    <row r="944">
      <c r="A944" s="59">
        <v>44043.0</v>
      </c>
      <c r="B944" s="50" t="s">
        <v>774</v>
      </c>
      <c r="C944" s="51" t="s">
        <v>868</v>
      </c>
      <c r="D944" s="52" t="s">
        <v>869</v>
      </c>
      <c r="E944" s="50" t="s">
        <v>870</v>
      </c>
      <c r="F944" s="53" t="s">
        <v>884</v>
      </c>
    </row>
    <row r="945">
      <c r="A945" s="54">
        <v>44044.0</v>
      </c>
      <c r="B945" s="55" t="s">
        <v>742</v>
      </c>
      <c r="C945" s="56" t="s">
        <v>871</v>
      </c>
      <c r="D945" s="57" t="s">
        <v>872</v>
      </c>
      <c r="E945" s="55" t="s">
        <v>873</v>
      </c>
      <c r="F945" s="58" t="s">
        <v>884</v>
      </c>
    </row>
    <row r="946">
      <c r="A946" s="59">
        <v>44045.0</v>
      </c>
      <c r="B946" s="50" t="s">
        <v>744</v>
      </c>
      <c r="C946" s="51" t="s">
        <v>871</v>
      </c>
      <c r="D946" s="52" t="s">
        <v>872</v>
      </c>
      <c r="E946" s="50" t="s">
        <v>873</v>
      </c>
      <c r="F946" s="53" t="s">
        <v>884</v>
      </c>
    </row>
    <row r="947">
      <c r="A947" s="54">
        <v>44046.0</v>
      </c>
      <c r="B947" s="55" t="s">
        <v>746</v>
      </c>
      <c r="C947" s="56" t="s">
        <v>871</v>
      </c>
      <c r="D947" s="57" t="s">
        <v>872</v>
      </c>
      <c r="E947" s="55" t="s">
        <v>873</v>
      </c>
      <c r="F947" s="58" t="s">
        <v>884</v>
      </c>
    </row>
    <row r="948">
      <c r="A948" s="59">
        <v>44047.0</v>
      </c>
      <c r="B948" s="50" t="s">
        <v>748</v>
      </c>
      <c r="C948" s="51" t="s">
        <v>871</v>
      </c>
      <c r="D948" s="52" t="s">
        <v>872</v>
      </c>
      <c r="E948" s="50" t="s">
        <v>873</v>
      </c>
      <c r="F948" s="53" t="s">
        <v>884</v>
      </c>
    </row>
    <row r="949">
      <c r="A949" s="54">
        <v>44048.0</v>
      </c>
      <c r="B949" s="55" t="s">
        <v>750</v>
      </c>
      <c r="C949" s="56" t="s">
        <v>871</v>
      </c>
      <c r="D949" s="57" t="s">
        <v>872</v>
      </c>
      <c r="E949" s="55" t="s">
        <v>873</v>
      </c>
      <c r="F949" s="58" t="s">
        <v>884</v>
      </c>
    </row>
    <row r="950">
      <c r="A950" s="59">
        <v>44049.0</v>
      </c>
      <c r="B950" s="50" t="s">
        <v>752</v>
      </c>
      <c r="C950" s="51" t="s">
        <v>871</v>
      </c>
      <c r="D950" s="52" t="s">
        <v>872</v>
      </c>
      <c r="E950" s="50" t="s">
        <v>873</v>
      </c>
      <c r="F950" s="53" t="s">
        <v>884</v>
      </c>
    </row>
    <row r="951">
      <c r="A951" s="54">
        <v>44050.0</v>
      </c>
      <c r="B951" s="55" t="s">
        <v>753</v>
      </c>
      <c r="C951" s="56" t="s">
        <v>871</v>
      </c>
      <c r="D951" s="57" t="s">
        <v>872</v>
      </c>
      <c r="E951" s="55" t="s">
        <v>873</v>
      </c>
      <c r="F951" s="58" t="s">
        <v>884</v>
      </c>
    </row>
    <row r="952">
      <c r="A952" s="59">
        <v>44051.0</v>
      </c>
      <c r="B952" s="50" t="s">
        <v>754</v>
      </c>
      <c r="C952" s="51" t="s">
        <v>871</v>
      </c>
      <c r="D952" s="52" t="s">
        <v>872</v>
      </c>
      <c r="E952" s="50" t="s">
        <v>873</v>
      </c>
      <c r="F952" s="53" t="s">
        <v>884</v>
      </c>
    </row>
    <row r="953">
      <c r="A953" s="54">
        <v>44052.0</v>
      </c>
      <c r="B953" s="55" t="s">
        <v>755</v>
      </c>
      <c r="C953" s="56" t="s">
        <v>871</v>
      </c>
      <c r="D953" s="57" t="s">
        <v>872</v>
      </c>
      <c r="E953" s="55" t="s">
        <v>873</v>
      </c>
      <c r="F953" s="58" t="s">
        <v>884</v>
      </c>
    </row>
    <row r="954">
      <c r="A954" s="59">
        <v>44053.0</v>
      </c>
      <c r="B954" s="50" t="s">
        <v>756</v>
      </c>
      <c r="C954" s="51" t="s">
        <v>871</v>
      </c>
      <c r="D954" s="52" t="s">
        <v>872</v>
      </c>
      <c r="E954" s="50" t="s">
        <v>873</v>
      </c>
      <c r="F954" s="53" t="s">
        <v>884</v>
      </c>
    </row>
    <row r="955">
      <c r="A955" s="54">
        <v>44054.0</v>
      </c>
      <c r="B955" s="55" t="s">
        <v>758</v>
      </c>
      <c r="C955" s="56" t="s">
        <v>871</v>
      </c>
      <c r="D955" s="57" t="s">
        <v>872</v>
      </c>
      <c r="E955" s="55" t="s">
        <v>873</v>
      </c>
      <c r="F955" s="58" t="s">
        <v>884</v>
      </c>
    </row>
    <row r="956">
      <c r="A956" s="59">
        <v>44055.0</v>
      </c>
      <c r="B956" s="50" t="s">
        <v>759</v>
      </c>
      <c r="C956" s="51" t="s">
        <v>871</v>
      </c>
      <c r="D956" s="52" t="s">
        <v>872</v>
      </c>
      <c r="E956" s="50" t="s">
        <v>873</v>
      </c>
      <c r="F956" s="53" t="s">
        <v>884</v>
      </c>
    </row>
    <row r="957">
      <c r="A957" s="54">
        <v>44056.0</v>
      </c>
      <c r="B957" s="55" t="s">
        <v>760</v>
      </c>
      <c r="C957" s="56" t="s">
        <v>871</v>
      </c>
      <c r="D957" s="57" t="s">
        <v>872</v>
      </c>
      <c r="E957" s="55" t="s">
        <v>873</v>
      </c>
      <c r="F957" s="58" t="s">
        <v>884</v>
      </c>
    </row>
    <row r="958">
      <c r="A958" s="59">
        <v>44057.0</v>
      </c>
      <c r="B958" s="50" t="s">
        <v>761</v>
      </c>
      <c r="C958" s="51" t="s">
        <v>871</v>
      </c>
      <c r="D958" s="52" t="s">
        <v>872</v>
      </c>
      <c r="E958" s="50" t="s">
        <v>873</v>
      </c>
      <c r="F958" s="53" t="s">
        <v>884</v>
      </c>
    </row>
    <row r="959">
      <c r="A959" s="54">
        <v>44058.0</v>
      </c>
      <c r="B959" s="55" t="s">
        <v>762</v>
      </c>
      <c r="C959" s="56" t="s">
        <v>871</v>
      </c>
      <c r="D959" s="57" t="s">
        <v>872</v>
      </c>
      <c r="E959" s="55" t="s">
        <v>873</v>
      </c>
      <c r="F959" s="58" t="s">
        <v>884</v>
      </c>
    </row>
    <row r="960">
      <c r="A960" s="59">
        <v>44059.0</v>
      </c>
      <c r="B960" s="50" t="s">
        <v>763</v>
      </c>
      <c r="C960" s="51" t="s">
        <v>871</v>
      </c>
      <c r="D960" s="52" t="s">
        <v>872</v>
      </c>
      <c r="E960" s="50" t="s">
        <v>873</v>
      </c>
      <c r="F960" s="53" t="s">
        <v>884</v>
      </c>
    </row>
    <row r="961">
      <c r="A961" s="54">
        <v>44060.0</v>
      </c>
      <c r="B961" s="55" t="s">
        <v>764</v>
      </c>
      <c r="C961" s="56" t="s">
        <v>871</v>
      </c>
      <c r="D961" s="57" t="s">
        <v>872</v>
      </c>
      <c r="E961" s="55" t="s">
        <v>873</v>
      </c>
      <c r="F961" s="58" t="s">
        <v>884</v>
      </c>
    </row>
    <row r="962">
      <c r="A962" s="59">
        <v>44061.0</v>
      </c>
      <c r="B962" s="50" t="s">
        <v>765</v>
      </c>
      <c r="C962" s="51" t="s">
        <v>871</v>
      </c>
      <c r="D962" s="52" t="s">
        <v>872</v>
      </c>
      <c r="E962" s="50" t="s">
        <v>873</v>
      </c>
      <c r="F962" s="53" t="s">
        <v>884</v>
      </c>
    </row>
    <row r="963">
      <c r="A963" s="54">
        <v>44062.0</v>
      </c>
      <c r="B963" s="55" t="s">
        <v>743</v>
      </c>
      <c r="C963" s="56" t="s">
        <v>871</v>
      </c>
      <c r="D963" s="57" t="s">
        <v>872</v>
      </c>
      <c r="E963" s="55" t="s">
        <v>873</v>
      </c>
      <c r="F963" s="58" t="s">
        <v>884</v>
      </c>
    </row>
    <row r="964">
      <c r="A964" s="59">
        <v>44063.0</v>
      </c>
      <c r="B964" s="50" t="s">
        <v>766</v>
      </c>
      <c r="C964" s="51" t="s">
        <v>871</v>
      </c>
      <c r="D964" s="52" t="s">
        <v>872</v>
      </c>
      <c r="E964" s="50" t="s">
        <v>873</v>
      </c>
      <c r="F964" s="53" t="s">
        <v>884</v>
      </c>
    </row>
    <row r="965">
      <c r="A965" s="54">
        <v>44064.0</v>
      </c>
      <c r="B965" s="55" t="s">
        <v>745</v>
      </c>
      <c r="C965" s="56" t="s">
        <v>871</v>
      </c>
      <c r="D965" s="57" t="s">
        <v>872</v>
      </c>
      <c r="E965" s="55" t="s">
        <v>873</v>
      </c>
      <c r="F965" s="58" t="s">
        <v>884</v>
      </c>
    </row>
    <row r="966">
      <c r="A966" s="59">
        <v>44065.0</v>
      </c>
      <c r="B966" s="50" t="s">
        <v>767</v>
      </c>
      <c r="C966" s="51" t="s">
        <v>871</v>
      </c>
      <c r="D966" s="52" t="s">
        <v>872</v>
      </c>
      <c r="E966" s="50" t="s">
        <v>873</v>
      </c>
      <c r="F966" s="53" t="s">
        <v>884</v>
      </c>
    </row>
    <row r="967">
      <c r="A967" s="54">
        <v>44066.0</v>
      </c>
      <c r="B967" s="55" t="s">
        <v>768</v>
      </c>
      <c r="C967" s="56" t="s">
        <v>871</v>
      </c>
      <c r="D967" s="57" t="s">
        <v>872</v>
      </c>
      <c r="E967" s="55" t="s">
        <v>873</v>
      </c>
      <c r="F967" s="58" t="s">
        <v>884</v>
      </c>
    </row>
    <row r="968">
      <c r="A968" s="59">
        <v>44067.0</v>
      </c>
      <c r="B968" s="50" t="s">
        <v>747</v>
      </c>
      <c r="C968" s="51" t="s">
        <v>871</v>
      </c>
      <c r="D968" s="52" t="s">
        <v>872</v>
      </c>
      <c r="E968" s="50" t="s">
        <v>873</v>
      </c>
      <c r="F968" s="53" t="s">
        <v>884</v>
      </c>
    </row>
    <row r="969">
      <c r="A969" s="54">
        <v>44068.0</v>
      </c>
      <c r="B969" s="55" t="s">
        <v>769</v>
      </c>
      <c r="C969" s="56" t="s">
        <v>871</v>
      </c>
      <c r="D969" s="57" t="s">
        <v>872</v>
      </c>
      <c r="E969" s="55" t="s">
        <v>873</v>
      </c>
      <c r="F969" s="58" t="s">
        <v>884</v>
      </c>
    </row>
    <row r="970">
      <c r="A970" s="59">
        <v>44069.0</v>
      </c>
      <c r="B970" s="50" t="s">
        <v>770</v>
      </c>
      <c r="C970" s="51" t="s">
        <v>871</v>
      </c>
      <c r="D970" s="52" t="s">
        <v>872</v>
      </c>
      <c r="E970" s="50" t="s">
        <v>873</v>
      </c>
      <c r="F970" s="53" t="s">
        <v>884</v>
      </c>
    </row>
    <row r="971">
      <c r="A971" s="54">
        <v>44070.0</v>
      </c>
      <c r="B971" s="55" t="s">
        <v>749</v>
      </c>
      <c r="C971" s="56" t="s">
        <v>871</v>
      </c>
      <c r="D971" s="57" t="s">
        <v>872</v>
      </c>
      <c r="E971" s="55" t="s">
        <v>873</v>
      </c>
      <c r="F971" s="58" t="s">
        <v>884</v>
      </c>
    </row>
    <row r="972">
      <c r="A972" s="59">
        <v>44071.0</v>
      </c>
      <c r="B972" s="50" t="s">
        <v>771</v>
      </c>
      <c r="C972" s="51" t="s">
        <v>871</v>
      </c>
      <c r="D972" s="52" t="s">
        <v>872</v>
      </c>
      <c r="E972" s="50" t="s">
        <v>873</v>
      </c>
      <c r="F972" s="53" t="s">
        <v>884</v>
      </c>
    </row>
    <row r="973">
      <c r="A973" s="54">
        <v>44072.0</v>
      </c>
      <c r="B973" s="55" t="s">
        <v>772</v>
      </c>
      <c r="C973" s="56" t="s">
        <v>871</v>
      </c>
      <c r="D973" s="57" t="s">
        <v>872</v>
      </c>
      <c r="E973" s="55" t="s">
        <v>873</v>
      </c>
      <c r="F973" s="58" t="s">
        <v>884</v>
      </c>
    </row>
    <row r="974">
      <c r="A974" s="59">
        <v>44073.0</v>
      </c>
      <c r="B974" s="50" t="s">
        <v>773</v>
      </c>
      <c r="C974" s="51" t="s">
        <v>871</v>
      </c>
      <c r="D974" s="52" t="s">
        <v>872</v>
      </c>
      <c r="E974" s="50" t="s">
        <v>873</v>
      </c>
      <c r="F974" s="53" t="s">
        <v>884</v>
      </c>
    </row>
    <row r="975">
      <c r="A975" s="54">
        <v>44074.0</v>
      </c>
      <c r="B975" s="55" t="s">
        <v>774</v>
      </c>
      <c r="C975" s="56" t="s">
        <v>871</v>
      </c>
      <c r="D975" s="57" t="s">
        <v>872</v>
      </c>
      <c r="E975" s="55" t="s">
        <v>873</v>
      </c>
      <c r="F975" s="58" t="s">
        <v>884</v>
      </c>
    </row>
    <row r="976">
      <c r="A976" s="59">
        <v>44075.0</v>
      </c>
      <c r="B976" s="50" t="s">
        <v>742</v>
      </c>
      <c r="C976" s="51" t="s">
        <v>874</v>
      </c>
      <c r="D976" s="52" t="s">
        <v>875</v>
      </c>
      <c r="E976" s="50" t="s">
        <v>876</v>
      </c>
      <c r="F976" s="53" t="s">
        <v>884</v>
      </c>
    </row>
    <row r="977">
      <c r="A977" s="54">
        <v>44076.0</v>
      </c>
      <c r="B977" s="55" t="s">
        <v>744</v>
      </c>
      <c r="C977" s="56" t="s">
        <v>874</v>
      </c>
      <c r="D977" s="57" t="s">
        <v>875</v>
      </c>
      <c r="E977" s="55" t="s">
        <v>876</v>
      </c>
      <c r="F977" s="58" t="s">
        <v>884</v>
      </c>
    </row>
    <row r="978">
      <c r="A978" s="59">
        <v>44077.0</v>
      </c>
      <c r="B978" s="50" t="s">
        <v>746</v>
      </c>
      <c r="C978" s="51" t="s">
        <v>874</v>
      </c>
      <c r="D978" s="52" t="s">
        <v>875</v>
      </c>
      <c r="E978" s="50" t="s">
        <v>876</v>
      </c>
      <c r="F978" s="53" t="s">
        <v>884</v>
      </c>
    </row>
    <row r="979">
      <c r="A979" s="54">
        <v>44078.0</v>
      </c>
      <c r="B979" s="55" t="s">
        <v>748</v>
      </c>
      <c r="C979" s="56" t="s">
        <v>874</v>
      </c>
      <c r="D979" s="57" t="s">
        <v>875</v>
      </c>
      <c r="E979" s="55" t="s">
        <v>876</v>
      </c>
      <c r="F979" s="58" t="s">
        <v>884</v>
      </c>
    </row>
    <row r="980">
      <c r="A980" s="59">
        <v>44079.0</v>
      </c>
      <c r="B980" s="50" t="s">
        <v>750</v>
      </c>
      <c r="C980" s="51" t="s">
        <v>874</v>
      </c>
      <c r="D980" s="52" t="s">
        <v>875</v>
      </c>
      <c r="E980" s="50" t="s">
        <v>876</v>
      </c>
      <c r="F980" s="53" t="s">
        <v>884</v>
      </c>
    </row>
    <row r="981">
      <c r="A981" s="54">
        <v>44080.0</v>
      </c>
      <c r="B981" s="55" t="s">
        <v>752</v>
      </c>
      <c r="C981" s="56" t="s">
        <v>874</v>
      </c>
      <c r="D981" s="57" t="s">
        <v>875</v>
      </c>
      <c r="E981" s="55" t="s">
        <v>876</v>
      </c>
      <c r="F981" s="58" t="s">
        <v>884</v>
      </c>
    </row>
    <row r="982">
      <c r="A982" s="59">
        <v>44081.0</v>
      </c>
      <c r="B982" s="50" t="s">
        <v>753</v>
      </c>
      <c r="C982" s="51" t="s">
        <v>874</v>
      </c>
      <c r="D982" s="52" t="s">
        <v>875</v>
      </c>
      <c r="E982" s="50" t="s">
        <v>876</v>
      </c>
      <c r="F982" s="53" t="s">
        <v>884</v>
      </c>
    </row>
    <row r="983">
      <c r="A983" s="54">
        <v>44082.0</v>
      </c>
      <c r="B983" s="55" t="s">
        <v>754</v>
      </c>
      <c r="C983" s="56" t="s">
        <v>874</v>
      </c>
      <c r="D983" s="57" t="s">
        <v>875</v>
      </c>
      <c r="E983" s="55" t="s">
        <v>876</v>
      </c>
      <c r="F983" s="58" t="s">
        <v>884</v>
      </c>
    </row>
    <row r="984">
      <c r="A984" s="59">
        <v>44083.0</v>
      </c>
      <c r="B984" s="50" t="s">
        <v>755</v>
      </c>
      <c r="C984" s="51" t="s">
        <v>874</v>
      </c>
      <c r="D984" s="52" t="s">
        <v>875</v>
      </c>
      <c r="E984" s="50" t="s">
        <v>876</v>
      </c>
      <c r="F984" s="53" t="s">
        <v>884</v>
      </c>
    </row>
    <row r="985">
      <c r="A985" s="54">
        <v>44084.0</v>
      </c>
      <c r="B985" s="55" t="s">
        <v>756</v>
      </c>
      <c r="C985" s="56" t="s">
        <v>874</v>
      </c>
      <c r="D985" s="57" t="s">
        <v>875</v>
      </c>
      <c r="E985" s="55" t="s">
        <v>876</v>
      </c>
      <c r="F985" s="58" t="s">
        <v>884</v>
      </c>
    </row>
    <row r="986">
      <c r="A986" s="59">
        <v>44085.0</v>
      </c>
      <c r="B986" s="50" t="s">
        <v>758</v>
      </c>
      <c r="C986" s="51" t="s">
        <v>874</v>
      </c>
      <c r="D986" s="52" t="s">
        <v>875</v>
      </c>
      <c r="E986" s="50" t="s">
        <v>876</v>
      </c>
      <c r="F986" s="53" t="s">
        <v>884</v>
      </c>
    </row>
    <row r="987">
      <c r="A987" s="54">
        <v>44086.0</v>
      </c>
      <c r="B987" s="55" t="s">
        <v>759</v>
      </c>
      <c r="C987" s="56" t="s">
        <v>874</v>
      </c>
      <c r="D987" s="57" t="s">
        <v>875</v>
      </c>
      <c r="E987" s="55" t="s">
        <v>876</v>
      </c>
      <c r="F987" s="58" t="s">
        <v>884</v>
      </c>
    </row>
    <row r="988">
      <c r="A988" s="59">
        <v>44087.0</v>
      </c>
      <c r="B988" s="50" t="s">
        <v>760</v>
      </c>
      <c r="C988" s="51" t="s">
        <v>874</v>
      </c>
      <c r="D988" s="52" t="s">
        <v>875</v>
      </c>
      <c r="E988" s="50" t="s">
        <v>876</v>
      </c>
      <c r="F988" s="53" t="s">
        <v>884</v>
      </c>
    </row>
    <row r="989">
      <c r="A989" s="54">
        <v>44088.0</v>
      </c>
      <c r="B989" s="55" t="s">
        <v>761</v>
      </c>
      <c r="C989" s="56" t="s">
        <v>874</v>
      </c>
      <c r="D989" s="57" t="s">
        <v>875</v>
      </c>
      <c r="E989" s="55" t="s">
        <v>876</v>
      </c>
      <c r="F989" s="58" t="s">
        <v>884</v>
      </c>
    </row>
    <row r="990">
      <c r="A990" s="59">
        <v>44089.0</v>
      </c>
      <c r="B990" s="50" t="s">
        <v>762</v>
      </c>
      <c r="C990" s="51" t="s">
        <v>874</v>
      </c>
      <c r="D990" s="52" t="s">
        <v>875</v>
      </c>
      <c r="E990" s="50" t="s">
        <v>876</v>
      </c>
      <c r="F990" s="53" t="s">
        <v>884</v>
      </c>
    </row>
    <row r="991">
      <c r="A991" s="54">
        <v>44090.0</v>
      </c>
      <c r="B991" s="55" t="s">
        <v>763</v>
      </c>
      <c r="C991" s="56" t="s">
        <v>874</v>
      </c>
      <c r="D991" s="57" t="s">
        <v>875</v>
      </c>
      <c r="E991" s="55" t="s">
        <v>876</v>
      </c>
      <c r="F991" s="58" t="s">
        <v>884</v>
      </c>
    </row>
    <row r="992">
      <c r="A992" s="59">
        <v>44091.0</v>
      </c>
      <c r="B992" s="50" t="s">
        <v>764</v>
      </c>
      <c r="C992" s="51" t="s">
        <v>874</v>
      </c>
      <c r="D992" s="52" t="s">
        <v>875</v>
      </c>
      <c r="E992" s="50" t="s">
        <v>876</v>
      </c>
      <c r="F992" s="53" t="s">
        <v>884</v>
      </c>
    </row>
    <row r="993">
      <c r="A993" s="54">
        <v>44092.0</v>
      </c>
      <c r="B993" s="55" t="s">
        <v>765</v>
      </c>
      <c r="C993" s="56" t="s">
        <v>874</v>
      </c>
      <c r="D993" s="57" t="s">
        <v>875</v>
      </c>
      <c r="E993" s="55" t="s">
        <v>876</v>
      </c>
      <c r="F993" s="58" t="s">
        <v>884</v>
      </c>
    </row>
    <row r="994">
      <c r="A994" s="59">
        <v>44093.0</v>
      </c>
      <c r="B994" s="50" t="s">
        <v>743</v>
      </c>
      <c r="C994" s="51" t="s">
        <v>874</v>
      </c>
      <c r="D994" s="52" t="s">
        <v>875</v>
      </c>
      <c r="E994" s="50" t="s">
        <v>876</v>
      </c>
      <c r="F994" s="53" t="s">
        <v>884</v>
      </c>
    </row>
    <row r="995">
      <c r="A995" s="54">
        <v>44094.0</v>
      </c>
      <c r="B995" s="55" t="s">
        <v>766</v>
      </c>
      <c r="C995" s="56" t="s">
        <v>874</v>
      </c>
      <c r="D995" s="57" t="s">
        <v>875</v>
      </c>
      <c r="E995" s="55" t="s">
        <v>876</v>
      </c>
      <c r="F995" s="58" t="s">
        <v>884</v>
      </c>
    </row>
    <row r="996">
      <c r="A996" s="59">
        <v>44095.0</v>
      </c>
      <c r="B996" s="50" t="s">
        <v>745</v>
      </c>
      <c r="C996" s="51" t="s">
        <v>874</v>
      </c>
      <c r="D996" s="52" t="s">
        <v>875</v>
      </c>
      <c r="E996" s="50" t="s">
        <v>876</v>
      </c>
      <c r="F996" s="53" t="s">
        <v>884</v>
      </c>
    </row>
    <row r="997">
      <c r="A997" s="54">
        <v>44096.0</v>
      </c>
      <c r="B997" s="55" t="s">
        <v>767</v>
      </c>
      <c r="C997" s="56" t="s">
        <v>874</v>
      </c>
      <c r="D997" s="57" t="s">
        <v>875</v>
      </c>
      <c r="E997" s="55" t="s">
        <v>876</v>
      </c>
      <c r="F997" s="58" t="s">
        <v>884</v>
      </c>
    </row>
    <row r="998">
      <c r="A998" s="59">
        <v>44097.0</v>
      </c>
      <c r="B998" s="50" t="s">
        <v>768</v>
      </c>
      <c r="C998" s="51" t="s">
        <v>874</v>
      </c>
      <c r="D998" s="52" t="s">
        <v>875</v>
      </c>
      <c r="E998" s="50" t="s">
        <v>876</v>
      </c>
      <c r="F998" s="53" t="s">
        <v>884</v>
      </c>
    </row>
    <row r="999">
      <c r="A999" s="54">
        <v>44098.0</v>
      </c>
      <c r="B999" s="55" t="s">
        <v>747</v>
      </c>
      <c r="C999" s="56" t="s">
        <v>874</v>
      </c>
      <c r="D999" s="57" t="s">
        <v>875</v>
      </c>
      <c r="E999" s="55" t="s">
        <v>876</v>
      </c>
      <c r="F999" s="58" t="s">
        <v>884</v>
      </c>
    </row>
    <row r="1000">
      <c r="A1000" s="59">
        <v>44099.0</v>
      </c>
      <c r="B1000" s="50" t="s">
        <v>769</v>
      </c>
      <c r="C1000" s="51" t="s">
        <v>874</v>
      </c>
      <c r="D1000" s="52" t="s">
        <v>875</v>
      </c>
      <c r="E1000" s="50" t="s">
        <v>876</v>
      </c>
      <c r="F1000" s="53" t="s">
        <v>884</v>
      </c>
    </row>
    <row r="1001">
      <c r="A1001" s="54">
        <v>44100.0</v>
      </c>
      <c r="B1001" s="55" t="s">
        <v>770</v>
      </c>
      <c r="C1001" s="56" t="s">
        <v>874</v>
      </c>
      <c r="D1001" s="57" t="s">
        <v>875</v>
      </c>
      <c r="E1001" s="55" t="s">
        <v>876</v>
      </c>
      <c r="F1001" s="58" t="s">
        <v>884</v>
      </c>
    </row>
    <row r="1002">
      <c r="A1002" s="59">
        <v>44101.0</v>
      </c>
      <c r="B1002" s="50" t="s">
        <v>749</v>
      </c>
      <c r="C1002" s="51" t="s">
        <v>874</v>
      </c>
      <c r="D1002" s="52" t="s">
        <v>875</v>
      </c>
      <c r="E1002" s="50" t="s">
        <v>876</v>
      </c>
      <c r="F1002" s="53" t="s">
        <v>884</v>
      </c>
    </row>
    <row r="1003">
      <c r="A1003" s="54">
        <v>44102.0</v>
      </c>
      <c r="B1003" s="55" t="s">
        <v>771</v>
      </c>
      <c r="C1003" s="56" t="s">
        <v>874</v>
      </c>
      <c r="D1003" s="57" t="s">
        <v>875</v>
      </c>
      <c r="E1003" s="55" t="s">
        <v>876</v>
      </c>
      <c r="F1003" s="58" t="s">
        <v>884</v>
      </c>
    </row>
    <row r="1004">
      <c r="A1004" s="59">
        <v>44103.0</v>
      </c>
      <c r="B1004" s="50" t="s">
        <v>772</v>
      </c>
      <c r="C1004" s="51" t="s">
        <v>874</v>
      </c>
      <c r="D1004" s="52" t="s">
        <v>875</v>
      </c>
      <c r="E1004" s="50" t="s">
        <v>876</v>
      </c>
      <c r="F1004" s="53" t="s">
        <v>884</v>
      </c>
    </row>
    <row r="1005">
      <c r="A1005" s="54">
        <v>44104.0</v>
      </c>
      <c r="B1005" s="55" t="s">
        <v>773</v>
      </c>
      <c r="C1005" s="56" t="s">
        <v>874</v>
      </c>
      <c r="D1005" s="57" t="s">
        <v>875</v>
      </c>
      <c r="E1005" s="55" t="s">
        <v>876</v>
      </c>
      <c r="F1005" s="58" t="s">
        <v>884</v>
      </c>
    </row>
    <row r="1006">
      <c r="A1006" s="59">
        <v>44105.0</v>
      </c>
      <c r="B1006" s="50" t="s">
        <v>742</v>
      </c>
      <c r="C1006" s="61" t="s">
        <v>756</v>
      </c>
      <c r="D1006" s="52" t="s">
        <v>877</v>
      </c>
      <c r="E1006" s="50" t="s">
        <v>878</v>
      </c>
      <c r="F1006" s="53" t="s">
        <v>884</v>
      </c>
    </row>
    <row r="1007">
      <c r="A1007" s="54">
        <v>44106.0</v>
      </c>
      <c r="B1007" s="55" t="s">
        <v>744</v>
      </c>
      <c r="C1007" s="60" t="s">
        <v>756</v>
      </c>
      <c r="D1007" s="57" t="s">
        <v>877</v>
      </c>
      <c r="E1007" s="55" t="s">
        <v>878</v>
      </c>
      <c r="F1007" s="58" t="s">
        <v>884</v>
      </c>
    </row>
    <row r="1008">
      <c r="A1008" s="59">
        <v>44107.0</v>
      </c>
      <c r="B1008" s="50" t="s">
        <v>746</v>
      </c>
      <c r="C1008" s="61" t="s">
        <v>756</v>
      </c>
      <c r="D1008" s="52" t="s">
        <v>877</v>
      </c>
      <c r="E1008" s="50" t="s">
        <v>878</v>
      </c>
      <c r="F1008" s="53" t="s">
        <v>884</v>
      </c>
    </row>
    <row r="1009">
      <c r="A1009" s="54">
        <v>44108.0</v>
      </c>
      <c r="B1009" s="55" t="s">
        <v>748</v>
      </c>
      <c r="C1009" s="60" t="s">
        <v>756</v>
      </c>
      <c r="D1009" s="57" t="s">
        <v>877</v>
      </c>
      <c r="E1009" s="55" t="s">
        <v>878</v>
      </c>
      <c r="F1009" s="58" t="s">
        <v>884</v>
      </c>
    </row>
    <row r="1010">
      <c r="A1010" s="59">
        <v>44109.0</v>
      </c>
      <c r="B1010" s="50" t="s">
        <v>750</v>
      </c>
      <c r="C1010" s="61" t="s">
        <v>756</v>
      </c>
      <c r="D1010" s="52" t="s">
        <v>877</v>
      </c>
      <c r="E1010" s="50" t="s">
        <v>878</v>
      </c>
      <c r="F1010" s="53" t="s">
        <v>884</v>
      </c>
    </row>
    <row r="1011">
      <c r="A1011" s="54">
        <v>44110.0</v>
      </c>
      <c r="B1011" s="55" t="s">
        <v>752</v>
      </c>
      <c r="C1011" s="60" t="s">
        <v>756</v>
      </c>
      <c r="D1011" s="57" t="s">
        <v>877</v>
      </c>
      <c r="E1011" s="55" t="s">
        <v>878</v>
      </c>
      <c r="F1011" s="58" t="s">
        <v>884</v>
      </c>
    </row>
    <row r="1012">
      <c r="A1012" s="59">
        <v>44111.0</v>
      </c>
      <c r="B1012" s="50" t="s">
        <v>753</v>
      </c>
      <c r="C1012" s="61" t="s">
        <v>756</v>
      </c>
      <c r="D1012" s="52" t="s">
        <v>877</v>
      </c>
      <c r="E1012" s="50" t="s">
        <v>878</v>
      </c>
      <c r="F1012" s="53" t="s">
        <v>884</v>
      </c>
    </row>
    <row r="1013">
      <c r="A1013" s="54">
        <v>44112.0</v>
      </c>
      <c r="B1013" s="55" t="s">
        <v>754</v>
      </c>
      <c r="C1013" s="60" t="s">
        <v>756</v>
      </c>
      <c r="D1013" s="57" t="s">
        <v>877</v>
      </c>
      <c r="E1013" s="55" t="s">
        <v>878</v>
      </c>
      <c r="F1013" s="58" t="s">
        <v>884</v>
      </c>
    </row>
    <row r="1014">
      <c r="A1014" s="59">
        <v>44113.0</v>
      </c>
      <c r="B1014" s="50" t="s">
        <v>755</v>
      </c>
      <c r="C1014" s="61" t="s">
        <v>756</v>
      </c>
      <c r="D1014" s="52" t="s">
        <v>877</v>
      </c>
      <c r="E1014" s="50" t="s">
        <v>878</v>
      </c>
      <c r="F1014" s="53" t="s">
        <v>884</v>
      </c>
    </row>
    <row r="1015">
      <c r="A1015" s="54">
        <v>44114.0</v>
      </c>
      <c r="B1015" s="55" t="s">
        <v>756</v>
      </c>
      <c r="C1015" s="60" t="s">
        <v>756</v>
      </c>
      <c r="D1015" s="57" t="s">
        <v>877</v>
      </c>
      <c r="E1015" s="55" t="s">
        <v>878</v>
      </c>
      <c r="F1015" s="58" t="s">
        <v>884</v>
      </c>
    </row>
    <row r="1016">
      <c r="A1016" s="59">
        <v>44115.0</v>
      </c>
      <c r="B1016" s="50" t="s">
        <v>758</v>
      </c>
      <c r="C1016" s="61" t="s">
        <v>756</v>
      </c>
      <c r="D1016" s="52" t="s">
        <v>877</v>
      </c>
      <c r="E1016" s="50" t="s">
        <v>878</v>
      </c>
      <c r="F1016" s="53" t="s">
        <v>884</v>
      </c>
    </row>
    <row r="1017">
      <c r="A1017" s="54">
        <v>44116.0</v>
      </c>
      <c r="B1017" s="55" t="s">
        <v>759</v>
      </c>
      <c r="C1017" s="60" t="s">
        <v>756</v>
      </c>
      <c r="D1017" s="57" t="s">
        <v>877</v>
      </c>
      <c r="E1017" s="55" t="s">
        <v>878</v>
      </c>
      <c r="F1017" s="58" t="s">
        <v>884</v>
      </c>
    </row>
    <row r="1018">
      <c r="A1018" s="59">
        <v>44117.0</v>
      </c>
      <c r="B1018" s="50" t="s">
        <v>760</v>
      </c>
      <c r="C1018" s="61" t="s">
        <v>756</v>
      </c>
      <c r="D1018" s="52" t="s">
        <v>877</v>
      </c>
      <c r="E1018" s="50" t="s">
        <v>878</v>
      </c>
      <c r="F1018" s="53" t="s">
        <v>884</v>
      </c>
    </row>
    <row r="1019">
      <c r="A1019" s="54">
        <v>44118.0</v>
      </c>
      <c r="B1019" s="55" t="s">
        <v>761</v>
      </c>
      <c r="C1019" s="60" t="s">
        <v>756</v>
      </c>
      <c r="D1019" s="57" t="s">
        <v>877</v>
      </c>
      <c r="E1019" s="55" t="s">
        <v>878</v>
      </c>
      <c r="F1019" s="58" t="s">
        <v>884</v>
      </c>
    </row>
    <row r="1020">
      <c r="A1020" s="59">
        <v>44119.0</v>
      </c>
      <c r="B1020" s="50" t="s">
        <v>762</v>
      </c>
      <c r="C1020" s="61" t="s">
        <v>756</v>
      </c>
      <c r="D1020" s="52" t="s">
        <v>877</v>
      </c>
      <c r="E1020" s="50" t="s">
        <v>878</v>
      </c>
      <c r="F1020" s="53" t="s">
        <v>884</v>
      </c>
    </row>
    <row r="1021">
      <c r="A1021" s="54">
        <v>44120.0</v>
      </c>
      <c r="B1021" s="55" t="s">
        <v>763</v>
      </c>
      <c r="C1021" s="60" t="s">
        <v>756</v>
      </c>
      <c r="D1021" s="57" t="s">
        <v>877</v>
      </c>
      <c r="E1021" s="55" t="s">
        <v>878</v>
      </c>
      <c r="F1021" s="58" t="s">
        <v>884</v>
      </c>
    </row>
    <row r="1022">
      <c r="A1022" s="59">
        <v>44121.0</v>
      </c>
      <c r="B1022" s="50" t="s">
        <v>764</v>
      </c>
      <c r="C1022" s="61" t="s">
        <v>756</v>
      </c>
      <c r="D1022" s="52" t="s">
        <v>877</v>
      </c>
      <c r="E1022" s="50" t="s">
        <v>878</v>
      </c>
      <c r="F1022" s="53" t="s">
        <v>884</v>
      </c>
    </row>
    <row r="1023">
      <c r="A1023" s="54">
        <v>44122.0</v>
      </c>
      <c r="B1023" s="55" t="s">
        <v>765</v>
      </c>
      <c r="C1023" s="60" t="s">
        <v>756</v>
      </c>
      <c r="D1023" s="57" t="s">
        <v>877</v>
      </c>
      <c r="E1023" s="55" t="s">
        <v>878</v>
      </c>
      <c r="F1023" s="58" t="s">
        <v>884</v>
      </c>
    </row>
    <row r="1024">
      <c r="A1024" s="59">
        <v>44123.0</v>
      </c>
      <c r="B1024" s="50" t="s">
        <v>743</v>
      </c>
      <c r="C1024" s="61" t="s">
        <v>756</v>
      </c>
      <c r="D1024" s="52" t="s">
        <v>877</v>
      </c>
      <c r="E1024" s="50" t="s">
        <v>878</v>
      </c>
      <c r="F1024" s="53" t="s">
        <v>884</v>
      </c>
    </row>
    <row r="1025">
      <c r="A1025" s="54">
        <v>44124.0</v>
      </c>
      <c r="B1025" s="55" t="s">
        <v>766</v>
      </c>
      <c r="C1025" s="60" t="s">
        <v>756</v>
      </c>
      <c r="D1025" s="57" t="s">
        <v>877</v>
      </c>
      <c r="E1025" s="55" t="s">
        <v>878</v>
      </c>
      <c r="F1025" s="58" t="s">
        <v>884</v>
      </c>
    </row>
    <row r="1026">
      <c r="A1026" s="59">
        <v>44125.0</v>
      </c>
      <c r="B1026" s="50" t="s">
        <v>745</v>
      </c>
      <c r="C1026" s="61" t="s">
        <v>756</v>
      </c>
      <c r="D1026" s="52" t="s">
        <v>877</v>
      </c>
      <c r="E1026" s="50" t="s">
        <v>878</v>
      </c>
      <c r="F1026" s="53" t="s">
        <v>884</v>
      </c>
    </row>
    <row r="1027">
      <c r="A1027" s="54">
        <v>44126.0</v>
      </c>
      <c r="B1027" s="55" t="s">
        <v>767</v>
      </c>
      <c r="C1027" s="60" t="s">
        <v>756</v>
      </c>
      <c r="D1027" s="57" t="s">
        <v>877</v>
      </c>
      <c r="E1027" s="55" t="s">
        <v>878</v>
      </c>
      <c r="F1027" s="58" t="s">
        <v>884</v>
      </c>
    </row>
    <row r="1028">
      <c r="A1028" s="59">
        <v>44127.0</v>
      </c>
      <c r="B1028" s="50" t="s">
        <v>768</v>
      </c>
      <c r="C1028" s="61" t="s">
        <v>756</v>
      </c>
      <c r="D1028" s="52" t="s">
        <v>877</v>
      </c>
      <c r="E1028" s="50" t="s">
        <v>878</v>
      </c>
      <c r="F1028" s="53" t="s">
        <v>884</v>
      </c>
    </row>
    <row r="1029">
      <c r="A1029" s="54">
        <v>44128.0</v>
      </c>
      <c r="B1029" s="55" t="s">
        <v>747</v>
      </c>
      <c r="C1029" s="60" t="s">
        <v>756</v>
      </c>
      <c r="D1029" s="57" t="s">
        <v>877</v>
      </c>
      <c r="E1029" s="55" t="s">
        <v>878</v>
      </c>
      <c r="F1029" s="58" t="s">
        <v>884</v>
      </c>
    </row>
    <row r="1030">
      <c r="A1030" s="59">
        <v>44129.0</v>
      </c>
      <c r="B1030" s="50" t="s">
        <v>769</v>
      </c>
      <c r="C1030" s="61" t="s">
        <v>756</v>
      </c>
      <c r="D1030" s="52" t="s">
        <v>877</v>
      </c>
      <c r="E1030" s="50" t="s">
        <v>878</v>
      </c>
      <c r="F1030" s="53" t="s">
        <v>884</v>
      </c>
    </row>
    <row r="1031">
      <c r="A1031" s="54">
        <v>44130.0</v>
      </c>
      <c r="B1031" s="55" t="s">
        <v>770</v>
      </c>
      <c r="C1031" s="60" t="s">
        <v>756</v>
      </c>
      <c r="D1031" s="57" t="s">
        <v>877</v>
      </c>
      <c r="E1031" s="55" t="s">
        <v>878</v>
      </c>
      <c r="F1031" s="58" t="s">
        <v>884</v>
      </c>
    </row>
    <row r="1032">
      <c r="A1032" s="59">
        <v>44131.0</v>
      </c>
      <c r="B1032" s="50" t="s">
        <v>749</v>
      </c>
      <c r="C1032" s="61" t="s">
        <v>756</v>
      </c>
      <c r="D1032" s="52" t="s">
        <v>877</v>
      </c>
      <c r="E1032" s="50" t="s">
        <v>878</v>
      </c>
      <c r="F1032" s="53" t="s">
        <v>884</v>
      </c>
    </row>
    <row r="1033">
      <c r="A1033" s="54">
        <v>44132.0</v>
      </c>
      <c r="B1033" s="55" t="s">
        <v>771</v>
      </c>
      <c r="C1033" s="60" t="s">
        <v>756</v>
      </c>
      <c r="D1033" s="57" t="s">
        <v>877</v>
      </c>
      <c r="E1033" s="55" t="s">
        <v>878</v>
      </c>
      <c r="F1033" s="58" t="s">
        <v>884</v>
      </c>
    </row>
    <row r="1034">
      <c r="A1034" s="59">
        <v>44133.0</v>
      </c>
      <c r="B1034" s="50" t="s">
        <v>772</v>
      </c>
      <c r="C1034" s="61" t="s">
        <v>756</v>
      </c>
      <c r="D1034" s="52" t="s">
        <v>877</v>
      </c>
      <c r="E1034" s="50" t="s">
        <v>878</v>
      </c>
      <c r="F1034" s="53" t="s">
        <v>884</v>
      </c>
    </row>
    <row r="1035">
      <c r="A1035" s="54">
        <v>44134.0</v>
      </c>
      <c r="B1035" s="55" t="s">
        <v>773</v>
      </c>
      <c r="C1035" s="60" t="s">
        <v>756</v>
      </c>
      <c r="D1035" s="57" t="s">
        <v>877</v>
      </c>
      <c r="E1035" s="55" t="s">
        <v>878</v>
      </c>
      <c r="F1035" s="58" t="s">
        <v>884</v>
      </c>
    </row>
    <row r="1036">
      <c r="A1036" s="59">
        <v>44135.0</v>
      </c>
      <c r="B1036" s="50" t="s">
        <v>774</v>
      </c>
      <c r="C1036" s="61" t="s">
        <v>756</v>
      </c>
      <c r="D1036" s="52" t="s">
        <v>877</v>
      </c>
      <c r="E1036" s="50" t="s">
        <v>878</v>
      </c>
      <c r="F1036" s="53" t="s">
        <v>884</v>
      </c>
    </row>
    <row r="1037">
      <c r="A1037" s="54">
        <v>44136.0</v>
      </c>
      <c r="B1037" s="55" t="s">
        <v>742</v>
      </c>
      <c r="C1037" s="60" t="s">
        <v>758</v>
      </c>
      <c r="D1037" s="57" t="s">
        <v>879</v>
      </c>
      <c r="E1037" s="55" t="s">
        <v>880</v>
      </c>
      <c r="F1037" s="58" t="s">
        <v>884</v>
      </c>
    </row>
    <row r="1038">
      <c r="A1038" s="59">
        <v>44137.0</v>
      </c>
      <c r="B1038" s="50" t="s">
        <v>744</v>
      </c>
      <c r="C1038" s="61" t="s">
        <v>758</v>
      </c>
      <c r="D1038" s="52" t="s">
        <v>879</v>
      </c>
      <c r="E1038" s="50" t="s">
        <v>880</v>
      </c>
      <c r="F1038" s="53" t="s">
        <v>884</v>
      </c>
    </row>
    <row r="1039">
      <c r="A1039" s="54">
        <v>44138.0</v>
      </c>
      <c r="B1039" s="55" t="s">
        <v>746</v>
      </c>
      <c r="C1039" s="60" t="s">
        <v>758</v>
      </c>
      <c r="D1039" s="57" t="s">
        <v>879</v>
      </c>
      <c r="E1039" s="55" t="s">
        <v>880</v>
      </c>
      <c r="F1039" s="58" t="s">
        <v>884</v>
      </c>
    </row>
    <row r="1040">
      <c r="A1040" s="59">
        <v>44139.0</v>
      </c>
      <c r="B1040" s="50" t="s">
        <v>748</v>
      </c>
      <c r="C1040" s="61" t="s">
        <v>758</v>
      </c>
      <c r="D1040" s="52" t="s">
        <v>879</v>
      </c>
      <c r="E1040" s="50" t="s">
        <v>880</v>
      </c>
      <c r="F1040" s="53" t="s">
        <v>884</v>
      </c>
    </row>
    <row r="1041">
      <c r="A1041" s="54">
        <v>44140.0</v>
      </c>
      <c r="B1041" s="55" t="s">
        <v>750</v>
      </c>
      <c r="C1041" s="60" t="s">
        <v>758</v>
      </c>
      <c r="D1041" s="57" t="s">
        <v>879</v>
      </c>
      <c r="E1041" s="55" t="s">
        <v>880</v>
      </c>
      <c r="F1041" s="58" t="s">
        <v>884</v>
      </c>
    </row>
    <row r="1042">
      <c r="A1042" s="59">
        <v>44141.0</v>
      </c>
      <c r="B1042" s="50" t="s">
        <v>752</v>
      </c>
      <c r="C1042" s="61" t="s">
        <v>758</v>
      </c>
      <c r="D1042" s="52" t="s">
        <v>879</v>
      </c>
      <c r="E1042" s="50" t="s">
        <v>880</v>
      </c>
      <c r="F1042" s="53" t="s">
        <v>884</v>
      </c>
    </row>
    <row r="1043">
      <c r="A1043" s="54">
        <v>44142.0</v>
      </c>
      <c r="B1043" s="55" t="s">
        <v>753</v>
      </c>
      <c r="C1043" s="60" t="s">
        <v>758</v>
      </c>
      <c r="D1043" s="57" t="s">
        <v>879</v>
      </c>
      <c r="E1043" s="55" t="s">
        <v>880</v>
      </c>
      <c r="F1043" s="58" t="s">
        <v>884</v>
      </c>
    </row>
    <row r="1044">
      <c r="A1044" s="59">
        <v>44143.0</v>
      </c>
      <c r="B1044" s="50" t="s">
        <v>754</v>
      </c>
      <c r="C1044" s="61" t="s">
        <v>758</v>
      </c>
      <c r="D1044" s="52" t="s">
        <v>879</v>
      </c>
      <c r="E1044" s="50" t="s">
        <v>880</v>
      </c>
      <c r="F1044" s="53" t="s">
        <v>884</v>
      </c>
    </row>
    <row r="1045">
      <c r="A1045" s="54">
        <v>44144.0</v>
      </c>
      <c r="B1045" s="55" t="s">
        <v>755</v>
      </c>
      <c r="C1045" s="60" t="s">
        <v>758</v>
      </c>
      <c r="D1045" s="57" t="s">
        <v>879</v>
      </c>
      <c r="E1045" s="55" t="s">
        <v>880</v>
      </c>
      <c r="F1045" s="58" t="s">
        <v>884</v>
      </c>
    </row>
    <row r="1046">
      <c r="A1046" s="59">
        <v>44145.0</v>
      </c>
      <c r="B1046" s="50" t="s">
        <v>756</v>
      </c>
      <c r="C1046" s="61" t="s">
        <v>758</v>
      </c>
      <c r="D1046" s="52" t="s">
        <v>879</v>
      </c>
      <c r="E1046" s="50" t="s">
        <v>880</v>
      </c>
      <c r="F1046" s="53" t="s">
        <v>884</v>
      </c>
    </row>
    <row r="1047">
      <c r="A1047" s="54">
        <v>44146.0</v>
      </c>
      <c r="B1047" s="55" t="s">
        <v>758</v>
      </c>
      <c r="C1047" s="60" t="s">
        <v>758</v>
      </c>
      <c r="D1047" s="57" t="s">
        <v>879</v>
      </c>
      <c r="E1047" s="55" t="s">
        <v>880</v>
      </c>
      <c r="F1047" s="58" t="s">
        <v>884</v>
      </c>
    </row>
    <row r="1048">
      <c r="A1048" s="59">
        <v>44147.0</v>
      </c>
      <c r="B1048" s="50" t="s">
        <v>759</v>
      </c>
      <c r="C1048" s="61" t="s">
        <v>758</v>
      </c>
      <c r="D1048" s="52" t="s">
        <v>879</v>
      </c>
      <c r="E1048" s="50" t="s">
        <v>880</v>
      </c>
      <c r="F1048" s="53" t="s">
        <v>884</v>
      </c>
    </row>
    <row r="1049">
      <c r="A1049" s="54">
        <v>44148.0</v>
      </c>
      <c r="B1049" s="55" t="s">
        <v>760</v>
      </c>
      <c r="C1049" s="60" t="s">
        <v>758</v>
      </c>
      <c r="D1049" s="57" t="s">
        <v>879</v>
      </c>
      <c r="E1049" s="55" t="s">
        <v>880</v>
      </c>
      <c r="F1049" s="58" t="s">
        <v>884</v>
      </c>
    </row>
    <row r="1050">
      <c r="A1050" s="59">
        <v>44149.0</v>
      </c>
      <c r="B1050" s="50" t="s">
        <v>761</v>
      </c>
      <c r="C1050" s="61" t="s">
        <v>758</v>
      </c>
      <c r="D1050" s="52" t="s">
        <v>879</v>
      </c>
      <c r="E1050" s="50" t="s">
        <v>880</v>
      </c>
      <c r="F1050" s="53" t="s">
        <v>884</v>
      </c>
    </row>
    <row r="1051">
      <c r="A1051" s="54">
        <v>44150.0</v>
      </c>
      <c r="B1051" s="55" t="s">
        <v>762</v>
      </c>
      <c r="C1051" s="60" t="s">
        <v>758</v>
      </c>
      <c r="D1051" s="57" t="s">
        <v>879</v>
      </c>
      <c r="E1051" s="55" t="s">
        <v>880</v>
      </c>
      <c r="F1051" s="58" t="s">
        <v>884</v>
      </c>
    </row>
    <row r="1052">
      <c r="A1052" s="59">
        <v>44151.0</v>
      </c>
      <c r="B1052" s="50" t="s">
        <v>763</v>
      </c>
      <c r="C1052" s="61" t="s">
        <v>758</v>
      </c>
      <c r="D1052" s="52" t="s">
        <v>879</v>
      </c>
      <c r="E1052" s="50" t="s">
        <v>880</v>
      </c>
      <c r="F1052" s="53" t="s">
        <v>884</v>
      </c>
    </row>
    <row r="1053">
      <c r="A1053" s="54">
        <v>44152.0</v>
      </c>
      <c r="B1053" s="55" t="s">
        <v>764</v>
      </c>
      <c r="C1053" s="60" t="s">
        <v>758</v>
      </c>
      <c r="D1053" s="57" t="s">
        <v>879</v>
      </c>
      <c r="E1053" s="55" t="s">
        <v>880</v>
      </c>
      <c r="F1053" s="58" t="s">
        <v>884</v>
      </c>
    </row>
    <row r="1054">
      <c r="A1054" s="59">
        <v>44153.0</v>
      </c>
      <c r="B1054" s="50" t="s">
        <v>765</v>
      </c>
      <c r="C1054" s="61" t="s">
        <v>758</v>
      </c>
      <c r="D1054" s="52" t="s">
        <v>879</v>
      </c>
      <c r="E1054" s="50" t="s">
        <v>880</v>
      </c>
      <c r="F1054" s="53" t="s">
        <v>884</v>
      </c>
    </row>
    <row r="1055">
      <c r="A1055" s="54">
        <v>44154.0</v>
      </c>
      <c r="B1055" s="55" t="s">
        <v>743</v>
      </c>
      <c r="C1055" s="60" t="s">
        <v>758</v>
      </c>
      <c r="D1055" s="57" t="s">
        <v>879</v>
      </c>
      <c r="E1055" s="55" t="s">
        <v>880</v>
      </c>
      <c r="F1055" s="58" t="s">
        <v>884</v>
      </c>
    </row>
    <row r="1056">
      <c r="A1056" s="59">
        <v>44155.0</v>
      </c>
      <c r="B1056" s="50" t="s">
        <v>766</v>
      </c>
      <c r="C1056" s="61" t="s">
        <v>758</v>
      </c>
      <c r="D1056" s="52" t="s">
        <v>879</v>
      </c>
      <c r="E1056" s="50" t="s">
        <v>880</v>
      </c>
      <c r="F1056" s="53" t="s">
        <v>884</v>
      </c>
    </row>
    <row r="1057">
      <c r="A1057" s="54">
        <v>44156.0</v>
      </c>
      <c r="B1057" s="55" t="s">
        <v>745</v>
      </c>
      <c r="C1057" s="60" t="s">
        <v>758</v>
      </c>
      <c r="D1057" s="57" t="s">
        <v>879</v>
      </c>
      <c r="E1057" s="55" t="s">
        <v>880</v>
      </c>
      <c r="F1057" s="58" t="s">
        <v>884</v>
      </c>
    </row>
    <row r="1058">
      <c r="A1058" s="59">
        <v>44157.0</v>
      </c>
      <c r="B1058" s="50" t="s">
        <v>767</v>
      </c>
      <c r="C1058" s="61" t="s">
        <v>758</v>
      </c>
      <c r="D1058" s="52" t="s">
        <v>879</v>
      </c>
      <c r="E1058" s="50" t="s">
        <v>880</v>
      </c>
      <c r="F1058" s="53" t="s">
        <v>884</v>
      </c>
    </row>
    <row r="1059">
      <c r="A1059" s="54">
        <v>44158.0</v>
      </c>
      <c r="B1059" s="55" t="s">
        <v>768</v>
      </c>
      <c r="C1059" s="60" t="s">
        <v>758</v>
      </c>
      <c r="D1059" s="57" t="s">
        <v>879</v>
      </c>
      <c r="E1059" s="55" t="s">
        <v>880</v>
      </c>
      <c r="F1059" s="58" t="s">
        <v>884</v>
      </c>
    </row>
    <row r="1060">
      <c r="A1060" s="59">
        <v>44159.0</v>
      </c>
      <c r="B1060" s="50" t="s">
        <v>747</v>
      </c>
      <c r="C1060" s="61" t="s">
        <v>758</v>
      </c>
      <c r="D1060" s="52" t="s">
        <v>879</v>
      </c>
      <c r="E1060" s="50" t="s">
        <v>880</v>
      </c>
      <c r="F1060" s="53" t="s">
        <v>884</v>
      </c>
    </row>
    <row r="1061">
      <c r="A1061" s="54">
        <v>44160.0</v>
      </c>
      <c r="B1061" s="55" t="s">
        <v>769</v>
      </c>
      <c r="C1061" s="60" t="s">
        <v>758</v>
      </c>
      <c r="D1061" s="57" t="s">
        <v>879</v>
      </c>
      <c r="E1061" s="55" t="s">
        <v>880</v>
      </c>
      <c r="F1061" s="58" t="s">
        <v>884</v>
      </c>
    </row>
    <row r="1062">
      <c r="A1062" s="59">
        <v>44161.0</v>
      </c>
      <c r="B1062" s="50" t="s">
        <v>770</v>
      </c>
      <c r="C1062" s="61" t="s">
        <v>758</v>
      </c>
      <c r="D1062" s="52" t="s">
        <v>879</v>
      </c>
      <c r="E1062" s="50" t="s">
        <v>880</v>
      </c>
      <c r="F1062" s="53" t="s">
        <v>884</v>
      </c>
    </row>
    <row r="1063">
      <c r="A1063" s="54">
        <v>44162.0</v>
      </c>
      <c r="B1063" s="55" t="s">
        <v>749</v>
      </c>
      <c r="C1063" s="60" t="s">
        <v>758</v>
      </c>
      <c r="D1063" s="57" t="s">
        <v>879</v>
      </c>
      <c r="E1063" s="55" t="s">
        <v>880</v>
      </c>
      <c r="F1063" s="58" t="s">
        <v>884</v>
      </c>
    </row>
    <row r="1064">
      <c r="A1064" s="59">
        <v>44163.0</v>
      </c>
      <c r="B1064" s="50" t="s">
        <v>771</v>
      </c>
      <c r="C1064" s="61" t="s">
        <v>758</v>
      </c>
      <c r="D1064" s="52" t="s">
        <v>879</v>
      </c>
      <c r="E1064" s="50" t="s">
        <v>880</v>
      </c>
      <c r="F1064" s="53" t="s">
        <v>884</v>
      </c>
    </row>
    <row r="1065">
      <c r="A1065" s="54">
        <v>44164.0</v>
      </c>
      <c r="B1065" s="55" t="s">
        <v>772</v>
      </c>
      <c r="C1065" s="60" t="s">
        <v>758</v>
      </c>
      <c r="D1065" s="57" t="s">
        <v>879</v>
      </c>
      <c r="E1065" s="55" t="s">
        <v>880</v>
      </c>
      <c r="F1065" s="58" t="s">
        <v>884</v>
      </c>
    </row>
    <row r="1066">
      <c r="A1066" s="59">
        <v>44165.0</v>
      </c>
      <c r="B1066" s="50" t="s">
        <v>773</v>
      </c>
      <c r="C1066" s="61" t="s">
        <v>758</v>
      </c>
      <c r="D1066" s="52" t="s">
        <v>879</v>
      </c>
      <c r="E1066" s="50" t="s">
        <v>880</v>
      </c>
      <c r="F1066" s="53" t="s">
        <v>884</v>
      </c>
    </row>
    <row r="1067">
      <c r="A1067" s="54">
        <v>44166.0</v>
      </c>
      <c r="B1067" s="55" t="s">
        <v>742</v>
      </c>
      <c r="C1067" s="60" t="s">
        <v>759</v>
      </c>
      <c r="D1067" s="57" t="s">
        <v>881</v>
      </c>
      <c r="E1067" s="55" t="s">
        <v>882</v>
      </c>
      <c r="F1067" s="58" t="s">
        <v>884</v>
      </c>
    </row>
    <row r="1068">
      <c r="A1068" s="59">
        <v>44167.0</v>
      </c>
      <c r="B1068" s="50" t="s">
        <v>744</v>
      </c>
      <c r="C1068" s="61" t="s">
        <v>759</v>
      </c>
      <c r="D1068" s="52" t="s">
        <v>881</v>
      </c>
      <c r="E1068" s="50" t="s">
        <v>882</v>
      </c>
      <c r="F1068" s="53" t="s">
        <v>884</v>
      </c>
    </row>
    <row r="1069">
      <c r="A1069" s="54">
        <v>44168.0</v>
      </c>
      <c r="B1069" s="55" t="s">
        <v>746</v>
      </c>
      <c r="C1069" s="60" t="s">
        <v>759</v>
      </c>
      <c r="D1069" s="57" t="s">
        <v>881</v>
      </c>
      <c r="E1069" s="55" t="s">
        <v>882</v>
      </c>
      <c r="F1069" s="58" t="s">
        <v>884</v>
      </c>
    </row>
    <row r="1070">
      <c r="A1070" s="59">
        <v>44169.0</v>
      </c>
      <c r="B1070" s="50" t="s">
        <v>748</v>
      </c>
      <c r="C1070" s="61" t="s">
        <v>759</v>
      </c>
      <c r="D1070" s="52" t="s">
        <v>881</v>
      </c>
      <c r="E1070" s="50" t="s">
        <v>882</v>
      </c>
      <c r="F1070" s="53" t="s">
        <v>884</v>
      </c>
    </row>
    <row r="1071">
      <c r="A1071" s="54">
        <v>44170.0</v>
      </c>
      <c r="B1071" s="55" t="s">
        <v>750</v>
      </c>
      <c r="C1071" s="60" t="s">
        <v>759</v>
      </c>
      <c r="D1071" s="57" t="s">
        <v>881</v>
      </c>
      <c r="E1071" s="55" t="s">
        <v>882</v>
      </c>
      <c r="F1071" s="58" t="s">
        <v>884</v>
      </c>
    </row>
    <row r="1072">
      <c r="A1072" s="59">
        <v>44171.0</v>
      </c>
      <c r="B1072" s="50" t="s">
        <v>752</v>
      </c>
      <c r="C1072" s="61" t="s">
        <v>759</v>
      </c>
      <c r="D1072" s="52" t="s">
        <v>881</v>
      </c>
      <c r="E1072" s="50" t="s">
        <v>882</v>
      </c>
      <c r="F1072" s="53" t="s">
        <v>884</v>
      </c>
    </row>
    <row r="1073">
      <c r="A1073" s="54">
        <v>44172.0</v>
      </c>
      <c r="B1073" s="55" t="s">
        <v>753</v>
      </c>
      <c r="C1073" s="60" t="s">
        <v>759</v>
      </c>
      <c r="D1073" s="57" t="s">
        <v>881</v>
      </c>
      <c r="E1073" s="55" t="s">
        <v>882</v>
      </c>
      <c r="F1073" s="58" t="s">
        <v>884</v>
      </c>
    </row>
    <row r="1074">
      <c r="A1074" s="59">
        <v>44173.0</v>
      </c>
      <c r="B1074" s="50" t="s">
        <v>754</v>
      </c>
      <c r="C1074" s="61" t="s">
        <v>759</v>
      </c>
      <c r="D1074" s="52" t="s">
        <v>881</v>
      </c>
      <c r="E1074" s="50" t="s">
        <v>882</v>
      </c>
      <c r="F1074" s="53" t="s">
        <v>884</v>
      </c>
    </row>
    <row r="1075">
      <c r="A1075" s="54">
        <v>44174.0</v>
      </c>
      <c r="B1075" s="55" t="s">
        <v>755</v>
      </c>
      <c r="C1075" s="60" t="s">
        <v>759</v>
      </c>
      <c r="D1075" s="57" t="s">
        <v>881</v>
      </c>
      <c r="E1075" s="55" t="s">
        <v>882</v>
      </c>
      <c r="F1075" s="58" t="s">
        <v>884</v>
      </c>
    </row>
    <row r="1076">
      <c r="A1076" s="59">
        <v>44175.0</v>
      </c>
      <c r="B1076" s="50" t="s">
        <v>756</v>
      </c>
      <c r="C1076" s="61" t="s">
        <v>759</v>
      </c>
      <c r="D1076" s="52" t="s">
        <v>881</v>
      </c>
      <c r="E1076" s="50" t="s">
        <v>882</v>
      </c>
      <c r="F1076" s="53" t="s">
        <v>884</v>
      </c>
    </row>
    <row r="1077">
      <c r="A1077" s="54">
        <v>44176.0</v>
      </c>
      <c r="B1077" s="55" t="s">
        <v>758</v>
      </c>
      <c r="C1077" s="60" t="s">
        <v>759</v>
      </c>
      <c r="D1077" s="57" t="s">
        <v>881</v>
      </c>
      <c r="E1077" s="55" t="s">
        <v>882</v>
      </c>
      <c r="F1077" s="58" t="s">
        <v>884</v>
      </c>
    </row>
    <row r="1078">
      <c r="A1078" s="59">
        <v>44177.0</v>
      </c>
      <c r="B1078" s="50" t="s">
        <v>759</v>
      </c>
      <c r="C1078" s="61" t="s">
        <v>759</v>
      </c>
      <c r="D1078" s="52" t="s">
        <v>881</v>
      </c>
      <c r="E1078" s="50" t="s">
        <v>882</v>
      </c>
      <c r="F1078" s="53" t="s">
        <v>884</v>
      </c>
    </row>
    <row r="1079">
      <c r="A1079" s="54">
        <v>44178.0</v>
      </c>
      <c r="B1079" s="55" t="s">
        <v>760</v>
      </c>
      <c r="C1079" s="60" t="s">
        <v>759</v>
      </c>
      <c r="D1079" s="57" t="s">
        <v>881</v>
      </c>
      <c r="E1079" s="55" t="s">
        <v>882</v>
      </c>
      <c r="F1079" s="58" t="s">
        <v>884</v>
      </c>
    </row>
    <row r="1080">
      <c r="A1080" s="59">
        <v>44179.0</v>
      </c>
      <c r="B1080" s="50" t="s">
        <v>761</v>
      </c>
      <c r="C1080" s="61" t="s">
        <v>759</v>
      </c>
      <c r="D1080" s="52" t="s">
        <v>881</v>
      </c>
      <c r="E1080" s="50" t="s">
        <v>882</v>
      </c>
      <c r="F1080" s="53" t="s">
        <v>884</v>
      </c>
    </row>
    <row r="1081">
      <c r="A1081" s="54">
        <v>44180.0</v>
      </c>
      <c r="B1081" s="55" t="s">
        <v>762</v>
      </c>
      <c r="C1081" s="60" t="s">
        <v>759</v>
      </c>
      <c r="D1081" s="57" t="s">
        <v>881</v>
      </c>
      <c r="E1081" s="55" t="s">
        <v>882</v>
      </c>
      <c r="F1081" s="58" t="s">
        <v>884</v>
      </c>
    </row>
    <row r="1082">
      <c r="A1082" s="59">
        <v>44181.0</v>
      </c>
      <c r="B1082" s="50" t="s">
        <v>763</v>
      </c>
      <c r="C1082" s="61" t="s">
        <v>759</v>
      </c>
      <c r="D1082" s="52" t="s">
        <v>881</v>
      </c>
      <c r="E1082" s="50" t="s">
        <v>882</v>
      </c>
      <c r="F1082" s="53" t="s">
        <v>884</v>
      </c>
    </row>
    <row r="1083">
      <c r="A1083" s="54">
        <v>44182.0</v>
      </c>
      <c r="B1083" s="55" t="s">
        <v>764</v>
      </c>
      <c r="C1083" s="60" t="s">
        <v>759</v>
      </c>
      <c r="D1083" s="57" t="s">
        <v>881</v>
      </c>
      <c r="E1083" s="55" t="s">
        <v>882</v>
      </c>
      <c r="F1083" s="58" t="s">
        <v>884</v>
      </c>
    </row>
    <row r="1084">
      <c r="A1084" s="59">
        <v>44183.0</v>
      </c>
      <c r="B1084" s="50" t="s">
        <v>765</v>
      </c>
      <c r="C1084" s="61" t="s">
        <v>759</v>
      </c>
      <c r="D1084" s="52" t="s">
        <v>881</v>
      </c>
      <c r="E1084" s="50" t="s">
        <v>882</v>
      </c>
      <c r="F1084" s="53" t="s">
        <v>884</v>
      </c>
    </row>
    <row r="1085">
      <c r="A1085" s="54">
        <v>44184.0</v>
      </c>
      <c r="B1085" s="55" t="s">
        <v>743</v>
      </c>
      <c r="C1085" s="60" t="s">
        <v>759</v>
      </c>
      <c r="D1085" s="57" t="s">
        <v>881</v>
      </c>
      <c r="E1085" s="55" t="s">
        <v>882</v>
      </c>
      <c r="F1085" s="58" t="s">
        <v>884</v>
      </c>
    </row>
    <row r="1086">
      <c r="A1086" s="59">
        <v>44185.0</v>
      </c>
      <c r="B1086" s="50" t="s">
        <v>766</v>
      </c>
      <c r="C1086" s="61" t="s">
        <v>759</v>
      </c>
      <c r="D1086" s="52" t="s">
        <v>881</v>
      </c>
      <c r="E1086" s="50" t="s">
        <v>882</v>
      </c>
      <c r="F1086" s="53" t="s">
        <v>884</v>
      </c>
    </row>
    <row r="1087">
      <c r="A1087" s="54">
        <v>44186.0</v>
      </c>
      <c r="B1087" s="55" t="s">
        <v>745</v>
      </c>
      <c r="C1087" s="60" t="s">
        <v>759</v>
      </c>
      <c r="D1087" s="57" t="s">
        <v>881</v>
      </c>
      <c r="E1087" s="55" t="s">
        <v>882</v>
      </c>
      <c r="F1087" s="58" t="s">
        <v>884</v>
      </c>
    </row>
    <row r="1088">
      <c r="A1088" s="59">
        <v>44187.0</v>
      </c>
      <c r="B1088" s="50" t="s">
        <v>767</v>
      </c>
      <c r="C1088" s="61" t="s">
        <v>759</v>
      </c>
      <c r="D1088" s="52" t="s">
        <v>881</v>
      </c>
      <c r="E1088" s="50" t="s">
        <v>882</v>
      </c>
      <c r="F1088" s="53" t="s">
        <v>884</v>
      </c>
    </row>
    <row r="1089">
      <c r="A1089" s="54">
        <v>44188.0</v>
      </c>
      <c r="B1089" s="55" t="s">
        <v>768</v>
      </c>
      <c r="C1089" s="60" t="s">
        <v>759</v>
      </c>
      <c r="D1089" s="57" t="s">
        <v>881</v>
      </c>
      <c r="E1089" s="55" t="s">
        <v>882</v>
      </c>
      <c r="F1089" s="58" t="s">
        <v>884</v>
      </c>
    </row>
    <row r="1090">
      <c r="A1090" s="59">
        <v>44189.0</v>
      </c>
      <c r="B1090" s="50" t="s">
        <v>747</v>
      </c>
      <c r="C1090" s="61" t="s">
        <v>759</v>
      </c>
      <c r="D1090" s="52" t="s">
        <v>881</v>
      </c>
      <c r="E1090" s="50" t="s">
        <v>882</v>
      </c>
      <c r="F1090" s="53" t="s">
        <v>884</v>
      </c>
    </row>
    <row r="1091">
      <c r="A1091" s="54">
        <v>44190.0</v>
      </c>
      <c r="B1091" s="55" t="s">
        <v>769</v>
      </c>
      <c r="C1091" s="60" t="s">
        <v>759</v>
      </c>
      <c r="D1091" s="57" t="s">
        <v>881</v>
      </c>
      <c r="E1091" s="55" t="s">
        <v>882</v>
      </c>
      <c r="F1091" s="58" t="s">
        <v>884</v>
      </c>
    </row>
    <row r="1092">
      <c r="A1092" s="59">
        <v>44191.0</v>
      </c>
      <c r="B1092" s="50" t="s">
        <v>770</v>
      </c>
      <c r="C1092" s="61" t="s">
        <v>759</v>
      </c>
      <c r="D1092" s="52" t="s">
        <v>881</v>
      </c>
      <c r="E1092" s="50" t="s">
        <v>882</v>
      </c>
      <c r="F1092" s="53" t="s">
        <v>884</v>
      </c>
    </row>
    <row r="1093">
      <c r="A1093" s="54">
        <v>44192.0</v>
      </c>
      <c r="B1093" s="55" t="s">
        <v>749</v>
      </c>
      <c r="C1093" s="60" t="s">
        <v>759</v>
      </c>
      <c r="D1093" s="57" t="s">
        <v>881</v>
      </c>
      <c r="E1093" s="55" t="s">
        <v>882</v>
      </c>
      <c r="F1093" s="58" t="s">
        <v>884</v>
      </c>
    </row>
    <row r="1094">
      <c r="A1094" s="59">
        <v>44193.0</v>
      </c>
      <c r="B1094" s="50" t="s">
        <v>771</v>
      </c>
      <c r="C1094" s="61" t="s">
        <v>759</v>
      </c>
      <c r="D1094" s="52" t="s">
        <v>881</v>
      </c>
      <c r="E1094" s="50" t="s">
        <v>882</v>
      </c>
      <c r="F1094" s="53" t="s">
        <v>884</v>
      </c>
    </row>
    <row r="1095">
      <c r="A1095" s="54">
        <v>44194.0</v>
      </c>
      <c r="B1095" s="55" t="s">
        <v>772</v>
      </c>
      <c r="C1095" s="60" t="s">
        <v>759</v>
      </c>
      <c r="D1095" s="57" t="s">
        <v>881</v>
      </c>
      <c r="E1095" s="55" t="s">
        <v>882</v>
      </c>
      <c r="F1095" s="58" t="s">
        <v>884</v>
      </c>
    </row>
    <row r="1096">
      <c r="A1096" s="59">
        <v>44195.0</v>
      </c>
      <c r="B1096" s="50" t="s">
        <v>773</v>
      </c>
      <c r="C1096" s="61" t="s">
        <v>759</v>
      </c>
      <c r="D1096" s="52" t="s">
        <v>881</v>
      </c>
      <c r="E1096" s="50" t="s">
        <v>882</v>
      </c>
      <c r="F1096" s="53" t="s">
        <v>884</v>
      </c>
    </row>
    <row r="1097">
      <c r="A1097" s="54">
        <v>44196.0</v>
      </c>
      <c r="B1097" s="55" t="s">
        <v>774</v>
      </c>
      <c r="C1097" s="60" t="s">
        <v>759</v>
      </c>
      <c r="D1097" s="57" t="s">
        <v>881</v>
      </c>
      <c r="E1097" s="55" t="s">
        <v>882</v>
      </c>
      <c r="F1097" s="58" t="s">
        <v>884</v>
      </c>
    </row>
    <row r="1098">
      <c r="A1098" s="59">
        <v>44197.0</v>
      </c>
      <c r="B1098" s="50" t="s">
        <v>742</v>
      </c>
      <c r="C1098" s="51" t="s">
        <v>849</v>
      </c>
      <c r="D1098" s="52" t="s">
        <v>850</v>
      </c>
      <c r="E1098" s="50" t="s">
        <v>851</v>
      </c>
      <c r="F1098" s="53" t="s">
        <v>885</v>
      </c>
    </row>
    <row r="1099">
      <c r="A1099" s="54">
        <v>44198.0</v>
      </c>
      <c r="B1099" s="55" t="s">
        <v>744</v>
      </c>
      <c r="C1099" s="56" t="s">
        <v>849</v>
      </c>
      <c r="D1099" s="57" t="s">
        <v>850</v>
      </c>
      <c r="E1099" s="55" t="s">
        <v>851</v>
      </c>
      <c r="F1099" s="58" t="s">
        <v>885</v>
      </c>
    </row>
    <row r="1100">
      <c r="A1100" s="59">
        <v>44199.0</v>
      </c>
      <c r="B1100" s="50" t="s">
        <v>746</v>
      </c>
      <c r="C1100" s="51" t="s">
        <v>849</v>
      </c>
      <c r="D1100" s="52" t="s">
        <v>850</v>
      </c>
      <c r="E1100" s="50" t="s">
        <v>851</v>
      </c>
      <c r="F1100" s="53" t="s">
        <v>885</v>
      </c>
    </row>
    <row r="1101">
      <c r="A1101" s="54">
        <v>44200.0</v>
      </c>
      <c r="B1101" s="55" t="s">
        <v>748</v>
      </c>
      <c r="C1101" s="56" t="s">
        <v>849</v>
      </c>
      <c r="D1101" s="57" t="s">
        <v>850</v>
      </c>
      <c r="E1101" s="55" t="s">
        <v>851</v>
      </c>
      <c r="F1101" s="58" t="s">
        <v>885</v>
      </c>
    </row>
    <row r="1102">
      <c r="A1102" s="59">
        <v>44201.0</v>
      </c>
      <c r="B1102" s="50" t="s">
        <v>750</v>
      </c>
      <c r="C1102" s="51" t="s">
        <v>849</v>
      </c>
      <c r="D1102" s="52" t="s">
        <v>850</v>
      </c>
      <c r="E1102" s="50" t="s">
        <v>851</v>
      </c>
      <c r="F1102" s="53" t="s">
        <v>885</v>
      </c>
    </row>
    <row r="1103">
      <c r="A1103" s="54">
        <v>44202.0</v>
      </c>
      <c r="B1103" s="55" t="s">
        <v>752</v>
      </c>
      <c r="C1103" s="56" t="s">
        <v>849</v>
      </c>
      <c r="D1103" s="57" t="s">
        <v>850</v>
      </c>
      <c r="E1103" s="55" t="s">
        <v>851</v>
      </c>
      <c r="F1103" s="58" t="s">
        <v>885</v>
      </c>
    </row>
    <row r="1104">
      <c r="A1104" s="59">
        <v>44203.0</v>
      </c>
      <c r="B1104" s="50" t="s">
        <v>753</v>
      </c>
      <c r="C1104" s="51" t="s">
        <v>849</v>
      </c>
      <c r="D1104" s="52" t="s">
        <v>850</v>
      </c>
      <c r="E1104" s="50" t="s">
        <v>851</v>
      </c>
      <c r="F1104" s="53" t="s">
        <v>885</v>
      </c>
    </row>
    <row r="1105">
      <c r="A1105" s="54">
        <v>44204.0</v>
      </c>
      <c r="B1105" s="55" t="s">
        <v>754</v>
      </c>
      <c r="C1105" s="56" t="s">
        <v>849</v>
      </c>
      <c r="D1105" s="57" t="s">
        <v>850</v>
      </c>
      <c r="E1105" s="55" t="s">
        <v>851</v>
      </c>
      <c r="F1105" s="58" t="s">
        <v>885</v>
      </c>
    </row>
    <row r="1106">
      <c r="A1106" s="59">
        <v>44205.0</v>
      </c>
      <c r="B1106" s="50" t="s">
        <v>755</v>
      </c>
      <c r="C1106" s="51" t="s">
        <v>849</v>
      </c>
      <c r="D1106" s="52" t="s">
        <v>850</v>
      </c>
      <c r="E1106" s="50" t="s">
        <v>851</v>
      </c>
      <c r="F1106" s="53" t="s">
        <v>885</v>
      </c>
    </row>
    <row r="1107">
      <c r="A1107" s="54">
        <v>44206.0</v>
      </c>
      <c r="B1107" s="55" t="s">
        <v>756</v>
      </c>
      <c r="C1107" s="56" t="s">
        <v>849</v>
      </c>
      <c r="D1107" s="57" t="s">
        <v>850</v>
      </c>
      <c r="E1107" s="55" t="s">
        <v>851</v>
      </c>
      <c r="F1107" s="58" t="s">
        <v>885</v>
      </c>
    </row>
    <row r="1108">
      <c r="A1108" s="59">
        <v>44207.0</v>
      </c>
      <c r="B1108" s="50" t="s">
        <v>758</v>
      </c>
      <c r="C1108" s="51" t="s">
        <v>849</v>
      </c>
      <c r="D1108" s="52" t="s">
        <v>850</v>
      </c>
      <c r="E1108" s="50" t="s">
        <v>851</v>
      </c>
      <c r="F1108" s="53" t="s">
        <v>885</v>
      </c>
    </row>
    <row r="1109">
      <c r="A1109" s="54">
        <v>44208.0</v>
      </c>
      <c r="B1109" s="55" t="s">
        <v>759</v>
      </c>
      <c r="C1109" s="56" t="s">
        <v>849</v>
      </c>
      <c r="D1109" s="57" t="s">
        <v>850</v>
      </c>
      <c r="E1109" s="55" t="s">
        <v>851</v>
      </c>
      <c r="F1109" s="58" t="s">
        <v>885</v>
      </c>
    </row>
    <row r="1110">
      <c r="A1110" s="59">
        <v>44209.0</v>
      </c>
      <c r="B1110" s="50" t="s">
        <v>760</v>
      </c>
      <c r="C1110" s="51" t="s">
        <v>849</v>
      </c>
      <c r="D1110" s="52" t="s">
        <v>850</v>
      </c>
      <c r="E1110" s="50" t="s">
        <v>851</v>
      </c>
      <c r="F1110" s="53" t="s">
        <v>885</v>
      </c>
    </row>
    <row r="1111">
      <c r="A1111" s="54">
        <v>44210.0</v>
      </c>
      <c r="B1111" s="55" t="s">
        <v>761</v>
      </c>
      <c r="C1111" s="56" t="s">
        <v>849</v>
      </c>
      <c r="D1111" s="57" t="s">
        <v>850</v>
      </c>
      <c r="E1111" s="55" t="s">
        <v>851</v>
      </c>
      <c r="F1111" s="58" t="s">
        <v>885</v>
      </c>
    </row>
    <row r="1112">
      <c r="A1112" s="59">
        <v>44211.0</v>
      </c>
      <c r="B1112" s="50" t="s">
        <v>762</v>
      </c>
      <c r="C1112" s="51" t="s">
        <v>849</v>
      </c>
      <c r="D1112" s="52" t="s">
        <v>850</v>
      </c>
      <c r="E1112" s="50" t="s">
        <v>851</v>
      </c>
      <c r="F1112" s="53" t="s">
        <v>885</v>
      </c>
    </row>
    <row r="1113">
      <c r="A1113" s="54">
        <v>44212.0</v>
      </c>
      <c r="B1113" s="55" t="s">
        <v>763</v>
      </c>
      <c r="C1113" s="56" t="s">
        <v>849</v>
      </c>
      <c r="D1113" s="57" t="s">
        <v>850</v>
      </c>
      <c r="E1113" s="55" t="s">
        <v>851</v>
      </c>
      <c r="F1113" s="58" t="s">
        <v>885</v>
      </c>
    </row>
    <row r="1114">
      <c r="A1114" s="59">
        <v>44213.0</v>
      </c>
      <c r="B1114" s="50" t="s">
        <v>764</v>
      </c>
      <c r="C1114" s="51" t="s">
        <v>849</v>
      </c>
      <c r="D1114" s="52" t="s">
        <v>850</v>
      </c>
      <c r="E1114" s="50" t="s">
        <v>851</v>
      </c>
      <c r="F1114" s="53" t="s">
        <v>885</v>
      </c>
    </row>
    <row r="1115">
      <c r="A1115" s="54">
        <v>44214.0</v>
      </c>
      <c r="B1115" s="55" t="s">
        <v>765</v>
      </c>
      <c r="C1115" s="56" t="s">
        <v>849</v>
      </c>
      <c r="D1115" s="57" t="s">
        <v>850</v>
      </c>
      <c r="E1115" s="55" t="s">
        <v>851</v>
      </c>
      <c r="F1115" s="58" t="s">
        <v>885</v>
      </c>
    </row>
    <row r="1116">
      <c r="A1116" s="59">
        <v>44215.0</v>
      </c>
      <c r="B1116" s="50" t="s">
        <v>743</v>
      </c>
      <c r="C1116" s="51" t="s">
        <v>849</v>
      </c>
      <c r="D1116" s="52" t="s">
        <v>850</v>
      </c>
      <c r="E1116" s="50" t="s">
        <v>851</v>
      </c>
      <c r="F1116" s="53" t="s">
        <v>885</v>
      </c>
    </row>
    <row r="1117">
      <c r="A1117" s="54">
        <v>44216.0</v>
      </c>
      <c r="B1117" s="55" t="s">
        <v>766</v>
      </c>
      <c r="C1117" s="56" t="s">
        <v>849</v>
      </c>
      <c r="D1117" s="57" t="s">
        <v>850</v>
      </c>
      <c r="E1117" s="55" t="s">
        <v>851</v>
      </c>
      <c r="F1117" s="58" t="s">
        <v>885</v>
      </c>
    </row>
    <row r="1118">
      <c r="A1118" s="59">
        <v>44217.0</v>
      </c>
      <c r="B1118" s="50" t="s">
        <v>745</v>
      </c>
      <c r="C1118" s="51" t="s">
        <v>849</v>
      </c>
      <c r="D1118" s="52" t="s">
        <v>850</v>
      </c>
      <c r="E1118" s="50" t="s">
        <v>851</v>
      </c>
      <c r="F1118" s="53" t="s">
        <v>885</v>
      </c>
    </row>
    <row r="1119">
      <c r="A1119" s="54">
        <v>44218.0</v>
      </c>
      <c r="B1119" s="55" t="s">
        <v>767</v>
      </c>
      <c r="C1119" s="56" t="s">
        <v>849</v>
      </c>
      <c r="D1119" s="57" t="s">
        <v>850</v>
      </c>
      <c r="E1119" s="55" t="s">
        <v>851</v>
      </c>
      <c r="F1119" s="58" t="s">
        <v>885</v>
      </c>
    </row>
    <row r="1120">
      <c r="A1120" s="59">
        <v>44219.0</v>
      </c>
      <c r="B1120" s="50" t="s">
        <v>768</v>
      </c>
      <c r="C1120" s="51" t="s">
        <v>849</v>
      </c>
      <c r="D1120" s="52" t="s">
        <v>850</v>
      </c>
      <c r="E1120" s="50" t="s">
        <v>851</v>
      </c>
      <c r="F1120" s="53" t="s">
        <v>885</v>
      </c>
    </row>
    <row r="1121">
      <c r="A1121" s="54">
        <v>44220.0</v>
      </c>
      <c r="B1121" s="55" t="s">
        <v>747</v>
      </c>
      <c r="C1121" s="56" t="s">
        <v>849</v>
      </c>
      <c r="D1121" s="57" t="s">
        <v>850</v>
      </c>
      <c r="E1121" s="55" t="s">
        <v>851</v>
      </c>
      <c r="F1121" s="58" t="s">
        <v>885</v>
      </c>
    </row>
    <row r="1122">
      <c r="A1122" s="59">
        <v>44221.0</v>
      </c>
      <c r="B1122" s="50" t="s">
        <v>769</v>
      </c>
      <c r="C1122" s="51" t="s">
        <v>849</v>
      </c>
      <c r="D1122" s="52" t="s">
        <v>850</v>
      </c>
      <c r="E1122" s="50" t="s">
        <v>851</v>
      </c>
      <c r="F1122" s="53" t="s">
        <v>885</v>
      </c>
    </row>
    <row r="1123">
      <c r="A1123" s="54">
        <v>44222.0</v>
      </c>
      <c r="B1123" s="55" t="s">
        <v>770</v>
      </c>
      <c r="C1123" s="56" t="s">
        <v>849</v>
      </c>
      <c r="D1123" s="57" t="s">
        <v>850</v>
      </c>
      <c r="E1123" s="55" t="s">
        <v>851</v>
      </c>
      <c r="F1123" s="58" t="s">
        <v>885</v>
      </c>
    </row>
    <row r="1124">
      <c r="A1124" s="59">
        <v>44223.0</v>
      </c>
      <c r="B1124" s="50" t="s">
        <v>749</v>
      </c>
      <c r="C1124" s="51" t="s">
        <v>849</v>
      </c>
      <c r="D1124" s="52" t="s">
        <v>850</v>
      </c>
      <c r="E1124" s="50" t="s">
        <v>851</v>
      </c>
      <c r="F1124" s="53" t="s">
        <v>885</v>
      </c>
    </row>
    <row r="1125">
      <c r="A1125" s="54">
        <v>44224.0</v>
      </c>
      <c r="B1125" s="55" t="s">
        <v>771</v>
      </c>
      <c r="C1125" s="56" t="s">
        <v>849</v>
      </c>
      <c r="D1125" s="57" t="s">
        <v>850</v>
      </c>
      <c r="E1125" s="55" t="s">
        <v>851</v>
      </c>
      <c r="F1125" s="58" t="s">
        <v>885</v>
      </c>
    </row>
    <row r="1126">
      <c r="A1126" s="59">
        <v>44225.0</v>
      </c>
      <c r="B1126" s="50" t="s">
        <v>772</v>
      </c>
      <c r="C1126" s="51" t="s">
        <v>849</v>
      </c>
      <c r="D1126" s="52" t="s">
        <v>850</v>
      </c>
      <c r="E1126" s="50" t="s">
        <v>851</v>
      </c>
      <c r="F1126" s="53" t="s">
        <v>885</v>
      </c>
    </row>
    <row r="1127">
      <c r="A1127" s="54">
        <v>44226.0</v>
      </c>
      <c r="B1127" s="55" t="s">
        <v>773</v>
      </c>
      <c r="C1127" s="56" t="s">
        <v>849</v>
      </c>
      <c r="D1127" s="57" t="s">
        <v>850</v>
      </c>
      <c r="E1127" s="55" t="s">
        <v>851</v>
      </c>
      <c r="F1127" s="58" t="s">
        <v>885</v>
      </c>
    </row>
    <row r="1128">
      <c r="A1128" s="59">
        <v>44227.0</v>
      </c>
      <c r="B1128" s="50" t="s">
        <v>774</v>
      </c>
      <c r="C1128" s="51" t="s">
        <v>849</v>
      </c>
      <c r="D1128" s="52" t="s">
        <v>850</v>
      </c>
      <c r="E1128" s="50" t="s">
        <v>851</v>
      </c>
      <c r="F1128" s="53" t="s">
        <v>885</v>
      </c>
    </row>
    <row r="1129">
      <c r="A1129" s="54">
        <v>44228.0</v>
      </c>
      <c r="B1129" s="55" t="s">
        <v>742</v>
      </c>
      <c r="C1129" s="56" t="s">
        <v>853</v>
      </c>
      <c r="D1129" s="57" t="s">
        <v>854</v>
      </c>
      <c r="E1129" s="55" t="s">
        <v>855</v>
      </c>
      <c r="F1129" s="58" t="s">
        <v>885</v>
      </c>
    </row>
    <row r="1130">
      <c r="A1130" s="59">
        <v>44229.0</v>
      </c>
      <c r="B1130" s="50" t="s">
        <v>744</v>
      </c>
      <c r="C1130" s="51" t="s">
        <v>853</v>
      </c>
      <c r="D1130" s="52" t="s">
        <v>854</v>
      </c>
      <c r="E1130" s="50" t="s">
        <v>855</v>
      </c>
      <c r="F1130" s="53" t="s">
        <v>885</v>
      </c>
    </row>
    <row r="1131">
      <c r="A1131" s="54">
        <v>44230.0</v>
      </c>
      <c r="B1131" s="55" t="s">
        <v>746</v>
      </c>
      <c r="C1131" s="56" t="s">
        <v>853</v>
      </c>
      <c r="D1131" s="57" t="s">
        <v>854</v>
      </c>
      <c r="E1131" s="55" t="s">
        <v>855</v>
      </c>
      <c r="F1131" s="58" t="s">
        <v>885</v>
      </c>
    </row>
    <row r="1132">
      <c r="A1132" s="59">
        <v>44231.0</v>
      </c>
      <c r="B1132" s="50" t="s">
        <v>748</v>
      </c>
      <c r="C1132" s="51" t="s">
        <v>853</v>
      </c>
      <c r="D1132" s="52" t="s">
        <v>854</v>
      </c>
      <c r="E1132" s="50" t="s">
        <v>855</v>
      </c>
      <c r="F1132" s="53" t="s">
        <v>885</v>
      </c>
    </row>
    <row r="1133">
      <c r="A1133" s="54">
        <v>44232.0</v>
      </c>
      <c r="B1133" s="55" t="s">
        <v>750</v>
      </c>
      <c r="C1133" s="56" t="s">
        <v>853</v>
      </c>
      <c r="D1133" s="57" t="s">
        <v>854</v>
      </c>
      <c r="E1133" s="55" t="s">
        <v>855</v>
      </c>
      <c r="F1133" s="58" t="s">
        <v>885</v>
      </c>
    </row>
    <row r="1134">
      <c r="A1134" s="59">
        <v>44233.0</v>
      </c>
      <c r="B1134" s="50" t="s">
        <v>752</v>
      </c>
      <c r="C1134" s="51" t="s">
        <v>853</v>
      </c>
      <c r="D1134" s="52" t="s">
        <v>854</v>
      </c>
      <c r="E1134" s="50" t="s">
        <v>855</v>
      </c>
      <c r="F1134" s="53" t="s">
        <v>885</v>
      </c>
    </row>
    <row r="1135">
      <c r="A1135" s="54">
        <v>44234.0</v>
      </c>
      <c r="B1135" s="55" t="s">
        <v>753</v>
      </c>
      <c r="C1135" s="56" t="s">
        <v>853</v>
      </c>
      <c r="D1135" s="57" t="s">
        <v>854</v>
      </c>
      <c r="E1135" s="55" t="s">
        <v>855</v>
      </c>
      <c r="F1135" s="58" t="s">
        <v>885</v>
      </c>
    </row>
    <row r="1136">
      <c r="A1136" s="59">
        <v>44235.0</v>
      </c>
      <c r="B1136" s="50" t="s">
        <v>754</v>
      </c>
      <c r="C1136" s="51" t="s">
        <v>853</v>
      </c>
      <c r="D1136" s="52" t="s">
        <v>854</v>
      </c>
      <c r="E1136" s="50" t="s">
        <v>855</v>
      </c>
      <c r="F1136" s="53" t="s">
        <v>885</v>
      </c>
    </row>
    <row r="1137">
      <c r="A1137" s="54">
        <v>44236.0</v>
      </c>
      <c r="B1137" s="55" t="s">
        <v>755</v>
      </c>
      <c r="C1137" s="56" t="s">
        <v>853</v>
      </c>
      <c r="D1137" s="57" t="s">
        <v>854</v>
      </c>
      <c r="E1137" s="55" t="s">
        <v>855</v>
      </c>
      <c r="F1137" s="58" t="s">
        <v>885</v>
      </c>
    </row>
    <row r="1138">
      <c r="A1138" s="59">
        <v>44237.0</v>
      </c>
      <c r="B1138" s="50" t="s">
        <v>756</v>
      </c>
      <c r="C1138" s="51" t="s">
        <v>853</v>
      </c>
      <c r="D1138" s="52" t="s">
        <v>854</v>
      </c>
      <c r="E1138" s="50" t="s">
        <v>855</v>
      </c>
      <c r="F1138" s="53" t="s">
        <v>885</v>
      </c>
    </row>
    <row r="1139">
      <c r="A1139" s="54">
        <v>44238.0</v>
      </c>
      <c r="B1139" s="55" t="s">
        <v>758</v>
      </c>
      <c r="C1139" s="56" t="s">
        <v>853</v>
      </c>
      <c r="D1139" s="57" t="s">
        <v>854</v>
      </c>
      <c r="E1139" s="55" t="s">
        <v>855</v>
      </c>
      <c r="F1139" s="58" t="s">
        <v>885</v>
      </c>
    </row>
    <row r="1140">
      <c r="A1140" s="59">
        <v>44239.0</v>
      </c>
      <c r="B1140" s="50" t="s">
        <v>759</v>
      </c>
      <c r="C1140" s="51" t="s">
        <v>853</v>
      </c>
      <c r="D1140" s="52" t="s">
        <v>854</v>
      </c>
      <c r="E1140" s="50" t="s">
        <v>855</v>
      </c>
      <c r="F1140" s="53" t="s">
        <v>885</v>
      </c>
    </row>
    <row r="1141">
      <c r="A1141" s="54">
        <v>44240.0</v>
      </c>
      <c r="B1141" s="55" t="s">
        <v>760</v>
      </c>
      <c r="C1141" s="56" t="s">
        <v>853</v>
      </c>
      <c r="D1141" s="57" t="s">
        <v>854</v>
      </c>
      <c r="E1141" s="55" t="s">
        <v>855</v>
      </c>
      <c r="F1141" s="58" t="s">
        <v>885</v>
      </c>
    </row>
    <row r="1142">
      <c r="A1142" s="59">
        <v>44241.0</v>
      </c>
      <c r="B1142" s="50" t="s">
        <v>761</v>
      </c>
      <c r="C1142" s="51" t="s">
        <v>853</v>
      </c>
      <c r="D1142" s="52" t="s">
        <v>854</v>
      </c>
      <c r="E1142" s="50" t="s">
        <v>855</v>
      </c>
      <c r="F1142" s="53" t="s">
        <v>885</v>
      </c>
    </row>
    <row r="1143">
      <c r="A1143" s="54">
        <v>44242.0</v>
      </c>
      <c r="B1143" s="55" t="s">
        <v>762</v>
      </c>
      <c r="C1143" s="56" t="s">
        <v>853</v>
      </c>
      <c r="D1143" s="57" t="s">
        <v>854</v>
      </c>
      <c r="E1143" s="55" t="s">
        <v>855</v>
      </c>
      <c r="F1143" s="58" t="s">
        <v>885</v>
      </c>
    </row>
    <row r="1144">
      <c r="A1144" s="59">
        <v>44243.0</v>
      </c>
      <c r="B1144" s="50" t="s">
        <v>763</v>
      </c>
      <c r="C1144" s="51" t="s">
        <v>853</v>
      </c>
      <c r="D1144" s="52" t="s">
        <v>854</v>
      </c>
      <c r="E1144" s="50" t="s">
        <v>855</v>
      </c>
      <c r="F1144" s="53" t="s">
        <v>885</v>
      </c>
    </row>
    <row r="1145">
      <c r="A1145" s="54">
        <v>44244.0</v>
      </c>
      <c r="B1145" s="55" t="s">
        <v>764</v>
      </c>
      <c r="C1145" s="56" t="s">
        <v>853</v>
      </c>
      <c r="D1145" s="57" t="s">
        <v>854</v>
      </c>
      <c r="E1145" s="55" t="s">
        <v>855</v>
      </c>
      <c r="F1145" s="58" t="s">
        <v>885</v>
      </c>
    </row>
    <row r="1146">
      <c r="A1146" s="59">
        <v>44245.0</v>
      </c>
      <c r="B1146" s="50" t="s">
        <v>765</v>
      </c>
      <c r="C1146" s="51" t="s">
        <v>853</v>
      </c>
      <c r="D1146" s="52" t="s">
        <v>854</v>
      </c>
      <c r="E1146" s="50" t="s">
        <v>855</v>
      </c>
      <c r="F1146" s="53" t="s">
        <v>885</v>
      </c>
    </row>
    <row r="1147">
      <c r="A1147" s="54">
        <v>44246.0</v>
      </c>
      <c r="B1147" s="55" t="s">
        <v>743</v>
      </c>
      <c r="C1147" s="56" t="s">
        <v>853</v>
      </c>
      <c r="D1147" s="57" t="s">
        <v>854</v>
      </c>
      <c r="E1147" s="55" t="s">
        <v>855</v>
      </c>
      <c r="F1147" s="58" t="s">
        <v>885</v>
      </c>
    </row>
    <row r="1148">
      <c r="A1148" s="59">
        <v>44247.0</v>
      </c>
      <c r="B1148" s="50" t="s">
        <v>766</v>
      </c>
      <c r="C1148" s="51" t="s">
        <v>853</v>
      </c>
      <c r="D1148" s="52" t="s">
        <v>854</v>
      </c>
      <c r="E1148" s="50" t="s">
        <v>855</v>
      </c>
      <c r="F1148" s="53" t="s">
        <v>885</v>
      </c>
    </row>
    <row r="1149">
      <c r="A1149" s="54">
        <v>44248.0</v>
      </c>
      <c r="B1149" s="55" t="s">
        <v>745</v>
      </c>
      <c r="C1149" s="56" t="s">
        <v>853</v>
      </c>
      <c r="D1149" s="57" t="s">
        <v>854</v>
      </c>
      <c r="E1149" s="55" t="s">
        <v>855</v>
      </c>
      <c r="F1149" s="58" t="s">
        <v>885</v>
      </c>
    </row>
    <row r="1150">
      <c r="A1150" s="59">
        <v>44249.0</v>
      </c>
      <c r="B1150" s="50" t="s">
        <v>767</v>
      </c>
      <c r="C1150" s="51" t="s">
        <v>853</v>
      </c>
      <c r="D1150" s="52" t="s">
        <v>854</v>
      </c>
      <c r="E1150" s="50" t="s">
        <v>855</v>
      </c>
      <c r="F1150" s="53" t="s">
        <v>885</v>
      </c>
    </row>
    <row r="1151">
      <c r="A1151" s="54">
        <v>44250.0</v>
      </c>
      <c r="B1151" s="55" t="s">
        <v>768</v>
      </c>
      <c r="C1151" s="56" t="s">
        <v>853</v>
      </c>
      <c r="D1151" s="57" t="s">
        <v>854</v>
      </c>
      <c r="E1151" s="55" t="s">
        <v>855</v>
      </c>
      <c r="F1151" s="58" t="s">
        <v>885</v>
      </c>
    </row>
    <row r="1152">
      <c r="A1152" s="59">
        <v>44251.0</v>
      </c>
      <c r="B1152" s="50" t="s">
        <v>747</v>
      </c>
      <c r="C1152" s="51" t="s">
        <v>853</v>
      </c>
      <c r="D1152" s="52" t="s">
        <v>854</v>
      </c>
      <c r="E1152" s="50" t="s">
        <v>855</v>
      </c>
      <c r="F1152" s="53" t="s">
        <v>885</v>
      </c>
    </row>
    <row r="1153">
      <c r="A1153" s="54">
        <v>44252.0</v>
      </c>
      <c r="B1153" s="55" t="s">
        <v>769</v>
      </c>
      <c r="C1153" s="56" t="s">
        <v>853</v>
      </c>
      <c r="D1153" s="57" t="s">
        <v>854</v>
      </c>
      <c r="E1153" s="55" t="s">
        <v>855</v>
      </c>
      <c r="F1153" s="58" t="s">
        <v>885</v>
      </c>
    </row>
    <row r="1154">
      <c r="A1154" s="59">
        <v>44253.0</v>
      </c>
      <c r="B1154" s="50" t="s">
        <v>770</v>
      </c>
      <c r="C1154" s="51" t="s">
        <v>853</v>
      </c>
      <c r="D1154" s="52" t="s">
        <v>854</v>
      </c>
      <c r="E1154" s="50" t="s">
        <v>855</v>
      </c>
      <c r="F1154" s="53" t="s">
        <v>885</v>
      </c>
    </row>
    <row r="1155">
      <c r="A1155" s="54">
        <v>44254.0</v>
      </c>
      <c r="B1155" s="55" t="s">
        <v>749</v>
      </c>
      <c r="C1155" s="56" t="s">
        <v>853</v>
      </c>
      <c r="D1155" s="57" t="s">
        <v>854</v>
      </c>
      <c r="E1155" s="55" t="s">
        <v>855</v>
      </c>
      <c r="F1155" s="58" t="s">
        <v>885</v>
      </c>
    </row>
    <row r="1156">
      <c r="A1156" s="59">
        <v>44255.0</v>
      </c>
      <c r="B1156" s="50" t="s">
        <v>771</v>
      </c>
      <c r="C1156" s="51" t="s">
        <v>853</v>
      </c>
      <c r="D1156" s="52" t="s">
        <v>854</v>
      </c>
      <c r="E1156" s="50" t="s">
        <v>855</v>
      </c>
      <c r="F1156" s="53" t="s">
        <v>885</v>
      </c>
    </row>
    <row r="1157">
      <c r="A1157" s="54">
        <v>44256.0</v>
      </c>
      <c r="B1157" s="55" t="s">
        <v>742</v>
      </c>
      <c r="C1157" s="56" t="s">
        <v>856</v>
      </c>
      <c r="D1157" s="57" t="s">
        <v>857</v>
      </c>
      <c r="E1157" s="55" t="s">
        <v>858</v>
      </c>
      <c r="F1157" s="58" t="s">
        <v>885</v>
      </c>
    </row>
    <row r="1158">
      <c r="A1158" s="59">
        <v>44257.0</v>
      </c>
      <c r="B1158" s="50" t="s">
        <v>744</v>
      </c>
      <c r="C1158" s="51" t="s">
        <v>856</v>
      </c>
      <c r="D1158" s="52" t="s">
        <v>857</v>
      </c>
      <c r="E1158" s="50" t="s">
        <v>858</v>
      </c>
      <c r="F1158" s="53" t="s">
        <v>885</v>
      </c>
    </row>
    <row r="1159">
      <c r="A1159" s="54">
        <v>44258.0</v>
      </c>
      <c r="B1159" s="55" t="s">
        <v>746</v>
      </c>
      <c r="C1159" s="56" t="s">
        <v>856</v>
      </c>
      <c r="D1159" s="57" t="s">
        <v>857</v>
      </c>
      <c r="E1159" s="55" t="s">
        <v>858</v>
      </c>
      <c r="F1159" s="58" t="s">
        <v>885</v>
      </c>
    </row>
    <row r="1160">
      <c r="A1160" s="59">
        <v>44259.0</v>
      </c>
      <c r="B1160" s="50" t="s">
        <v>748</v>
      </c>
      <c r="C1160" s="51" t="s">
        <v>856</v>
      </c>
      <c r="D1160" s="52" t="s">
        <v>857</v>
      </c>
      <c r="E1160" s="50" t="s">
        <v>858</v>
      </c>
      <c r="F1160" s="53" t="s">
        <v>885</v>
      </c>
    </row>
    <row r="1161">
      <c r="A1161" s="54">
        <v>44260.0</v>
      </c>
      <c r="B1161" s="55" t="s">
        <v>750</v>
      </c>
      <c r="C1161" s="56" t="s">
        <v>856</v>
      </c>
      <c r="D1161" s="57" t="s">
        <v>857</v>
      </c>
      <c r="E1161" s="55" t="s">
        <v>858</v>
      </c>
      <c r="F1161" s="58" t="s">
        <v>885</v>
      </c>
    </row>
    <row r="1162">
      <c r="A1162" s="59">
        <v>44261.0</v>
      </c>
      <c r="B1162" s="50" t="s">
        <v>752</v>
      </c>
      <c r="C1162" s="51" t="s">
        <v>856</v>
      </c>
      <c r="D1162" s="52" t="s">
        <v>857</v>
      </c>
      <c r="E1162" s="50" t="s">
        <v>858</v>
      </c>
      <c r="F1162" s="53" t="s">
        <v>885</v>
      </c>
    </row>
    <row r="1163">
      <c r="A1163" s="54">
        <v>44262.0</v>
      </c>
      <c r="B1163" s="55" t="s">
        <v>753</v>
      </c>
      <c r="C1163" s="56" t="s">
        <v>856</v>
      </c>
      <c r="D1163" s="57" t="s">
        <v>857</v>
      </c>
      <c r="E1163" s="55" t="s">
        <v>858</v>
      </c>
      <c r="F1163" s="58" t="s">
        <v>885</v>
      </c>
    </row>
    <row r="1164">
      <c r="A1164" s="59">
        <v>44263.0</v>
      </c>
      <c r="B1164" s="50" t="s">
        <v>754</v>
      </c>
      <c r="C1164" s="51" t="s">
        <v>856</v>
      </c>
      <c r="D1164" s="52" t="s">
        <v>857</v>
      </c>
      <c r="E1164" s="50" t="s">
        <v>858</v>
      </c>
      <c r="F1164" s="53" t="s">
        <v>885</v>
      </c>
    </row>
    <row r="1165">
      <c r="A1165" s="54">
        <v>44264.0</v>
      </c>
      <c r="B1165" s="55" t="s">
        <v>755</v>
      </c>
      <c r="C1165" s="56" t="s">
        <v>856</v>
      </c>
      <c r="D1165" s="57" t="s">
        <v>857</v>
      </c>
      <c r="E1165" s="55" t="s">
        <v>858</v>
      </c>
      <c r="F1165" s="58" t="s">
        <v>885</v>
      </c>
    </row>
    <row r="1166">
      <c r="A1166" s="59">
        <v>44265.0</v>
      </c>
      <c r="B1166" s="50" t="s">
        <v>756</v>
      </c>
      <c r="C1166" s="51" t="s">
        <v>856</v>
      </c>
      <c r="D1166" s="52" t="s">
        <v>857</v>
      </c>
      <c r="E1166" s="50" t="s">
        <v>858</v>
      </c>
      <c r="F1166" s="53" t="s">
        <v>885</v>
      </c>
    </row>
    <row r="1167">
      <c r="A1167" s="54">
        <v>44266.0</v>
      </c>
      <c r="B1167" s="55" t="s">
        <v>758</v>
      </c>
      <c r="C1167" s="56" t="s">
        <v>856</v>
      </c>
      <c r="D1167" s="57" t="s">
        <v>857</v>
      </c>
      <c r="E1167" s="55" t="s">
        <v>858</v>
      </c>
      <c r="F1167" s="58" t="s">
        <v>885</v>
      </c>
    </row>
    <row r="1168">
      <c r="A1168" s="59">
        <v>44267.0</v>
      </c>
      <c r="B1168" s="50" t="s">
        <v>759</v>
      </c>
      <c r="C1168" s="51" t="s">
        <v>856</v>
      </c>
      <c r="D1168" s="52" t="s">
        <v>857</v>
      </c>
      <c r="E1168" s="50" t="s">
        <v>858</v>
      </c>
      <c r="F1168" s="53" t="s">
        <v>885</v>
      </c>
    </row>
    <row r="1169">
      <c r="A1169" s="54">
        <v>44268.0</v>
      </c>
      <c r="B1169" s="55" t="s">
        <v>760</v>
      </c>
      <c r="C1169" s="56" t="s">
        <v>856</v>
      </c>
      <c r="D1169" s="57" t="s">
        <v>857</v>
      </c>
      <c r="E1169" s="55" t="s">
        <v>858</v>
      </c>
      <c r="F1169" s="58" t="s">
        <v>885</v>
      </c>
    </row>
    <row r="1170">
      <c r="A1170" s="59">
        <v>44269.0</v>
      </c>
      <c r="B1170" s="50" t="s">
        <v>761</v>
      </c>
      <c r="C1170" s="51" t="s">
        <v>856</v>
      </c>
      <c r="D1170" s="52" t="s">
        <v>857</v>
      </c>
      <c r="E1170" s="50" t="s">
        <v>858</v>
      </c>
      <c r="F1170" s="53" t="s">
        <v>885</v>
      </c>
    </row>
    <row r="1171">
      <c r="A1171" s="54">
        <v>44270.0</v>
      </c>
      <c r="B1171" s="55" t="s">
        <v>762</v>
      </c>
      <c r="C1171" s="56" t="s">
        <v>856</v>
      </c>
      <c r="D1171" s="57" t="s">
        <v>857</v>
      </c>
      <c r="E1171" s="55" t="s">
        <v>858</v>
      </c>
      <c r="F1171" s="58" t="s">
        <v>885</v>
      </c>
    </row>
    <row r="1172">
      <c r="A1172" s="59">
        <v>44271.0</v>
      </c>
      <c r="B1172" s="50" t="s">
        <v>763</v>
      </c>
      <c r="C1172" s="51" t="s">
        <v>856</v>
      </c>
      <c r="D1172" s="52" t="s">
        <v>857</v>
      </c>
      <c r="E1172" s="50" t="s">
        <v>858</v>
      </c>
      <c r="F1172" s="53" t="s">
        <v>885</v>
      </c>
    </row>
    <row r="1173">
      <c r="A1173" s="54">
        <v>44272.0</v>
      </c>
      <c r="B1173" s="55" t="s">
        <v>764</v>
      </c>
      <c r="C1173" s="56" t="s">
        <v>856</v>
      </c>
      <c r="D1173" s="57" t="s">
        <v>857</v>
      </c>
      <c r="E1173" s="55" t="s">
        <v>858</v>
      </c>
      <c r="F1173" s="58" t="s">
        <v>885</v>
      </c>
    </row>
    <row r="1174">
      <c r="A1174" s="59">
        <v>44273.0</v>
      </c>
      <c r="B1174" s="50" t="s">
        <v>765</v>
      </c>
      <c r="C1174" s="51" t="s">
        <v>856</v>
      </c>
      <c r="D1174" s="52" t="s">
        <v>857</v>
      </c>
      <c r="E1174" s="50" t="s">
        <v>858</v>
      </c>
      <c r="F1174" s="53" t="s">
        <v>885</v>
      </c>
    </row>
    <row r="1175">
      <c r="A1175" s="54">
        <v>44274.0</v>
      </c>
      <c r="B1175" s="55" t="s">
        <v>743</v>
      </c>
      <c r="C1175" s="56" t="s">
        <v>856</v>
      </c>
      <c r="D1175" s="57" t="s">
        <v>857</v>
      </c>
      <c r="E1175" s="55" t="s">
        <v>858</v>
      </c>
      <c r="F1175" s="58" t="s">
        <v>885</v>
      </c>
    </row>
    <row r="1176">
      <c r="A1176" s="59">
        <v>44275.0</v>
      </c>
      <c r="B1176" s="50" t="s">
        <v>766</v>
      </c>
      <c r="C1176" s="51" t="s">
        <v>856</v>
      </c>
      <c r="D1176" s="52" t="s">
        <v>857</v>
      </c>
      <c r="E1176" s="50" t="s">
        <v>858</v>
      </c>
      <c r="F1176" s="53" t="s">
        <v>885</v>
      </c>
    </row>
    <row r="1177">
      <c r="A1177" s="54">
        <v>44276.0</v>
      </c>
      <c r="B1177" s="55" t="s">
        <v>745</v>
      </c>
      <c r="C1177" s="56" t="s">
        <v>856</v>
      </c>
      <c r="D1177" s="57" t="s">
        <v>857</v>
      </c>
      <c r="E1177" s="55" t="s">
        <v>858</v>
      </c>
      <c r="F1177" s="58" t="s">
        <v>885</v>
      </c>
    </row>
    <row r="1178">
      <c r="A1178" s="59">
        <v>44277.0</v>
      </c>
      <c r="B1178" s="50" t="s">
        <v>767</v>
      </c>
      <c r="C1178" s="51" t="s">
        <v>856</v>
      </c>
      <c r="D1178" s="52" t="s">
        <v>857</v>
      </c>
      <c r="E1178" s="50" t="s">
        <v>858</v>
      </c>
      <c r="F1178" s="53" t="s">
        <v>885</v>
      </c>
    </row>
    <row r="1179">
      <c r="A1179" s="54">
        <v>44278.0</v>
      </c>
      <c r="B1179" s="55" t="s">
        <v>768</v>
      </c>
      <c r="C1179" s="56" t="s">
        <v>856</v>
      </c>
      <c r="D1179" s="57" t="s">
        <v>857</v>
      </c>
      <c r="E1179" s="55" t="s">
        <v>858</v>
      </c>
      <c r="F1179" s="58" t="s">
        <v>885</v>
      </c>
    </row>
    <row r="1180">
      <c r="A1180" s="59">
        <v>44279.0</v>
      </c>
      <c r="B1180" s="50" t="s">
        <v>747</v>
      </c>
      <c r="C1180" s="51" t="s">
        <v>856</v>
      </c>
      <c r="D1180" s="52" t="s">
        <v>857</v>
      </c>
      <c r="E1180" s="50" t="s">
        <v>858</v>
      </c>
      <c r="F1180" s="53" t="s">
        <v>885</v>
      </c>
    </row>
    <row r="1181">
      <c r="A1181" s="54">
        <v>44280.0</v>
      </c>
      <c r="B1181" s="55" t="s">
        <v>769</v>
      </c>
      <c r="C1181" s="56" t="s">
        <v>856</v>
      </c>
      <c r="D1181" s="57" t="s">
        <v>857</v>
      </c>
      <c r="E1181" s="55" t="s">
        <v>858</v>
      </c>
      <c r="F1181" s="58" t="s">
        <v>885</v>
      </c>
    </row>
    <row r="1182">
      <c r="A1182" s="59">
        <v>44281.0</v>
      </c>
      <c r="B1182" s="50" t="s">
        <v>770</v>
      </c>
      <c r="C1182" s="51" t="s">
        <v>856</v>
      </c>
      <c r="D1182" s="52" t="s">
        <v>857</v>
      </c>
      <c r="E1182" s="50" t="s">
        <v>858</v>
      </c>
      <c r="F1182" s="53" t="s">
        <v>885</v>
      </c>
    </row>
    <row r="1183">
      <c r="A1183" s="54">
        <v>44282.0</v>
      </c>
      <c r="B1183" s="55" t="s">
        <v>749</v>
      </c>
      <c r="C1183" s="56" t="s">
        <v>856</v>
      </c>
      <c r="D1183" s="57" t="s">
        <v>857</v>
      </c>
      <c r="E1183" s="55" t="s">
        <v>858</v>
      </c>
      <c r="F1183" s="58" t="s">
        <v>885</v>
      </c>
    </row>
    <row r="1184">
      <c r="A1184" s="59">
        <v>44283.0</v>
      </c>
      <c r="B1184" s="50" t="s">
        <v>771</v>
      </c>
      <c r="C1184" s="51" t="s">
        <v>856</v>
      </c>
      <c r="D1184" s="52" t="s">
        <v>857</v>
      </c>
      <c r="E1184" s="50" t="s">
        <v>858</v>
      </c>
      <c r="F1184" s="53" t="s">
        <v>885</v>
      </c>
    </row>
    <row r="1185">
      <c r="A1185" s="54">
        <v>44284.0</v>
      </c>
      <c r="B1185" s="55" t="s">
        <v>772</v>
      </c>
      <c r="C1185" s="56" t="s">
        <v>856</v>
      </c>
      <c r="D1185" s="57" t="s">
        <v>857</v>
      </c>
      <c r="E1185" s="55" t="s">
        <v>858</v>
      </c>
      <c r="F1185" s="58" t="s">
        <v>885</v>
      </c>
    </row>
    <row r="1186">
      <c r="A1186" s="59">
        <v>44285.0</v>
      </c>
      <c r="B1186" s="50" t="s">
        <v>773</v>
      </c>
      <c r="C1186" s="51" t="s">
        <v>856</v>
      </c>
      <c r="D1186" s="52" t="s">
        <v>857</v>
      </c>
      <c r="E1186" s="50" t="s">
        <v>858</v>
      </c>
      <c r="F1186" s="53" t="s">
        <v>885</v>
      </c>
    </row>
    <row r="1187">
      <c r="A1187" s="54">
        <v>44286.0</v>
      </c>
      <c r="B1187" s="55" t="s">
        <v>774</v>
      </c>
      <c r="C1187" s="56" t="s">
        <v>856</v>
      </c>
      <c r="D1187" s="57" t="s">
        <v>857</v>
      </c>
      <c r="E1187" s="55" t="s">
        <v>858</v>
      </c>
      <c r="F1187" s="58" t="s">
        <v>885</v>
      </c>
    </row>
    <row r="1188">
      <c r="A1188" s="59">
        <v>44287.0</v>
      </c>
      <c r="B1188" s="50" t="s">
        <v>742</v>
      </c>
      <c r="C1188" s="51" t="s">
        <v>859</v>
      </c>
      <c r="D1188" s="52" t="s">
        <v>860</v>
      </c>
      <c r="E1188" s="50" t="s">
        <v>861</v>
      </c>
      <c r="F1188" s="53" t="s">
        <v>885</v>
      </c>
    </row>
    <row r="1189">
      <c r="A1189" s="54">
        <v>44288.0</v>
      </c>
      <c r="B1189" s="55" t="s">
        <v>744</v>
      </c>
      <c r="C1189" s="56" t="s">
        <v>859</v>
      </c>
      <c r="D1189" s="57" t="s">
        <v>860</v>
      </c>
      <c r="E1189" s="55" t="s">
        <v>861</v>
      </c>
      <c r="F1189" s="58" t="s">
        <v>885</v>
      </c>
    </row>
    <row r="1190">
      <c r="A1190" s="59">
        <v>44289.0</v>
      </c>
      <c r="B1190" s="50" t="s">
        <v>746</v>
      </c>
      <c r="C1190" s="51" t="s">
        <v>859</v>
      </c>
      <c r="D1190" s="52" t="s">
        <v>860</v>
      </c>
      <c r="E1190" s="50" t="s">
        <v>861</v>
      </c>
      <c r="F1190" s="53" t="s">
        <v>885</v>
      </c>
    </row>
    <row r="1191">
      <c r="A1191" s="54">
        <v>44290.0</v>
      </c>
      <c r="B1191" s="55" t="s">
        <v>748</v>
      </c>
      <c r="C1191" s="56" t="s">
        <v>859</v>
      </c>
      <c r="D1191" s="57" t="s">
        <v>860</v>
      </c>
      <c r="E1191" s="55" t="s">
        <v>861</v>
      </c>
      <c r="F1191" s="58" t="s">
        <v>885</v>
      </c>
    </row>
    <row r="1192">
      <c r="A1192" s="59">
        <v>44291.0</v>
      </c>
      <c r="B1192" s="50" t="s">
        <v>750</v>
      </c>
      <c r="C1192" s="51" t="s">
        <v>859</v>
      </c>
      <c r="D1192" s="52" t="s">
        <v>860</v>
      </c>
      <c r="E1192" s="50" t="s">
        <v>861</v>
      </c>
      <c r="F1192" s="53" t="s">
        <v>885</v>
      </c>
    </row>
    <row r="1193">
      <c r="A1193" s="54">
        <v>44292.0</v>
      </c>
      <c r="B1193" s="55" t="s">
        <v>752</v>
      </c>
      <c r="C1193" s="56" t="s">
        <v>859</v>
      </c>
      <c r="D1193" s="57" t="s">
        <v>860</v>
      </c>
      <c r="E1193" s="55" t="s">
        <v>861</v>
      </c>
      <c r="F1193" s="58" t="s">
        <v>885</v>
      </c>
    </row>
    <row r="1194">
      <c r="A1194" s="59">
        <v>44293.0</v>
      </c>
      <c r="B1194" s="50" t="s">
        <v>753</v>
      </c>
      <c r="C1194" s="51" t="s">
        <v>859</v>
      </c>
      <c r="D1194" s="52" t="s">
        <v>860</v>
      </c>
      <c r="E1194" s="50" t="s">
        <v>861</v>
      </c>
      <c r="F1194" s="53" t="s">
        <v>885</v>
      </c>
    </row>
    <row r="1195">
      <c r="A1195" s="54">
        <v>44294.0</v>
      </c>
      <c r="B1195" s="55" t="s">
        <v>754</v>
      </c>
      <c r="C1195" s="56" t="s">
        <v>859</v>
      </c>
      <c r="D1195" s="57" t="s">
        <v>860</v>
      </c>
      <c r="E1195" s="55" t="s">
        <v>861</v>
      </c>
      <c r="F1195" s="58" t="s">
        <v>885</v>
      </c>
    </row>
    <row r="1196">
      <c r="A1196" s="59">
        <v>44295.0</v>
      </c>
      <c r="B1196" s="50" t="s">
        <v>755</v>
      </c>
      <c r="C1196" s="51" t="s">
        <v>859</v>
      </c>
      <c r="D1196" s="52" t="s">
        <v>860</v>
      </c>
      <c r="E1196" s="50" t="s">
        <v>861</v>
      </c>
      <c r="F1196" s="53" t="s">
        <v>885</v>
      </c>
    </row>
    <row r="1197">
      <c r="A1197" s="54">
        <v>44296.0</v>
      </c>
      <c r="B1197" s="55" t="s">
        <v>756</v>
      </c>
      <c r="C1197" s="56" t="s">
        <v>859</v>
      </c>
      <c r="D1197" s="57" t="s">
        <v>860</v>
      </c>
      <c r="E1197" s="55" t="s">
        <v>861</v>
      </c>
      <c r="F1197" s="58" t="s">
        <v>885</v>
      </c>
    </row>
    <row r="1198">
      <c r="A1198" s="59">
        <v>44297.0</v>
      </c>
      <c r="B1198" s="50" t="s">
        <v>758</v>
      </c>
      <c r="C1198" s="51" t="s">
        <v>859</v>
      </c>
      <c r="D1198" s="52" t="s">
        <v>860</v>
      </c>
      <c r="E1198" s="50" t="s">
        <v>861</v>
      </c>
      <c r="F1198" s="53" t="s">
        <v>885</v>
      </c>
    </row>
    <row r="1199">
      <c r="A1199" s="54">
        <v>44298.0</v>
      </c>
      <c r="B1199" s="55" t="s">
        <v>759</v>
      </c>
      <c r="C1199" s="56" t="s">
        <v>859</v>
      </c>
      <c r="D1199" s="57" t="s">
        <v>860</v>
      </c>
      <c r="E1199" s="55" t="s">
        <v>861</v>
      </c>
      <c r="F1199" s="58" t="s">
        <v>885</v>
      </c>
    </row>
    <row r="1200">
      <c r="A1200" s="59">
        <v>44299.0</v>
      </c>
      <c r="B1200" s="50" t="s">
        <v>760</v>
      </c>
      <c r="C1200" s="51" t="s">
        <v>859</v>
      </c>
      <c r="D1200" s="52" t="s">
        <v>860</v>
      </c>
      <c r="E1200" s="50" t="s">
        <v>861</v>
      </c>
      <c r="F1200" s="53" t="s">
        <v>885</v>
      </c>
    </row>
    <row r="1201">
      <c r="A1201" s="54">
        <v>44300.0</v>
      </c>
      <c r="B1201" s="55" t="s">
        <v>761</v>
      </c>
      <c r="C1201" s="56" t="s">
        <v>859</v>
      </c>
      <c r="D1201" s="57" t="s">
        <v>860</v>
      </c>
      <c r="E1201" s="55" t="s">
        <v>861</v>
      </c>
      <c r="F1201" s="58" t="s">
        <v>885</v>
      </c>
    </row>
    <row r="1202">
      <c r="A1202" s="59">
        <v>44301.0</v>
      </c>
      <c r="B1202" s="50" t="s">
        <v>762</v>
      </c>
      <c r="C1202" s="51" t="s">
        <v>859</v>
      </c>
      <c r="D1202" s="52" t="s">
        <v>860</v>
      </c>
      <c r="E1202" s="50" t="s">
        <v>861</v>
      </c>
      <c r="F1202" s="53" t="s">
        <v>885</v>
      </c>
    </row>
    <row r="1203">
      <c r="A1203" s="54">
        <v>44302.0</v>
      </c>
      <c r="B1203" s="55" t="s">
        <v>763</v>
      </c>
      <c r="C1203" s="56" t="s">
        <v>859</v>
      </c>
      <c r="D1203" s="57" t="s">
        <v>860</v>
      </c>
      <c r="E1203" s="55" t="s">
        <v>861</v>
      </c>
      <c r="F1203" s="58" t="s">
        <v>885</v>
      </c>
    </row>
    <row r="1204">
      <c r="A1204" s="59">
        <v>44303.0</v>
      </c>
      <c r="B1204" s="50" t="s">
        <v>764</v>
      </c>
      <c r="C1204" s="51" t="s">
        <v>859</v>
      </c>
      <c r="D1204" s="52" t="s">
        <v>860</v>
      </c>
      <c r="E1204" s="50" t="s">
        <v>861</v>
      </c>
      <c r="F1204" s="53" t="s">
        <v>885</v>
      </c>
    </row>
    <row r="1205">
      <c r="A1205" s="54">
        <v>44304.0</v>
      </c>
      <c r="B1205" s="55" t="s">
        <v>765</v>
      </c>
      <c r="C1205" s="56" t="s">
        <v>859</v>
      </c>
      <c r="D1205" s="57" t="s">
        <v>860</v>
      </c>
      <c r="E1205" s="55" t="s">
        <v>861</v>
      </c>
      <c r="F1205" s="58" t="s">
        <v>885</v>
      </c>
    </row>
    <row r="1206">
      <c r="A1206" s="59">
        <v>44305.0</v>
      </c>
      <c r="B1206" s="50" t="s">
        <v>743</v>
      </c>
      <c r="C1206" s="51" t="s">
        <v>859</v>
      </c>
      <c r="D1206" s="52" t="s">
        <v>860</v>
      </c>
      <c r="E1206" s="50" t="s">
        <v>861</v>
      </c>
      <c r="F1206" s="53" t="s">
        <v>885</v>
      </c>
    </row>
    <row r="1207">
      <c r="A1207" s="54">
        <v>44306.0</v>
      </c>
      <c r="B1207" s="55" t="s">
        <v>766</v>
      </c>
      <c r="C1207" s="56" t="s">
        <v>859</v>
      </c>
      <c r="D1207" s="57" t="s">
        <v>860</v>
      </c>
      <c r="E1207" s="55" t="s">
        <v>861</v>
      </c>
      <c r="F1207" s="58" t="s">
        <v>885</v>
      </c>
    </row>
    <row r="1208">
      <c r="A1208" s="59">
        <v>44307.0</v>
      </c>
      <c r="B1208" s="50" t="s">
        <v>745</v>
      </c>
      <c r="C1208" s="51" t="s">
        <v>859</v>
      </c>
      <c r="D1208" s="52" t="s">
        <v>860</v>
      </c>
      <c r="E1208" s="50" t="s">
        <v>861</v>
      </c>
      <c r="F1208" s="53" t="s">
        <v>885</v>
      </c>
    </row>
    <row r="1209">
      <c r="A1209" s="54">
        <v>44308.0</v>
      </c>
      <c r="B1209" s="55" t="s">
        <v>767</v>
      </c>
      <c r="C1209" s="56" t="s">
        <v>859</v>
      </c>
      <c r="D1209" s="57" t="s">
        <v>860</v>
      </c>
      <c r="E1209" s="55" t="s">
        <v>861</v>
      </c>
      <c r="F1209" s="58" t="s">
        <v>885</v>
      </c>
    </row>
    <row r="1210">
      <c r="A1210" s="59">
        <v>44309.0</v>
      </c>
      <c r="B1210" s="50" t="s">
        <v>768</v>
      </c>
      <c r="C1210" s="51" t="s">
        <v>859</v>
      </c>
      <c r="D1210" s="52" t="s">
        <v>860</v>
      </c>
      <c r="E1210" s="50" t="s">
        <v>861</v>
      </c>
      <c r="F1210" s="53" t="s">
        <v>885</v>
      </c>
    </row>
    <row r="1211">
      <c r="A1211" s="54">
        <v>44310.0</v>
      </c>
      <c r="B1211" s="55" t="s">
        <v>747</v>
      </c>
      <c r="C1211" s="56" t="s">
        <v>859</v>
      </c>
      <c r="D1211" s="57" t="s">
        <v>860</v>
      </c>
      <c r="E1211" s="55" t="s">
        <v>861</v>
      </c>
      <c r="F1211" s="58" t="s">
        <v>885</v>
      </c>
    </row>
    <row r="1212">
      <c r="A1212" s="59">
        <v>44311.0</v>
      </c>
      <c r="B1212" s="50" t="s">
        <v>769</v>
      </c>
      <c r="C1212" s="51" t="s">
        <v>859</v>
      </c>
      <c r="D1212" s="52" t="s">
        <v>860</v>
      </c>
      <c r="E1212" s="50" t="s">
        <v>861</v>
      </c>
      <c r="F1212" s="53" t="s">
        <v>885</v>
      </c>
    </row>
    <row r="1213">
      <c r="A1213" s="54">
        <v>44312.0</v>
      </c>
      <c r="B1213" s="55" t="s">
        <v>770</v>
      </c>
      <c r="C1213" s="56" t="s">
        <v>859</v>
      </c>
      <c r="D1213" s="57" t="s">
        <v>860</v>
      </c>
      <c r="E1213" s="55" t="s">
        <v>861</v>
      </c>
      <c r="F1213" s="58" t="s">
        <v>885</v>
      </c>
    </row>
    <row r="1214">
      <c r="A1214" s="59">
        <v>44313.0</v>
      </c>
      <c r="B1214" s="50" t="s">
        <v>749</v>
      </c>
      <c r="C1214" s="51" t="s">
        <v>859</v>
      </c>
      <c r="D1214" s="52" t="s">
        <v>860</v>
      </c>
      <c r="E1214" s="50" t="s">
        <v>861</v>
      </c>
      <c r="F1214" s="53" t="s">
        <v>885</v>
      </c>
    </row>
    <row r="1215">
      <c r="A1215" s="54">
        <v>44314.0</v>
      </c>
      <c r="B1215" s="55" t="s">
        <v>771</v>
      </c>
      <c r="C1215" s="56" t="s">
        <v>859</v>
      </c>
      <c r="D1215" s="57" t="s">
        <v>860</v>
      </c>
      <c r="E1215" s="55" t="s">
        <v>861</v>
      </c>
      <c r="F1215" s="58" t="s">
        <v>885</v>
      </c>
    </row>
    <row r="1216">
      <c r="A1216" s="59">
        <v>44315.0</v>
      </c>
      <c r="B1216" s="50" t="s">
        <v>772</v>
      </c>
      <c r="C1216" s="51" t="s">
        <v>859</v>
      </c>
      <c r="D1216" s="52" t="s">
        <v>860</v>
      </c>
      <c r="E1216" s="50" t="s">
        <v>861</v>
      </c>
      <c r="F1216" s="53" t="s">
        <v>885</v>
      </c>
    </row>
    <row r="1217">
      <c r="A1217" s="54">
        <v>44316.0</v>
      </c>
      <c r="B1217" s="55" t="s">
        <v>773</v>
      </c>
      <c r="C1217" s="56" t="s">
        <v>859</v>
      </c>
      <c r="D1217" s="57" t="s">
        <v>860</v>
      </c>
      <c r="E1217" s="55" t="s">
        <v>861</v>
      </c>
      <c r="F1217" s="58" t="s">
        <v>885</v>
      </c>
    </row>
    <row r="1218">
      <c r="A1218" s="59">
        <v>44317.0</v>
      </c>
      <c r="B1218" s="50" t="s">
        <v>742</v>
      </c>
      <c r="C1218" s="51" t="s">
        <v>862</v>
      </c>
      <c r="D1218" s="52" t="s">
        <v>863</v>
      </c>
      <c r="E1218" s="50" t="s">
        <v>864</v>
      </c>
      <c r="F1218" s="53" t="s">
        <v>885</v>
      </c>
    </row>
    <row r="1219">
      <c r="A1219" s="54">
        <v>44318.0</v>
      </c>
      <c r="B1219" s="55" t="s">
        <v>744</v>
      </c>
      <c r="C1219" s="56" t="s">
        <v>862</v>
      </c>
      <c r="D1219" s="57" t="s">
        <v>863</v>
      </c>
      <c r="E1219" s="55" t="s">
        <v>864</v>
      </c>
      <c r="F1219" s="58" t="s">
        <v>885</v>
      </c>
    </row>
    <row r="1220">
      <c r="A1220" s="59">
        <v>44319.0</v>
      </c>
      <c r="B1220" s="50" t="s">
        <v>746</v>
      </c>
      <c r="C1220" s="51" t="s">
        <v>862</v>
      </c>
      <c r="D1220" s="52" t="s">
        <v>863</v>
      </c>
      <c r="E1220" s="50" t="s">
        <v>864</v>
      </c>
      <c r="F1220" s="53" t="s">
        <v>885</v>
      </c>
    </row>
    <row r="1221">
      <c r="A1221" s="54">
        <v>44320.0</v>
      </c>
      <c r="B1221" s="55" t="s">
        <v>748</v>
      </c>
      <c r="C1221" s="56" t="s">
        <v>862</v>
      </c>
      <c r="D1221" s="57" t="s">
        <v>863</v>
      </c>
      <c r="E1221" s="55" t="s">
        <v>864</v>
      </c>
      <c r="F1221" s="58" t="s">
        <v>885</v>
      </c>
    </row>
    <row r="1222">
      <c r="A1222" s="59">
        <v>44321.0</v>
      </c>
      <c r="B1222" s="50" t="s">
        <v>750</v>
      </c>
      <c r="C1222" s="51" t="s">
        <v>862</v>
      </c>
      <c r="D1222" s="52" t="s">
        <v>863</v>
      </c>
      <c r="E1222" s="50" t="s">
        <v>864</v>
      </c>
      <c r="F1222" s="53" t="s">
        <v>885</v>
      </c>
    </row>
    <row r="1223">
      <c r="A1223" s="54">
        <v>44322.0</v>
      </c>
      <c r="B1223" s="55" t="s">
        <v>752</v>
      </c>
      <c r="C1223" s="56" t="s">
        <v>862</v>
      </c>
      <c r="D1223" s="57" t="s">
        <v>863</v>
      </c>
      <c r="E1223" s="55" t="s">
        <v>864</v>
      </c>
      <c r="F1223" s="58" t="s">
        <v>885</v>
      </c>
    </row>
    <row r="1224">
      <c r="A1224" s="59">
        <v>44323.0</v>
      </c>
      <c r="B1224" s="50" t="s">
        <v>753</v>
      </c>
      <c r="C1224" s="51" t="s">
        <v>862</v>
      </c>
      <c r="D1224" s="52" t="s">
        <v>863</v>
      </c>
      <c r="E1224" s="50" t="s">
        <v>864</v>
      </c>
      <c r="F1224" s="53" t="s">
        <v>885</v>
      </c>
    </row>
    <row r="1225">
      <c r="A1225" s="54">
        <v>44324.0</v>
      </c>
      <c r="B1225" s="55" t="s">
        <v>754</v>
      </c>
      <c r="C1225" s="56" t="s">
        <v>862</v>
      </c>
      <c r="D1225" s="57" t="s">
        <v>863</v>
      </c>
      <c r="E1225" s="55" t="s">
        <v>864</v>
      </c>
      <c r="F1225" s="58" t="s">
        <v>885</v>
      </c>
    </row>
    <row r="1226">
      <c r="A1226" s="59">
        <v>44325.0</v>
      </c>
      <c r="B1226" s="50" t="s">
        <v>755</v>
      </c>
      <c r="C1226" s="51" t="s">
        <v>862</v>
      </c>
      <c r="D1226" s="52" t="s">
        <v>863</v>
      </c>
      <c r="E1226" s="50" t="s">
        <v>864</v>
      </c>
      <c r="F1226" s="53" t="s">
        <v>885</v>
      </c>
    </row>
    <row r="1227">
      <c r="A1227" s="54">
        <v>44326.0</v>
      </c>
      <c r="B1227" s="55" t="s">
        <v>756</v>
      </c>
      <c r="C1227" s="56" t="s">
        <v>862</v>
      </c>
      <c r="D1227" s="57" t="s">
        <v>863</v>
      </c>
      <c r="E1227" s="55" t="s">
        <v>864</v>
      </c>
      <c r="F1227" s="58" t="s">
        <v>885</v>
      </c>
    </row>
    <row r="1228">
      <c r="A1228" s="59">
        <v>44327.0</v>
      </c>
      <c r="B1228" s="50" t="s">
        <v>758</v>
      </c>
      <c r="C1228" s="51" t="s">
        <v>862</v>
      </c>
      <c r="D1228" s="52" t="s">
        <v>863</v>
      </c>
      <c r="E1228" s="50" t="s">
        <v>864</v>
      </c>
      <c r="F1228" s="53" t="s">
        <v>885</v>
      </c>
    </row>
    <row r="1229">
      <c r="A1229" s="54">
        <v>44328.0</v>
      </c>
      <c r="B1229" s="55" t="s">
        <v>759</v>
      </c>
      <c r="C1229" s="56" t="s">
        <v>862</v>
      </c>
      <c r="D1229" s="57" t="s">
        <v>863</v>
      </c>
      <c r="E1229" s="55" t="s">
        <v>864</v>
      </c>
      <c r="F1229" s="58" t="s">
        <v>885</v>
      </c>
    </row>
    <row r="1230">
      <c r="A1230" s="59">
        <v>44329.0</v>
      </c>
      <c r="B1230" s="50" t="s">
        <v>760</v>
      </c>
      <c r="C1230" s="51" t="s">
        <v>862</v>
      </c>
      <c r="D1230" s="52" t="s">
        <v>863</v>
      </c>
      <c r="E1230" s="50" t="s">
        <v>864</v>
      </c>
      <c r="F1230" s="53" t="s">
        <v>885</v>
      </c>
    </row>
    <row r="1231">
      <c r="A1231" s="54">
        <v>44330.0</v>
      </c>
      <c r="B1231" s="55" t="s">
        <v>761</v>
      </c>
      <c r="C1231" s="56" t="s">
        <v>862</v>
      </c>
      <c r="D1231" s="57" t="s">
        <v>863</v>
      </c>
      <c r="E1231" s="55" t="s">
        <v>864</v>
      </c>
      <c r="F1231" s="58" t="s">
        <v>885</v>
      </c>
    </row>
    <row r="1232">
      <c r="A1232" s="59">
        <v>44331.0</v>
      </c>
      <c r="B1232" s="50" t="s">
        <v>762</v>
      </c>
      <c r="C1232" s="51" t="s">
        <v>862</v>
      </c>
      <c r="D1232" s="52" t="s">
        <v>863</v>
      </c>
      <c r="E1232" s="50" t="s">
        <v>864</v>
      </c>
      <c r="F1232" s="53" t="s">
        <v>885</v>
      </c>
    </row>
    <row r="1233">
      <c r="A1233" s="54">
        <v>44332.0</v>
      </c>
      <c r="B1233" s="55" t="s">
        <v>763</v>
      </c>
      <c r="C1233" s="56" t="s">
        <v>862</v>
      </c>
      <c r="D1233" s="57" t="s">
        <v>863</v>
      </c>
      <c r="E1233" s="55" t="s">
        <v>864</v>
      </c>
      <c r="F1233" s="58" t="s">
        <v>885</v>
      </c>
    </row>
    <row r="1234">
      <c r="A1234" s="59">
        <v>44333.0</v>
      </c>
      <c r="B1234" s="50" t="s">
        <v>764</v>
      </c>
      <c r="C1234" s="51" t="s">
        <v>862</v>
      </c>
      <c r="D1234" s="52" t="s">
        <v>863</v>
      </c>
      <c r="E1234" s="50" t="s">
        <v>864</v>
      </c>
      <c r="F1234" s="53" t="s">
        <v>885</v>
      </c>
    </row>
    <row r="1235">
      <c r="A1235" s="54">
        <v>44334.0</v>
      </c>
      <c r="B1235" s="55" t="s">
        <v>765</v>
      </c>
      <c r="C1235" s="56" t="s">
        <v>862</v>
      </c>
      <c r="D1235" s="57" t="s">
        <v>863</v>
      </c>
      <c r="E1235" s="55" t="s">
        <v>864</v>
      </c>
      <c r="F1235" s="58" t="s">
        <v>885</v>
      </c>
    </row>
    <row r="1236">
      <c r="A1236" s="59">
        <v>44335.0</v>
      </c>
      <c r="B1236" s="50" t="s">
        <v>743</v>
      </c>
      <c r="C1236" s="51" t="s">
        <v>862</v>
      </c>
      <c r="D1236" s="52" t="s">
        <v>863</v>
      </c>
      <c r="E1236" s="50" t="s">
        <v>864</v>
      </c>
      <c r="F1236" s="53" t="s">
        <v>885</v>
      </c>
    </row>
    <row r="1237">
      <c r="A1237" s="54">
        <v>44336.0</v>
      </c>
      <c r="B1237" s="55" t="s">
        <v>766</v>
      </c>
      <c r="C1237" s="56" t="s">
        <v>862</v>
      </c>
      <c r="D1237" s="57" t="s">
        <v>863</v>
      </c>
      <c r="E1237" s="55" t="s">
        <v>864</v>
      </c>
      <c r="F1237" s="58" t="s">
        <v>885</v>
      </c>
    </row>
    <row r="1238">
      <c r="A1238" s="59">
        <v>44337.0</v>
      </c>
      <c r="B1238" s="50" t="s">
        <v>745</v>
      </c>
      <c r="C1238" s="51" t="s">
        <v>862</v>
      </c>
      <c r="D1238" s="52" t="s">
        <v>863</v>
      </c>
      <c r="E1238" s="50" t="s">
        <v>864</v>
      </c>
      <c r="F1238" s="53" t="s">
        <v>885</v>
      </c>
    </row>
    <row r="1239">
      <c r="A1239" s="54">
        <v>44338.0</v>
      </c>
      <c r="B1239" s="55" t="s">
        <v>767</v>
      </c>
      <c r="C1239" s="56" t="s">
        <v>862</v>
      </c>
      <c r="D1239" s="57" t="s">
        <v>863</v>
      </c>
      <c r="E1239" s="55" t="s">
        <v>864</v>
      </c>
      <c r="F1239" s="58" t="s">
        <v>885</v>
      </c>
    </row>
    <row r="1240">
      <c r="A1240" s="59">
        <v>44339.0</v>
      </c>
      <c r="B1240" s="50" t="s">
        <v>768</v>
      </c>
      <c r="C1240" s="51" t="s">
        <v>862</v>
      </c>
      <c r="D1240" s="52" t="s">
        <v>863</v>
      </c>
      <c r="E1240" s="50" t="s">
        <v>864</v>
      </c>
      <c r="F1240" s="53" t="s">
        <v>885</v>
      </c>
    </row>
    <row r="1241">
      <c r="A1241" s="54">
        <v>44340.0</v>
      </c>
      <c r="B1241" s="55" t="s">
        <v>747</v>
      </c>
      <c r="C1241" s="56" t="s">
        <v>862</v>
      </c>
      <c r="D1241" s="57" t="s">
        <v>863</v>
      </c>
      <c r="E1241" s="55" t="s">
        <v>864</v>
      </c>
      <c r="F1241" s="58" t="s">
        <v>885</v>
      </c>
    </row>
    <row r="1242">
      <c r="A1242" s="59">
        <v>44341.0</v>
      </c>
      <c r="B1242" s="50" t="s">
        <v>769</v>
      </c>
      <c r="C1242" s="51" t="s">
        <v>862</v>
      </c>
      <c r="D1242" s="52" t="s">
        <v>863</v>
      </c>
      <c r="E1242" s="50" t="s">
        <v>864</v>
      </c>
      <c r="F1242" s="53" t="s">
        <v>885</v>
      </c>
    </row>
    <row r="1243">
      <c r="A1243" s="54">
        <v>44342.0</v>
      </c>
      <c r="B1243" s="55" t="s">
        <v>770</v>
      </c>
      <c r="C1243" s="56" t="s">
        <v>862</v>
      </c>
      <c r="D1243" s="57" t="s">
        <v>863</v>
      </c>
      <c r="E1243" s="55" t="s">
        <v>864</v>
      </c>
      <c r="F1243" s="58" t="s">
        <v>885</v>
      </c>
    </row>
    <row r="1244">
      <c r="A1244" s="59">
        <v>44343.0</v>
      </c>
      <c r="B1244" s="50" t="s">
        <v>749</v>
      </c>
      <c r="C1244" s="51" t="s">
        <v>862</v>
      </c>
      <c r="D1244" s="52" t="s">
        <v>863</v>
      </c>
      <c r="E1244" s="50" t="s">
        <v>864</v>
      </c>
      <c r="F1244" s="53" t="s">
        <v>885</v>
      </c>
    </row>
    <row r="1245">
      <c r="A1245" s="54">
        <v>44344.0</v>
      </c>
      <c r="B1245" s="55" t="s">
        <v>771</v>
      </c>
      <c r="C1245" s="56" t="s">
        <v>862</v>
      </c>
      <c r="D1245" s="57" t="s">
        <v>863</v>
      </c>
      <c r="E1245" s="55" t="s">
        <v>864</v>
      </c>
      <c r="F1245" s="58" t="s">
        <v>885</v>
      </c>
    </row>
    <row r="1246">
      <c r="A1246" s="59">
        <v>44345.0</v>
      </c>
      <c r="B1246" s="50" t="s">
        <v>772</v>
      </c>
      <c r="C1246" s="51" t="s">
        <v>862</v>
      </c>
      <c r="D1246" s="52" t="s">
        <v>863</v>
      </c>
      <c r="E1246" s="50" t="s">
        <v>864</v>
      </c>
      <c r="F1246" s="53" t="s">
        <v>885</v>
      </c>
    </row>
    <row r="1247">
      <c r="A1247" s="54">
        <v>44346.0</v>
      </c>
      <c r="B1247" s="55" t="s">
        <v>773</v>
      </c>
      <c r="C1247" s="56" t="s">
        <v>862</v>
      </c>
      <c r="D1247" s="57" t="s">
        <v>863</v>
      </c>
      <c r="E1247" s="55" t="s">
        <v>864</v>
      </c>
      <c r="F1247" s="58" t="s">
        <v>885</v>
      </c>
    </row>
    <row r="1248">
      <c r="A1248" s="59">
        <v>44347.0</v>
      </c>
      <c r="B1248" s="50" t="s">
        <v>774</v>
      </c>
      <c r="C1248" s="51" t="s">
        <v>862</v>
      </c>
      <c r="D1248" s="52" t="s">
        <v>863</v>
      </c>
      <c r="E1248" s="50" t="s">
        <v>864</v>
      </c>
      <c r="F1248" s="53" t="s">
        <v>885</v>
      </c>
    </row>
    <row r="1249">
      <c r="A1249" s="54">
        <v>44348.0</v>
      </c>
      <c r="B1249" s="55" t="s">
        <v>742</v>
      </c>
      <c r="C1249" s="56" t="s">
        <v>865</v>
      </c>
      <c r="D1249" s="57" t="s">
        <v>866</v>
      </c>
      <c r="E1249" s="55" t="s">
        <v>867</v>
      </c>
      <c r="F1249" s="58" t="s">
        <v>885</v>
      </c>
    </row>
    <row r="1250">
      <c r="A1250" s="59">
        <v>44349.0</v>
      </c>
      <c r="B1250" s="50" t="s">
        <v>744</v>
      </c>
      <c r="C1250" s="51" t="s">
        <v>865</v>
      </c>
      <c r="D1250" s="52" t="s">
        <v>866</v>
      </c>
      <c r="E1250" s="50" t="s">
        <v>867</v>
      </c>
      <c r="F1250" s="53" t="s">
        <v>885</v>
      </c>
    </row>
    <row r="1251">
      <c r="A1251" s="54">
        <v>44350.0</v>
      </c>
      <c r="B1251" s="55" t="s">
        <v>746</v>
      </c>
      <c r="C1251" s="56" t="s">
        <v>865</v>
      </c>
      <c r="D1251" s="57" t="s">
        <v>866</v>
      </c>
      <c r="E1251" s="55" t="s">
        <v>867</v>
      </c>
      <c r="F1251" s="58" t="s">
        <v>885</v>
      </c>
    </row>
    <row r="1252">
      <c r="A1252" s="59">
        <v>44351.0</v>
      </c>
      <c r="B1252" s="50" t="s">
        <v>748</v>
      </c>
      <c r="C1252" s="51" t="s">
        <v>865</v>
      </c>
      <c r="D1252" s="52" t="s">
        <v>866</v>
      </c>
      <c r="E1252" s="50" t="s">
        <v>867</v>
      </c>
      <c r="F1252" s="53" t="s">
        <v>885</v>
      </c>
    </row>
    <row r="1253">
      <c r="A1253" s="54">
        <v>44352.0</v>
      </c>
      <c r="B1253" s="55" t="s">
        <v>750</v>
      </c>
      <c r="C1253" s="56" t="s">
        <v>865</v>
      </c>
      <c r="D1253" s="57" t="s">
        <v>866</v>
      </c>
      <c r="E1253" s="55" t="s">
        <v>867</v>
      </c>
      <c r="F1253" s="58" t="s">
        <v>885</v>
      </c>
    </row>
    <row r="1254">
      <c r="A1254" s="59">
        <v>44353.0</v>
      </c>
      <c r="B1254" s="50" t="s">
        <v>752</v>
      </c>
      <c r="C1254" s="51" t="s">
        <v>865</v>
      </c>
      <c r="D1254" s="52" t="s">
        <v>866</v>
      </c>
      <c r="E1254" s="50" t="s">
        <v>867</v>
      </c>
      <c r="F1254" s="53" t="s">
        <v>885</v>
      </c>
    </row>
    <row r="1255">
      <c r="A1255" s="54">
        <v>44354.0</v>
      </c>
      <c r="B1255" s="55" t="s">
        <v>753</v>
      </c>
      <c r="C1255" s="56" t="s">
        <v>865</v>
      </c>
      <c r="D1255" s="57" t="s">
        <v>866</v>
      </c>
      <c r="E1255" s="55" t="s">
        <v>867</v>
      </c>
      <c r="F1255" s="58" t="s">
        <v>885</v>
      </c>
    </row>
    <row r="1256">
      <c r="A1256" s="59">
        <v>44355.0</v>
      </c>
      <c r="B1256" s="50" t="s">
        <v>754</v>
      </c>
      <c r="C1256" s="51" t="s">
        <v>865</v>
      </c>
      <c r="D1256" s="52" t="s">
        <v>866</v>
      </c>
      <c r="E1256" s="50" t="s">
        <v>867</v>
      </c>
      <c r="F1256" s="53" t="s">
        <v>885</v>
      </c>
    </row>
    <row r="1257">
      <c r="A1257" s="54">
        <v>44356.0</v>
      </c>
      <c r="B1257" s="55" t="s">
        <v>755</v>
      </c>
      <c r="C1257" s="56" t="s">
        <v>865</v>
      </c>
      <c r="D1257" s="57" t="s">
        <v>866</v>
      </c>
      <c r="E1257" s="55" t="s">
        <v>867</v>
      </c>
      <c r="F1257" s="58" t="s">
        <v>885</v>
      </c>
    </row>
    <row r="1258">
      <c r="A1258" s="59">
        <v>44357.0</v>
      </c>
      <c r="B1258" s="50" t="s">
        <v>756</v>
      </c>
      <c r="C1258" s="51" t="s">
        <v>865</v>
      </c>
      <c r="D1258" s="52" t="s">
        <v>866</v>
      </c>
      <c r="E1258" s="50" t="s">
        <v>867</v>
      </c>
      <c r="F1258" s="53" t="s">
        <v>885</v>
      </c>
    </row>
    <row r="1259">
      <c r="A1259" s="54">
        <v>44358.0</v>
      </c>
      <c r="B1259" s="55" t="s">
        <v>758</v>
      </c>
      <c r="C1259" s="56" t="s">
        <v>865</v>
      </c>
      <c r="D1259" s="57" t="s">
        <v>866</v>
      </c>
      <c r="E1259" s="55" t="s">
        <v>867</v>
      </c>
      <c r="F1259" s="58" t="s">
        <v>885</v>
      </c>
    </row>
    <row r="1260">
      <c r="A1260" s="59">
        <v>44359.0</v>
      </c>
      <c r="B1260" s="50" t="s">
        <v>759</v>
      </c>
      <c r="C1260" s="51" t="s">
        <v>865</v>
      </c>
      <c r="D1260" s="52" t="s">
        <v>866</v>
      </c>
      <c r="E1260" s="50" t="s">
        <v>867</v>
      </c>
      <c r="F1260" s="53" t="s">
        <v>885</v>
      </c>
    </row>
    <row r="1261">
      <c r="A1261" s="54">
        <v>44360.0</v>
      </c>
      <c r="B1261" s="55" t="s">
        <v>760</v>
      </c>
      <c r="C1261" s="56" t="s">
        <v>865</v>
      </c>
      <c r="D1261" s="57" t="s">
        <v>866</v>
      </c>
      <c r="E1261" s="55" t="s">
        <v>867</v>
      </c>
      <c r="F1261" s="58" t="s">
        <v>885</v>
      </c>
    </row>
    <row r="1262">
      <c r="A1262" s="59">
        <v>44361.0</v>
      </c>
      <c r="B1262" s="50" t="s">
        <v>761</v>
      </c>
      <c r="C1262" s="51" t="s">
        <v>865</v>
      </c>
      <c r="D1262" s="52" t="s">
        <v>866</v>
      </c>
      <c r="E1262" s="50" t="s">
        <v>867</v>
      </c>
      <c r="F1262" s="53" t="s">
        <v>885</v>
      </c>
    </row>
    <row r="1263">
      <c r="A1263" s="54">
        <v>44362.0</v>
      </c>
      <c r="B1263" s="55" t="s">
        <v>762</v>
      </c>
      <c r="C1263" s="56" t="s">
        <v>865</v>
      </c>
      <c r="D1263" s="57" t="s">
        <v>866</v>
      </c>
      <c r="E1263" s="55" t="s">
        <v>867</v>
      </c>
      <c r="F1263" s="58" t="s">
        <v>885</v>
      </c>
    </row>
    <row r="1264">
      <c r="A1264" s="59">
        <v>44363.0</v>
      </c>
      <c r="B1264" s="50" t="s">
        <v>763</v>
      </c>
      <c r="C1264" s="51" t="s">
        <v>865</v>
      </c>
      <c r="D1264" s="52" t="s">
        <v>866</v>
      </c>
      <c r="E1264" s="50" t="s">
        <v>867</v>
      </c>
      <c r="F1264" s="53" t="s">
        <v>885</v>
      </c>
    </row>
    <row r="1265">
      <c r="A1265" s="54">
        <v>44364.0</v>
      </c>
      <c r="B1265" s="55" t="s">
        <v>764</v>
      </c>
      <c r="C1265" s="56" t="s">
        <v>865</v>
      </c>
      <c r="D1265" s="57" t="s">
        <v>866</v>
      </c>
      <c r="E1265" s="55" t="s">
        <v>867</v>
      </c>
      <c r="F1265" s="58" t="s">
        <v>885</v>
      </c>
    </row>
    <row r="1266">
      <c r="A1266" s="59">
        <v>44365.0</v>
      </c>
      <c r="B1266" s="50" t="s">
        <v>765</v>
      </c>
      <c r="C1266" s="51" t="s">
        <v>865</v>
      </c>
      <c r="D1266" s="52" t="s">
        <v>866</v>
      </c>
      <c r="E1266" s="50" t="s">
        <v>867</v>
      </c>
      <c r="F1266" s="53" t="s">
        <v>885</v>
      </c>
    </row>
    <row r="1267">
      <c r="A1267" s="54">
        <v>44366.0</v>
      </c>
      <c r="B1267" s="55" t="s">
        <v>743</v>
      </c>
      <c r="C1267" s="56" t="s">
        <v>865</v>
      </c>
      <c r="D1267" s="57" t="s">
        <v>866</v>
      </c>
      <c r="E1267" s="55" t="s">
        <v>867</v>
      </c>
      <c r="F1267" s="58" t="s">
        <v>885</v>
      </c>
    </row>
    <row r="1268">
      <c r="A1268" s="59">
        <v>44367.0</v>
      </c>
      <c r="B1268" s="50" t="s">
        <v>766</v>
      </c>
      <c r="C1268" s="51" t="s">
        <v>865</v>
      </c>
      <c r="D1268" s="52" t="s">
        <v>866</v>
      </c>
      <c r="E1268" s="50" t="s">
        <v>867</v>
      </c>
      <c r="F1268" s="53" t="s">
        <v>885</v>
      </c>
    </row>
    <row r="1269">
      <c r="A1269" s="54">
        <v>44368.0</v>
      </c>
      <c r="B1269" s="55" t="s">
        <v>745</v>
      </c>
      <c r="C1269" s="56" t="s">
        <v>865</v>
      </c>
      <c r="D1269" s="57" t="s">
        <v>866</v>
      </c>
      <c r="E1269" s="55" t="s">
        <v>867</v>
      </c>
      <c r="F1269" s="58" t="s">
        <v>885</v>
      </c>
    </row>
    <row r="1270">
      <c r="A1270" s="59">
        <v>44369.0</v>
      </c>
      <c r="B1270" s="50" t="s">
        <v>767</v>
      </c>
      <c r="C1270" s="51" t="s">
        <v>865</v>
      </c>
      <c r="D1270" s="52" t="s">
        <v>866</v>
      </c>
      <c r="E1270" s="50" t="s">
        <v>867</v>
      </c>
      <c r="F1270" s="53" t="s">
        <v>885</v>
      </c>
    </row>
    <row r="1271">
      <c r="A1271" s="54">
        <v>44370.0</v>
      </c>
      <c r="B1271" s="55" t="s">
        <v>768</v>
      </c>
      <c r="C1271" s="56" t="s">
        <v>865</v>
      </c>
      <c r="D1271" s="57" t="s">
        <v>866</v>
      </c>
      <c r="E1271" s="55" t="s">
        <v>867</v>
      </c>
      <c r="F1271" s="58" t="s">
        <v>885</v>
      </c>
    </row>
    <row r="1272">
      <c r="A1272" s="59">
        <v>44371.0</v>
      </c>
      <c r="B1272" s="50" t="s">
        <v>747</v>
      </c>
      <c r="C1272" s="51" t="s">
        <v>865</v>
      </c>
      <c r="D1272" s="52" t="s">
        <v>866</v>
      </c>
      <c r="E1272" s="50" t="s">
        <v>867</v>
      </c>
      <c r="F1272" s="53" t="s">
        <v>885</v>
      </c>
    </row>
    <row r="1273">
      <c r="A1273" s="54">
        <v>44372.0</v>
      </c>
      <c r="B1273" s="55" t="s">
        <v>769</v>
      </c>
      <c r="C1273" s="56" t="s">
        <v>865</v>
      </c>
      <c r="D1273" s="57" t="s">
        <v>866</v>
      </c>
      <c r="E1273" s="55" t="s">
        <v>867</v>
      </c>
      <c r="F1273" s="58" t="s">
        <v>885</v>
      </c>
    </row>
    <row r="1274">
      <c r="A1274" s="59">
        <v>44373.0</v>
      </c>
      <c r="B1274" s="50" t="s">
        <v>770</v>
      </c>
      <c r="C1274" s="51" t="s">
        <v>865</v>
      </c>
      <c r="D1274" s="52" t="s">
        <v>866</v>
      </c>
      <c r="E1274" s="50" t="s">
        <v>867</v>
      </c>
      <c r="F1274" s="53" t="s">
        <v>885</v>
      </c>
    </row>
    <row r="1275">
      <c r="A1275" s="54">
        <v>44374.0</v>
      </c>
      <c r="B1275" s="55" t="s">
        <v>749</v>
      </c>
      <c r="C1275" s="56" t="s">
        <v>865</v>
      </c>
      <c r="D1275" s="57" t="s">
        <v>866</v>
      </c>
      <c r="E1275" s="55" t="s">
        <v>867</v>
      </c>
      <c r="F1275" s="58" t="s">
        <v>885</v>
      </c>
    </row>
    <row r="1276">
      <c r="A1276" s="59">
        <v>44375.0</v>
      </c>
      <c r="B1276" s="50" t="s">
        <v>771</v>
      </c>
      <c r="C1276" s="51" t="s">
        <v>865</v>
      </c>
      <c r="D1276" s="52" t="s">
        <v>866</v>
      </c>
      <c r="E1276" s="50" t="s">
        <v>867</v>
      </c>
      <c r="F1276" s="53" t="s">
        <v>885</v>
      </c>
    </row>
    <row r="1277">
      <c r="A1277" s="54">
        <v>44376.0</v>
      </c>
      <c r="B1277" s="55" t="s">
        <v>772</v>
      </c>
      <c r="C1277" s="56" t="s">
        <v>865</v>
      </c>
      <c r="D1277" s="57" t="s">
        <v>866</v>
      </c>
      <c r="E1277" s="55" t="s">
        <v>867</v>
      </c>
      <c r="F1277" s="58" t="s">
        <v>885</v>
      </c>
    </row>
    <row r="1278">
      <c r="A1278" s="59">
        <v>44377.0</v>
      </c>
      <c r="B1278" s="50" t="s">
        <v>773</v>
      </c>
      <c r="C1278" s="51" t="s">
        <v>865</v>
      </c>
      <c r="D1278" s="52" t="s">
        <v>866</v>
      </c>
      <c r="E1278" s="50" t="s">
        <v>867</v>
      </c>
      <c r="F1278" s="53" t="s">
        <v>885</v>
      </c>
    </row>
    <row r="1279">
      <c r="A1279" s="54">
        <v>44378.0</v>
      </c>
      <c r="B1279" s="55" t="s">
        <v>742</v>
      </c>
      <c r="C1279" s="56" t="s">
        <v>868</v>
      </c>
      <c r="D1279" s="57" t="s">
        <v>869</v>
      </c>
      <c r="E1279" s="55" t="s">
        <v>870</v>
      </c>
      <c r="F1279" s="58" t="s">
        <v>885</v>
      </c>
    </row>
    <row r="1280">
      <c r="A1280" s="59">
        <v>44379.0</v>
      </c>
      <c r="B1280" s="50" t="s">
        <v>744</v>
      </c>
      <c r="C1280" s="51" t="s">
        <v>868</v>
      </c>
      <c r="D1280" s="52" t="s">
        <v>869</v>
      </c>
      <c r="E1280" s="50" t="s">
        <v>870</v>
      </c>
      <c r="F1280" s="53" t="s">
        <v>885</v>
      </c>
    </row>
    <row r="1281">
      <c r="A1281" s="54">
        <v>44380.0</v>
      </c>
      <c r="B1281" s="55" t="s">
        <v>746</v>
      </c>
      <c r="C1281" s="56" t="s">
        <v>868</v>
      </c>
      <c r="D1281" s="57" t="s">
        <v>869</v>
      </c>
      <c r="E1281" s="55" t="s">
        <v>870</v>
      </c>
      <c r="F1281" s="58" t="s">
        <v>885</v>
      </c>
    </row>
    <row r="1282">
      <c r="A1282" s="59">
        <v>44381.0</v>
      </c>
      <c r="B1282" s="50" t="s">
        <v>748</v>
      </c>
      <c r="C1282" s="51" t="s">
        <v>868</v>
      </c>
      <c r="D1282" s="52" t="s">
        <v>869</v>
      </c>
      <c r="E1282" s="50" t="s">
        <v>870</v>
      </c>
      <c r="F1282" s="53" t="s">
        <v>885</v>
      </c>
    </row>
    <row r="1283">
      <c r="A1283" s="54">
        <v>44382.0</v>
      </c>
      <c r="B1283" s="55" t="s">
        <v>750</v>
      </c>
      <c r="C1283" s="56" t="s">
        <v>868</v>
      </c>
      <c r="D1283" s="57" t="s">
        <v>869</v>
      </c>
      <c r="E1283" s="55" t="s">
        <v>870</v>
      </c>
      <c r="F1283" s="58" t="s">
        <v>885</v>
      </c>
    </row>
    <row r="1284">
      <c r="A1284" s="59">
        <v>44383.0</v>
      </c>
      <c r="B1284" s="50" t="s">
        <v>752</v>
      </c>
      <c r="C1284" s="51" t="s">
        <v>868</v>
      </c>
      <c r="D1284" s="52" t="s">
        <v>869</v>
      </c>
      <c r="E1284" s="50" t="s">
        <v>870</v>
      </c>
      <c r="F1284" s="53" t="s">
        <v>885</v>
      </c>
    </row>
    <row r="1285">
      <c r="A1285" s="54">
        <v>44384.0</v>
      </c>
      <c r="B1285" s="55" t="s">
        <v>753</v>
      </c>
      <c r="C1285" s="56" t="s">
        <v>868</v>
      </c>
      <c r="D1285" s="57" t="s">
        <v>869</v>
      </c>
      <c r="E1285" s="55" t="s">
        <v>870</v>
      </c>
      <c r="F1285" s="58" t="s">
        <v>885</v>
      </c>
    </row>
    <row r="1286">
      <c r="A1286" s="59">
        <v>44385.0</v>
      </c>
      <c r="B1286" s="50" t="s">
        <v>754</v>
      </c>
      <c r="C1286" s="51" t="s">
        <v>868</v>
      </c>
      <c r="D1286" s="52" t="s">
        <v>869</v>
      </c>
      <c r="E1286" s="50" t="s">
        <v>870</v>
      </c>
      <c r="F1286" s="53" t="s">
        <v>885</v>
      </c>
    </row>
    <row r="1287">
      <c r="A1287" s="54">
        <v>44386.0</v>
      </c>
      <c r="B1287" s="55" t="s">
        <v>755</v>
      </c>
      <c r="C1287" s="56" t="s">
        <v>868</v>
      </c>
      <c r="D1287" s="57" t="s">
        <v>869</v>
      </c>
      <c r="E1287" s="55" t="s">
        <v>870</v>
      </c>
      <c r="F1287" s="58" t="s">
        <v>885</v>
      </c>
    </row>
    <row r="1288">
      <c r="A1288" s="59">
        <v>44387.0</v>
      </c>
      <c r="B1288" s="50" t="s">
        <v>756</v>
      </c>
      <c r="C1288" s="51" t="s">
        <v>868</v>
      </c>
      <c r="D1288" s="52" t="s">
        <v>869</v>
      </c>
      <c r="E1288" s="50" t="s">
        <v>870</v>
      </c>
      <c r="F1288" s="53" t="s">
        <v>885</v>
      </c>
    </row>
    <row r="1289">
      <c r="A1289" s="54">
        <v>44388.0</v>
      </c>
      <c r="B1289" s="55" t="s">
        <v>758</v>
      </c>
      <c r="C1289" s="56" t="s">
        <v>868</v>
      </c>
      <c r="D1289" s="57" t="s">
        <v>869</v>
      </c>
      <c r="E1289" s="55" t="s">
        <v>870</v>
      </c>
      <c r="F1289" s="58" t="s">
        <v>885</v>
      </c>
    </row>
    <row r="1290">
      <c r="A1290" s="59">
        <v>44389.0</v>
      </c>
      <c r="B1290" s="50" t="s">
        <v>759</v>
      </c>
      <c r="C1290" s="51" t="s">
        <v>868</v>
      </c>
      <c r="D1290" s="52" t="s">
        <v>869</v>
      </c>
      <c r="E1290" s="50" t="s">
        <v>870</v>
      </c>
      <c r="F1290" s="53" t="s">
        <v>885</v>
      </c>
    </row>
    <row r="1291">
      <c r="A1291" s="54">
        <v>44390.0</v>
      </c>
      <c r="B1291" s="55" t="s">
        <v>760</v>
      </c>
      <c r="C1291" s="56" t="s">
        <v>868</v>
      </c>
      <c r="D1291" s="57" t="s">
        <v>869</v>
      </c>
      <c r="E1291" s="55" t="s">
        <v>870</v>
      </c>
      <c r="F1291" s="58" t="s">
        <v>885</v>
      </c>
    </row>
    <row r="1292">
      <c r="A1292" s="59">
        <v>44391.0</v>
      </c>
      <c r="B1292" s="50" t="s">
        <v>761</v>
      </c>
      <c r="C1292" s="51" t="s">
        <v>868</v>
      </c>
      <c r="D1292" s="52" t="s">
        <v>869</v>
      </c>
      <c r="E1292" s="50" t="s">
        <v>870</v>
      </c>
      <c r="F1292" s="53" t="s">
        <v>885</v>
      </c>
    </row>
    <row r="1293">
      <c r="A1293" s="54">
        <v>44392.0</v>
      </c>
      <c r="B1293" s="55" t="s">
        <v>762</v>
      </c>
      <c r="C1293" s="56" t="s">
        <v>868</v>
      </c>
      <c r="D1293" s="57" t="s">
        <v>869</v>
      </c>
      <c r="E1293" s="55" t="s">
        <v>870</v>
      </c>
      <c r="F1293" s="58" t="s">
        <v>885</v>
      </c>
    </row>
    <row r="1294">
      <c r="A1294" s="59">
        <v>44393.0</v>
      </c>
      <c r="B1294" s="50" t="s">
        <v>763</v>
      </c>
      <c r="C1294" s="51" t="s">
        <v>868</v>
      </c>
      <c r="D1294" s="52" t="s">
        <v>869</v>
      </c>
      <c r="E1294" s="50" t="s">
        <v>870</v>
      </c>
      <c r="F1294" s="53" t="s">
        <v>885</v>
      </c>
    </row>
    <row r="1295">
      <c r="A1295" s="54">
        <v>44394.0</v>
      </c>
      <c r="B1295" s="55" t="s">
        <v>764</v>
      </c>
      <c r="C1295" s="56" t="s">
        <v>868</v>
      </c>
      <c r="D1295" s="57" t="s">
        <v>869</v>
      </c>
      <c r="E1295" s="55" t="s">
        <v>870</v>
      </c>
      <c r="F1295" s="58" t="s">
        <v>885</v>
      </c>
    </row>
    <row r="1296">
      <c r="A1296" s="59">
        <v>44395.0</v>
      </c>
      <c r="B1296" s="50" t="s">
        <v>765</v>
      </c>
      <c r="C1296" s="51" t="s">
        <v>868</v>
      </c>
      <c r="D1296" s="52" t="s">
        <v>869</v>
      </c>
      <c r="E1296" s="50" t="s">
        <v>870</v>
      </c>
      <c r="F1296" s="53" t="s">
        <v>885</v>
      </c>
    </row>
    <row r="1297">
      <c r="A1297" s="54">
        <v>44396.0</v>
      </c>
      <c r="B1297" s="55" t="s">
        <v>743</v>
      </c>
      <c r="C1297" s="56" t="s">
        <v>868</v>
      </c>
      <c r="D1297" s="57" t="s">
        <v>869</v>
      </c>
      <c r="E1297" s="55" t="s">
        <v>870</v>
      </c>
      <c r="F1297" s="58" t="s">
        <v>885</v>
      </c>
    </row>
    <row r="1298">
      <c r="A1298" s="59">
        <v>44397.0</v>
      </c>
      <c r="B1298" s="50" t="s">
        <v>766</v>
      </c>
      <c r="C1298" s="51" t="s">
        <v>868</v>
      </c>
      <c r="D1298" s="52" t="s">
        <v>869</v>
      </c>
      <c r="E1298" s="50" t="s">
        <v>870</v>
      </c>
      <c r="F1298" s="53" t="s">
        <v>885</v>
      </c>
    </row>
    <row r="1299">
      <c r="A1299" s="54">
        <v>44398.0</v>
      </c>
      <c r="B1299" s="55" t="s">
        <v>745</v>
      </c>
      <c r="C1299" s="56" t="s">
        <v>868</v>
      </c>
      <c r="D1299" s="57" t="s">
        <v>869</v>
      </c>
      <c r="E1299" s="55" t="s">
        <v>870</v>
      </c>
      <c r="F1299" s="58" t="s">
        <v>885</v>
      </c>
    </row>
    <row r="1300">
      <c r="A1300" s="59">
        <v>44399.0</v>
      </c>
      <c r="B1300" s="50" t="s">
        <v>767</v>
      </c>
      <c r="C1300" s="51" t="s">
        <v>868</v>
      </c>
      <c r="D1300" s="52" t="s">
        <v>869</v>
      </c>
      <c r="E1300" s="50" t="s">
        <v>870</v>
      </c>
      <c r="F1300" s="53" t="s">
        <v>885</v>
      </c>
    </row>
    <row r="1301">
      <c r="A1301" s="54">
        <v>44400.0</v>
      </c>
      <c r="B1301" s="55" t="s">
        <v>768</v>
      </c>
      <c r="C1301" s="56" t="s">
        <v>868</v>
      </c>
      <c r="D1301" s="57" t="s">
        <v>869</v>
      </c>
      <c r="E1301" s="55" t="s">
        <v>870</v>
      </c>
      <c r="F1301" s="58" t="s">
        <v>885</v>
      </c>
    </row>
    <row r="1302">
      <c r="A1302" s="59">
        <v>44401.0</v>
      </c>
      <c r="B1302" s="50" t="s">
        <v>747</v>
      </c>
      <c r="C1302" s="51" t="s">
        <v>868</v>
      </c>
      <c r="D1302" s="52" t="s">
        <v>869</v>
      </c>
      <c r="E1302" s="50" t="s">
        <v>870</v>
      </c>
      <c r="F1302" s="53" t="s">
        <v>885</v>
      </c>
    </row>
    <row r="1303">
      <c r="A1303" s="54">
        <v>44402.0</v>
      </c>
      <c r="B1303" s="55" t="s">
        <v>769</v>
      </c>
      <c r="C1303" s="56" t="s">
        <v>868</v>
      </c>
      <c r="D1303" s="57" t="s">
        <v>869</v>
      </c>
      <c r="E1303" s="55" t="s">
        <v>870</v>
      </c>
      <c r="F1303" s="58" t="s">
        <v>885</v>
      </c>
    </row>
    <row r="1304">
      <c r="A1304" s="59">
        <v>44403.0</v>
      </c>
      <c r="B1304" s="50" t="s">
        <v>770</v>
      </c>
      <c r="C1304" s="51" t="s">
        <v>868</v>
      </c>
      <c r="D1304" s="52" t="s">
        <v>869</v>
      </c>
      <c r="E1304" s="50" t="s">
        <v>870</v>
      </c>
      <c r="F1304" s="53" t="s">
        <v>885</v>
      </c>
    </row>
    <row r="1305">
      <c r="A1305" s="54">
        <v>44404.0</v>
      </c>
      <c r="B1305" s="55" t="s">
        <v>749</v>
      </c>
      <c r="C1305" s="56" t="s">
        <v>868</v>
      </c>
      <c r="D1305" s="57" t="s">
        <v>869</v>
      </c>
      <c r="E1305" s="55" t="s">
        <v>870</v>
      </c>
      <c r="F1305" s="58" t="s">
        <v>885</v>
      </c>
    </row>
    <row r="1306">
      <c r="A1306" s="59">
        <v>44405.0</v>
      </c>
      <c r="B1306" s="50" t="s">
        <v>771</v>
      </c>
      <c r="C1306" s="51" t="s">
        <v>868</v>
      </c>
      <c r="D1306" s="52" t="s">
        <v>869</v>
      </c>
      <c r="E1306" s="50" t="s">
        <v>870</v>
      </c>
      <c r="F1306" s="53" t="s">
        <v>885</v>
      </c>
    </row>
    <row r="1307">
      <c r="A1307" s="54">
        <v>44406.0</v>
      </c>
      <c r="B1307" s="55" t="s">
        <v>772</v>
      </c>
      <c r="C1307" s="56" t="s">
        <v>868</v>
      </c>
      <c r="D1307" s="57" t="s">
        <v>869</v>
      </c>
      <c r="E1307" s="55" t="s">
        <v>870</v>
      </c>
      <c r="F1307" s="58" t="s">
        <v>885</v>
      </c>
    </row>
    <row r="1308">
      <c r="A1308" s="59">
        <v>44407.0</v>
      </c>
      <c r="B1308" s="50" t="s">
        <v>773</v>
      </c>
      <c r="C1308" s="51" t="s">
        <v>868</v>
      </c>
      <c r="D1308" s="52" t="s">
        <v>869</v>
      </c>
      <c r="E1308" s="50" t="s">
        <v>870</v>
      </c>
      <c r="F1308" s="53" t="s">
        <v>885</v>
      </c>
    </row>
    <row r="1309">
      <c r="A1309" s="54">
        <v>44408.0</v>
      </c>
      <c r="B1309" s="55" t="s">
        <v>774</v>
      </c>
      <c r="C1309" s="56" t="s">
        <v>868</v>
      </c>
      <c r="D1309" s="57" t="s">
        <v>869</v>
      </c>
      <c r="E1309" s="55" t="s">
        <v>870</v>
      </c>
      <c r="F1309" s="58" t="s">
        <v>885</v>
      </c>
    </row>
    <row r="1310">
      <c r="A1310" s="59">
        <v>44409.0</v>
      </c>
      <c r="B1310" s="50" t="s">
        <v>742</v>
      </c>
      <c r="C1310" s="51" t="s">
        <v>871</v>
      </c>
      <c r="D1310" s="52" t="s">
        <v>872</v>
      </c>
      <c r="E1310" s="50" t="s">
        <v>873</v>
      </c>
      <c r="F1310" s="53" t="s">
        <v>885</v>
      </c>
    </row>
    <row r="1311">
      <c r="A1311" s="54">
        <v>44410.0</v>
      </c>
      <c r="B1311" s="55" t="s">
        <v>744</v>
      </c>
      <c r="C1311" s="56" t="s">
        <v>871</v>
      </c>
      <c r="D1311" s="57" t="s">
        <v>872</v>
      </c>
      <c r="E1311" s="55" t="s">
        <v>873</v>
      </c>
      <c r="F1311" s="58" t="s">
        <v>885</v>
      </c>
    </row>
    <row r="1312">
      <c r="A1312" s="59">
        <v>44411.0</v>
      </c>
      <c r="B1312" s="50" t="s">
        <v>746</v>
      </c>
      <c r="C1312" s="51" t="s">
        <v>871</v>
      </c>
      <c r="D1312" s="52" t="s">
        <v>872</v>
      </c>
      <c r="E1312" s="50" t="s">
        <v>873</v>
      </c>
      <c r="F1312" s="53" t="s">
        <v>885</v>
      </c>
    </row>
    <row r="1313">
      <c r="A1313" s="54">
        <v>44412.0</v>
      </c>
      <c r="B1313" s="55" t="s">
        <v>748</v>
      </c>
      <c r="C1313" s="56" t="s">
        <v>871</v>
      </c>
      <c r="D1313" s="57" t="s">
        <v>872</v>
      </c>
      <c r="E1313" s="55" t="s">
        <v>873</v>
      </c>
      <c r="F1313" s="58" t="s">
        <v>885</v>
      </c>
    </row>
    <row r="1314">
      <c r="A1314" s="59">
        <v>44413.0</v>
      </c>
      <c r="B1314" s="50" t="s">
        <v>750</v>
      </c>
      <c r="C1314" s="51" t="s">
        <v>871</v>
      </c>
      <c r="D1314" s="52" t="s">
        <v>872</v>
      </c>
      <c r="E1314" s="50" t="s">
        <v>873</v>
      </c>
      <c r="F1314" s="53" t="s">
        <v>885</v>
      </c>
    </row>
    <row r="1315">
      <c r="A1315" s="54">
        <v>44414.0</v>
      </c>
      <c r="B1315" s="55" t="s">
        <v>752</v>
      </c>
      <c r="C1315" s="56" t="s">
        <v>871</v>
      </c>
      <c r="D1315" s="57" t="s">
        <v>872</v>
      </c>
      <c r="E1315" s="55" t="s">
        <v>873</v>
      </c>
      <c r="F1315" s="58" t="s">
        <v>885</v>
      </c>
    </row>
    <row r="1316">
      <c r="A1316" s="59">
        <v>44415.0</v>
      </c>
      <c r="B1316" s="50" t="s">
        <v>753</v>
      </c>
      <c r="C1316" s="51" t="s">
        <v>871</v>
      </c>
      <c r="D1316" s="52" t="s">
        <v>872</v>
      </c>
      <c r="E1316" s="50" t="s">
        <v>873</v>
      </c>
      <c r="F1316" s="53" t="s">
        <v>885</v>
      </c>
    </row>
    <row r="1317">
      <c r="A1317" s="54">
        <v>44416.0</v>
      </c>
      <c r="B1317" s="55" t="s">
        <v>754</v>
      </c>
      <c r="C1317" s="56" t="s">
        <v>871</v>
      </c>
      <c r="D1317" s="57" t="s">
        <v>872</v>
      </c>
      <c r="E1317" s="55" t="s">
        <v>873</v>
      </c>
      <c r="F1317" s="58" t="s">
        <v>885</v>
      </c>
    </row>
    <row r="1318">
      <c r="A1318" s="59">
        <v>44417.0</v>
      </c>
      <c r="B1318" s="50" t="s">
        <v>755</v>
      </c>
      <c r="C1318" s="51" t="s">
        <v>871</v>
      </c>
      <c r="D1318" s="52" t="s">
        <v>872</v>
      </c>
      <c r="E1318" s="50" t="s">
        <v>873</v>
      </c>
      <c r="F1318" s="53" t="s">
        <v>885</v>
      </c>
    </row>
    <row r="1319">
      <c r="A1319" s="54">
        <v>44418.0</v>
      </c>
      <c r="B1319" s="55" t="s">
        <v>756</v>
      </c>
      <c r="C1319" s="56" t="s">
        <v>871</v>
      </c>
      <c r="D1319" s="57" t="s">
        <v>872</v>
      </c>
      <c r="E1319" s="55" t="s">
        <v>873</v>
      </c>
      <c r="F1319" s="58" t="s">
        <v>885</v>
      </c>
    </row>
    <row r="1320">
      <c r="A1320" s="59">
        <v>44419.0</v>
      </c>
      <c r="B1320" s="50" t="s">
        <v>758</v>
      </c>
      <c r="C1320" s="51" t="s">
        <v>871</v>
      </c>
      <c r="D1320" s="52" t="s">
        <v>872</v>
      </c>
      <c r="E1320" s="50" t="s">
        <v>873</v>
      </c>
      <c r="F1320" s="53" t="s">
        <v>885</v>
      </c>
    </row>
    <row r="1321">
      <c r="A1321" s="54">
        <v>44420.0</v>
      </c>
      <c r="B1321" s="55" t="s">
        <v>759</v>
      </c>
      <c r="C1321" s="56" t="s">
        <v>871</v>
      </c>
      <c r="D1321" s="57" t="s">
        <v>872</v>
      </c>
      <c r="E1321" s="55" t="s">
        <v>873</v>
      </c>
      <c r="F1321" s="58" t="s">
        <v>885</v>
      </c>
    </row>
    <row r="1322">
      <c r="A1322" s="59">
        <v>44421.0</v>
      </c>
      <c r="B1322" s="50" t="s">
        <v>760</v>
      </c>
      <c r="C1322" s="51" t="s">
        <v>871</v>
      </c>
      <c r="D1322" s="52" t="s">
        <v>872</v>
      </c>
      <c r="E1322" s="50" t="s">
        <v>873</v>
      </c>
      <c r="F1322" s="53" t="s">
        <v>885</v>
      </c>
    </row>
    <row r="1323">
      <c r="A1323" s="54">
        <v>44422.0</v>
      </c>
      <c r="B1323" s="55" t="s">
        <v>761</v>
      </c>
      <c r="C1323" s="56" t="s">
        <v>871</v>
      </c>
      <c r="D1323" s="57" t="s">
        <v>872</v>
      </c>
      <c r="E1323" s="55" t="s">
        <v>873</v>
      </c>
      <c r="F1323" s="58" t="s">
        <v>885</v>
      </c>
    </row>
    <row r="1324">
      <c r="A1324" s="59">
        <v>44423.0</v>
      </c>
      <c r="B1324" s="50" t="s">
        <v>762</v>
      </c>
      <c r="C1324" s="51" t="s">
        <v>871</v>
      </c>
      <c r="D1324" s="52" t="s">
        <v>872</v>
      </c>
      <c r="E1324" s="50" t="s">
        <v>873</v>
      </c>
      <c r="F1324" s="53" t="s">
        <v>885</v>
      </c>
    </row>
    <row r="1325">
      <c r="A1325" s="54">
        <v>44424.0</v>
      </c>
      <c r="B1325" s="55" t="s">
        <v>763</v>
      </c>
      <c r="C1325" s="56" t="s">
        <v>871</v>
      </c>
      <c r="D1325" s="57" t="s">
        <v>872</v>
      </c>
      <c r="E1325" s="55" t="s">
        <v>873</v>
      </c>
      <c r="F1325" s="58" t="s">
        <v>885</v>
      </c>
    </row>
    <row r="1326">
      <c r="A1326" s="59">
        <v>44425.0</v>
      </c>
      <c r="B1326" s="50" t="s">
        <v>764</v>
      </c>
      <c r="C1326" s="51" t="s">
        <v>871</v>
      </c>
      <c r="D1326" s="52" t="s">
        <v>872</v>
      </c>
      <c r="E1326" s="50" t="s">
        <v>873</v>
      </c>
      <c r="F1326" s="53" t="s">
        <v>885</v>
      </c>
    </row>
    <row r="1327">
      <c r="A1327" s="54">
        <v>44426.0</v>
      </c>
      <c r="B1327" s="55" t="s">
        <v>765</v>
      </c>
      <c r="C1327" s="56" t="s">
        <v>871</v>
      </c>
      <c r="D1327" s="57" t="s">
        <v>872</v>
      </c>
      <c r="E1327" s="55" t="s">
        <v>873</v>
      </c>
      <c r="F1327" s="58" t="s">
        <v>885</v>
      </c>
    </row>
    <row r="1328">
      <c r="A1328" s="59">
        <v>44427.0</v>
      </c>
      <c r="B1328" s="50" t="s">
        <v>743</v>
      </c>
      <c r="C1328" s="51" t="s">
        <v>871</v>
      </c>
      <c r="D1328" s="52" t="s">
        <v>872</v>
      </c>
      <c r="E1328" s="50" t="s">
        <v>873</v>
      </c>
      <c r="F1328" s="53" t="s">
        <v>885</v>
      </c>
    </row>
    <row r="1329">
      <c r="A1329" s="54">
        <v>44428.0</v>
      </c>
      <c r="B1329" s="55" t="s">
        <v>766</v>
      </c>
      <c r="C1329" s="56" t="s">
        <v>871</v>
      </c>
      <c r="D1329" s="57" t="s">
        <v>872</v>
      </c>
      <c r="E1329" s="55" t="s">
        <v>873</v>
      </c>
      <c r="F1329" s="58" t="s">
        <v>885</v>
      </c>
    </row>
    <row r="1330">
      <c r="A1330" s="59">
        <v>44429.0</v>
      </c>
      <c r="B1330" s="50" t="s">
        <v>745</v>
      </c>
      <c r="C1330" s="51" t="s">
        <v>871</v>
      </c>
      <c r="D1330" s="52" t="s">
        <v>872</v>
      </c>
      <c r="E1330" s="50" t="s">
        <v>873</v>
      </c>
      <c r="F1330" s="53" t="s">
        <v>885</v>
      </c>
    </row>
    <row r="1331">
      <c r="A1331" s="54">
        <v>44430.0</v>
      </c>
      <c r="B1331" s="55" t="s">
        <v>767</v>
      </c>
      <c r="C1331" s="56" t="s">
        <v>871</v>
      </c>
      <c r="D1331" s="57" t="s">
        <v>872</v>
      </c>
      <c r="E1331" s="55" t="s">
        <v>873</v>
      </c>
      <c r="F1331" s="58" t="s">
        <v>885</v>
      </c>
    </row>
    <row r="1332">
      <c r="A1332" s="59">
        <v>44431.0</v>
      </c>
      <c r="B1332" s="50" t="s">
        <v>768</v>
      </c>
      <c r="C1332" s="51" t="s">
        <v>871</v>
      </c>
      <c r="D1332" s="52" t="s">
        <v>872</v>
      </c>
      <c r="E1332" s="50" t="s">
        <v>873</v>
      </c>
      <c r="F1332" s="53" t="s">
        <v>885</v>
      </c>
    </row>
    <row r="1333">
      <c r="A1333" s="54">
        <v>44432.0</v>
      </c>
      <c r="B1333" s="55" t="s">
        <v>747</v>
      </c>
      <c r="C1333" s="56" t="s">
        <v>871</v>
      </c>
      <c r="D1333" s="57" t="s">
        <v>872</v>
      </c>
      <c r="E1333" s="55" t="s">
        <v>873</v>
      </c>
      <c r="F1333" s="58" t="s">
        <v>885</v>
      </c>
    </row>
    <row r="1334">
      <c r="A1334" s="59">
        <v>44433.0</v>
      </c>
      <c r="B1334" s="50" t="s">
        <v>769</v>
      </c>
      <c r="C1334" s="51" t="s">
        <v>871</v>
      </c>
      <c r="D1334" s="52" t="s">
        <v>872</v>
      </c>
      <c r="E1334" s="50" t="s">
        <v>873</v>
      </c>
      <c r="F1334" s="53" t="s">
        <v>885</v>
      </c>
    </row>
    <row r="1335">
      <c r="A1335" s="54">
        <v>44434.0</v>
      </c>
      <c r="B1335" s="55" t="s">
        <v>770</v>
      </c>
      <c r="C1335" s="56" t="s">
        <v>871</v>
      </c>
      <c r="D1335" s="57" t="s">
        <v>872</v>
      </c>
      <c r="E1335" s="55" t="s">
        <v>873</v>
      </c>
      <c r="F1335" s="58" t="s">
        <v>885</v>
      </c>
    </row>
    <row r="1336">
      <c r="A1336" s="59">
        <v>44435.0</v>
      </c>
      <c r="B1336" s="50" t="s">
        <v>749</v>
      </c>
      <c r="C1336" s="51" t="s">
        <v>871</v>
      </c>
      <c r="D1336" s="52" t="s">
        <v>872</v>
      </c>
      <c r="E1336" s="50" t="s">
        <v>873</v>
      </c>
      <c r="F1336" s="53" t="s">
        <v>885</v>
      </c>
    </row>
    <row r="1337">
      <c r="A1337" s="54">
        <v>44436.0</v>
      </c>
      <c r="B1337" s="55" t="s">
        <v>771</v>
      </c>
      <c r="C1337" s="56" t="s">
        <v>871</v>
      </c>
      <c r="D1337" s="57" t="s">
        <v>872</v>
      </c>
      <c r="E1337" s="55" t="s">
        <v>873</v>
      </c>
      <c r="F1337" s="58" t="s">
        <v>885</v>
      </c>
    </row>
    <row r="1338">
      <c r="A1338" s="59">
        <v>44437.0</v>
      </c>
      <c r="B1338" s="50" t="s">
        <v>772</v>
      </c>
      <c r="C1338" s="51" t="s">
        <v>871</v>
      </c>
      <c r="D1338" s="52" t="s">
        <v>872</v>
      </c>
      <c r="E1338" s="50" t="s">
        <v>873</v>
      </c>
      <c r="F1338" s="53" t="s">
        <v>885</v>
      </c>
    </row>
    <row r="1339">
      <c r="A1339" s="54">
        <v>44438.0</v>
      </c>
      <c r="B1339" s="55" t="s">
        <v>773</v>
      </c>
      <c r="C1339" s="56" t="s">
        <v>871</v>
      </c>
      <c r="D1339" s="57" t="s">
        <v>872</v>
      </c>
      <c r="E1339" s="55" t="s">
        <v>873</v>
      </c>
      <c r="F1339" s="58" t="s">
        <v>885</v>
      </c>
    </row>
    <row r="1340">
      <c r="A1340" s="59">
        <v>44439.0</v>
      </c>
      <c r="B1340" s="50" t="s">
        <v>774</v>
      </c>
      <c r="C1340" s="51" t="s">
        <v>871</v>
      </c>
      <c r="D1340" s="52" t="s">
        <v>872</v>
      </c>
      <c r="E1340" s="50" t="s">
        <v>873</v>
      </c>
      <c r="F1340" s="53" t="s">
        <v>885</v>
      </c>
    </row>
    <row r="1341">
      <c r="A1341" s="54">
        <v>44440.0</v>
      </c>
      <c r="B1341" s="55" t="s">
        <v>742</v>
      </c>
      <c r="C1341" s="56" t="s">
        <v>874</v>
      </c>
      <c r="D1341" s="57" t="s">
        <v>875</v>
      </c>
      <c r="E1341" s="55" t="s">
        <v>876</v>
      </c>
      <c r="F1341" s="58" t="s">
        <v>885</v>
      </c>
    </row>
    <row r="1342">
      <c r="A1342" s="59">
        <v>44441.0</v>
      </c>
      <c r="B1342" s="50" t="s">
        <v>744</v>
      </c>
      <c r="C1342" s="51" t="s">
        <v>874</v>
      </c>
      <c r="D1342" s="52" t="s">
        <v>875</v>
      </c>
      <c r="E1342" s="50" t="s">
        <v>876</v>
      </c>
      <c r="F1342" s="53" t="s">
        <v>885</v>
      </c>
    </row>
    <row r="1343">
      <c r="A1343" s="54">
        <v>44442.0</v>
      </c>
      <c r="B1343" s="55" t="s">
        <v>746</v>
      </c>
      <c r="C1343" s="56" t="s">
        <v>874</v>
      </c>
      <c r="D1343" s="57" t="s">
        <v>875</v>
      </c>
      <c r="E1343" s="55" t="s">
        <v>876</v>
      </c>
      <c r="F1343" s="58" t="s">
        <v>885</v>
      </c>
    </row>
    <row r="1344">
      <c r="A1344" s="59">
        <v>44443.0</v>
      </c>
      <c r="B1344" s="50" t="s">
        <v>748</v>
      </c>
      <c r="C1344" s="51" t="s">
        <v>874</v>
      </c>
      <c r="D1344" s="52" t="s">
        <v>875</v>
      </c>
      <c r="E1344" s="50" t="s">
        <v>876</v>
      </c>
      <c r="F1344" s="53" t="s">
        <v>885</v>
      </c>
    </row>
    <row r="1345">
      <c r="A1345" s="54">
        <v>44444.0</v>
      </c>
      <c r="B1345" s="55" t="s">
        <v>750</v>
      </c>
      <c r="C1345" s="56" t="s">
        <v>874</v>
      </c>
      <c r="D1345" s="57" t="s">
        <v>875</v>
      </c>
      <c r="E1345" s="55" t="s">
        <v>876</v>
      </c>
      <c r="F1345" s="58" t="s">
        <v>885</v>
      </c>
    </row>
    <row r="1346">
      <c r="A1346" s="59">
        <v>44445.0</v>
      </c>
      <c r="B1346" s="50" t="s">
        <v>752</v>
      </c>
      <c r="C1346" s="51" t="s">
        <v>874</v>
      </c>
      <c r="D1346" s="52" t="s">
        <v>875</v>
      </c>
      <c r="E1346" s="50" t="s">
        <v>876</v>
      </c>
      <c r="F1346" s="53" t="s">
        <v>885</v>
      </c>
    </row>
    <row r="1347">
      <c r="A1347" s="54">
        <v>44446.0</v>
      </c>
      <c r="B1347" s="55" t="s">
        <v>753</v>
      </c>
      <c r="C1347" s="56" t="s">
        <v>874</v>
      </c>
      <c r="D1347" s="57" t="s">
        <v>875</v>
      </c>
      <c r="E1347" s="55" t="s">
        <v>876</v>
      </c>
      <c r="F1347" s="58" t="s">
        <v>885</v>
      </c>
    </row>
    <row r="1348">
      <c r="A1348" s="59">
        <v>44447.0</v>
      </c>
      <c r="B1348" s="50" t="s">
        <v>754</v>
      </c>
      <c r="C1348" s="51" t="s">
        <v>874</v>
      </c>
      <c r="D1348" s="52" t="s">
        <v>875</v>
      </c>
      <c r="E1348" s="50" t="s">
        <v>876</v>
      </c>
      <c r="F1348" s="53" t="s">
        <v>885</v>
      </c>
    </row>
    <row r="1349">
      <c r="A1349" s="54">
        <v>44448.0</v>
      </c>
      <c r="B1349" s="55" t="s">
        <v>755</v>
      </c>
      <c r="C1349" s="56" t="s">
        <v>874</v>
      </c>
      <c r="D1349" s="57" t="s">
        <v>875</v>
      </c>
      <c r="E1349" s="55" t="s">
        <v>876</v>
      </c>
      <c r="F1349" s="58" t="s">
        <v>885</v>
      </c>
    </row>
    <row r="1350">
      <c r="A1350" s="59">
        <v>44449.0</v>
      </c>
      <c r="B1350" s="50" t="s">
        <v>756</v>
      </c>
      <c r="C1350" s="51" t="s">
        <v>874</v>
      </c>
      <c r="D1350" s="52" t="s">
        <v>875</v>
      </c>
      <c r="E1350" s="50" t="s">
        <v>876</v>
      </c>
      <c r="F1350" s="53" t="s">
        <v>885</v>
      </c>
    </row>
    <row r="1351">
      <c r="A1351" s="54">
        <v>44450.0</v>
      </c>
      <c r="B1351" s="55" t="s">
        <v>758</v>
      </c>
      <c r="C1351" s="56" t="s">
        <v>874</v>
      </c>
      <c r="D1351" s="57" t="s">
        <v>875</v>
      </c>
      <c r="E1351" s="55" t="s">
        <v>876</v>
      </c>
      <c r="F1351" s="58" t="s">
        <v>885</v>
      </c>
    </row>
    <row r="1352">
      <c r="A1352" s="59">
        <v>44451.0</v>
      </c>
      <c r="B1352" s="50" t="s">
        <v>759</v>
      </c>
      <c r="C1352" s="51" t="s">
        <v>874</v>
      </c>
      <c r="D1352" s="52" t="s">
        <v>875</v>
      </c>
      <c r="E1352" s="50" t="s">
        <v>876</v>
      </c>
      <c r="F1352" s="53" t="s">
        <v>885</v>
      </c>
    </row>
    <row r="1353">
      <c r="A1353" s="54">
        <v>44452.0</v>
      </c>
      <c r="B1353" s="55" t="s">
        <v>760</v>
      </c>
      <c r="C1353" s="56" t="s">
        <v>874</v>
      </c>
      <c r="D1353" s="57" t="s">
        <v>875</v>
      </c>
      <c r="E1353" s="55" t="s">
        <v>876</v>
      </c>
      <c r="F1353" s="58" t="s">
        <v>885</v>
      </c>
    </row>
    <row r="1354">
      <c r="A1354" s="59">
        <v>44453.0</v>
      </c>
      <c r="B1354" s="50" t="s">
        <v>761</v>
      </c>
      <c r="C1354" s="51" t="s">
        <v>874</v>
      </c>
      <c r="D1354" s="52" t="s">
        <v>875</v>
      </c>
      <c r="E1354" s="50" t="s">
        <v>876</v>
      </c>
      <c r="F1354" s="53" t="s">
        <v>885</v>
      </c>
    </row>
    <row r="1355">
      <c r="A1355" s="54">
        <v>44454.0</v>
      </c>
      <c r="B1355" s="55" t="s">
        <v>762</v>
      </c>
      <c r="C1355" s="56" t="s">
        <v>874</v>
      </c>
      <c r="D1355" s="57" t="s">
        <v>875</v>
      </c>
      <c r="E1355" s="55" t="s">
        <v>876</v>
      </c>
      <c r="F1355" s="58" t="s">
        <v>885</v>
      </c>
    </row>
    <row r="1356">
      <c r="A1356" s="59">
        <v>44455.0</v>
      </c>
      <c r="B1356" s="50" t="s">
        <v>763</v>
      </c>
      <c r="C1356" s="51" t="s">
        <v>874</v>
      </c>
      <c r="D1356" s="52" t="s">
        <v>875</v>
      </c>
      <c r="E1356" s="50" t="s">
        <v>876</v>
      </c>
      <c r="F1356" s="53" t="s">
        <v>885</v>
      </c>
    </row>
    <row r="1357">
      <c r="A1357" s="54">
        <v>44456.0</v>
      </c>
      <c r="B1357" s="55" t="s">
        <v>764</v>
      </c>
      <c r="C1357" s="56" t="s">
        <v>874</v>
      </c>
      <c r="D1357" s="57" t="s">
        <v>875</v>
      </c>
      <c r="E1357" s="55" t="s">
        <v>876</v>
      </c>
      <c r="F1357" s="58" t="s">
        <v>885</v>
      </c>
    </row>
    <row r="1358">
      <c r="A1358" s="59">
        <v>44457.0</v>
      </c>
      <c r="B1358" s="50" t="s">
        <v>765</v>
      </c>
      <c r="C1358" s="51" t="s">
        <v>874</v>
      </c>
      <c r="D1358" s="52" t="s">
        <v>875</v>
      </c>
      <c r="E1358" s="50" t="s">
        <v>876</v>
      </c>
      <c r="F1358" s="53" t="s">
        <v>885</v>
      </c>
    </row>
    <row r="1359">
      <c r="A1359" s="54">
        <v>44458.0</v>
      </c>
      <c r="B1359" s="55" t="s">
        <v>743</v>
      </c>
      <c r="C1359" s="56" t="s">
        <v>874</v>
      </c>
      <c r="D1359" s="57" t="s">
        <v>875</v>
      </c>
      <c r="E1359" s="55" t="s">
        <v>876</v>
      </c>
      <c r="F1359" s="58" t="s">
        <v>885</v>
      </c>
    </row>
    <row r="1360">
      <c r="A1360" s="59">
        <v>44459.0</v>
      </c>
      <c r="B1360" s="50" t="s">
        <v>766</v>
      </c>
      <c r="C1360" s="51" t="s">
        <v>874</v>
      </c>
      <c r="D1360" s="52" t="s">
        <v>875</v>
      </c>
      <c r="E1360" s="50" t="s">
        <v>876</v>
      </c>
      <c r="F1360" s="53" t="s">
        <v>885</v>
      </c>
    </row>
    <row r="1361">
      <c r="A1361" s="54">
        <v>44460.0</v>
      </c>
      <c r="B1361" s="55" t="s">
        <v>745</v>
      </c>
      <c r="C1361" s="56" t="s">
        <v>874</v>
      </c>
      <c r="D1361" s="57" t="s">
        <v>875</v>
      </c>
      <c r="E1361" s="55" t="s">
        <v>876</v>
      </c>
      <c r="F1361" s="58" t="s">
        <v>885</v>
      </c>
    </row>
    <row r="1362">
      <c r="A1362" s="59">
        <v>44461.0</v>
      </c>
      <c r="B1362" s="50" t="s">
        <v>767</v>
      </c>
      <c r="C1362" s="51" t="s">
        <v>874</v>
      </c>
      <c r="D1362" s="52" t="s">
        <v>875</v>
      </c>
      <c r="E1362" s="50" t="s">
        <v>876</v>
      </c>
      <c r="F1362" s="53" t="s">
        <v>885</v>
      </c>
    </row>
    <row r="1363">
      <c r="A1363" s="54">
        <v>44462.0</v>
      </c>
      <c r="B1363" s="55" t="s">
        <v>768</v>
      </c>
      <c r="C1363" s="56" t="s">
        <v>874</v>
      </c>
      <c r="D1363" s="57" t="s">
        <v>875</v>
      </c>
      <c r="E1363" s="55" t="s">
        <v>876</v>
      </c>
      <c r="F1363" s="58" t="s">
        <v>885</v>
      </c>
    </row>
    <row r="1364">
      <c r="A1364" s="59">
        <v>44463.0</v>
      </c>
      <c r="B1364" s="50" t="s">
        <v>747</v>
      </c>
      <c r="C1364" s="51" t="s">
        <v>874</v>
      </c>
      <c r="D1364" s="52" t="s">
        <v>875</v>
      </c>
      <c r="E1364" s="50" t="s">
        <v>876</v>
      </c>
      <c r="F1364" s="53" t="s">
        <v>885</v>
      </c>
    </row>
    <row r="1365">
      <c r="A1365" s="54">
        <v>44464.0</v>
      </c>
      <c r="B1365" s="55" t="s">
        <v>769</v>
      </c>
      <c r="C1365" s="56" t="s">
        <v>874</v>
      </c>
      <c r="D1365" s="57" t="s">
        <v>875</v>
      </c>
      <c r="E1365" s="55" t="s">
        <v>876</v>
      </c>
      <c r="F1365" s="58" t="s">
        <v>885</v>
      </c>
    </row>
    <row r="1366">
      <c r="A1366" s="59">
        <v>44465.0</v>
      </c>
      <c r="B1366" s="50" t="s">
        <v>770</v>
      </c>
      <c r="C1366" s="51" t="s">
        <v>874</v>
      </c>
      <c r="D1366" s="52" t="s">
        <v>875</v>
      </c>
      <c r="E1366" s="50" t="s">
        <v>876</v>
      </c>
      <c r="F1366" s="53" t="s">
        <v>885</v>
      </c>
    </row>
    <row r="1367">
      <c r="A1367" s="54">
        <v>44466.0</v>
      </c>
      <c r="B1367" s="55" t="s">
        <v>749</v>
      </c>
      <c r="C1367" s="56" t="s">
        <v>874</v>
      </c>
      <c r="D1367" s="57" t="s">
        <v>875</v>
      </c>
      <c r="E1367" s="55" t="s">
        <v>876</v>
      </c>
      <c r="F1367" s="58" t="s">
        <v>885</v>
      </c>
    </row>
    <row r="1368">
      <c r="A1368" s="59">
        <v>44467.0</v>
      </c>
      <c r="B1368" s="50" t="s">
        <v>771</v>
      </c>
      <c r="C1368" s="51" t="s">
        <v>874</v>
      </c>
      <c r="D1368" s="52" t="s">
        <v>875</v>
      </c>
      <c r="E1368" s="50" t="s">
        <v>876</v>
      </c>
      <c r="F1368" s="53" t="s">
        <v>885</v>
      </c>
    </row>
    <row r="1369">
      <c r="A1369" s="54">
        <v>44468.0</v>
      </c>
      <c r="B1369" s="55" t="s">
        <v>772</v>
      </c>
      <c r="C1369" s="56" t="s">
        <v>874</v>
      </c>
      <c r="D1369" s="57" t="s">
        <v>875</v>
      </c>
      <c r="E1369" s="55" t="s">
        <v>876</v>
      </c>
      <c r="F1369" s="58" t="s">
        <v>885</v>
      </c>
    </row>
    <row r="1370">
      <c r="A1370" s="59">
        <v>44469.0</v>
      </c>
      <c r="B1370" s="50" t="s">
        <v>773</v>
      </c>
      <c r="C1370" s="51" t="s">
        <v>874</v>
      </c>
      <c r="D1370" s="52" t="s">
        <v>875</v>
      </c>
      <c r="E1370" s="50" t="s">
        <v>876</v>
      </c>
      <c r="F1370" s="53" t="s">
        <v>885</v>
      </c>
    </row>
    <row r="1371">
      <c r="A1371" s="54">
        <v>44470.0</v>
      </c>
      <c r="B1371" s="55" t="s">
        <v>742</v>
      </c>
      <c r="C1371" s="60" t="s">
        <v>756</v>
      </c>
      <c r="D1371" s="57" t="s">
        <v>877</v>
      </c>
      <c r="E1371" s="55" t="s">
        <v>878</v>
      </c>
      <c r="F1371" s="58" t="s">
        <v>885</v>
      </c>
    </row>
    <row r="1372">
      <c r="A1372" s="59">
        <v>44471.0</v>
      </c>
      <c r="B1372" s="50" t="s">
        <v>744</v>
      </c>
      <c r="C1372" s="61" t="s">
        <v>756</v>
      </c>
      <c r="D1372" s="52" t="s">
        <v>877</v>
      </c>
      <c r="E1372" s="50" t="s">
        <v>878</v>
      </c>
      <c r="F1372" s="53" t="s">
        <v>885</v>
      </c>
    </row>
    <row r="1373">
      <c r="A1373" s="54">
        <v>44472.0</v>
      </c>
      <c r="B1373" s="55" t="s">
        <v>746</v>
      </c>
      <c r="C1373" s="60" t="s">
        <v>756</v>
      </c>
      <c r="D1373" s="57" t="s">
        <v>877</v>
      </c>
      <c r="E1373" s="55" t="s">
        <v>878</v>
      </c>
      <c r="F1373" s="58" t="s">
        <v>885</v>
      </c>
    </row>
    <row r="1374">
      <c r="A1374" s="59">
        <v>44473.0</v>
      </c>
      <c r="B1374" s="50" t="s">
        <v>748</v>
      </c>
      <c r="C1374" s="61" t="s">
        <v>756</v>
      </c>
      <c r="D1374" s="52" t="s">
        <v>877</v>
      </c>
      <c r="E1374" s="50" t="s">
        <v>878</v>
      </c>
      <c r="F1374" s="53" t="s">
        <v>885</v>
      </c>
    </row>
    <row r="1375">
      <c r="A1375" s="54">
        <v>44474.0</v>
      </c>
      <c r="B1375" s="55" t="s">
        <v>750</v>
      </c>
      <c r="C1375" s="60" t="s">
        <v>756</v>
      </c>
      <c r="D1375" s="57" t="s">
        <v>877</v>
      </c>
      <c r="E1375" s="55" t="s">
        <v>878</v>
      </c>
      <c r="F1375" s="58" t="s">
        <v>885</v>
      </c>
    </row>
    <row r="1376">
      <c r="A1376" s="59">
        <v>44475.0</v>
      </c>
      <c r="B1376" s="50" t="s">
        <v>752</v>
      </c>
      <c r="C1376" s="61" t="s">
        <v>756</v>
      </c>
      <c r="D1376" s="52" t="s">
        <v>877</v>
      </c>
      <c r="E1376" s="50" t="s">
        <v>878</v>
      </c>
      <c r="F1376" s="53" t="s">
        <v>885</v>
      </c>
    </row>
    <row r="1377">
      <c r="A1377" s="54">
        <v>44476.0</v>
      </c>
      <c r="B1377" s="55" t="s">
        <v>753</v>
      </c>
      <c r="C1377" s="60" t="s">
        <v>756</v>
      </c>
      <c r="D1377" s="57" t="s">
        <v>877</v>
      </c>
      <c r="E1377" s="55" t="s">
        <v>878</v>
      </c>
      <c r="F1377" s="58" t="s">
        <v>885</v>
      </c>
    </row>
    <row r="1378">
      <c r="A1378" s="59">
        <v>44477.0</v>
      </c>
      <c r="B1378" s="50" t="s">
        <v>754</v>
      </c>
      <c r="C1378" s="61" t="s">
        <v>756</v>
      </c>
      <c r="D1378" s="52" t="s">
        <v>877</v>
      </c>
      <c r="E1378" s="50" t="s">
        <v>878</v>
      </c>
      <c r="F1378" s="53" t="s">
        <v>885</v>
      </c>
    </row>
    <row r="1379">
      <c r="A1379" s="54">
        <v>44478.0</v>
      </c>
      <c r="B1379" s="55" t="s">
        <v>755</v>
      </c>
      <c r="C1379" s="60" t="s">
        <v>756</v>
      </c>
      <c r="D1379" s="57" t="s">
        <v>877</v>
      </c>
      <c r="E1379" s="55" t="s">
        <v>878</v>
      </c>
      <c r="F1379" s="58" t="s">
        <v>885</v>
      </c>
    </row>
    <row r="1380">
      <c r="A1380" s="59">
        <v>44479.0</v>
      </c>
      <c r="B1380" s="50" t="s">
        <v>756</v>
      </c>
      <c r="C1380" s="61" t="s">
        <v>756</v>
      </c>
      <c r="D1380" s="52" t="s">
        <v>877</v>
      </c>
      <c r="E1380" s="50" t="s">
        <v>878</v>
      </c>
      <c r="F1380" s="53" t="s">
        <v>885</v>
      </c>
    </row>
    <row r="1381">
      <c r="A1381" s="54">
        <v>44480.0</v>
      </c>
      <c r="B1381" s="55" t="s">
        <v>758</v>
      </c>
      <c r="C1381" s="60" t="s">
        <v>756</v>
      </c>
      <c r="D1381" s="57" t="s">
        <v>877</v>
      </c>
      <c r="E1381" s="55" t="s">
        <v>878</v>
      </c>
      <c r="F1381" s="58" t="s">
        <v>885</v>
      </c>
    </row>
    <row r="1382">
      <c r="A1382" s="59">
        <v>44481.0</v>
      </c>
      <c r="B1382" s="50" t="s">
        <v>759</v>
      </c>
      <c r="C1382" s="61" t="s">
        <v>756</v>
      </c>
      <c r="D1382" s="52" t="s">
        <v>877</v>
      </c>
      <c r="E1382" s="50" t="s">
        <v>878</v>
      </c>
      <c r="F1382" s="53" t="s">
        <v>885</v>
      </c>
    </row>
    <row r="1383">
      <c r="A1383" s="54">
        <v>44482.0</v>
      </c>
      <c r="B1383" s="55" t="s">
        <v>760</v>
      </c>
      <c r="C1383" s="60" t="s">
        <v>756</v>
      </c>
      <c r="D1383" s="57" t="s">
        <v>877</v>
      </c>
      <c r="E1383" s="55" t="s">
        <v>878</v>
      </c>
      <c r="F1383" s="58" t="s">
        <v>885</v>
      </c>
    </row>
    <row r="1384">
      <c r="A1384" s="59">
        <v>44483.0</v>
      </c>
      <c r="B1384" s="50" t="s">
        <v>761</v>
      </c>
      <c r="C1384" s="61" t="s">
        <v>756</v>
      </c>
      <c r="D1384" s="52" t="s">
        <v>877</v>
      </c>
      <c r="E1384" s="50" t="s">
        <v>878</v>
      </c>
      <c r="F1384" s="53" t="s">
        <v>885</v>
      </c>
    </row>
    <row r="1385">
      <c r="A1385" s="54">
        <v>44484.0</v>
      </c>
      <c r="B1385" s="55" t="s">
        <v>762</v>
      </c>
      <c r="C1385" s="60" t="s">
        <v>756</v>
      </c>
      <c r="D1385" s="57" t="s">
        <v>877</v>
      </c>
      <c r="E1385" s="55" t="s">
        <v>878</v>
      </c>
      <c r="F1385" s="58" t="s">
        <v>885</v>
      </c>
    </row>
    <row r="1386">
      <c r="A1386" s="59">
        <v>44485.0</v>
      </c>
      <c r="B1386" s="50" t="s">
        <v>763</v>
      </c>
      <c r="C1386" s="61" t="s">
        <v>756</v>
      </c>
      <c r="D1386" s="52" t="s">
        <v>877</v>
      </c>
      <c r="E1386" s="50" t="s">
        <v>878</v>
      </c>
      <c r="F1386" s="53" t="s">
        <v>885</v>
      </c>
    </row>
    <row r="1387">
      <c r="A1387" s="54">
        <v>44486.0</v>
      </c>
      <c r="B1387" s="55" t="s">
        <v>764</v>
      </c>
      <c r="C1387" s="60" t="s">
        <v>756</v>
      </c>
      <c r="D1387" s="57" t="s">
        <v>877</v>
      </c>
      <c r="E1387" s="55" t="s">
        <v>878</v>
      </c>
      <c r="F1387" s="58" t="s">
        <v>885</v>
      </c>
    </row>
    <row r="1388">
      <c r="A1388" s="59">
        <v>44487.0</v>
      </c>
      <c r="B1388" s="50" t="s">
        <v>765</v>
      </c>
      <c r="C1388" s="61" t="s">
        <v>756</v>
      </c>
      <c r="D1388" s="52" t="s">
        <v>877</v>
      </c>
      <c r="E1388" s="50" t="s">
        <v>878</v>
      </c>
      <c r="F1388" s="53" t="s">
        <v>885</v>
      </c>
    </row>
    <row r="1389">
      <c r="A1389" s="54">
        <v>44488.0</v>
      </c>
      <c r="B1389" s="55" t="s">
        <v>743</v>
      </c>
      <c r="C1389" s="60" t="s">
        <v>756</v>
      </c>
      <c r="D1389" s="57" t="s">
        <v>877</v>
      </c>
      <c r="E1389" s="55" t="s">
        <v>878</v>
      </c>
      <c r="F1389" s="58" t="s">
        <v>885</v>
      </c>
    </row>
    <row r="1390">
      <c r="A1390" s="59">
        <v>44489.0</v>
      </c>
      <c r="B1390" s="50" t="s">
        <v>766</v>
      </c>
      <c r="C1390" s="61" t="s">
        <v>756</v>
      </c>
      <c r="D1390" s="52" t="s">
        <v>877</v>
      </c>
      <c r="E1390" s="50" t="s">
        <v>878</v>
      </c>
      <c r="F1390" s="53" t="s">
        <v>885</v>
      </c>
    </row>
    <row r="1391">
      <c r="A1391" s="54">
        <v>44490.0</v>
      </c>
      <c r="B1391" s="55" t="s">
        <v>745</v>
      </c>
      <c r="C1391" s="60" t="s">
        <v>756</v>
      </c>
      <c r="D1391" s="57" t="s">
        <v>877</v>
      </c>
      <c r="E1391" s="55" t="s">
        <v>878</v>
      </c>
      <c r="F1391" s="58" t="s">
        <v>885</v>
      </c>
    </row>
    <row r="1392">
      <c r="A1392" s="59">
        <v>44491.0</v>
      </c>
      <c r="B1392" s="50" t="s">
        <v>767</v>
      </c>
      <c r="C1392" s="61" t="s">
        <v>756</v>
      </c>
      <c r="D1392" s="52" t="s">
        <v>877</v>
      </c>
      <c r="E1392" s="50" t="s">
        <v>878</v>
      </c>
      <c r="F1392" s="53" t="s">
        <v>885</v>
      </c>
    </row>
    <row r="1393">
      <c r="A1393" s="54">
        <v>44492.0</v>
      </c>
      <c r="B1393" s="55" t="s">
        <v>768</v>
      </c>
      <c r="C1393" s="60" t="s">
        <v>756</v>
      </c>
      <c r="D1393" s="57" t="s">
        <v>877</v>
      </c>
      <c r="E1393" s="55" t="s">
        <v>878</v>
      </c>
      <c r="F1393" s="58" t="s">
        <v>885</v>
      </c>
    </row>
    <row r="1394">
      <c r="A1394" s="59">
        <v>44493.0</v>
      </c>
      <c r="B1394" s="50" t="s">
        <v>747</v>
      </c>
      <c r="C1394" s="61" t="s">
        <v>756</v>
      </c>
      <c r="D1394" s="52" t="s">
        <v>877</v>
      </c>
      <c r="E1394" s="50" t="s">
        <v>878</v>
      </c>
      <c r="F1394" s="53" t="s">
        <v>885</v>
      </c>
    </row>
    <row r="1395">
      <c r="A1395" s="54">
        <v>44494.0</v>
      </c>
      <c r="B1395" s="55" t="s">
        <v>769</v>
      </c>
      <c r="C1395" s="60" t="s">
        <v>756</v>
      </c>
      <c r="D1395" s="57" t="s">
        <v>877</v>
      </c>
      <c r="E1395" s="55" t="s">
        <v>878</v>
      </c>
      <c r="F1395" s="58" t="s">
        <v>885</v>
      </c>
    </row>
    <row r="1396">
      <c r="A1396" s="59">
        <v>44495.0</v>
      </c>
      <c r="B1396" s="50" t="s">
        <v>770</v>
      </c>
      <c r="C1396" s="61" t="s">
        <v>756</v>
      </c>
      <c r="D1396" s="52" t="s">
        <v>877</v>
      </c>
      <c r="E1396" s="50" t="s">
        <v>878</v>
      </c>
      <c r="F1396" s="53" t="s">
        <v>885</v>
      </c>
    </row>
    <row r="1397">
      <c r="A1397" s="54">
        <v>44496.0</v>
      </c>
      <c r="B1397" s="55" t="s">
        <v>749</v>
      </c>
      <c r="C1397" s="60" t="s">
        <v>756</v>
      </c>
      <c r="D1397" s="57" t="s">
        <v>877</v>
      </c>
      <c r="E1397" s="55" t="s">
        <v>878</v>
      </c>
      <c r="F1397" s="58" t="s">
        <v>885</v>
      </c>
    </row>
    <row r="1398">
      <c r="A1398" s="59">
        <v>44497.0</v>
      </c>
      <c r="B1398" s="50" t="s">
        <v>771</v>
      </c>
      <c r="C1398" s="61" t="s">
        <v>756</v>
      </c>
      <c r="D1398" s="52" t="s">
        <v>877</v>
      </c>
      <c r="E1398" s="50" t="s">
        <v>878</v>
      </c>
      <c r="F1398" s="53" t="s">
        <v>885</v>
      </c>
    </row>
    <row r="1399">
      <c r="A1399" s="54">
        <v>44498.0</v>
      </c>
      <c r="B1399" s="55" t="s">
        <v>772</v>
      </c>
      <c r="C1399" s="60" t="s">
        <v>756</v>
      </c>
      <c r="D1399" s="57" t="s">
        <v>877</v>
      </c>
      <c r="E1399" s="55" t="s">
        <v>878</v>
      </c>
      <c r="F1399" s="58" t="s">
        <v>885</v>
      </c>
    </row>
    <row r="1400">
      <c r="A1400" s="59">
        <v>44499.0</v>
      </c>
      <c r="B1400" s="50" t="s">
        <v>773</v>
      </c>
      <c r="C1400" s="61" t="s">
        <v>756</v>
      </c>
      <c r="D1400" s="52" t="s">
        <v>877</v>
      </c>
      <c r="E1400" s="50" t="s">
        <v>878</v>
      </c>
      <c r="F1400" s="53" t="s">
        <v>885</v>
      </c>
    </row>
    <row r="1401">
      <c r="A1401" s="54">
        <v>44500.0</v>
      </c>
      <c r="B1401" s="55" t="s">
        <v>774</v>
      </c>
      <c r="C1401" s="60" t="s">
        <v>756</v>
      </c>
      <c r="D1401" s="57" t="s">
        <v>877</v>
      </c>
      <c r="E1401" s="55" t="s">
        <v>878</v>
      </c>
      <c r="F1401" s="58" t="s">
        <v>885</v>
      </c>
    </row>
    <row r="1402">
      <c r="A1402" s="59">
        <v>44501.0</v>
      </c>
      <c r="B1402" s="50" t="s">
        <v>742</v>
      </c>
      <c r="C1402" s="61" t="s">
        <v>758</v>
      </c>
      <c r="D1402" s="52" t="s">
        <v>879</v>
      </c>
      <c r="E1402" s="50" t="s">
        <v>880</v>
      </c>
      <c r="F1402" s="53" t="s">
        <v>885</v>
      </c>
    </row>
    <row r="1403">
      <c r="A1403" s="54">
        <v>44502.0</v>
      </c>
      <c r="B1403" s="55" t="s">
        <v>744</v>
      </c>
      <c r="C1403" s="60" t="s">
        <v>758</v>
      </c>
      <c r="D1403" s="57" t="s">
        <v>879</v>
      </c>
      <c r="E1403" s="55" t="s">
        <v>880</v>
      </c>
      <c r="F1403" s="58" t="s">
        <v>885</v>
      </c>
    </row>
    <row r="1404">
      <c r="A1404" s="59">
        <v>44503.0</v>
      </c>
      <c r="B1404" s="50" t="s">
        <v>746</v>
      </c>
      <c r="C1404" s="61" t="s">
        <v>758</v>
      </c>
      <c r="D1404" s="52" t="s">
        <v>879</v>
      </c>
      <c r="E1404" s="50" t="s">
        <v>880</v>
      </c>
      <c r="F1404" s="53" t="s">
        <v>885</v>
      </c>
    </row>
    <row r="1405">
      <c r="A1405" s="54">
        <v>44504.0</v>
      </c>
      <c r="B1405" s="55" t="s">
        <v>748</v>
      </c>
      <c r="C1405" s="60" t="s">
        <v>758</v>
      </c>
      <c r="D1405" s="57" t="s">
        <v>879</v>
      </c>
      <c r="E1405" s="55" t="s">
        <v>880</v>
      </c>
      <c r="F1405" s="58" t="s">
        <v>885</v>
      </c>
    </row>
    <row r="1406">
      <c r="A1406" s="59">
        <v>44505.0</v>
      </c>
      <c r="B1406" s="50" t="s">
        <v>750</v>
      </c>
      <c r="C1406" s="61" t="s">
        <v>758</v>
      </c>
      <c r="D1406" s="52" t="s">
        <v>879</v>
      </c>
      <c r="E1406" s="50" t="s">
        <v>880</v>
      </c>
      <c r="F1406" s="53" t="s">
        <v>885</v>
      </c>
    </row>
    <row r="1407">
      <c r="A1407" s="54">
        <v>44506.0</v>
      </c>
      <c r="B1407" s="55" t="s">
        <v>752</v>
      </c>
      <c r="C1407" s="60" t="s">
        <v>758</v>
      </c>
      <c r="D1407" s="57" t="s">
        <v>879</v>
      </c>
      <c r="E1407" s="55" t="s">
        <v>880</v>
      </c>
      <c r="F1407" s="58" t="s">
        <v>885</v>
      </c>
    </row>
    <row r="1408">
      <c r="A1408" s="59">
        <v>44507.0</v>
      </c>
      <c r="B1408" s="50" t="s">
        <v>753</v>
      </c>
      <c r="C1408" s="61" t="s">
        <v>758</v>
      </c>
      <c r="D1408" s="52" t="s">
        <v>879</v>
      </c>
      <c r="E1408" s="50" t="s">
        <v>880</v>
      </c>
      <c r="F1408" s="53" t="s">
        <v>885</v>
      </c>
    </row>
    <row r="1409">
      <c r="A1409" s="54">
        <v>44508.0</v>
      </c>
      <c r="B1409" s="55" t="s">
        <v>754</v>
      </c>
      <c r="C1409" s="60" t="s">
        <v>758</v>
      </c>
      <c r="D1409" s="57" t="s">
        <v>879</v>
      </c>
      <c r="E1409" s="55" t="s">
        <v>880</v>
      </c>
      <c r="F1409" s="58" t="s">
        <v>885</v>
      </c>
    </row>
    <row r="1410">
      <c r="A1410" s="59">
        <v>44509.0</v>
      </c>
      <c r="B1410" s="50" t="s">
        <v>755</v>
      </c>
      <c r="C1410" s="61" t="s">
        <v>758</v>
      </c>
      <c r="D1410" s="52" t="s">
        <v>879</v>
      </c>
      <c r="E1410" s="50" t="s">
        <v>880</v>
      </c>
      <c r="F1410" s="53" t="s">
        <v>885</v>
      </c>
    </row>
    <row r="1411">
      <c r="A1411" s="54">
        <v>44510.0</v>
      </c>
      <c r="B1411" s="55" t="s">
        <v>756</v>
      </c>
      <c r="C1411" s="60" t="s">
        <v>758</v>
      </c>
      <c r="D1411" s="57" t="s">
        <v>879</v>
      </c>
      <c r="E1411" s="55" t="s">
        <v>880</v>
      </c>
      <c r="F1411" s="58" t="s">
        <v>885</v>
      </c>
    </row>
    <row r="1412">
      <c r="A1412" s="59">
        <v>44511.0</v>
      </c>
      <c r="B1412" s="50" t="s">
        <v>758</v>
      </c>
      <c r="C1412" s="61" t="s">
        <v>758</v>
      </c>
      <c r="D1412" s="52" t="s">
        <v>879</v>
      </c>
      <c r="E1412" s="50" t="s">
        <v>880</v>
      </c>
      <c r="F1412" s="53" t="s">
        <v>885</v>
      </c>
    </row>
    <row r="1413">
      <c r="A1413" s="54">
        <v>44512.0</v>
      </c>
      <c r="B1413" s="55" t="s">
        <v>759</v>
      </c>
      <c r="C1413" s="60" t="s">
        <v>758</v>
      </c>
      <c r="D1413" s="57" t="s">
        <v>879</v>
      </c>
      <c r="E1413" s="55" t="s">
        <v>880</v>
      </c>
      <c r="F1413" s="58" t="s">
        <v>885</v>
      </c>
    </row>
    <row r="1414">
      <c r="A1414" s="59">
        <v>44513.0</v>
      </c>
      <c r="B1414" s="50" t="s">
        <v>760</v>
      </c>
      <c r="C1414" s="61" t="s">
        <v>758</v>
      </c>
      <c r="D1414" s="52" t="s">
        <v>879</v>
      </c>
      <c r="E1414" s="50" t="s">
        <v>880</v>
      </c>
      <c r="F1414" s="53" t="s">
        <v>885</v>
      </c>
    </row>
    <row r="1415">
      <c r="A1415" s="54">
        <v>44514.0</v>
      </c>
      <c r="B1415" s="55" t="s">
        <v>761</v>
      </c>
      <c r="C1415" s="60" t="s">
        <v>758</v>
      </c>
      <c r="D1415" s="57" t="s">
        <v>879</v>
      </c>
      <c r="E1415" s="55" t="s">
        <v>880</v>
      </c>
      <c r="F1415" s="58" t="s">
        <v>885</v>
      </c>
    </row>
    <row r="1416">
      <c r="A1416" s="59">
        <v>44515.0</v>
      </c>
      <c r="B1416" s="50" t="s">
        <v>762</v>
      </c>
      <c r="C1416" s="61" t="s">
        <v>758</v>
      </c>
      <c r="D1416" s="52" t="s">
        <v>879</v>
      </c>
      <c r="E1416" s="50" t="s">
        <v>880</v>
      </c>
      <c r="F1416" s="53" t="s">
        <v>885</v>
      </c>
    </row>
    <row r="1417">
      <c r="A1417" s="54">
        <v>44516.0</v>
      </c>
      <c r="B1417" s="55" t="s">
        <v>763</v>
      </c>
      <c r="C1417" s="60" t="s">
        <v>758</v>
      </c>
      <c r="D1417" s="57" t="s">
        <v>879</v>
      </c>
      <c r="E1417" s="55" t="s">
        <v>880</v>
      </c>
      <c r="F1417" s="58" t="s">
        <v>885</v>
      </c>
    </row>
    <row r="1418">
      <c r="A1418" s="59">
        <v>44517.0</v>
      </c>
      <c r="B1418" s="50" t="s">
        <v>764</v>
      </c>
      <c r="C1418" s="61" t="s">
        <v>758</v>
      </c>
      <c r="D1418" s="52" t="s">
        <v>879</v>
      </c>
      <c r="E1418" s="50" t="s">
        <v>880</v>
      </c>
      <c r="F1418" s="53" t="s">
        <v>885</v>
      </c>
    </row>
    <row r="1419">
      <c r="A1419" s="54">
        <v>44518.0</v>
      </c>
      <c r="B1419" s="55" t="s">
        <v>765</v>
      </c>
      <c r="C1419" s="60" t="s">
        <v>758</v>
      </c>
      <c r="D1419" s="57" t="s">
        <v>879</v>
      </c>
      <c r="E1419" s="55" t="s">
        <v>880</v>
      </c>
      <c r="F1419" s="58" t="s">
        <v>885</v>
      </c>
    </row>
    <row r="1420">
      <c r="A1420" s="59">
        <v>44519.0</v>
      </c>
      <c r="B1420" s="50" t="s">
        <v>743</v>
      </c>
      <c r="C1420" s="61" t="s">
        <v>758</v>
      </c>
      <c r="D1420" s="52" t="s">
        <v>879</v>
      </c>
      <c r="E1420" s="50" t="s">
        <v>880</v>
      </c>
      <c r="F1420" s="53" t="s">
        <v>885</v>
      </c>
    </row>
    <row r="1421">
      <c r="A1421" s="54">
        <v>44520.0</v>
      </c>
      <c r="B1421" s="55" t="s">
        <v>766</v>
      </c>
      <c r="C1421" s="60" t="s">
        <v>758</v>
      </c>
      <c r="D1421" s="57" t="s">
        <v>879</v>
      </c>
      <c r="E1421" s="55" t="s">
        <v>880</v>
      </c>
      <c r="F1421" s="58" t="s">
        <v>885</v>
      </c>
    </row>
    <row r="1422">
      <c r="A1422" s="59">
        <v>44521.0</v>
      </c>
      <c r="B1422" s="50" t="s">
        <v>745</v>
      </c>
      <c r="C1422" s="61" t="s">
        <v>758</v>
      </c>
      <c r="D1422" s="52" t="s">
        <v>879</v>
      </c>
      <c r="E1422" s="50" t="s">
        <v>880</v>
      </c>
      <c r="F1422" s="53" t="s">
        <v>885</v>
      </c>
    </row>
    <row r="1423">
      <c r="A1423" s="54">
        <v>44522.0</v>
      </c>
      <c r="B1423" s="55" t="s">
        <v>767</v>
      </c>
      <c r="C1423" s="60" t="s">
        <v>758</v>
      </c>
      <c r="D1423" s="57" t="s">
        <v>879</v>
      </c>
      <c r="E1423" s="55" t="s">
        <v>880</v>
      </c>
      <c r="F1423" s="58" t="s">
        <v>885</v>
      </c>
    </row>
    <row r="1424">
      <c r="A1424" s="59">
        <v>44523.0</v>
      </c>
      <c r="B1424" s="50" t="s">
        <v>768</v>
      </c>
      <c r="C1424" s="61" t="s">
        <v>758</v>
      </c>
      <c r="D1424" s="52" t="s">
        <v>879</v>
      </c>
      <c r="E1424" s="50" t="s">
        <v>880</v>
      </c>
      <c r="F1424" s="53" t="s">
        <v>885</v>
      </c>
    </row>
    <row r="1425">
      <c r="A1425" s="54">
        <v>44524.0</v>
      </c>
      <c r="B1425" s="55" t="s">
        <v>747</v>
      </c>
      <c r="C1425" s="60" t="s">
        <v>758</v>
      </c>
      <c r="D1425" s="57" t="s">
        <v>879</v>
      </c>
      <c r="E1425" s="55" t="s">
        <v>880</v>
      </c>
      <c r="F1425" s="58" t="s">
        <v>885</v>
      </c>
    </row>
    <row r="1426">
      <c r="A1426" s="59">
        <v>44525.0</v>
      </c>
      <c r="B1426" s="50" t="s">
        <v>769</v>
      </c>
      <c r="C1426" s="61" t="s">
        <v>758</v>
      </c>
      <c r="D1426" s="52" t="s">
        <v>879</v>
      </c>
      <c r="E1426" s="50" t="s">
        <v>880</v>
      </c>
      <c r="F1426" s="53" t="s">
        <v>885</v>
      </c>
    </row>
    <row r="1427">
      <c r="A1427" s="54">
        <v>44526.0</v>
      </c>
      <c r="B1427" s="55" t="s">
        <v>770</v>
      </c>
      <c r="C1427" s="60" t="s">
        <v>758</v>
      </c>
      <c r="D1427" s="57" t="s">
        <v>879</v>
      </c>
      <c r="E1427" s="55" t="s">
        <v>880</v>
      </c>
      <c r="F1427" s="58" t="s">
        <v>885</v>
      </c>
    </row>
    <row r="1428">
      <c r="A1428" s="59">
        <v>44527.0</v>
      </c>
      <c r="B1428" s="50" t="s">
        <v>749</v>
      </c>
      <c r="C1428" s="61" t="s">
        <v>758</v>
      </c>
      <c r="D1428" s="52" t="s">
        <v>879</v>
      </c>
      <c r="E1428" s="50" t="s">
        <v>880</v>
      </c>
      <c r="F1428" s="53" t="s">
        <v>885</v>
      </c>
    </row>
    <row r="1429">
      <c r="A1429" s="54">
        <v>44528.0</v>
      </c>
      <c r="B1429" s="55" t="s">
        <v>771</v>
      </c>
      <c r="C1429" s="60" t="s">
        <v>758</v>
      </c>
      <c r="D1429" s="57" t="s">
        <v>879</v>
      </c>
      <c r="E1429" s="55" t="s">
        <v>880</v>
      </c>
      <c r="F1429" s="58" t="s">
        <v>885</v>
      </c>
    </row>
    <row r="1430">
      <c r="A1430" s="59">
        <v>44529.0</v>
      </c>
      <c r="B1430" s="50" t="s">
        <v>772</v>
      </c>
      <c r="C1430" s="61" t="s">
        <v>758</v>
      </c>
      <c r="D1430" s="52" t="s">
        <v>879</v>
      </c>
      <c r="E1430" s="50" t="s">
        <v>880</v>
      </c>
      <c r="F1430" s="53" t="s">
        <v>885</v>
      </c>
    </row>
    <row r="1431">
      <c r="A1431" s="54">
        <v>44530.0</v>
      </c>
      <c r="B1431" s="55" t="s">
        <v>773</v>
      </c>
      <c r="C1431" s="60" t="s">
        <v>758</v>
      </c>
      <c r="D1431" s="57" t="s">
        <v>879</v>
      </c>
      <c r="E1431" s="55" t="s">
        <v>880</v>
      </c>
      <c r="F1431" s="58" t="s">
        <v>885</v>
      </c>
    </row>
    <row r="1432">
      <c r="A1432" s="59">
        <v>44531.0</v>
      </c>
      <c r="B1432" s="50" t="s">
        <v>742</v>
      </c>
      <c r="C1432" s="61" t="s">
        <v>759</v>
      </c>
      <c r="D1432" s="52" t="s">
        <v>881</v>
      </c>
      <c r="E1432" s="50" t="s">
        <v>882</v>
      </c>
      <c r="F1432" s="53" t="s">
        <v>885</v>
      </c>
    </row>
    <row r="1433">
      <c r="A1433" s="54">
        <v>44532.0</v>
      </c>
      <c r="B1433" s="55" t="s">
        <v>744</v>
      </c>
      <c r="C1433" s="60" t="s">
        <v>759</v>
      </c>
      <c r="D1433" s="57" t="s">
        <v>881</v>
      </c>
      <c r="E1433" s="55" t="s">
        <v>882</v>
      </c>
      <c r="F1433" s="58" t="s">
        <v>885</v>
      </c>
    </row>
    <row r="1434">
      <c r="A1434" s="59">
        <v>44533.0</v>
      </c>
      <c r="B1434" s="50" t="s">
        <v>746</v>
      </c>
      <c r="C1434" s="61" t="s">
        <v>759</v>
      </c>
      <c r="D1434" s="52" t="s">
        <v>881</v>
      </c>
      <c r="E1434" s="50" t="s">
        <v>882</v>
      </c>
      <c r="F1434" s="53" t="s">
        <v>885</v>
      </c>
    </row>
    <row r="1435">
      <c r="A1435" s="54">
        <v>44534.0</v>
      </c>
      <c r="B1435" s="55" t="s">
        <v>748</v>
      </c>
      <c r="C1435" s="60" t="s">
        <v>759</v>
      </c>
      <c r="D1435" s="57" t="s">
        <v>881</v>
      </c>
      <c r="E1435" s="55" t="s">
        <v>882</v>
      </c>
      <c r="F1435" s="58" t="s">
        <v>885</v>
      </c>
    </row>
    <row r="1436">
      <c r="A1436" s="59">
        <v>44535.0</v>
      </c>
      <c r="B1436" s="50" t="s">
        <v>750</v>
      </c>
      <c r="C1436" s="61" t="s">
        <v>759</v>
      </c>
      <c r="D1436" s="52" t="s">
        <v>881</v>
      </c>
      <c r="E1436" s="50" t="s">
        <v>882</v>
      </c>
      <c r="F1436" s="53" t="s">
        <v>885</v>
      </c>
    </row>
    <row r="1437">
      <c r="A1437" s="54">
        <v>44536.0</v>
      </c>
      <c r="B1437" s="55" t="s">
        <v>752</v>
      </c>
      <c r="C1437" s="60" t="s">
        <v>759</v>
      </c>
      <c r="D1437" s="57" t="s">
        <v>881</v>
      </c>
      <c r="E1437" s="55" t="s">
        <v>882</v>
      </c>
      <c r="F1437" s="58" t="s">
        <v>885</v>
      </c>
    </row>
    <row r="1438">
      <c r="A1438" s="59">
        <v>44537.0</v>
      </c>
      <c r="B1438" s="50" t="s">
        <v>753</v>
      </c>
      <c r="C1438" s="61" t="s">
        <v>759</v>
      </c>
      <c r="D1438" s="52" t="s">
        <v>881</v>
      </c>
      <c r="E1438" s="50" t="s">
        <v>882</v>
      </c>
      <c r="F1438" s="53" t="s">
        <v>885</v>
      </c>
    </row>
    <row r="1439">
      <c r="A1439" s="54">
        <v>44538.0</v>
      </c>
      <c r="B1439" s="55" t="s">
        <v>754</v>
      </c>
      <c r="C1439" s="60" t="s">
        <v>759</v>
      </c>
      <c r="D1439" s="57" t="s">
        <v>881</v>
      </c>
      <c r="E1439" s="55" t="s">
        <v>882</v>
      </c>
      <c r="F1439" s="58" t="s">
        <v>885</v>
      </c>
    </row>
    <row r="1440">
      <c r="A1440" s="59">
        <v>44539.0</v>
      </c>
      <c r="B1440" s="50" t="s">
        <v>755</v>
      </c>
      <c r="C1440" s="61" t="s">
        <v>759</v>
      </c>
      <c r="D1440" s="52" t="s">
        <v>881</v>
      </c>
      <c r="E1440" s="50" t="s">
        <v>882</v>
      </c>
      <c r="F1440" s="53" t="s">
        <v>885</v>
      </c>
    </row>
    <row r="1441">
      <c r="A1441" s="54">
        <v>44540.0</v>
      </c>
      <c r="B1441" s="55" t="s">
        <v>756</v>
      </c>
      <c r="C1441" s="60" t="s">
        <v>759</v>
      </c>
      <c r="D1441" s="57" t="s">
        <v>881</v>
      </c>
      <c r="E1441" s="55" t="s">
        <v>882</v>
      </c>
      <c r="F1441" s="58" t="s">
        <v>885</v>
      </c>
    </row>
    <row r="1442">
      <c r="A1442" s="59">
        <v>44541.0</v>
      </c>
      <c r="B1442" s="50" t="s">
        <v>758</v>
      </c>
      <c r="C1442" s="61" t="s">
        <v>759</v>
      </c>
      <c r="D1442" s="52" t="s">
        <v>881</v>
      </c>
      <c r="E1442" s="50" t="s">
        <v>882</v>
      </c>
      <c r="F1442" s="53" t="s">
        <v>885</v>
      </c>
    </row>
    <row r="1443">
      <c r="A1443" s="54">
        <v>44542.0</v>
      </c>
      <c r="B1443" s="55" t="s">
        <v>759</v>
      </c>
      <c r="C1443" s="60" t="s">
        <v>759</v>
      </c>
      <c r="D1443" s="57" t="s">
        <v>881</v>
      </c>
      <c r="E1443" s="55" t="s">
        <v>882</v>
      </c>
      <c r="F1443" s="58" t="s">
        <v>885</v>
      </c>
    </row>
    <row r="1444">
      <c r="A1444" s="59">
        <v>44543.0</v>
      </c>
      <c r="B1444" s="50" t="s">
        <v>760</v>
      </c>
      <c r="C1444" s="61" t="s">
        <v>759</v>
      </c>
      <c r="D1444" s="52" t="s">
        <v>881</v>
      </c>
      <c r="E1444" s="50" t="s">
        <v>882</v>
      </c>
      <c r="F1444" s="53" t="s">
        <v>885</v>
      </c>
    </row>
    <row r="1445">
      <c r="A1445" s="54">
        <v>44544.0</v>
      </c>
      <c r="B1445" s="55" t="s">
        <v>761</v>
      </c>
      <c r="C1445" s="60" t="s">
        <v>759</v>
      </c>
      <c r="D1445" s="57" t="s">
        <v>881</v>
      </c>
      <c r="E1445" s="55" t="s">
        <v>882</v>
      </c>
      <c r="F1445" s="58" t="s">
        <v>885</v>
      </c>
    </row>
    <row r="1446">
      <c r="A1446" s="59">
        <v>44545.0</v>
      </c>
      <c r="B1446" s="50" t="s">
        <v>762</v>
      </c>
      <c r="C1446" s="61" t="s">
        <v>759</v>
      </c>
      <c r="D1446" s="52" t="s">
        <v>881</v>
      </c>
      <c r="E1446" s="50" t="s">
        <v>882</v>
      </c>
      <c r="F1446" s="53" t="s">
        <v>885</v>
      </c>
    </row>
    <row r="1447">
      <c r="A1447" s="54">
        <v>44546.0</v>
      </c>
      <c r="B1447" s="55" t="s">
        <v>763</v>
      </c>
      <c r="C1447" s="60" t="s">
        <v>759</v>
      </c>
      <c r="D1447" s="57" t="s">
        <v>881</v>
      </c>
      <c r="E1447" s="55" t="s">
        <v>882</v>
      </c>
      <c r="F1447" s="58" t="s">
        <v>885</v>
      </c>
    </row>
    <row r="1448">
      <c r="A1448" s="59">
        <v>44547.0</v>
      </c>
      <c r="B1448" s="50" t="s">
        <v>764</v>
      </c>
      <c r="C1448" s="61" t="s">
        <v>759</v>
      </c>
      <c r="D1448" s="52" t="s">
        <v>881</v>
      </c>
      <c r="E1448" s="50" t="s">
        <v>882</v>
      </c>
      <c r="F1448" s="53" t="s">
        <v>885</v>
      </c>
    </row>
    <row r="1449">
      <c r="A1449" s="54">
        <v>44548.0</v>
      </c>
      <c r="B1449" s="55" t="s">
        <v>765</v>
      </c>
      <c r="C1449" s="60" t="s">
        <v>759</v>
      </c>
      <c r="D1449" s="57" t="s">
        <v>881</v>
      </c>
      <c r="E1449" s="55" t="s">
        <v>882</v>
      </c>
      <c r="F1449" s="58" t="s">
        <v>885</v>
      </c>
    </row>
    <row r="1450">
      <c r="A1450" s="59">
        <v>44549.0</v>
      </c>
      <c r="B1450" s="50" t="s">
        <v>743</v>
      </c>
      <c r="C1450" s="61" t="s">
        <v>759</v>
      </c>
      <c r="D1450" s="52" t="s">
        <v>881</v>
      </c>
      <c r="E1450" s="50" t="s">
        <v>882</v>
      </c>
      <c r="F1450" s="53" t="s">
        <v>885</v>
      </c>
    </row>
    <row r="1451">
      <c r="A1451" s="54">
        <v>44550.0</v>
      </c>
      <c r="B1451" s="55" t="s">
        <v>766</v>
      </c>
      <c r="C1451" s="60" t="s">
        <v>759</v>
      </c>
      <c r="D1451" s="57" t="s">
        <v>881</v>
      </c>
      <c r="E1451" s="55" t="s">
        <v>882</v>
      </c>
      <c r="F1451" s="58" t="s">
        <v>885</v>
      </c>
    </row>
    <row r="1452">
      <c r="A1452" s="59">
        <v>44551.0</v>
      </c>
      <c r="B1452" s="50" t="s">
        <v>745</v>
      </c>
      <c r="C1452" s="61" t="s">
        <v>759</v>
      </c>
      <c r="D1452" s="52" t="s">
        <v>881</v>
      </c>
      <c r="E1452" s="50" t="s">
        <v>882</v>
      </c>
      <c r="F1452" s="53" t="s">
        <v>885</v>
      </c>
    </row>
    <row r="1453">
      <c r="A1453" s="54">
        <v>44552.0</v>
      </c>
      <c r="B1453" s="55" t="s">
        <v>767</v>
      </c>
      <c r="C1453" s="60" t="s">
        <v>759</v>
      </c>
      <c r="D1453" s="57" t="s">
        <v>881</v>
      </c>
      <c r="E1453" s="55" t="s">
        <v>882</v>
      </c>
      <c r="F1453" s="58" t="s">
        <v>885</v>
      </c>
    </row>
    <row r="1454">
      <c r="A1454" s="59">
        <v>44553.0</v>
      </c>
      <c r="B1454" s="50" t="s">
        <v>768</v>
      </c>
      <c r="C1454" s="61" t="s">
        <v>759</v>
      </c>
      <c r="D1454" s="52" t="s">
        <v>881</v>
      </c>
      <c r="E1454" s="50" t="s">
        <v>882</v>
      </c>
      <c r="F1454" s="53" t="s">
        <v>885</v>
      </c>
    </row>
    <row r="1455">
      <c r="A1455" s="54">
        <v>44554.0</v>
      </c>
      <c r="B1455" s="55" t="s">
        <v>747</v>
      </c>
      <c r="C1455" s="60" t="s">
        <v>759</v>
      </c>
      <c r="D1455" s="57" t="s">
        <v>881</v>
      </c>
      <c r="E1455" s="55" t="s">
        <v>882</v>
      </c>
      <c r="F1455" s="58" t="s">
        <v>885</v>
      </c>
    </row>
    <row r="1456">
      <c r="A1456" s="59">
        <v>44555.0</v>
      </c>
      <c r="B1456" s="50" t="s">
        <v>769</v>
      </c>
      <c r="C1456" s="61" t="s">
        <v>759</v>
      </c>
      <c r="D1456" s="52" t="s">
        <v>881</v>
      </c>
      <c r="E1456" s="50" t="s">
        <v>882</v>
      </c>
      <c r="F1456" s="53" t="s">
        <v>885</v>
      </c>
    </row>
    <row r="1457">
      <c r="A1457" s="54">
        <v>44556.0</v>
      </c>
      <c r="B1457" s="55" t="s">
        <v>770</v>
      </c>
      <c r="C1457" s="60" t="s">
        <v>759</v>
      </c>
      <c r="D1457" s="57" t="s">
        <v>881</v>
      </c>
      <c r="E1457" s="55" t="s">
        <v>882</v>
      </c>
      <c r="F1457" s="58" t="s">
        <v>885</v>
      </c>
    </row>
    <row r="1458">
      <c r="A1458" s="59">
        <v>44557.0</v>
      </c>
      <c r="B1458" s="50" t="s">
        <v>749</v>
      </c>
      <c r="C1458" s="61" t="s">
        <v>759</v>
      </c>
      <c r="D1458" s="52" t="s">
        <v>881</v>
      </c>
      <c r="E1458" s="50" t="s">
        <v>882</v>
      </c>
      <c r="F1458" s="53" t="s">
        <v>885</v>
      </c>
    </row>
    <row r="1459">
      <c r="A1459" s="54">
        <v>44558.0</v>
      </c>
      <c r="B1459" s="55" t="s">
        <v>771</v>
      </c>
      <c r="C1459" s="60" t="s">
        <v>759</v>
      </c>
      <c r="D1459" s="57" t="s">
        <v>881</v>
      </c>
      <c r="E1459" s="55" t="s">
        <v>882</v>
      </c>
      <c r="F1459" s="58" t="s">
        <v>885</v>
      </c>
    </row>
    <row r="1460">
      <c r="A1460" s="59">
        <v>44559.0</v>
      </c>
      <c r="B1460" s="50" t="s">
        <v>772</v>
      </c>
      <c r="C1460" s="61" t="s">
        <v>759</v>
      </c>
      <c r="D1460" s="52" t="s">
        <v>881</v>
      </c>
      <c r="E1460" s="50" t="s">
        <v>882</v>
      </c>
      <c r="F1460" s="53" t="s">
        <v>885</v>
      </c>
    </row>
    <row r="1461">
      <c r="A1461" s="54">
        <v>44560.0</v>
      </c>
      <c r="B1461" s="55" t="s">
        <v>773</v>
      </c>
      <c r="C1461" s="60" t="s">
        <v>759</v>
      </c>
      <c r="D1461" s="57" t="s">
        <v>881</v>
      </c>
      <c r="E1461" s="55" t="s">
        <v>882</v>
      </c>
      <c r="F1461" s="58" t="s">
        <v>885</v>
      </c>
    </row>
    <row r="1462">
      <c r="A1462" s="59">
        <v>44561.0</v>
      </c>
      <c r="B1462" s="50" t="s">
        <v>774</v>
      </c>
      <c r="C1462" s="61" t="s">
        <v>759</v>
      </c>
      <c r="D1462" s="52" t="s">
        <v>881</v>
      </c>
      <c r="E1462" s="50" t="s">
        <v>882</v>
      </c>
      <c r="F1462" s="53" t="s">
        <v>885</v>
      </c>
    </row>
    <row r="1463">
      <c r="A1463" s="54">
        <v>44562.0</v>
      </c>
      <c r="B1463" s="55" t="s">
        <v>742</v>
      </c>
      <c r="C1463" s="56" t="s">
        <v>849</v>
      </c>
      <c r="D1463" s="57" t="s">
        <v>850</v>
      </c>
      <c r="E1463" s="55" t="s">
        <v>851</v>
      </c>
      <c r="F1463" s="58" t="s">
        <v>886</v>
      </c>
    </row>
    <row r="1464">
      <c r="A1464" s="59">
        <v>44563.0</v>
      </c>
      <c r="B1464" s="50" t="s">
        <v>744</v>
      </c>
      <c r="C1464" s="51" t="s">
        <v>849</v>
      </c>
      <c r="D1464" s="52" t="s">
        <v>850</v>
      </c>
      <c r="E1464" s="50" t="s">
        <v>851</v>
      </c>
      <c r="F1464" s="53" t="s">
        <v>886</v>
      </c>
    </row>
    <row r="1465">
      <c r="A1465" s="54">
        <v>44564.0</v>
      </c>
      <c r="B1465" s="55" t="s">
        <v>746</v>
      </c>
      <c r="C1465" s="56" t="s">
        <v>849</v>
      </c>
      <c r="D1465" s="57" t="s">
        <v>850</v>
      </c>
      <c r="E1465" s="55" t="s">
        <v>851</v>
      </c>
      <c r="F1465" s="58" t="s">
        <v>886</v>
      </c>
    </row>
    <row r="1466">
      <c r="A1466" s="59">
        <v>44565.0</v>
      </c>
      <c r="B1466" s="50" t="s">
        <v>748</v>
      </c>
      <c r="C1466" s="51" t="s">
        <v>849</v>
      </c>
      <c r="D1466" s="52" t="s">
        <v>850</v>
      </c>
      <c r="E1466" s="50" t="s">
        <v>851</v>
      </c>
      <c r="F1466" s="53" t="s">
        <v>886</v>
      </c>
    </row>
    <row r="1467">
      <c r="A1467" s="54">
        <v>44566.0</v>
      </c>
      <c r="B1467" s="55" t="s">
        <v>750</v>
      </c>
      <c r="C1467" s="56" t="s">
        <v>849</v>
      </c>
      <c r="D1467" s="57" t="s">
        <v>850</v>
      </c>
      <c r="E1467" s="55" t="s">
        <v>851</v>
      </c>
      <c r="F1467" s="58" t="s">
        <v>886</v>
      </c>
    </row>
    <row r="1468">
      <c r="A1468" s="59">
        <v>44567.0</v>
      </c>
      <c r="B1468" s="50" t="s">
        <v>752</v>
      </c>
      <c r="C1468" s="51" t="s">
        <v>849</v>
      </c>
      <c r="D1468" s="52" t="s">
        <v>850</v>
      </c>
      <c r="E1468" s="50" t="s">
        <v>851</v>
      </c>
      <c r="F1468" s="53" t="s">
        <v>886</v>
      </c>
    </row>
    <row r="1469">
      <c r="A1469" s="54">
        <v>44568.0</v>
      </c>
      <c r="B1469" s="55" t="s">
        <v>753</v>
      </c>
      <c r="C1469" s="56" t="s">
        <v>849</v>
      </c>
      <c r="D1469" s="57" t="s">
        <v>850</v>
      </c>
      <c r="E1469" s="55" t="s">
        <v>851</v>
      </c>
      <c r="F1469" s="58" t="s">
        <v>886</v>
      </c>
    </row>
    <row r="1470">
      <c r="A1470" s="59">
        <v>44569.0</v>
      </c>
      <c r="B1470" s="50" t="s">
        <v>754</v>
      </c>
      <c r="C1470" s="51" t="s">
        <v>849</v>
      </c>
      <c r="D1470" s="52" t="s">
        <v>850</v>
      </c>
      <c r="E1470" s="50" t="s">
        <v>851</v>
      </c>
      <c r="F1470" s="53" t="s">
        <v>886</v>
      </c>
    </row>
    <row r="1471">
      <c r="A1471" s="54">
        <v>44570.0</v>
      </c>
      <c r="B1471" s="55" t="s">
        <v>755</v>
      </c>
      <c r="C1471" s="56" t="s">
        <v>849</v>
      </c>
      <c r="D1471" s="57" t="s">
        <v>850</v>
      </c>
      <c r="E1471" s="55" t="s">
        <v>851</v>
      </c>
      <c r="F1471" s="58" t="s">
        <v>886</v>
      </c>
    </row>
    <row r="1472">
      <c r="A1472" s="59">
        <v>44571.0</v>
      </c>
      <c r="B1472" s="50" t="s">
        <v>756</v>
      </c>
      <c r="C1472" s="51" t="s">
        <v>849</v>
      </c>
      <c r="D1472" s="52" t="s">
        <v>850</v>
      </c>
      <c r="E1472" s="50" t="s">
        <v>851</v>
      </c>
      <c r="F1472" s="53" t="s">
        <v>886</v>
      </c>
    </row>
    <row r="1473">
      <c r="A1473" s="54">
        <v>44572.0</v>
      </c>
      <c r="B1473" s="55" t="s">
        <v>758</v>
      </c>
      <c r="C1473" s="56" t="s">
        <v>849</v>
      </c>
      <c r="D1473" s="57" t="s">
        <v>850</v>
      </c>
      <c r="E1473" s="55" t="s">
        <v>851</v>
      </c>
      <c r="F1473" s="58" t="s">
        <v>886</v>
      </c>
    </row>
    <row r="1474">
      <c r="A1474" s="59">
        <v>44573.0</v>
      </c>
      <c r="B1474" s="50" t="s">
        <v>759</v>
      </c>
      <c r="C1474" s="51" t="s">
        <v>849</v>
      </c>
      <c r="D1474" s="52" t="s">
        <v>850</v>
      </c>
      <c r="E1474" s="50" t="s">
        <v>851</v>
      </c>
      <c r="F1474" s="53" t="s">
        <v>886</v>
      </c>
    </row>
    <row r="1475">
      <c r="A1475" s="54">
        <v>44574.0</v>
      </c>
      <c r="B1475" s="55" t="s">
        <v>760</v>
      </c>
      <c r="C1475" s="56" t="s">
        <v>849</v>
      </c>
      <c r="D1475" s="57" t="s">
        <v>850</v>
      </c>
      <c r="E1475" s="55" t="s">
        <v>851</v>
      </c>
      <c r="F1475" s="58" t="s">
        <v>886</v>
      </c>
    </row>
    <row r="1476">
      <c r="A1476" s="59">
        <v>44575.0</v>
      </c>
      <c r="B1476" s="50" t="s">
        <v>761</v>
      </c>
      <c r="C1476" s="51" t="s">
        <v>849</v>
      </c>
      <c r="D1476" s="52" t="s">
        <v>850</v>
      </c>
      <c r="E1476" s="50" t="s">
        <v>851</v>
      </c>
      <c r="F1476" s="53" t="s">
        <v>886</v>
      </c>
    </row>
    <row r="1477">
      <c r="A1477" s="54">
        <v>44576.0</v>
      </c>
      <c r="B1477" s="55" t="s">
        <v>762</v>
      </c>
      <c r="C1477" s="56" t="s">
        <v>849</v>
      </c>
      <c r="D1477" s="57" t="s">
        <v>850</v>
      </c>
      <c r="E1477" s="55" t="s">
        <v>851</v>
      </c>
      <c r="F1477" s="58" t="s">
        <v>886</v>
      </c>
    </row>
    <row r="1478">
      <c r="A1478" s="59">
        <v>44577.0</v>
      </c>
      <c r="B1478" s="50" t="s">
        <v>763</v>
      </c>
      <c r="C1478" s="51" t="s">
        <v>849</v>
      </c>
      <c r="D1478" s="52" t="s">
        <v>850</v>
      </c>
      <c r="E1478" s="50" t="s">
        <v>851</v>
      </c>
      <c r="F1478" s="53" t="s">
        <v>886</v>
      </c>
    </row>
    <row r="1479">
      <c r="A1479" s="54">
        <v>44578.0</v>
      </c>
      <c r="B1479" s="55" t="s">
        <v>764</v>
      </c>
      <c r="C1479" s="56" t="s">
        <v>849</v>
      </c>
      <c r="D1479" s="57" t="s">
        <v>850</v>
      </c>
      <c r="E1479" s="55" t="s">
        <v>851</v>
      </c>
      <c r="F1479" s="58" t="s">
        <v>886</v>
      </c>
    </row>
    <row r="1480">
      <c r="A1480" s="59">
        <v>44579.0</v>
      </c>
      <c r="B1480" s="50" t="s">
        <v>765</v>
      </c>
      <c r="C1480" s="51" t="s">
        <v>849</v>
      </c>
      <c r="D1480" s="52" t="s">
        <v>850</v>
      </c>
      <c r="E1480" s="50" t="s">
        <v>851</v>
      </c>
      <c r="F1480" s="53" t="s">
        <v>886</v>
      </c>
    </row>
    <row r="1481">
      <c r="A1481" s="54">
        <v>44580.0</v>
      </c>
      <c r="B1481" s="55" t="s">
        <v>743</v>
      </c>
      <c r="C1481" s="56" t="s">
        <v>849</v>
      </c>
      <c r="D1481" s="57" t="s">
        <v>850</v>
      </c>
      <c r="E1481" s="55" t="s">
        <v>851</v>
      </c>
      <c r="F1481" s="58" t="s">
        <v>886</v>
      </c>
    </row>
    <row r="1482">
      <c r="A1482" s="59">
        <v>44581.0</v>
      </c>
      <c r="B1482" s="50" t="s">
        <v>766</v>
      </c>
      <c r="C1482" s="51" t="s">
        <v>849</v>
      </c>
      <c r="D1482" s="52" t="s">
        <v>850</v>
      </c>
      <c r="E1482" s="50" t="s">
        <v>851</v>
      </c>
      <c r="F1482" s="53" t="s">
        <v>886</v>
      </c>
    </row>
    <row r="1483">
      <c r="A1483" s="54">
        <v>44582.0</v>
      </c>
      <c r="B1483" s="55" t="s">
        <v>745</v>
      </c>
      <c r="C1483" s="56" t="s">
        <v>849</v>
      </c>
      <c r="D1483" s="57" t="s">
        <v>850</v>
      </c>
      <c r="E1483" s="55" t="s">
        <v>851</v>
      </c>
      <c r="F1483" s="58" t="s">
        <v>886</v>
      </c>
    </row>
    <row r="1484">
      <c r="A1484" s="59">
        <v>44583.0</v>
      </c>
      <c r="B1484" s="50" t="s">
        <v>767</v>
      </c>
      <c r="C1484" s="51" t="s">
        <v>849</v>
      </c>
      <c r="D1484" s="52" t="s">
        <v>850</v>
      </c>
      <c r="E1484" s="50" t="s">
        <v>851</v>
      </c>
      <c r="F1484" s="53" t="s">
        <v>886</v>
      </c>
    </row>
    <row r="1485">
      <c r="A1485" s="54">
        <v>44584.0</v>
      </c>
      <c r="B1485" s="55" t="s">
        <v>768</v>
      </c>
      <c r="C1485" s="56" t="s">
        <v>849</v>
      </c>
      <c r="D1485" s="57" t="s">
        <v>850</v>
      </c>
      <c r="E1485" s="55" t="s">
        <v>851</v>
      </c>
      <c r="F1485" s="58" t="s">
        <v>886</v>
      </c>
    </row>
    <row r="1486">
      <c r="A1486" s="59">
        <v>44585.0</v>
      </c>
      <c r="B1486" s="50" t="s">
        <v>747</v>
      </c>
      <c r="C1486" s="51" t="s">
        <v>849</v>
      </c>
      <c r="D1486" s="52" t="s">
        <v>850</v>
      </c>
      <c r="E1486" s="50" t="s">
        <v>851</v>
      </c>
      <c r="F1486" s="53" t="s">
        <v>886</v>
      </c>
    </row>
    <row r="1487">
      <c r="A1487" s="54">
        <v>44586.0</v>
      </c>
      <c r="B1487" s="55" t="s">
        <v>769</v>
      </c>
      <c r="C1487" s="56" t="s">
        <v>849</v>
      </c>
      <c r="D1487" s="57" t="s">
        <v>850</v>
      </c>
      <c r="E1487" s="55" t="s">
        <v>851</v>
      </c>
      <c r="F1487" s="58" t="s">
        <v>886</v>
      </c>
    </row>
    <row r="1488">
      <c r="A1488" s="59">
        <v>44587.0</v>
      </c>
      <c r="B1488" s="50" t="s">
        <v>770</v>
      </c>
      <c r="C1488" s="51" t="s">
        <v>849</v>
      </c>
      <c r="D1488" s="52" t="s">
        <v>850</v>
      </c>
      <c r="E1488" s="50" t="s">
        <v>851</v>
      </c>
      <c r="F1488" s="53" t="s">
        <v>886</v>
      </c>
    </row>
    <row r="1489">
      <c r="A1489" s="54">
        <v>44588.0</v>
      </c>
      <c r="B1489" s="55" t="s">
        <v>749</v>
      </c>
      <c r="C1489" s="56" t="s">
        <v>849</v>
      </c>
      <c r="D1489" s="57" t="s">
        <v>850</v>
      </c>
      <c r="E1489" s="55" t="s">
        <v>851</v>
      </c>
      <c r="F1489" s="58" t="s">
        <v>886</v>
      </c>
    </row>
    <row r="1490">
      <c r="A1490" s="59">
        <v>44589.0</v>
      </c>
      <c r="B1490" s="50" t="s">
        <v>771</v>
      </c>
      <c r="C1490" s="51" t="s">
        <v>849</v>
      </c>
      <c r="D1490" s="52" t="s">
        <v>850</v>
      </c>
      <c r="E1490" s="50" t="s">
        <v>851</v>
      </c>
      <c r="F1490" s="53" t="s">
        <v>886</v>
      </c>
    </row>
    <row r="1491">
      <c r="A1491" s="54">
        <v>44590.0</v>
      </c>
      <c r="B1491" s="55" t="s">
        <v>772</v>
      </c>
      <c r="C1491" s="56" t="s">
        <v>849</v>
      </c>
      <c r="D1491" s="57" t="s">
        <v>850</v>
      </c>
      <c r="E1491" s="55" t="s">
        <v>851</v>
      </c>
      <c r="F1491" s="58" t="s">
        <v>886</v>
      </c>
    </row>
    <row r="1492">
      <c r="A1492" s="59">
        <v>44591.0</v>
      </c>
      <c r="B1492" s="50" t="s">
        <v>773</v>
      </c>
      <c r="C1492" s="51" t="s">
        <v>849</v>
      </c>
      <c r="D1492" s="52" t="s">
        <v>850</v>
      </c>
      <c r="E1492" s="50" t="s">
        <v>851</v>
      </c>
      <c r="F1492" s="53" t="s">
        <v>886</v>
      </c>
    </row>
    <row r="1493">
      <c r="A1493" s="54">
        <v>44592.0</v>
      </c>
      <c r="B1493" s="55" t="s">
        <v>774</v>
      </c>
      <c r="C1493" s="56" t="s">
        <v>849</v>
      </c>
      <c r="D1493" s="57" t="s">
        <v>850</v>
      </c>
      <c r="E1493" s="55" t="s">
        <v>851</v>
      </c>
      <c r="F1493" s="58" t="s">
        <v>886</v>
      </c>
    </row>
    <row r="1494">
      <c r="A1494" s="59">
        <v>44593.0</v>
      </c>
      <c r="B1494" s="50" t="s">
        <v>742</v>
      </c>
      <c r="C1494" s="51" t="s">
        <v>853</v>
      </c>
      <c r="D1494" s="52" t="s">
        <v>854</v>
      </c>
      <c r="E1494" s="50" t="s">
        <v>855</v>
      </c>
      <c r="F1494" s="53" t="s">
        <v>886</v>
      </c>
    </row>
    <row r="1495">
      <c r="A1495" s="54">
        <v>44594.0</v>
      </c>
      <c r="B1495" s="55" t="s">
        <v>744</v>
      </c>
      <c r="C1495" s="56" t="s">
        <v>853</v>
      </c>
      <c r="D1495" s="57" t="s">
        <v>854</v>
      </c>
      <c r="E1495" s="55" t="s">
        <v>855</v>
      </c>
      <c r="F1495" s="58" t="s">
        <v>886</v>
      </c>
    </row>
    <row r="1496">
      <c r="A1496" s="59">
        <v>44595.0</v>
      </c>
      <c r="B1496" s="50" t="s">
        <v>746</v>
      </c>
      <c r="C1496" s="51" t="s">
        <v>853</v>
      </c>
      <c r="D1496" s="52" t="s">
        <v>854</v>
      </c>
      <c r="E1496" s="50" t="s">
        <v>855</v>
      </c>
      <c r="F1496" s="53" t="s">
        <v>886</v>
      </c>
    </row>
    <row r="1497">
      <c r="A1497" s="54">
        <v>44596.0</v>
      </c>
      <c r="B1497" s="55" t="s">
        <v>748</v>
      </c>
      <c r="C1497" s="56" t="s">
        <v>853</v>
      </c>
      <c r="D1497" s="57" t="s">
        <v>854</v>
      </c>
      <c r="E1497" s="55" t="s">
        <v>855</v>
      </c>
      <c r="F1497" s="58" t="s">
        <v>886</v>
      </c>
    </row>
    <row r="1498">
      <c r="A1498" s="59">
        <v>44597.0</v>
      </c>
      <c r="B1498" s="50" t="s">
        <v>750</v>
      </c>
      <c r="C1498" s="51" t="s">
        <v>853</v>
      </c>
      <c r="D1498" s="52" t="s">
        <v>854</v>
      </c>
      <c r="E1498" s="50" t="s">
        <v>855</v>
      </c>
      <c r="F1498" s="53" t="s">
        <v>886</v>
      </c>
    </row>
    <row r="1499">
      <c r="A1499" s="54">
        <v>44598.0</v>
      </c>
      <c r="B1499" s="55" t="s">
        <v>752</v>
      </c>
      <c r="C1499" s="56" t="s">
        <v>853</v>
      </c>
      <c r="D1499" s="57" t="s">
        <v>854</v>
      </c>
      <c r="E1499" s="55" t="s">
        <v>855</v>
      </c>
      <c r="F1499" s="58" t="s">
        <v>886</v>
      </c>
    </row>
    <row r="1500">
      <c r="A1500" s="59">
        <v>44599.0</v>
      </c>
      <c r="B1500" s="50" t="s">
        <v>753</v>
      </c>
      <c r="C1500" s="51" t="s">
        <v>853</v>
      </c>
      <c r="D1500" s="52" t="s">
        <v>854</v>
      </c>
      <c r="E1500" s="50" t="s">
        <v>855</v>
      </c>
      <c r="F1500" s="53" t="s">
        <v>886</v>
      </c>
    </row>
    <row r="1501">
      <c r="A1501" s="54">
        <v>44600.0</v>
      </c>
      <c r="B1501" s="55" t="s">
        <v>754</v>
      </c>
      <c r="C1501" s="56" t="s">
        <v>853</v>
      </c>
      <c r="D1501" s="57" t="s">
        <v>854</v>
      </c>
      <c r="E1501" s="55" t="s">
        <v>855</v>
      </c>
      <c r="F1501" s="58" t="s">
        <v>886</v>
      </c>
    </row>
    <row r="1502">
      <c r="A1502" s="59">
        <v>44601.0</v>
      </c>
      <c r="B1502" s="50" t="s">
        <v>755</v>
      </c>
      <c r="C1502" s="51" t="s">
        <v>853</v>
      </c>
      <c r="D1502" s="52" t="s">
        <v>854</v>
      </c>
      <c r="E1502" s="50" t="s">
        <v>855</v>
      </c>
      <c r="F1502" s="53" t="s">
        <v>886</v>
      </c>
    </row>
    <row r="1503">
      <c r="A1503" s="54">
        <v>44602.0</v>
      </c>
      <c r="B1503" s="55" t="s">
        <v>756</v>
      </c>
      <c r="C1503" s="56" t="s">
        <v>853</v>
      </c>
      <c r="D1503" s="57" t="s">
        <v>854</v>
      </c>
      <c r="E1503" s="55" t="s">
        <v>855</v>
      </c>
      <c r="F1503" s="58" t="s">
        <v>886</v>
      </c>
    </row>
    <row r="1504">
      <c r="A1504" s="59">
        <v>44603.0</v>
      </c>
      <c r="B1504" s="50" t="s">
        <v>758</v>
      </c>
      <c r="C1504" s="51" t="s">
        <v>853</v>
      </c>
      <c r="D1504" s="52" t="s">
        <v>854</v>
      </c>
      <c r="E1504" s="50" t="s">
        <v>855</v>
      </c>
      <c r="F1504" s="53" t="s">
        <v>886</v>
      </c>
    </row>
    <row r="1505">
      <c r="A1505" s="54">
        <v>44604.0</v>
      </c>
      <c r="B1505" s="55" t="s">
        <v>759</v>
      </c>
      <c r="C1505" s="56" t="s">
        <v>853</v>
      </c>
      <c r="D1505" s="57" t="s">
        <v>854</v>
      </c>
      <c r="E1505" s="55" t="s">
        <v>855</v>
      </c>
      <c r="F1505" s="58" t="s">
        <v>886</v>
      </c>
    </row>
    <row r="1506">
      <c r="A1506" s="59">
        <v>44605.0</v>
      </c>
      <c r="B1506" s="50" t="s">
        <v>760</v>
      </c>
      <c r="C1506" s="51" t="s">
        <v>853</v>
      </c>
      <c r="D1506" s="52" t="s">
        <v>854</v>
      </c>
      <c r="E1506" s="50" t="s">
        <v>855</v>
      </c>
      <c r="F1506" s="53" t="s">
        <v>886</v>
      </c>
    </row>
    <row r="1507">
      <c r="A1507" s="54">
        <v>44606.0</v>
      </c>
      <c r="B1507" s="55" t="s">
        <v>761</v>
      </c>
      <c r="C1507" s="56" t="s">
        <v>853</v>
      </c>
      <c r="D1507" s="57" t="s">
        <v>854</v>
      </c>
      <c r="E1507" s="55" t="s">
        <v>855</v>
      </c>
      <c r="F1507" s="58" t="s">
        <v>886</v>
      </c>
    </row>
    <row r="1508">
      <c r="A1508" s="59">
        <v>44607.0</v>
      </c>
      <c r="B1508" s="50" t="s">
        <v>762</v>
      </c>
      <c r="C1508" s="51" t="s">
        <v>853</v>
      </c>
      <c r="D1508" s="52" t="s">
        <v>854</v>
      </c>
      <c r="E1508" s="50" t="s">
        <v>855</v>
      </c>
      <c r="F1508" s="53" t="s">
        <v>886</v>
      </c>
    </row>
    <row r="1509">
      <c r="A1509" s="54">
        <v>44608.0</v>
      </c>
      <c r="B1509" s="55" t="s">
        <v>763</v>
      </c>
      <c r="C1509" s="56" t="s">
        <v>853</v>
      </c>
      <c r="D1509" s="57" t="s">
        <v>854</v>
      </c>
      <c r="E1509" s="55" t="s">
        <v>855</v>
      </c>
      <c r="F1509" s="58" t="s">
        <v>886</v>
      </c>
    </row>
    <row r="1510">
      <c r="A1510" s="59">
        <v>44609.0</v>
      </c>
      <c r="B1510" s="50" t="s">
        <v>764</v>
      </c>
      <c r="C1510" s="51" t="s">
        <v>853</v>
      </c>
      <c r="D1510" s="52" t="s">
        <v>854</v>
      </c>
      <c r="E1510" s="50" t="s">
        <v>855</v>
      </c>
      <c r="F1510" s="53" t="s">
        <v>886</v>
      </c>
    </row>
    <row r="1511">
      <c r="A1511" s="54">
        <v>44610.0</v>
      </c>
      <c r="B1511" s="55" t="s">
        <v>765</v>
      </c>
      <c r="C1511" s="56" t="s">
        <v>853</v>
      </c>
      <c r="D1511" s="57" t="s">
        <v>854</v>
      </c>
      <c r="E1511" s="55" t="s">
        <v>855</v>
      </c>
      <c r="F1511" s="58" t="s">
        <v>886</v>
      </c>
    </row>
    <row r="1512">
      <c r="A1512" s="59">
        <v>44611.0</v>
      </c>
      <c r="B1512" s="50" t="s">
        <v>743</v>
      </c>
      <c r="C1512" s="51" t="s">
        <v>853</v>
      </c>
      <c r="D1512" s="52" t="s">
        <v>854</v>
      </c>
      <c r="E1512" s="50" t="s">
        <v>855</v>
      </c>
      <c r="F1512" s="53" t="s">
        <v>886</v>
      </c>
    </row>
    <row r="1513">
      <c r="A1513" s="54">
        <v>44612.0</v>
      </c>
      <c r="B1513" s="55" t="s">
        <v>766</v>
      </c>
      <c r="C1513" s="56" t="s">
        <v>853</v>
      </c>
      <c r="D1513" s="57" t="s">
        <v>854</v>
      </c>
      <c r="E1513" s="55" t="s">
        <v>855</v>
      </c>
      <c r="F1513" s="58" t="s">
        <v>886</v>
      </c>
    </row>
    <row r="1514">
      <c r="A1514" s="59">
        <v>44613.0</v>
      </c>
      <c r="B1514" s="50" t="s">
        <v>745</v>
      </c>
      <c r="C1514" s="51" t="s">
        <v>853</v>
      </c>
      <c r="D1514" s="52" t="s">
        <v>854</v>
      </c>
      <c r="E1514" s="50" t="s">
        <v>855</v>
      </c>
      <c r="F1514" s="53" t="s">
        <v>886</v>
      </c>
    </row>
    <row r="1515">
      <c r="A1515" s="54">
        <v>44614.0</v>
      </c>
      <c r="B1515" s="55" t="s">
        <v>767</v>
      </c>
      <c r="C1515" s="56" t="s">
        <v>853</v>
      </c>
      <c r="D1515" s="57" t="s">
        <v>854</v>
      </c>
      <c r="E1515" s="55" t="s">
        <v>855</v>
      </c>
      <c r="F1515" s="58" t="s">
        <v>886</v>
      </c>
    </row>
    <row r="1516">
      <c r="A1516" s="59">
        <v>44615.0</v>
      </c>
      <c r="B1516" s="50" t="s">
        <v>768</v>
      </c>
      <c r="C1516" s="51" t="s">
        <v>853</v>
      </c>
      <c r="D1516" s="52" t="s">
        <v>854</v>
      </c>
      <c r="E1516" s="50" t="s">
        <v>855</v>
      </c>
      <c r="F1516" s="53" t="s">
        <v>886</v>
      </c>
    </row>
    <row r="1517">
      <c r="A1517" s="54">
        <v>44616.0</v>
      </c>
      <c r="B1517" s="55" t="s">
        <v>747</v>
      </c>
      <c r="C1517" s="56" t="s">
        <v>853</v>
      </c>
      <c r="D1517" s="57" t="s">
        <v>854</v>
      </c>
      <c r="E1517" s="55" t="s">
        <v>855</v>
      </c>
      <c r="F1517" s="58" t="s">
        <v>886</v>
      </c>
    </row>
    <row r="1518">
      <c r="A1518" s="59">
        <v>44617.0</v>
      </c>
      <c r="B1518" s="50" t="s">
        <v>769</v>
      </c>
      <c r="C1518" s="51" t="s">
        <v>853</v>
      </c>
      <c r="D1518" s="52" t="s">
        <v>854</v>
      </c>
      <c r="E1518" s="50" t="s">
        <v>855</v>
      </c>
      <c r="F1518" s="53" t="s">
        <v>886</v>
      </c>
    </row>
    <row r="1519">
      <c r="A1519" s="54">
        <v>44618.0</v>
      </c>
      <c r="B1519" s="55" t="s">
        <v>770</v>
      </c>
      <c r="C1519" s="56" t="s">
        <v>853</v>
      </c>
      <c r="D1519" s="57" t="s">
        <v>854</v>
      </c>
      <c r="E1519" s="55" t="s">
        <v>855</v>
      </c>
      <c r="F1519" s="58" t="s">
        <v>886</v>
      </c>
    </row>
    <row r="1520">
      <c r="A1520" s="59">
        <v>44619.0</v>
      </c>
      <c r="B1520" s="50" t="s">
        <v>749</v>
      </c>
      <c r="C1520" s="51" t="s">
        <v>853</v>
      </c>
      <c r="D1520" s="52" t="s">
        <v>854</v>
      </c>
      <c r="E1520" s="50" t="s">
        <v>855</v>
      </c>
      <c r="F1520" s="53" t="s">
        <v>886</v>
      </c>
    </row>
    <row r="1521">
      <c r="A1521" s="54">
        <v>44620.0</v>
      </c>
      <c r="B1521" s="55" t="s">
        <v>771</v>
      </c>
      <c r="C1521" s="56" t="s">
        <v>853</v>
      </c>
      <c r="D1521" s="57" t="s">
        <v>854</v>
      </c>
      <c r="E1521" s="55" t="s">
        <v>855</v>
      </c>
      <c r="F1521" s="58" t="s">
        <v>886</v>
      </c>
    </row>
    <row r="1522">
      <c r="A1522" s="59">
        <v>44621.0</v>
      </c>
      <c r="B1522" s="50" t="s">
        <v>742</v>
      </c>
      <c r="C1522" s="51" t="s">
        <v>856</v>
      </c>
      <c r="D1522" s="52" t="s">
        <v>857</v>
      </c>
      <c r="E1522" s="50" t="s">
        <v>858</v>
      </c>
      <c r="F1522" s="53" t="s">
        <v>886</v>
      </c>
    </row>
    <row r="1523">
      <c r="A1523" s="54">
        <v>44622.0</v>
      </c>
      <c r="B1523" s="55" t="s">
        <v>744</v>
      </c>
      <c r="C1523" s="56" t="s">
        <v>856</v>
      </c>
      <c r="D1523" s="57" t="s">
        <v>857</v>
      </c>
      <c r="E1523" s="55" t="s">
        <v>858</v>
      </c>
      <c r="F1523" s="58" t="s">
        <v>886</v>
      </c>
    </row>
    <row r="1524">
      <c r="A1524" s="59">
        <v>44623.0</v>
      </c>
      <c r="B1524" s="50" t="s">
        <v>746</v>
      </c>
      <c r="C1524" s="51" t="s">
        <v>856</v>
      </c>
      <c r="D1524" s="52" t="s">
        <v>857</v>
      </c>
      <c r="E1524" s="50" t="s">
        <v>858</v>
      </c>
      <c r="F1524" s="53" t="s">
        <v>886</v>
      </c>
    </row>
    <row r="1525">
      <c r="A1525" s="54">
        <v>44624.0</v>
      </c>
      <c r="B1525" s="55" t="s">
        <v>748</v>
      </c>
      <c r="C1525" s="56" t="s">
        <v>856</v>
      </c>
      <c r="D1525" s="57" t="s">
        <v>857</v>
      </c>
      <c r="E1525" s="55" t="s">
        <v>858</v>
      </c>
      <c r="F1525" s="58" t="s">
        <v>886</v>
      </c>
    </row>
    <row r="1526">
      <c r="A1526" s="59">
        <v>44625.0</v>
      </c>
      <c r="B1526" s="50" t="s">
        <v>750</v>
      </c>
      <c r="C1526" s="51" t="s">
        <v>856</v>
      </c>
      <c r="D1526" s="52" t="s">
        <v>857</v>
      </c>
      <c r="E1526" s="50" t="s">
        <v>858</v>
      </c>
      <c r="F1526" s="53" t="s">
        <v>886</v>
      </c>
    </row>
    <row r="1527">
      <c r="A1527" s="54">
        <v>44626.0</v>
      </c>
      <c r="B1527" s="55" t="s">
        <v>752</v>
      </c>
      <c r="C1527" s="56" t="s">
        <v>856</v>
      </c>
      <c r="D1527" s="57" t="s">
        <v>857</v>
      </c>
      <c r="E1527" s="55" t="s">
        <v>858</v>
      </c>
      <c r="F1527" s="58" t="s">
        <v>886</v>
      </c>
    </row>
    <row r="1528">
      <c r="A1528" s="59">
        <v>44627.0</v>
      </c>
      <c r="B1528" s="50" t="s">
        <v>753</v>
      </c>
      <c r="C1528" s="51" t="s">
        <v>856</v>
      </c>
      <c r="D1528" s="52" t="s">
        <v>857</v>
      </c>
      <c r="E1528" s="50" t="s">
        <v>858</v>
      </c>
      <c r="F1528" s="53" t="s">
        <v>886</v>
      </c>
    </row>
    <row r="1529">
      <c r="A1529" s="54">
        <v>44628.0</v>
      </c>
      <c r="B1529" s="55" t="s">
        <v>754</v>
      </c>
      <c r="C1529" s="56" t="s">
        <v>856</v>
      </c>
      <c r="D1529" s="57" t="s">
        <v>857</v>
      </c>
      <c r="E1529" s="55" t="s">
        <v>858</v>
      </c>
      <c r="F1529" s="58" t="s">
        <v>886</v>
      </c>
    </row>
    <row r="1530">
      <c r="A1530" s="59">
        <v>44629.0</v>
      </c>
      <c r="B1530" s="50" t="s">
        <v>755</v>
      </c>
      <c r="C1530" s="51" t="s">
        <v>856</v>
      </c>
      <c r="D1530" s="52" t="s">
        <v>857</v>
      </c>
      <c r="E1530" s="50" t="s">
        <v>858</v>
      </c>
      <c r="F1530" s="53" t="s">
        <v>886</v>
      </c>
    </row>
    <row r="1531">
      <c r="A1531" s="54">
        <v>44630.0</v>
      </c>
      <c r="B1531" s="55" t="s">
        <v>756</v>
      </c>
      <c r="C1531" s="56" t="s">
        <v>856</v>
      </c>
      <c r="D1531" s="57" t="s">
        <v>857</v>
      </c>
      <c r="E1531" s="55" t="s">
        <v>858</v>
      </c>
      <c r="F1531" s="58" t="s">
        <v>886</v>
      </c>
    </row>
    <row r="1532">
      <c r="A1532" s="59">
        <v>44631.0</v>
      </c>
      <c r="B1532" s="50" t="s">
        <v>758</v>
      </c>
      <c r="C1532" s="51" t="s">
        <v>856</v>
      </c>
      <c r="D1532" s="52" t="s">
        <v>857</v>
      </c>
      <c r="E1532" s="50" t="s">
        <v>858</v>
      </c>
      <c r="F1532" s="53" t="s">
        <v>886</v>
      </c>
    </row>
    <row r="1533">
      <c r="A1533" s="54">
        <v>44632.0</v>
      </c>
      <c r="B1533" s="55" t="s">
        <v>759</v>
      </c>
      <c r="C1533" s="56" t="s">
        <v>856</v>
      </c>
      <c r="D1533" s="57" t="s">
        <v>857</v>
      </c>
      <c r="E1533" s="55" t="s">
        <v>858</v>
      </c>
      <c r="F1533" s="58" t="s">
        <v>886</v>
      </c>
    </row>
    <row r="1534">
      <c r="A1534" s="59">
        <v>44633.0</v>
      </c>
      <c r="B1534" s="50" t="s">
        <v>760</v>
      </c>
      <c r="C1534" s="51" t="s">
        <v>856</v>
      </c>
      <c r="D1534" s="52" t="s">
        <v>857</v>
      </c>
      <c r="E1534" s="50" t="s">
        <v>858</v>
      </c>
      <c r="F1534" s="53" t="s">
        <v>886</v>
      </c>
    </row>
    <row r="1535">
      <c r="A1535" s="54">
        <v>44634.0</v>
      </c>
      <c r="B1535" s="55" t="s">
        <v>761</v>
      </c>
      <c r="C1535" s="56" t="s">
        <v>856</v>
      </c>
      <c r="D1535" s="57" t="s">
        <v>857</v>
      </c>
      <c r="E1535" s="55" t="s">
        <v>858</v>
      </c>
      <c r="F1535" s="58" t="s">
        <v>886</v>
      </c>
    </row>
    <row r="1536">
      <c r="A1536" s="59">
        <v>44635.0</v>
      </c>
      <c r="B1536" s="50" t="s">
        <v>762</v>
      </c>
      <c r="C1536" s="51" t="s">
        <v>856</v>
      </c>
      <c r="D1536" s="52" t="s">
        <v>857</v>
      </c>
      <c r="E1536" s="50" t="s">
        <v>858</v>
      </c>
      <c r="F1536" s="53" t="s">
        <v>886</v>
      </c>
    </row>
    <row r="1537">
      <c r="A1537" s="54">
        <v>44636.0</v>
      </c>
      <c r="B1537" s="55" t="s">
        <v>763</v>
      </c>
      <c r="C1537" s="56" t="s">
        <v>856</v>
      </c>
      <c r="D1537" s="57" t="s">
        <v>857</v>
      </c>
      <c r="E1537" s="55" t="s">
        <v>858</v>
      </c>
      <c r="F1537" s="58" t="s">
        <v>886</v>
      </c>
    </row>
    <row r="1538">
      <c r="A1538" s="59">
        <v>44637.0</v>
      </c>
      <c r="B1538" s="50" t="s">
        <v>764</v>
      </c>
      <c r="C1538" s="51" t="s">
        <v>856</v>
      </c>
      <c r="D1538" s="52" t="s">
        <v>857</v>
      </c>
      <c r="E1538" s="50" t="s">
        <v>858</v>
      </c>
      <c r="F1538" s="53" t="s">
        <v>886</v>
      </c>
    </row>
    <row r="1539">
      <c r="A1539" s="54">
        <v>44638.0</v>
      </c>
      <c r="B1539" s="55" t="s">
        <v>765</v>
      </c>
      <c r="C1539" s="56" t="s">
        <v>856</v>
      </c>
      <c r="D1539" s="57" t="s">
        <v>857</v>
      </c>
      <c r="E1539" s="55" t="s">
        <v>858</v>
      </c>
      <c r="F1539" s="58" t="s">
        <v>886</v>
      </c>
    </row>
    <row r="1540">
      <c r="A1540" s="59">
        <v>44639.0</v>
      </c>
      <c r="B1540" s="50" t="s">
        <v>743</v>
      </c>
      <c r="C1540" s="51" t="s">
        <v>856</v>
      </c>
      <c r="D1540" s="52" t="s">
        <v>857</v>
      </c>
      <c r="E1540" s="50" t="s">
        <v>858</v>
      </c>
      <c r="F1540" s="53" t="s">
        <v>886</v>
      </c>
    </row>
    <row r="1541">
      <c r="A1541" s="54">
        <v>44640.0</v>
      </c>
      <c r="B1541" s="55" t="s">
        <v>766</v>
      </c>
      <c r="C1541" s="56" t="s">
        <v>856</v>
      </c>
      <c r="D1541" s="57" t="s">
        <v>857</v>
      </c>
      <c r="E1541" s="55" t="s">
        <v>858</v>
      </c>
      <c r="F1541" s="58" t="s">
        <v>886</v>
      </c>
    </row>
    <row r="1542">
      <c r="A1542" s="59">
        <v>44641.0</v>
      </c>
      <c r="B1542" s="50" t="s">
        <v>745</v>
      </c>
      <c r="C1542" s="51" t="s">
        <v>856</v>
      </c>
      <c r="D1542" s="52" t="s">
        <v>857</v>
      </c>
      <c r="E1542" s="50" t="s">
        <v>858</v>
      </c>
      <c r="F1542" s="53" t="s">
        <v>886</v>
      </c>
    </row>
    <row r="1543">
      <c r="A1543" s="54">
        <v>44642.0</v>
      </c>
      <c r="B1543" s="55" t="s">
        <v>767</v>
      </c>
      <c r="C1543" s="56" t="s">
        <v>856</v>
      </c>
      <c r="D1543" s="57" t="s">
        <v>857</v>
      </c>
      <c r="E1543" s="55" t="s">
        <v>858</v>
      </c>
      <c r="F1543" s="58" t="s">
        <v>886</v>
      </c>
    </row>
    <row r="1544">
      <c r="A1544" s="59">
        <v>44643.0</v>
      </c>
      <c r="B1544" s="50" t="s">
        <v>768</v>
      </c>
      <c r="C1544" s="51" t="s">
        <v>856</v>
      </c>
      <c r="D1544" s="52" t="s">
        <v>857</v>
      </c>
      <c r="E1544" s="50" t="s">
        <v>858</v>
      </c>
      <c r="F1544" s="53" t="s">
        <v>886</v>
      </c>
    </row>
    <row r="1545">
      <c r="A1545" s="54">
        <v>44644.0</v>
      </c>
      <c r="B1545" s="55" t="s">
        <v>747</v>
      </c>
      <c r="C1545" s="56" t="s">
        <v>856</v>
      </c>
      <c r="D1545" s="57" t="s">
        <v>857</v>
      </c>
      <c r="E1545" s="55" t="s">
        <v>858</v>
      </c>
      <c r="F1545" s="58" t="s">
        <v>886</v>
      </c>
    </row>
    <row r="1546">
      <c r="A1546" s="59">
        <v>44645.0</v>
      </c>
      <c r="B1546" s="50" t="s">
        <v>769</v>
      </c>
      <c r="C1546" s="51" t="s">
        <v>856</v>
      </c>
      <c r="D1546" s="52" t="s">
        <v>857</v>
      </c>
      <c r="E1546" s="50" t="s">
        <v>858</v>
      </c>
      <c r="F1546" s="53" t="s">
        <v>886</v>
      </c>
    </row>
    <row r="1547">
      <c r="A1547" s="54">
        <v>44646.0</v>
      </c>
      <c r="B1547" s="55" t="s">
        <v>770</v>
      </c>
      <c r="C1547" s="56" t="s">
        <v>856</v>
      </c>
      <c r="D1547" s="57" t="s">
        <v>857</v>
      </c>
      <c r="E1547" s="55" t="s">
        <v>858</v>
      </c>
      <c r="F1547" s="58" t="s">
        <v>886</v>
      </c>
    </row>
    <row r="1548">
      <c r="A1548" s="59">
        <v>44647.0</v>
      </c>
      <c r="B1548" s="50" t="s">
        <v>749</v>
      </c>
      <c r="C1548" s="51" t="s">
        <v>856</v>
      </c>
      <c r="D1548" s="52" t="s">
        <v>857</v>
      </c>
      <c r="E1548" s="50" t="s">
        <v>858</v>
      </c>
      <c r="F1548" s="53" t="s">
        <v>886</v>
      </c>
    </row>
    <row r="1549">
      <c r="A1549" s="54">
        <v>44648.0</v>
      </c>
      <c r="B1549" s="55" t="s">
        <v>771</v>
      </c>
      <c r="C1549" s="56" t="s">
        <v>856</v>
      </c>
      <c r="D1549" s="57" t="s">
        <v>857</v>
      </c>
      <c r="E1549" s="55" t="s">
        <v>858</v>
      </c>
      <c r="F1549" s="58" t="s">
        <v>886</v>
      </c>
    </row>
    <row r="1550">
      <c r="A1550" s="59">
        <v>44649.0</v>
      </c>
      <c r="B1550" s="50" t="s">
        <v>772</v>
      </c>
      <c r="C1550" s="51" t="s">
        <v>856</v>
      </c>
      <c r="D1550" s="52" t="s">
        <v>857</v>
      </c>
      <c r="E1550" s="50" t="s">
        <v>858</v>
      </c>
      <c r="F1550" s="53" t="s">
        <v>886</v>
      </c>
    </row>
    <row r="1551">
      <c r="A1551" s="54">
        <v>44650.0</v>
      </c>
      <c r="B1551" s="55" t="s">
        <v>773</v>
      </c>
      <c r="C1551" s="56" t="s">
        <v>856</v>
      </c>
      <c r="D1551" s="57" t="s">
        <v>857</v>
      </c>
      <c r="E1551" s="55" t="s">
        <v>858</v>
      </c>
      <c r="F1551" s="58" t="s">
        <v>886</v>
      </c>
    </row>
    <row r="1552">
      <c r="A1552" s="59">
        <v>44651.0</v>
      </c>
      <c r="B1552" s="50" t="s">
        <v>774</v>
      </c>
      <c r="C1552" s="51" t="s">
        <v>856</v>
      </c>
      <c r="D1552" s="52" t="s">
        <v>857</v>
      </c>
      <c r="E1552" s="50" t="s">
        <v>858</v>
      </c>
      <c r="F1552" s="53" t="s">
        <v>886</v>
      </c>
    </row>
    <row r="1553">
      <c r="A1553" s="54">
        <v>44652.0</v>
      </c>
      <c r="B1553" s="55" t="s">
        <v>742</v>
      </c>
      <c r="C1553" s="56" t="s">
        <v>859</v>
      </c>
      <c r="D1553" s="57" t="s">
        <v>860</v>
      </c>
      <c r="E1553" s="55" t="s">
        <v>861</v>
      </c>
      <c r="F1553" s="58" t="s">
        <v>886</v>
      </c>
    </row>
    <row r="1554">
      <c r="A1554" s="59">
        <v>44653.0</v>
      </c>
      <c r="B1554" s="50" t="s">
        <v>744</v>
      </c>
      <c r="C1554" s="51" t="s">
        <v>859</v>
      </c>
      <c r="D1554" s="52" t="s">
        <v>860</v>
      </c>
      <c r="E1554" s="50" t="s">
        <v>861</v>
      </c>
      <c r="F1554" s="53" t="s">
        <v>886</v>
      </c>
    </row>
    <row r="1555">
      <c r="A1555" s="54">
        <v>44654.0</v>
      </c>
      <c r="B1555" s="55" t="s">
        <v>746</v>
      </c>
      <c r="C1555" s="56" t="s">
        <v>859</v>
      </c>
      <c r="D1555" s="57" t="s">
        <v>860</v>
      </c>
      <c r="E1555" s="55" t="s">
        <v>861</v>
      </c>
      <c r="F1555" s="58" t="s">
        <v>886</v>
      </c>
    </row>
    <row r="1556">
      <c r="A1556" s="59">
        <v>44655.0</v>
      </c>
      <c r="B1556" s="50" t="s">
        <v>748</v>
      </c>
      <c r="C1556" s="51" t="s">
        <v>859</v>
      </c>
      <c r="D1556" s="52" t="s">
        <v>860</v>
      </c>
      <c r="E1556" s="50" t="s">
        <v>861</v>
      </c>
      <c r="F1556" s="53" t="s">
        <v>886</v>
      </c>
    </row>
    <row r="1557">
      <c r="A1557" s="54">
        <v>44656.0</v>
      </c>
      <c r="B1557" s="55" t="s">
        <v>750</v>
      </c>
      <c r="C1557" s="56" t="s">
        <v>859</v>
      </c>
      <c r="D1557" s="57" t="s">
        <v>860</v>
      </c>
      <c r="E1557" s="55" t="s">
        <v>861</v>
      </c>
      <c r="F1557" s="58" t="s">
        <v>886</v>
      </c>
    </row>
    <row r="1558">
      <c r="A1558" s="59">
        <v>44657.0</v>
      </c>
      <c r="B1558" s="50" t="s">
        <v>752</v>
      </c>
      <c r="C1558" s="51" t="s">
        <v>859</v>
      </c>
      <c r="D1558" s="52" t="s">
        <v>860</v>
      </c>
      <c r="E1558" s="50" t="s">
        <v>861</v>
      </c>
      <c r="F1558" s="53" t="s">
        <v>886</v>
      </c>
    </row>
    <row r="1559">
      <c r="A1559" s="54">
        <v>44658.0</v>
      </c>
      <c r="B1559" s="55" t="s">
        <v>753</v>
      </c>
      <c r="C1559" s="56" t="s">
        <v>859</v>
      </c>
      <c r="D1559" s="57" t="s">
        <v>860</v>
      </c>
      <c r="E1559" s="55" t="s">
        <v>861</v>
      </c>
      <c r="F1559" s="58" t="s">
        <v>886</v>
      </c>
    </row>
    <row r="1560">
      <c r="A1560" s="59">
        <v>44659.0</v>
      </c>
      <c r="B1560" s="50" t="s">
        <v>754</v>
      </c>
      <c r="C1560" s="51" t="s">
        <v>859</v>
      </c>
      <c r="D1560" s="52" t="s">
        <v>860</v>
      </c>
      <c r="E1560" s="50" t="s">
        <v>861</v>
      </c>
      <c r="F1560" s="53" t="s">
        <v>886</v>
      </c>
    </row>
    <row r="1561">
      <c r="A1561" s="54">
        <v>44660.0</v>
      </c>
      <c r="B1561" s="55" t="s">
        <v>755</v>
      </c>
      <c r="C1561" s="56" t="s">
        <v>859</v>
      </c>
      <c r="D1561" s="57" t="s">
        <v>860</v>
      </c>
      <c r="E1561" s="55" t="s">
        <v>861</v>
      </c>
      <c r="F1561" s="58" t="s">
        <v>886</v>
      </c>
    </row>
    <row r="1562">
      <c r="A1562" s="59">
        <v>44661.0</v>
      </c>
      <c r="B1562" s="50" t="s">
        <v>756</v>
      </c>
      <c r="C1562" s="51" t="s">
        <v>859</v>
      </c>
      <c r="D1562" s="52" t="s">
        <v>860</v>
      </c>
      <c r="E1562" s="50" t="s">
        <v>861</v>
      </c>
      <c r="F1562" s="53" t="s">
        <v>886</v>
      </c>
    </row>
    <row r="1563">
      <c r="A1563" s="54">
        <v>44662.0</v>
      </c>
      <c r="B1563" s="55" t="s">
        <v>758</v>
      </c>
      <c r="C1563" s="56" t="s">
        <v>859</v>
      </c>
      <c r="D1563" s="57" t="s">
        <v>860</v>
      </c>
      <c r="E1563" s="55" t="s">
        <v>861</v>
      </c>
      <c r="F1563" s="58" t="s">
        <v>886</v>
      </c>
    </row>
    <row r="1564">
      <c r="A1564" s="59">
        <v>44663.0</v>
      </c>
      <c r="B1564" s="50" t="s">
        <v>759</v>
      </c>
      <c r="C1564" s="51" t="s">
        <v>859</v>
      </c>
      <c r="D1564" s="52" t="s">
        <v>860</v>
      </c>
      <c r="E1564" s="50" t="s">
        <v>861</v>
      </c>
      <c r="F1564" s="53" t="s">
        <v>886</v>
      </c>
    </row>
    <row r="1565">
      <c r="A1565" s="54">
        <v>44664.0</v>
      </c>
      <c r="B1565" s="55" t="s">
        <v>760</v>
      </c>
      <c r="C1565" s="56" t="s">
        <v>859</v>
      </c>
      <c r="D1565" s="57" t="s">
        <v>860</v>
      </c>
      <c r="E1565" s="55" t="s">
        <v>861</v>
      </c>
      <c r="F1565" s="58" t="s">
        <v>886</v>
      </c>
    </row>
    <row r="1566">
      <c r="A1566" s="59">
        <v>44665.0</v>
      </c>
      <c r="B1566" s="50" t="s">
        <v>761</v>
      </c>
      <c r="C1566" s="51" t="s">
        <v>859</v>
      </c>
      <c r="D1566" s="52" t="s">
        <v>860</v>
      </c>
      <c r="E1566" s="50" t="s">
        <v>861</v>
      </c>
      <c r="F1566" s="53" t="s">
        <v>886</v>
      </c>
    </row>
    <row r="1567">
      <c r="A1567" s="54">
        <v>44666.0</v>
      </c>
      <c r="B1567" s="55" t="s">
        <v>762</v>
      </c>
      <c r="C1567" s="56" t="s">
        <v>859</v>
      </c>
      <c r="D1567" s="57" t="s">
        <v>860</v>
      </c>
      <c r="E1567" s="55" t="s">
        <v>861</v>
      </c>
      <c r="F1567" s="58" t="s">
        <v>886</v>
      </c>
    </row>
    <row r="1568">
      <c r="A1568" s="59">
        <v>44667.0</v>
      </c>
      <c r="B1568" s="50" t="s">
        <v>763</v>
      </c>
      <c r="C1568" s="51" t="s">
        <v>859</v>
      </c>
      <c r="D1568" s="52" t="s">
        <v>860</v>
      </c>
      <c r="E1568" s="50" t="s">
        <v>861</v>
      </c>
      <c r="F1568" s="53" t="s">
        <v>886</v>
      </c>
    </row>
    <row r="1569">
      <c r="A1569" s="54">
        <v>44668.0</v>
      </c>
      <c r="B1569" s="55" t="s">
        <v>764</v>
      </c>
      <c r="C1569" s="56" t="s">
        <v>859</v>
      </c>
      <c r="D1569" s="57" t="s">
        <v>860</v>
      </c>
      <c r="E1569" s="55" t="s">
        <v>861</v>
      </c>
      <c r="F1569" s="58" t="s">
        <v>886</v>
      </c>
    </row>
    <row r="1570">
      <c r="A1570" s="59">
        <v>44669.0</v>
      </c>
      <c r="B1570" s="50" t="s">
        <v>765</v>
      </c>
      <c r="C1570" s="51" t="s">
        <v>859</v>
      </c>
      <c r="D1570" s="52" t="s">
        <v>860</v>
      </c>
      <c r="E1570" s="50" t="s">
        <v>861</v>
      </c>
      <c r="F1570" s="53" t="s">
        <v>886</v>
      </c>
    </row>
    <row r="1571">
      <c r="A1571" s="54">
        <v>44670.0</v>
      </c>
      <c r="B1571" s="55" t="s">
        <v>743</v>
      </c>
      <c r="C1571" s="56" t="s">
        <v>859</v>
      </c>
      <c r="D1571" s="57" t="s">
        <v>860</v>
      </c>
      <c r="E1571" s="55" t="s">
        <v>861</v>
      </c>
      <c r="F1571" s="58" t="s">
        <v>886</v>
      </c>
    </row>
    <row r="1572">
      <c r="A1572" s="59">
        <v>44671.0</v>
      </c>
      <c r="B1572" s="50" t="s">
        <v>766</v>
      </c>
      <c r="C1572" s="51" t="s">
        <v>859</v>
      </c>
      <c r="D1572" s="52" t="s">
        <v>860</v>
      </c>
      <c r="E1572" s="50" t="s">
        <v>861</v>
      </c>
      <c r="F1572" s="53" t="s">
        <v>886</v>
      </c>
    </row>
    <row r="1573">
      <c r="A1573" s="54">
        <v>44672.0</v>
      </c>
      <c r="B1573" s="55" t="s">
        <v>745</v>
      </c>
      <c r="C1573" s="56" t="s">
        <v>859</v>
      </c>
      <c r="D1573" s="57" t="s">
        <v>860</v>
      </c>
      <c r="E1573" s="55" t="s">
        <v>861</v>
      </c>
      <c r="F1573" s="58" t="s">
        <v>886</v>
      </c>
    </row>
    <row r="1574">
      <c r="A1574" s="59">
        <v>44673.0</v>
      </c>
      <c r="B1574" s="50" t="s">
        <v>767</v>
      </c>
      <c r="C1574" s="51" t="s">
        <v>859</v>
      </c>
      <c r="D1574" s="52" t="s">
        <v>860</v>
      </c>
      <c r="E1574" s="50" t="s">
        <v>861</v>
      </c>
      <c r="F1574" s="53" t="s">
        <v>886</v>
      </c>
    </row>
    <row r="1575">
      <c r="A1575" s="54">
        <v>44674.0</v>
      </c>
      <c r="B1575" s="55" t="s">
        <v>768</v>
      </c>
      <c r="C1575" s="56" t="s">
        <v>859</v>
      </c>
      <c r="D1575" s="57" t="s">
        <v>860</v>
      </c>
      <c r="E1575" s="55" t="s">
        <v>861</v>
      </c>
      <c r="F1575" s="58" t="s">
        <v>886</v>
      </c>
    </row>
    <row r="1576">
      <c r="A1576" s="59">
        <v>44675.0</v>
      </c>
      <c r="B1576" s="50" t="s">
        <v>747</v>
      </c>
      <c r="C1576" s="51" t="s">
        <v>859</v>
      </c>
      <c r="D1576" s="52" t="s">
        <v>860</v>
      </c>
      <c r="E1576" s="50" t="s">
        <v>861</v>
      </c>
      <c r="F1576" s="53" t="s">
        <v>886</v>
      </c>
    </row>
    <row r="1577">
      <c r="A1577" s="54">
        <v>44676.0</v>
      </c>
      <c r="B1577" s="55" t="s">
        <v>769</v>
      </c>
      <c r="C1577" s="56" t="s">
        <v>859</v>
      </c>
      <c r="D1577" s="57" t="s">
        <v>860</v>
      </c>
      <c r="E1577" s="55" t="s">
        <v>861</v>
      </c>
      <c r="F1577" s="58" t="s">
        <v>886</v>
      </c>
    </row>
    <row r="1578">
      <c r="A1578" s="59">
        <v>44677.0</v>
      </c>
      <c r="B1578" s="50" t="s">
        <v>770</v>
      </c>
      <c r="C1578" s="51" t="s">
        <v>859</v>
      </c>
      <c r="D1578" s="52" t="s">
        <v>860</v>
      </c>
      <c r="E1578" s="50" t="s">
        <v>861</v>
      </c>
      <c r="F1578" s="53" t="s">
        <v>886</v>
      </c>
    </row>
    <row r="1579">
      <c r="A1579" s="54">
        <v>44678.0</v>
      </c>
      <c r="B1579" s="55" t="s">
        <v>749</v>
      </c>
      <c r="C1579" s="56" t="s">
        <v>859</v>
      </c>
      <c r="D1579" s="57" t="s">
        <v>860</v>
      </c>
      <c r="E1579" s="55" t="s">
        <v>861</v>
      </c>
      <c r="F1579" s="58" t="s">
        <v>886</v>
      </c>
    </row>
    <row r="1580">
      <c r="A1580" s="59">
        <v>44679.0</v>
      </c>
      <c r="B1580" s="50" t="s">
        <v>771</v>
      </c>
      <c r="C1580" s="51" t="s">
        <v>859</v>
      </c>
      <c r="D1580" s="52" t="s">
        <v>860</v>
      </c>
      <c r="E1580" s="50" t="s">
        <v>861</v>
      </c>
      <c r="F1580" s="53" t="s">
        <v>886</v>
      </c>
    </row>
    <row r="1581">
      <c r="A1581" s="54">
        <v>44680.0</v>
      </c>
      <c r="B1581" s="55" t="s">
        <v>772</v>
      </c>
      <c r="C1581" s="56" t="s">
        <v>859</v>
      </c>
      <c r="D1581" s="57" t="s">
        <v>860</v>
      </c>
      <c r="E1581" s="55" t="s">
        <v>861</v>
      </c>
      <c r="F1581" s="58" t="s">
        <v>886</v>
      </c>
    </row>
    <row r="1582">
      <c r="A1582" s="59">
        <v>44681.0</v>
      </c>
      <c r="B1582" s="50" t="s">
        <v>773</v>
      </c>
      <c r="C1582" s="51" t="s">
        <v>859</v>
      </c>
      <c r="D1582" s="52" t="s">
        <v>860</v>
      </c>
      <c r="E1582" s="50" t="s">
        <v>861</v>
      </c>
      <c r="F1582" s="53" t="s">
        <v>886</v>
      </c>
    </row>
    <row r="1583">
      <c r="A1583" s="54">
        <v>44682.0</v>
      </c>
      <c r="B1583" s="55" t="s">
        <v>742</v>
      </c>
      <c r="C1583" s="56" t="s">
        <v>862</v>
      </c>
      <c r="D1583" s="57" t="s">
        <v>863</v>
      </c>
      <c r="E1583" s="55" t="s">
        <v>864</v>
      </c>
      <c r="F1583" s="58" t="s">
        <v>886</v>
      </c>
    </row>
    <row r="1584">
      <c r="A1584" s="59">
        <v>44683.0</v>
      </c>
      <c r="B1584" s="50" t="s">
        <v>744</v>
      </c>
      <c r="C1584" s="51" t="s">
        <v>862</v>
      </c>
      <c r="D1584" s="52" t="s">
        <v>863</v>
      </c>
      <c r="E1584" s="50" t="s">
        <v>864</v>
      </c>
      <c r="F1584" s="53" t="s">
        <v>886</v>
      </c>
    </row>
    <row r="1585">
      <c r="A1585" s="54">
        <v>44684.0</v>
      </c>
      <c r="B1585" s="55" t="s">
        <v>746</v>
      </c>
      <c r="C1585" s="56" t="s">
        <v>862</v>
      </c>
      <c r="D1585" s="57" t="s">
        <v>863</v>
      </c>
      <c r="E1585" s="55" t="s">
        <v>864</v>
      </c>
      <c r="F1585" s="58" t="s">
        <v>886</v>
      </c>
    </row>
    <row r="1586">
      <c r="A1586" s="59">
        <v>44685.0</v>
      </c>
      <c r="B1586" s="50" t="s">
        <v>748</v>
      </c>
      <c r="C1586" s="51" t="s">
        <v>862</v>
      </c>
      <c r="D1586" s="52" t="s">
        <v>863</v>
      </c>
      <c r="E1586" s="50" t="s">
        <v>864</v>
      </c>
      <c r="F1586" s="53" t="s">
        <v>886</v>
      </c>
    </row>
    <row r="1587">
      <c r="A1587" s="54">
        <v>44686.0</v>
      </c>
      <c r="B1587" s="55" t="s">
        <v>750</v>
      </c>
      <c r="C1587" s="56" t="s">
        <v>862</v>
      </c>
      <c r="D1587" s="57" t="s">
        <v>863</v>
      </c>
      <c r="E1587" s="55" t="s">
        <v>864</v>
      </c>
      <c r="F1587" s="58" t="s">
        <v>886</v>
      </c>
    </row>
    <row r="1588">
      <c r="A1588" s="59">
        <v>44687.0</v>
      </c>
      <c r="B1588" s="50" t="s">
        <v>752</v>
      </c>
      <c r="C1588" s="51" t="s">
        <v>862</v>
      </c>
      <c r="D1588" s="52" t="s">
        <v>863</v>
      </c>
      <c r="E1588" s="50" t="s">
        <v>864</v>
      </c>
      <c r="F1588" s="53" t="s">
        <v>886</v>
      </c>
    </row>
    <row r="1589">
      <c r="A1589" s="54">
        <v>44688.0</v>
      </c>
      <c r="B1589" s="55" t="s">
        <v>753</v>
      </c>
      <c r="C1589" s="56" t="s">
        <v>862</v>
      </c>
      <c r="D1589" s="57" t="s">
        <v>863</v>
      </c>
      <c r="E1589" s="55" t="s">
        <v>864</v>
      </c>
      <c r="F1589" s="58" t="s">
        <v>886</v>
      </c>
    </row>
    <row r="1590">
      <c r="A1590" s="59">
        <v>44689.0</v>
      </c>
      <c r="B1590" s="50" t="s">
        <v>754</v>
      </c>
      <c r="C1590" s="51" t="s">
        <v>862</v>
      </c>
      <c r="D1590" s="52" t="s">
        <v>863</v>
      </c>
      <c r="E1590" s="50" t="s">
        <v>864</v>
      </c>
      <c r="F1590" s="53" t="s">
        <v>886</v>
      </c>
    </row>
    <row r="1591">
      <c r="A1591" s="54">
        <v>44690.0</v>
      </c>
      <c r="B1591" s="55" t="s">
        <v>755</v>
      </c>
      <c r="C1591" s="56" t="s">
        <v>862</v>
      </c>
      <c r="D1591" s="57" t="s">
        <v>863</v>
      </c>
      <c r="E1591" s="55" t="s">
        <v>864</v>
      </c>
      <c r="F1591" s="58" t="s">
        <v>886</v>
      </c>
    </row>
    <row r="1592">
      <c r="A1592" s="59">
        <v>44691.0</v>
      </c>
      <c r="B1592" s="50" t="s">
        <v>756</v>
      </c>
      <c r="C1592" s="51" t="s">
        <v>862</v>
      </c>
      <c r="D1592" s="52" t="s">
        <v>863</v>
      </c>
      <c r="E1592" s="50" t="s">
        <v>864</v>
      </c>
      <c r="F1592" s="53" t="s">
        <v>886</v>
      </c>
    </row>
    <row r="1593">
      <c r="A1593" s="54">
        <v>44692.0</v>
      </c>
      <c r="B1593" s="55" t="s">
        <v>758</v>
      </c>
      <c r="C1593" s="56" t="s">
        <v>862</v>
      </c>
      <c r="D1593" s="57" t="s">
        <v>863</v>
      </c>
      <c r="E1593" s="55" t="s">
        <v>864</v>
      </c>
      <c r="F1593" s="58" t="s">
        <v>886</v>
      </c>
    </row>
    <row r="1594">
      <c r="A1594" s="59">
        <v>44693.0</v>
      </c>
      <c r="B1594" s="50" t="s">
        <v>759</v>
      </c>
      <c r="C1594" s="51" t="s">
        <v>862</v>
      </c>
      <c r="D1594" s="52" t="s">
        <v>863</v>
      </c>
      <c r="E1594" s="50" t="s">
        <v>864</v>
      </c>
      <c r="F1594" s="53" t="s">
        <v>886</v>
      </c>
    </row>
    <row r="1595">
      <c r="A1595" s="54">
        <v>44694.0</v>
      </c>
      <c r="B1595" s="55" t="s">
        <v>760</v>
      </c>
      <c r="C1595" s="56" t="s">
        <v>862</v>
      </c>
      <c r="D1595" s="57" t="s">
        <v>863</v>
      </c>
      <c r="E1595" s="55" t="s">
        <v>864</v>
      </c>
      <c r="F1595" s="58" t="s">
        <v>886</v>
      </c>
    </row>
    <row r="1596">
      <c r="A1596" s="59">
        <v>44695.0</v>
      </c>
      <c r="B1596" s="50" t="s">
        <v>761</v>
      </c>
      <c r="C1596" s="51" t="s">
        <v>862</v>
      </c>
      <c r="D1596" s="52" t="s">
        <v>863</v>
      </c>
      <c r="E1596" s="50" t="s">
        <v>864</v>
      </c>
      <c r="F1596" s="53" t="s">
        <v>886</v>
      </c>
    </row>
    <row r="1597">
      <c r="A1597" s="54">
        <v>44696.0</v>
      </c>
      <c r="B1597" s="55" t="s">
        <v>762</v>
      </c>
      <c r="C1597" s="56" t="s">
        <v>862</v>
      </c>
      <c r="D1597" s="57" t="s">
        <v>863</v>
      </c>
      <c r="E1597" s="55" t="s">
        <v>864</v>
      </c>
      <c r="F1597" s="58" t="s">
        <v>886</v>
      </c>
    </row>
    <row r="1598">
      <c r="A1598" s="59">
        <v>44697.0</v>
      </c>
      <c r="B1598" s="50" t="s">
        <v>763</v>
      </c>
      <c r="C1598" s="51" t="s">
        <v>862</v>
      </c>
      <c r="D1598" s="52" t="s">
        <v>863</v>
      </c>
      <c r="E1598" s="50" t="s">
        <v>864</v>
      </c>
      <c r="F1598" s="53" t="s">
        <v>886</v>
      </c>
    </row>
    <row r="1599">
      <c r="A1599" s="54">
        <v>44698.0</v>
      </c>
      <c r="B1599" s="55" t="s">
        <v>764</v>
      </c>
      <c r="C1599" s="56" t="s">
        <v>862</v>
      </c>
      <c r="D1599" s="57" t="s">
        <v>863</v>
      </c>
      <c r="E1599" s="55" t="s">
        <v>864</v>
      </c>
      <c r="F1599" s="58" t="s">
        <v>886</v>
      </c>
    </row>
    <row r="1600">
      <c r="A1600" s="59">
        <v>44699.0</v>
      </c>
      <c r="B1600" s="50" t="s">
        <v>765</v>
      </c>
      <c r="C1600" s="51" t="s">
        <v>862</v>
      </c>
      <c r="D1600" s="52" t="s">
        <v>863</v>
      </c>
      <c r="E1600" s="50" t="s">
        <v>864</v>
      </c>
      <c r="F1600" s="53" t="s">
        <v>886</v>
      </c>
    </row>
    <row r="1601">
      <c r="A1601" s="54">
        <v>44700.0</v>
      </c>
      <c r="B1601" s="55" t="s">
        <v>743</v>
      </c>
      <c r="C1601" s="56" t="s">
        <v>862</v>
      </c>
      <c r="D1601" s="57" t="s">
        <v>863</v>
      </c>
      <c r="E1601" s="55" t="s">
        <v>864</v>
      </c>
      <c r="F1601" s="58" t="s">
        <v>886</v>
      </c>
    </row>
    <row r="1602">
      <c r="A1602" s="59">
        <v>44701.0</v>
      </c>
      <c r="B1602" s="50" t="s">
        <v>766</v>
      </c>
      <c r="C1602" s="51" t="s">
        <v>862</v>
      </c>
      <c r="D1602" s="52" t="s">
        <v>863</v>
      </c>
      <c r="E1602" s="50" t="s">
        <v>864</v>
      </c>
      <c r="F1602" s="53" t="s">
        <v>886</v>
      </c>
    </row>
    <row r="1603">
      <c r="A1603" s="54">
        <v>44702.0</v>
      </c>
      <c r="B1603" s="55" t="s">
        <v>745</v>
      </c>
      <c r="C1603" s="56" t="s">
        <v>862</v>
      </c>
      <c r="D1603" s="57" t="s">
        <v>863</v>
      </c>
      <c r="E1603" s="55" t="s">
        <v>864</v>
      </c>
      <c r="F1603" s="58" t="s">
        <v>886</v>
      </c>
    </row>
    <row r="1604">
      <c r="A1604" s="59">
        <v>44703.0</v>
      </c>
      <c r="B1604" s="50" t="s">
        <v>767</v>
      </c>
      <c r="C1604" s="51" t="s">
        <v>862</v>
      </c>
      <c r="D1604" s="52" t="s">
        <v>863</v>
      </c>
      <c r="E1604" s="50" t="s">
        <v>864</v>
      </c>
      <c r="F1604" s="53" t="s">
        <v>886</v>
      </c>
    </row>
    <row r="1605">
      <c r="A1605" s="54">
        <v>44704.0</v>
      </c>
      <c r="B1605" s="55" t="s">
        <v>768</v>
      </c>
      <c r="C1605" s="56" t="s">
        <v>862</v>
      </c>
      <c r="D1605" s="57" t="s">
        <v>863</v>
      </c>
      <c r="E1605" s="55" t="s">
        <v>864</v>
      </c>
      <c r="F1605" s="58" t="s">
        <v>886</v>
      </c>
    </row>
    <row r="1606">
      <c r="A1606" s="59">
        <v>44705.0</v>
      </c>
      <c r="B1606" s="50" t="s">
        <v>747</v>
      </c>
      <c r="C1606" s="51" t="s">
        <v>862</v>
      </c>
      <c r="D1606" s="52" t="s">
        <v>863</v>
      </c>
      <c r="E1606" s="50" t="s">
        <v>864</v>
      </c>
      <c r="F1606" s="53" t="s">
        <v>886</v>
      </c>
    </row>
    <row r="1607">
      <c r="A1607" s="54">
        <v>44706.0</v>
      </c>
      <c r="B1607" s="55" t="s">
        <v>769</v>
      </c>
      <c r="C1607" s="56" t="s">
        <v>862</v>
      </c>
      <c r="D1607" s="57" t="s">
        <v>863</v>
      </c>
      <c r="E1607" s="55" t="s">
        <v>864</v>
      </c>
      <c r="F1607" s="58" t="s">
        <v>886</v>
      </c>
    </row>
    <row r="1608">
      <c r="A1608" s="59">
        <v>44707.0</v>
      </c>
      <c r="B1608" s="50" t="s">
        <v>770</v>
      </c>
      <c r="C1608" s="51" t="s">
        <v>862</v>
      </c>
      <c r="D1608" s="52" t="s">
        <v>863</v>
      </c>
      <c r="E1608" s="50" t="s">
        <v>864</v>
      </c>
      <c r="F1608" s="53" t="s">
        <v>886</v>
      </c>
    </row>
    <row r="1609">
      <c r="A1609" s="54">
        <v>44708.0</v>
      </c>
      <c r="B1609" s="55" t="s">
        <v>749</v>
      </c>
      <c r="C1609" s="56" t="s">
        <v>862</v>
      </c>
      <c r="D1609" s="57" t="s">
        <v>863</v>
      </c>
      <c r="E1609" s="55" t="s">
        <v>864</v>
      </c>
      <c r="F1609" s="58" t="s">
        <v>886</v>
      </c>
    </row>
    <row r="1610">
      <c r="A1610" s="59">
        <v>44709.0</v>
      </c>
      <c r="B1610" s="50" t="s">
        <v>771</v>
      </c>
      <c r="C1610" s="51" t="s">
        <v>862</v>
      </c>
      <c r="D1610" s="52" t="s">
        <v>863</v>
      </c>
      <c r="E1610" s="50" t="s">
        <v>864</v>
      </c>
      <c r="F1610" s="53" t="s">
        <v>886</v>
      </c>
    </row>
    <row r="1611">
      <c r="A1611" s="54">
        <v>44710.0</v>
      </c>
      <c r="B1611" s="55" t="s">
        <v>772</v>
      </c>
      <c r="C1611" s="56" t="s">
        <v>862</v>
      </c>
      <c r="D1611" s="57" t="s">
        <v>863</v>
      </c>
      <c r="E1611" s="55" t="s">
        <v>864</v>
      </c>
      <c r="F1611" s="58" t="s">
        <v>886</v>
      </c>
    </row>
    <row r="1612">
      <c r="A1612" s="59">
        <v>44711.0</v>
      </c>
      <c r="B1612" s="50" t="s">
        <v>773</v>
      </c>
      <c r="C1612" s="51" t="s">
        <v>862</v>
      </c>
      <c r="D1612" s="52" t="s">
        <v>863</v>
      </c>
      <c r="E1612" s="50" t="s">
        <v>864</v>
      </c>
      <c r="F1612" s="53" t="s">
        <v>886</v>
      </c>
    </row>
    <row r="1613">
      <c r="A1613" s="54">
        <v>44712.0</v>
      </c>
      <c r="B1613" s="55" t="s">
        <v>774</v>
      </c>
      <c r="C1613" s="56" t="s">
        <v>862</v>
      </c>
      <c r="D1613" s="57" t="s">
        <v>863</v>
      </c>
      <c r="E1613" s="55" t="s">
        <v>864</v>
      </c>
      <c r="F1613" s="58" t="s">
        <v>886</v>
      </c>
    </row>
    <row r="1614">
      <c r="A1614" s="59">
        <v>44713.0</v>
      </c>
      <c r="B1614" s="50" t="s">
        <v>742</v>
      </c>
      <c r="C1614" s="51" t="s">
        <v>865</v>
      </c>
      <c r="D1614" s="52" t="s">
        <v>866</v>
      </c>
      <c r="E1614" s="50" t="s">
        <v>867</v>
      </c>
      <c r="F1614" s="53" t="s">
        <v>886</v>
      </c>
    </row>
    <row r="1615">
      <c r="A1615" s="54">
        <v>44714.0</v>
      </c>
      <c r="B1615" s="55" t="s">
        <v>744</v>
      </c>
      <c r="C1615" s="56" t="s">
        <v>865</v>
      </c>
      <c r="D1615" s="57" t="s">
        <v>866</v>
      </c>
      <c r="E1615" s="55" t="s">
        <v>867</v>
      </c>
      <c r="F1615" s="58" t="s">
        <v>886</v>
      </c>
    </row>
    <row r="1616">
      <c r="A1616" s="59">
        <v>44715.0</v>
      </c>
      <c r="B1616" s="50" t="s">
        <v>746</v>
      </c>
      <c r="C1616" s="51" t="s">
        <v>865</v>
      </c>
      <c r="D1616" s="52" t="s">
        <v>866</v>
      </c>
      <c r="E1616" s="50" t="s">
        <v>867</v>
      </c>
      <c r="F1616" s="53" t="s">
        <v>886</v>
      </c>
    </row>
    <row r="1617">
      <c r="A1617" s="54">
        <v>44716.0</v>
      </c>
      <c r="B1617" s="55" t="s">
        <v>748</v>
      </c>
      <c r="C1617" s="56" t="s">
        <v>865</v>
      </c>
      <c r="D1617" s="57" t="s">
        <v>866</v>
      </c>
      <c r="E1617" s="55" t="s">
        <v>867</v>
      </c>
      <c r="F1617" s="58" t="s">
        <v>886</v>
      </c>
    </row>
    <row r="1618">
      <c r="A1618" s="59">
        <v>44717.0</v>
      </c>
      <c r="B1618" s="50" t="s">
        <v>750</v>
      </c>
      <c r="C1618" s="51" t="s">
        <v>865</v>
      </c>
      <c r="D1618" s="52" t="s">
        <v>866</v>
      </c>
      <c r="E1618" s="50" t="s">
        <v>867</v>
      </c>
      <c r="F1618" s="53" t="s">
        <v>886</v>
      </c>
    </row>
    <row r="1619">
      <c r="A1619" s="54">
        <v>44718.0</v>
      </c>
      <c r="B1619" s="55" t="s">
        <v>752</v>
      </c>
      <c r="C1619" s="56" t="s">
        <v>865</v>
      </c>
      <c r="D1619" s="57" t="s">
        <v>866</v>
      </c>
      <c r="E1619" s="55" t="s">
        <v>867</v>
      </c>
      <c r="F1619" s="58" t="s">
        <v>886</v>
      </c>
    </row>
    <row r="1620">
      <c r="A1620" s="59">
        <v>44719.0</v>
      </c>
      <c r="B1620" s="50" t="s">
        <v>753</v>
      </c>
      <c r="C1620" s="51" t="s">
        <v>865</v>
      </c>
      <c r="D1620" s="52" t="s">
        <v>866</v>
      </c>
      <c r="E1620" s="50" t="s">
        <v>867</v>
      </c>
      <c r="F1620" s="53" t="s">
        <v>886</v>
      </c>
    </row>
    <row r="1621">
      <c r="A1621" s="54">
        <v>44720.0</v>
      </c>
      <c r="B1621" s="55" t="s">
        <v>754</v>
      </c>
      <c r="C1621" s="56" t="s">
        <v>865</v>
      </c>
      <c r="D1621" s="57" t="s">
        <v>866</v>
      </c>
      <c r="E1621" s="55" t="s">
        <v>867</v>
      </c>
      <c r="F1621" s="58" t="s">
        <v>886</v>
      </c>
    </row>
    <row r="1622">
      <c r="A1622" s="59">
        <v>44721.0</v>
      </c>
      <c r="B1622" s="50" t="s">
        <v>755</v>
      </c>
      <c r="C1622" s="51" t="s">
        <v>865</v>
      </c>
      <c r="D1622" s="52" t="s">
        <v>866</v>
      </c>
      <c r="E1622" s="50" t="s">
        <v>867</v>
      </c>
      <c r="F1622" s="53" t="s">
        <v>886</v>
      </c>
    </row>
    <row r="1623">
      <c r="A1623" s="54">
        <v>44722.0</v>
      </c>
      <c r="B1623" s="55" t="s">
        <v>756</v>
      </c>
      <c r="C1623" s="56" t="s">
        <v>865</v>
      </c>
      <c r="D1623" s="57" t="s">
        <v>866</v>
      </c>
      <c r="E1623" s="55" t="s">
        <v>867</v>
      </c>
      <c r="F1623" s="58" t="s">
        <v>886</v>
      </c>
    </row>
    <row r="1624">
      <c r="A1624" s="59">
        <v>44723.0</v>
      </c>
      <c r="B1624" s="50" t="s">
        <v>758</v>
      </c>
      <c r="C1624" s="51" t="s">
        <v>865</v>
      </c>
      <c r="D1624" s="52" t="s">
        <v>866</v>
      </c>
      <c r="E1624" s="50" t="s">
        <v>867</v>
      </c>
      <c r="F1624" s="53" t="s">
        <v>886</v>
      </c>
    </row>
    <row r="1625">
      <c r="A1625" s="54">
        <v>44724.0</v>
      </c>
      <c r="B1625" s="55" t="s">
        <v>759</v>
      </c>
      <c r="C1625" s="56" t="s">
        <v>865</v>
      </c>
      <c r="D1625" s="57" t="s">
        <v>866</v>
      </c>
      <c r="E1625" s="55" t="s">
        <v>867</v>
      </c>
      <c r="F1625" s="58" t="s">
        <v>886</v>
      </c>
    </row>
    <row r="1626">
      <c r="A1626" s="59">
        <v>44725.0</v>
      </c>
      <c r="B1626" s="50" t="s">
        <v>760</v>
      </c>
      <c r="C1626" s="51" t="s">
        <v>865</v>
      </c>
      <c r="D1626" s="52" t="s">
        <v>866</v>
      </c>
      <c r="E1626" s="50" t="s">
        <v>867</v>
      </c>
      <c r="F1626" s="53" t="s">
        <v>886</v>
      </c>
    </row>
    <row r="1627">
      <c r="A1627" s="54">
        <v>44726.0</v>
      </c>
      <c r="B1627" s="55" t="s">
        <v>761</v>
      </c>
      <c r="C1627" s="56" t="s">
        <v>865</v>
      </c>
      <c r="D1627" s="57" t="s">
        <v>866</v>
      </c>
      <c r="E1627" s="55" t="s">
        <v>867</v>
      </c>
      <c r="F1627" s="58" t="s">
        <v>886</v>
      </c>
    </row>
    <row r="1628">
      <c r="A1628" s="59">
        <v>44727.0</v>
      </c>
      <c r="B1628" s="50" t="s">
        <v>762</v>
      </c>
      <c r="C1628" s="51" t="s">
        <v>865</v>
      </c>
      <c r="D1628" s="52" t="s">
        <v>866</v>
      </c>
      <c r="E1628" s="50" t="s">
        <v>867</v>
      </c>
      <c r="F1628" s="53" t="s">
        <v>886</v>
      </c>
    </row>
    <row r="1629">
      <c r="A1629" s="54">
        <v>44728.0</v>
      </c>
      <c r="B1629" s="55" t="s">
        <v>763</v>
      </c>
      <c r="C1629" s="56" t="s">
        <v>865</v>
      </c>
      <c r="D1629" s="57" t="s">
        <v>866</v>
      </c>
      <c r="E1629" s="55" t="s">
        <v>867</v>
      </c>
      <c r="F1629" s="58" t="s">
        <v>886</v>
      </c>
    </row>
    <row r="1630">
      <c r="A1630" s="59">
        <v>44729.0</v>
      </c>
      <c r="B1630" s="50" t="s">
        <v>764</v>
      </c>
      <c r="C1630" s="51" t="s">
        <v>865</v>
      </c>
      <c r="D1630" s="52" t="s">
        <v>866</v>
      </c>
      <c r="E1630" s="50" t="s">
        <v>867</v>
      </c>
      <c r="F1630" s="53" t="s">
        <v>886</v>
      </c>
    </row>
    <row r="1631">
      <c r="A1631" s="54">
        <v>44730.0</v>
      </c>
      <c r="B1631" s="55" t="s">
        <v>765</v>
      </c>
      <c r="C1631" s="56" t="s">
        <v>865</v>
      </c>
      <c r="D1631" s="57" t="s">
        <v>866</v>
      </c>
      <c r="E1631" s="55" t="s">
        <v>867</v>
      </c>
      <c r="F1631" s="58" t="s">
        <v>886</v>
      </c>
    </row>
    <row r="1632">
      <c r="A1632" s="59">
        <v>44731.0</v>
      </c>
      <c r="B1632" s="50" t="s">
        <v>743</v>
      </c>
      <c r="C1632" s="51" t="s">
        <v>865</v>
      </c>
      <c r="D1632" s="52" t="s">
        <v>866</v>
      </c>
      <c r="E1632" s="50" t="s">
        <v>867</v>
      </c>
      <c r="F1632" s="53" t="s">
        <v>886</v>
      </c>
    </row>
    <row r="1633">
      <c r="A1633" s="54">
        <v>44732.0</v>
      </c>
      <c r="B1633" s="55" t="s">
        <v>766</v>
      </c>
      <c r="C1633" s="56" t="s">
        <v>865</v>
      </c>
      <c r="D1633" s="57" t="s">
        <v>866</v>
      </c>
      <c r="E1633" s="55" t="s">
        <v>867</v>
      </c>
      <c r="F1633" s="58" t="s">
        <v>886</v>
      </c>
    </row>
    <row r="1634">
      <c r="A1634" s="59">
        <v>44733.0</v>
      </c>
      <c r="B1634" s="50" t="s">
        <v>745</v>
      </c>
      <c r="C1634" s="51" t="s">
        <v>865</v>
      </c>
      <c r="D1634" s="52" t="s">
        <v>866</v>
      </c>
      <c r="E1634" s="50" t="s">
        <v>867</v>
      </c>
      <c r="F1634" s="53" t="s">
        <v>886</v>
      </c>
    </row>
    <row r="1635">
      <c r="A1635" s="54">
        <v>44734.0</v>
      </c>
      <c r="B1635" s="55" t="s">
        <v>767</v>
      </c>
      <c r="C1635" s="56" t="s">
        <v>865</v>
      </c>
      <c r="D1635" s="57" t="s">
        <v>866</v>
      </c>
      <c r="E1635" s="55" t="s">
        <v>867</v>
      </c>
      <c r="F1635" s="58" t="s">
        <v>886</v>
      </c>
    </row>
    <row r="1636">
      <c r="A1636" s="59">
        <v>44735.0</v>
      </c>
      <c r="B1636" s="50" t="s">
        <v>768</v>
      </c>
      <c r="C1636" s="51" t="s">
        <v>865</v>
      </c>
      <c r="D1636" s="52" t="s">
        <v>866</v>
      </c>
      <c r="E1636" s="50" t="s">
        <v>867</v>
      </c>
      <c r="F1636" s="53" t="s">
        <v>886</v>
      </c>
    </row>
    <row r="1637">
      <c r="A1637" s="54">
        <v>44736.0</v>
      </c>
      <c r="B1637" s="55" t="s">
        <v>747</v>
      </c>
      <c r="C1637" s="56" t="s">
        <v>865</v>
      </c>
      <c r="D1637" s="57" t="s">
        <v>866</v>
      </c>
      <c r="E1637" s="55" t="s">
        <v>867</v>
      </c>
      <c r="F1637" s="58" t="s">
        <v>886</v>
      </c>
    </row>
    <row r="1638">
      <c r="A1638" s="59">
        <v>44737.0</v>
      </c>
      <c r="B1638" s="50" t="s">
        <v>769</v>
      </c>
      <c r="C1638" s="51" t="s">
        <v>865</v>
      </c>
      <c r="D1638" s="52" t="s">
        <v>866</v>
      </c>
      <c r="E1638" s="50" t="s">
        <v>867</v>
      </c>
      <c r="F1638" s="53" t="s">
        <v>886</v>
      </c>
    </row>
    <row r="1639">
      <c r="A1639" s="54">
        <v>44738.0</v>
      </c>
      <c r="B1639" s="55" t="s">
        <v>770</v>
      </c>
      <c r="C1639" s="56" t="s">
        <v>865</v>
      </c>
      <c r="D1639" s="57" t="s">
        <v>866</v>
      </c>
      <c r="E1639" s="55" t="s">
        <v>867</v>
      </c>
      <c r="F1639" s="58" t="s">
        <v>886</v>
      </c>
    </row>
    <row r="1640">
      <c r="A1640" s="59">
        <v>44739.0</v>
      </c>
      <c r="B1640" s="50" t="s">
        <v>749</v>
      </c>
      <c r="C1640" s="51" t="s">
        <v>865</v>
      </c>
      <c r="D1640" s="52" t="s">
        <v>866</v>
      </c>
      <c r="E1640" s="50" t="s">
        <v>867</v>
      </c>
      <c r="F1640" s="53" t="s">
        <v>886</v>
      </c>
    </row>
    <row r="1641">
      <c r="A1641" s="54">
        <v>44740.0</v>
      </c>
      <c r="B1641" s="55" t="s">
        <v>771</v>
      </c>
      <c r="C1641" s="56" t="s">
        <v>865</v>
      </c>
      <c r="D1641" s="57" t="s">
        <v>866</v>
      </c>
      <c r="E1641" s="55" t="s">
        <v>867</v>
      </c>
      <c r="F1641" s="58" t="s">
        <v>886</v>
      </c>
    </row>
    <row r="1642">
      <c r="A1642" s="59">
        <v>44741.0</v>
      </c>
      <c r="B1642" s="50" t="s">
        <v>772</v>
      </c>
      <c r="C1642" s="51" t="s">
        <v>865</v>
      </c>
      <c r="D1642" s="52" t="s">
        <v>866</v>
      </c>
      <c r="E1642" s="50" t="s">
        <v>867</v>
      </c>
      <c r="F1642" s="53" t="s">
        <v>886</v>
      </c>
    </row>
    <row r="1643">
      <c r="A1643" s="54">
        <v>44742.0</v>
      </c>
      <c r="B1643" s="55" t="s">
        <v>773</v>
      </c>
      <c r="C1643" s="56" t="s">
        <v>865</v>
      </c>
      <c r="D1643" s="57" t="s">
        <v>866</v>
      </c>
      <c r="E1643" s="55" t="s">
        <v>867</v>
      </c>
      <c r="F1643" s="58" t="s">
        <v>886</v>
      </c>
    </row>
    <row r="1644">
      <c r="A1644" s="59">
        <v>44743.0</v>
      </c>
      <c r="B1644" s="50" t="s">
        <v>742</v>
      </c>
      <c r="C1644" s="51" t="s">
        <v>868</v>
      </c>
      <c r="D1644" s="52" t="s">
        <v>869</v>
      </c>
      <c r="E1644" s="50" t="s">
        <v>870</v>
      </c>
      <c r="F1644" s="53" t="s">
        <v>886</v>
      </c>
    </row>
    <row r="1645">
      <c r="A1645" s="54">
        <v>44744.0</v>
      </c>
      <c r="B1645" s="55" t="s">
        <v>744</v>
      </c>
      <c r="C1645" s="56" t="s">
        <v>868</v>
      </c>
      <c r="D1645" s="57" t="s">
        <v>869</v>
      </c>
      <c r="E1645" s="55" t="s">
        <v>870</v>
      </c>
      <c r="F1645" s="58" t="s">
        <v>886</v>
      </c>
    </row>
    <row r="1646">
      <c r="A1646" s="59">
        <v>44745.0</v>
      </c>
      <c r="B1646" s="50" t="s">
        <v>746</v>
      </c>
      <c r="C1646" s="51" t="s">
        <v>868</v>
      </c>
      <c r="D1646" s="52" t="s">
        <v>869</v>
      </c>
      <c r="E1646" s="50" t="s">
        <v>870</v>
      </c>
      <c r="F1646" s="53" t="s">
        <v>886</v>
      </c>
    </row>
    <row r="1647">
      <c r="A1647" s="54">
        <v>44746.0</v>
      </c>
      <c r="B1647" s="55" t="s">
        <v>748</v>
      </c>
      <c r="C1647" s="56" t="s">
        <v>868</v>
      </c>
      <c r="D1647" s="57" t="s">
        <v>869</v>
      </c>
      <c r="E1647" s="55" t="s">
        <v>870</v>
      </c>
      <c r="F1647" s="58" t="s">
        <v>886</v>
      </c>
    </row>
    <row r="1648">
      <c r="A1648" s="59">
        <v>44747.0</v>
      </c>
      <c r="B1648" s="50" t="s">
        <v>750</v>
      </c>
      <c r="C1648" s="51" t="s">
        <v>868</v>
      </c>
      <c r="D1648" s="52" t="s">
        <v>869</v>
      </c>
      <c r="E1648" s="50" t="s">
        <v>870</v>
      </c>
      <c r="F1648" s="53" t="s">
        <v>886</v>
      </c>
    </row>
    <row r="1649">
      <c r="A1649" s="54">
        <v>44748.0</v>
      </c>
      <c r="B1649" s="55" t="s">
        <v>752</v>
      </c>
      <c r="C1649" s="56" t="s">
        <v>868</v>
      </c>
      <c r="D1649" s="57" t="s">
        <v>869</v>
      </c>
      <c r="E1649" s="55" t="s">
        <v>870</v>
      </c>
      <c r="F1649" s="58" t="s">
        <v>886</v>
      </c>
    </row>
    <row r="1650">
      <c r="A1650" s="59">
        <v>44749.0</v>
      </c>
      <c r="B1650" s="50" t="s">
        <v>753</v>
      </c>
      <c r="C1650" s="51" t="s">
        <v>868</v>
      </c>
      <c r="D1650" s="52" t="s">
        <v>869</v>
      </c>
      <c r="E1650" s="50" t="s">
        <v>870</v>
      </c>
      <c r="F1650" s="53" t="s">
        <v>886</v>
      </c>
    </row>
    <row r="1651">
      <c r="A1651" s="54">
        <v>44750.0</v>
      </c>
      <c r="B1651" s="55" t="s">
        <v>754</v>
      </c>
      <c r="C1651" s="56" t="s">
        <v>868</v>
      </c>
      <c r="D1651" s="57" t="s">
        <v>869</v>
      </c>
      <c r="E1651" s="55" t="s">
        <v>870</v>
      </c>
      <c r="F1651" s="58" t="s">
        <v>886</v>
      </c>
    </row>
    <row r="1652">
      <c r="A1652" s="59">
        <v>44751.0</v>
      </c>
      <c r="B1652" s="50" t="s">
        <v>755</v>
      </c>
      <c r="C1652" s="51" t="s">
        <v>868</v>
      </c>
      <c r="D1652" s="52" t="s">
        <v>869</v>
      </c>
      <c r="E1652" s="50" t="s">
        <v>870</v>
      </c>
      <c r="F1652" s="53" t="s">
        <v>886</v>
      </c>
    </row>
    <row r="1653">
      <c r="A1653" s="54">
        <v>44752.0</v>
      </c>
      <c r="B1653" s="55" t="s">
        <v>756</v>
      </c>
      <c r="C1653" s="56" t="s">
        <v>868</v>
      </c>
      <c r="D1653" s="57" t="s">
        <v>869</v>
      </c>
      <c r="E1653" s="55" t="s">
        <v>870</v>
      </c>
      <c r="F1653" s="58" t="s">
        <v>886</v>
      </c>
    </row>
    <row r="1654">
      <c r="A1654" s="59">
        <v>44753.0</v>
      </c>
      <c r="B1654" s="50" t="s">
        <v>758</v>
      </c>
      <c r="C1654" s="51" t="s">
        <v>868</v>
      </c>
      <c r="D1654" s="52" t="s">
        <v>869</v>
      </c>
      <c r="E1654" s="50" t="s">
        <v>870</v>
      </c>
      <c r="F1654" s="53" t="s">
        <v>886</v>
      </c>
    </row>
    <row r="1655">
      <c r="A1655" s="54">
        <v>44754.0</v>
      </c>
      <c r="B1655" s="55" t="s">
        <v>759</v>
      </c>
      <c r="C1655" s="56" t="s">
        <v>868</v>
      </c>
      <c r="D1655" s="57" t="s">
        <v>869</v>
      </c>
      <c r="E1655" s="55" t="s">
        <v>870</v>
      </c>
      <c r="F1655" s="58" t="s">
        <v>886</v>
      </c>
    </row>
    <row r="1656">
      <c r="A1656" s="59">
        <v>44755.0</v>
      </c>
      <c r="B1656" s="50" t="s">
        <v>760</v>
      </c>
      <c r="C1656" s="51" t="s">
        <v>868</v>
      </c>
      <c r="D1656" s="52" t="s">
        <v>869</v>
      </c>
      <c r="E1656" s="50" t="s">
        <v>870</v>
      </c>
      <c r="F1656" s="53" t="s">
        <v>886</v>
      </c>
    </row>
    <row r="1657">
      <c r="A1657" s="54">
        <v>44756.0</v>
      </c>
      <c r="B1657" s="55" t="s">
        <v>761</v>
      </c>
      <c r="C1657" s="56" t="s">
        <v>868</v>
      </c>
      <c r="D1657" s="57" t="s">
        <v>869</v>
      </c>
      <c r="E1657" s="55" t="s">
        <v>870</v>
      </c>
      <c r="F1657" s="58" t="s">
        <v>886</v>
      </c>
    </row>
    <row r="1658">
      <c r="A1658" s="59">
        <v>44757.0</v>
      </c>
      <c r="B1658" s="50" t="s">
        <v>762</v>
      </c>
      <c r="C1658" s="51" t="s">
        <v>868</v>
      </c>
      <c r="D1658" s="52" t="s">
        <v>869</v>
      </c>
      <c r="E1658" s="50" t="s">
        <v>870</v>
      </c>
      <c r="F1658" s="53" t="s">
        <v>886</v>
      </c>
    </row>
    <row r="1659">
      <c r="A1659" s="54">
        <v>44758.0</v>
      </c>
      <c r="B1659" s="55" t="s">
        <v>763</v>
      </c>
      <c r="C1659" s="56" t="s">
        <v>868</v>
      </c>
      <c r="D1659" s="57" t="s">
        <v>869</v>
      </c>
      <c r="E1659" s="55" t="s">
        <v>870</v>
      </c>
      <c r="F1659" s="58" t="s">
        <v>886</v>
      </c>
    </row>
    <row r="1660">
      <c r="A1660" s="59">
        <v>44759.0</v>
      </c>
      <c r="B1660" s="50" t="s">
        <v>764</v>
      </c>
      <c r="C1660" s="51" t="s">
        <v>868</v>
      </c>
      <c r="D1660" s="52" t="s">
        <v>869</v>
      </c>
      <c r="E1660" s="50" t="s">
        <v>870</v>
      </c>
      <c r="F1660" s="53" t="s">
        <v>886</v>
      </c>
    </row>
    <row r="1661">
      <c r="A1661" s="54">
        <v>44760.0</v>
      </c>
      <c r="B1661" s="55" t="s">
        <v>765</v>
      </c>
      <c r="C1661" s="56" t="s">
        <v>868</v>
      </c>
      <c r="D1661" s="57" t="s">
        <v>869</v>
      </c>
      <c r="E1661" s="55" t="s">
        <v>870</v>
      </c>
      <c r="F1661" s="58" t="s">
        <v>886</v>
      </c>
    </row>
    <row r="1662">
      <c r="A1662" s="59">
        <v>44761.0</v>
      </c>
      <c r="B1662" s="50" t="s">
        <v>743</v>
      </c>
      <c r="C1662" s="51" t="s">
        <v>868</v>
      </c>
      <c r="D1662" s="52" t="s">
        <v>869</v>
      </c>
      <c r="E1662" s="50" t="s">
        <v>870</v>
      </c>
      <c r="F1662" s="53" t="s">
        <v>886</v>
      </c>
    </row>
    <row r="1663">
      <c r="A1663" s="54">
        <v>44762.0</v>
      </c>
      <c r="B1663" s="55" t="s">
        <v>766</v>
      </c>
      <c r="C1663" s="56" t="s">
        <v>868</v>
      </c>
      <c r="D1663" s="57" t="s">
        <v>869</v>
      </c>
      <c r="E1663" s="55" t="s">
        <v>870</v>
      </c>
      <c r="F1663" s="58" t="s">
        <v>886</v>
      </c>
    </row>
    <row r="1664">
      <c r="A1664" s="59">
        <v>44763.0</v>
      </c>
      <c r="B1664" s="50" t="s">
        <v>745</v>
      </c>
      <c r="C1664" s="51" t="s">
        <v>868</v>
      </c>
      <c r="D1664" s="52" t="s">
        <v>869</v>
      </c>
      <c r="E1664" s="50" t="s">
        <v>870</v>
      </c>
      <c r="F1664" s="53" t="s">
        <v>886</v>
      </c>
    </row>
    <row r="1665">
      <c r="A1665" s="54">
        <v>44764.0</v>
      </c>
      <c r="B1665" s="55" t="s">
        <v>767</v>
      </c>
      <c r="C1665" s="56" t="s">
        <v>868</v>
      </c>
      <c r="D1665" s="57" t="s">
        <v>869</v>
      </c>
      <c r="E1665" s="55" t="s">
        <v>870</v>
      </c>
      <c r="F1665" s="58" t="s">
        <v>886</v>
      </c>
    </row>
    <row r="1666">
      <c r="A1666" s="59">
        <v>44765.0</v>
      </c>
      <c r="B1666" s="50" t="s">
        <v>768</v>
      </c>
      <c r="C1666" s="51" t="s">
        <v>868</v>
      </c>
      <c r="D1666" s="52" t="s">
        <v>869</v>
      </c>
      <c r="E1666" s="50" t="s">
        <v>870</v>
      </c>
      <c r="F1666" s="53" t="s">
        <v>886</v>
      </c>
    </row>
    <row r="1667">
      <c r="A1667" s="54">
        <v>44766.0</v>
      </c>
      <c r="B1667" s="55" t="s">
        <v>747</v>
      </c>
      <c r="C1667" s="56" t="s">
        <v>868</v>
      </c>
      <c r="D1667" s="57" t="s">
        <v>869</v>
      </c>
      <c r="E1667" s="55" t="s">
        <v>870</v>
      </c>
      <c r="F1667" s="58" t="s">
        <v>886</v>
      </c>
    </row>
    <row r="1668">
      <c r="A1668" s="59">
        <v>44767.0</v>
      </c>
      <c r="B1668" s="50" t="s">
        <v>769</v>
      </c>
      <c r="C1668" s="51" t="s">
        <v>868</v>
      </c>
      <c r="D1668" s="52" t="s">
        <v>869</v>
      </c>
      <c r="E1668" s="50" t="s">
        <v>870</v>
      </c>
      <c r="F1668" s="53" t="s">
        <v>886</v>
      </c>
    </row>
    <row r="1669">
      <c r="A1669" s="54">
        <v>44768.0</v>
      </c>
      <c r="B1669" s="55" t="s">
        <v>770</v>
      </c>
      <c r="C1669" s="56" t="s">
        <v>868</v>
      </c>
      <c r="D1669" s="57" t="s">
        <v>869</v>
      </c>
      <c r="E1669" s="55" t="s">
        <v>870</v>
      </c>
      <c r="F1669" s="58" t="s">
        <v>886</v>
      </c>
    </row>
    <row r="1670">
      <c r="A1670" s="59">
        <v>44769.0</v>
      </c>
      <c r="B1670" s="50" t="s">
        <v>749</v>
      </c>
      <c r="C1670" s="51" t="s">
        <v>868</v>
      </c>
      <c r="D1670" s="52" t="s">
        <v>869</v>
      </c>
      <c r="E1670" s="50" t="s">
        <v>870</v>
      </c>
      <c r="F1670" s="53" t="s">
        <v>886</v>
      </c>
    </row>
    <row r="1671">
      <c r="A1671" s="54">
        <v>44770.0</v>
      </c>
      <c r="B1671" s="55" t="s">
        <v>771</v>
      </c>
      <c r="C1671" s="56" t="s">
        <v>868</v>
      </c>
      <c r="D1671" s="57" t="s">
        <v>869</v>
      </c>
      <c r="E1671" s="55" t="s">
        <v>870</v>
      </c>
      <c r="F1671" s="58" t="s">
        <v>886</v>
      </c>
    </row>
    <row r="1672">
      <c r="A1672" s="59">
        <v>44771.0</v>
      </c>
      <c r="B1672" s="50" t="s">
        <v>772</v>
      </c>
      <c r="C1672" s="51" t="s">
        <v>868</v>
      </c>
      <c r="D1672" s="52" t="s">
        <v>869</v>
      </c>
      <c r="E1672" s="50" t="s">
        <v>870</v>
      </c>
      <c r="F1672" s="53" t="s">
        <v>886</v>
      </c>
    </row>
    <row r="1673">
      <c r="A1673" s="54">
        <v>44772.0</v>
      </c>
      <c r="B1673" s="55" t="s">
        <v>773</v>
      </c>
      <c r="C1673" s="56" t="s">
        <v>868</v>
      </c>
      <c r="D1673" s="57" t="s">
        <v>869</v>
      </c>
      <c r="E1673" s="55" t="s">
        <v>870</v>
      </c>
      <c r="F1673" s="58" t="s">
        <v>886</v>
      </c>
    </row>
    <row r="1674">
      <c r="A1674" s="59">
        <v>44773.0</v>
      </c>
      <c r="B1674" s="50" t="s">
        <v>774</v>
      </c>
      <c r="C1674" s="51" t="s">
        <v>868</v>
      </c>
      <c r="D1674" s="52" t="s">
        <v>869</v>
      </c>
      <c r="E1674" s="50" t="s">
        <v>870</v>
      </c>
      <c r="F1674" s="53" t="s">
        <v>886</v>
      </c>
    </row>
    <row r="1675">
      <c r="A1675" s="54">
        <v>44774.0</v>
      </c>
      <c r="B1675" s="55" t="s">
        <v>742</v>
      </c>
      <c r="C1675" s="56" t="s">
        <v>871</v>
      </c>
      <c r="D1675" s="57" t="s">
        <v>872</v>
      </c>
      <c r="E1675" s="55" t="s">
        <v>873</v>
      </c>
      <c r="F1675" s="58" t="s">
        <v>886</v>
      </c>
    </row>
    <row r="1676">
      <c r="A1676" s="59">
        <v>44775.0</v>
      </c>
      <c r="B1676" s="50" t="s">
        <v>744</v>
      </c>
      <c r="C1676" s="51" t="s">
        <v>871</v>
      </c>
      <c r="D1676" s="52" t="s">
        <v>872</v>
      </c>
      <c r="E1676" s="50" t="s">
        <v>873</v>
      </c>
      <c r="F1676" s="53" t="s">
        <v>886</v>
      </c>
    </row>
    <row r="1677">
      <c r="A1677" s="54">
        <v>44776.0</v>
      </c>
      <c r="B1677" s="55" t="s">
        <v>746</v>
      </c>
      <c r="C1677" s="56" t="s">
        <v>871</v>
      </c>
      <c r="D1677" s="57" t="s">
        <v>872</v>
      </c>
      <c r="E1677" s="55" t="s">
        <v>873</v>
      </c>
      <c r="F1677" s="58" t="s">
        <v>886</v>
      </c>
    </row>
    <row r="1678">
      <c r="A1678" s="59">
        <v>44777.0</v>
      </c>
      <c r="B1678" s="50" t="s">
        <v>748</v>
      </c>
      <c r="C1678" s="51" t="s">
        <v>871</v>
      </c>
      <c r="D1678" s="52" t="s">
        <v>872</v>
      </c>
      <c r="E1678" s="50" t="s">
        <v>873</v>
      </c>
      <c r="F1678" s="53" t="s">
        <v>886</v>
      </c>
    </row>
    <row r="1679">
      <c r="A1679" s="54">
        <v>44778.0</v>
      </c>
      <c r="B1679" s="55" t="s">
        <v>750</v>
      </c>
      <c r="C1679" s="56" t="s">
        <v>871</v>
      </c>
      <c r="D1679" s="57" t="s">
        <v>872</v>
      </c>
      <c r="E1679" s="55" t="s">
        <v>873</v>
      </c>
      <c r="F1679" s="58" t="s">
        <v>886</v>
      </c>
    </row>
    <row r="1680">
      <c r="A1680" s="59">
        <v>44779.0</v>
      </c>
      <c r="B1680" s="50" t="s">
        <v>752</v>
      </c>
      <c r="C1680" s="51" t="s">
        <v>871</v>
      </c>
      <c r="D1680" s="52" t="s">
        <v>872</v>
      </c>
      <c r="E1680" s="50" t="s">
        <v>873</v>
      </c>
      <c r="F1680" s="53" t="s">
        <v>886</v>
      </c>
    </row>
    <row r="1681">
      <c r="A1681" s="54">
        <v>44780.0</v>
      </c>
      <c r="B1681" s="55" t="s">
        <v>753</v>
      </c>
      <c r="C1681" s="56" t="s">
        <v>871</v>
      </c>
      <c r="D1681" s="57" t="s">
        <v>872</v>
      </c>
      <c r="E1681" s="55" t="s">
        <v>873</v>
      </c>
      <c r="F1681" s="58" t="s">
        <v>886</v>
      </c>
    </row>
    <row r="1682">
      <c r="A1682" s="59">
        <v>44781.0</v>
      </c>
      <c r="B1682" s="50" t="s">
        <v>754</v>
      </c>
      <c r="C1682" s="51" t="s">
        <v>871</v>
      </c>
      <c r="D1682" s="52" t="s">
        <v>872</v>
      </c>
      <c r="E1682" s="50" t="s">
        <v>873</v>
      </c>
      <c r="F1682" s="53" t="s">
        <v>886</v>
      </c>
    </row>
    <row r="1683">
      <c r="A1683" s="54">
        <v>44782.0</v>
      </c>
      <c r="B1683" s="55" t="s">
        <v>755</v>
      </c>
      <c r="C1683" s="56" t="s">
        <v>871</v>
      </c>
      <c r="D1683" s="57" t="s">
        <v>872</v>
      </c>
      <c r="E1683" s="55" t="s">
        <v>873</v>
      </c>
      <c r="F1683" s="58" t="s">
        <v>886</v>
      </c>
    </row>
    <row r="1684">
      <c r="A1684" s="59">
        <v>44783.0</v>
      </c>
      <c r="B1684" s="50" t="s">
        <v>756</v>
      </c>
      <c r="C1684" s="51" t="s">
        <v>871</v>
      </c>
      <c r="D1684" s="52" t="s">
        <v>872</v>
      </c>
      <c r="E1684" s="50" t="s">
        <v>873</v>
      </c>
      <c r="F1684" s="53" t="s">
        <v>886</v>
      </c>
    </row>
    <row r="1685">
      <c r="A1685" s="54">
        <v>44784.0</v>
      </c>
      <c r="B1685" s="55" t="s">
        <v>758</v>
      </c>
      <c r="C1685" s="56" t="s">
        <v>871</v>
      </c>
      <c r="D1685" s="57" t="s">
        <v>872</v>
      </c>
      <c r="E1685" s="55" t="s">
        <v>873</v>
      </c>
      <c r="F1685" s="58" t="s">
        <v>886</v>
      </c>
    </row>
    <row r="1686">
      <c r="A1686" s="59">
        <v>44785.0</v>
      </c>
      <c r="B1686" s="50" t="s">
        <v>759</v>
      </c>
      <c r="C1686" s="51" t="s">
        <v>871</v>
      </c>
      <c r="D1686" s="52" t="s">
        <v>872</v>
      </c>
      <c r="E1686" s="50" t="s">
        <v>873</v>
      </c>
      <c r="F1686" s="53" t="s">
        <v>886</v>
      </c>
    </row>
    <row r="1687">
      <c r="A1687" s="54">
        <v>44786.0</v>
      </c>
      <c r="B1687" s="55" t="s">
        <v>760</v>
      </c>
      <c r="C1687" s="56" t="s">
        <v>871</v>
      </c>
      <c r="D1687" s="57" t="s">
        <v>872</v>
      </c>
      <c r="E1687" s="55" t="s">
        <v>873</v>
      </c>
      <c r="F1687" s="58" t="s">
        <v>886</v>
      </c>
    </row>
    <row r="1688">
      <c r="A1688" s="59">
        <v>44787.0</v>
      </c>
      <c r="B1688" s="50" t="s">
        <v>761</v>
      </c>
      <c r="C1688" s="51" t="s">
        <v>871</v>
      </c>
      <c r="D1688" s="52" t="s">
        <v>872</v>
      </c>
      <c r="E1688" s="50" t="s">
        <v>873</v>
      </c>
      <c r="F1688" s="53" t="s">
        <v>886</v>
      </c>
    </row>
    <row r="1689">
      <c r="A1689" s="54">
        <v>44788.0</v>
      </c>
      <c r="B1689" s="55" t="s">
        <v>762</v>
      </c>
      <c r="C1689" s="56" t="s">
        <v>871</v>
      </c>
      <c r="D1689" s="57" t="s">
        <v>872</v>
      </c>
      <c r="E1689" s="55" t="s">
        <v>873</v>
      </c>
      <c r="F1689" s="58" t="s">
        <v>886</v>
      </c>
    </row>
    <row r="1690">
      <c r="A1690" s="59">
        <v>44789.0</v>
      </c>
      <c r="B1690" s="50" t="s">
        <v>763</v>
      </c>
      <c r="C1690" s="51" t="s">
        <v>871</v>
      </c>
      <c r="D1690" s="52" t="s">
        <v>872</v>
      </c>
      <c r="E1690" s="50" t="s">
        <v>873</v>
      </c>
      <c r="F1690" s="53" t="s">
        <v>886</v>
      </c>
    </row>
    <row r="1691">
      <c r="A1691" s="54">
        <v>44790.0</v>
      </c>
      <c r="B1691" s="55" t="s">
        <v>764</v>
      </c>
      <c r="C1691" s="56" t="s">
        <v>871</v>
      </c>
      <c r="D1691" s="57" t="s">
        <v>872</v>
      </c>
      <c r="E1691" s="55" t="s">
        <v>873</v>
      </c>
      <c r="F1691" s="58" t="s">
        <v>886</v>
      </c>
    </row>
    <row r="1692">
      <c r="A1692" s="59">
        <v>44791.0</v>
      </c>
      <c r="B1692" s="50" t="s">
        <v>765</v>
      </c>
      <c r="C1692" s="51" t="s">
        <v>871</v>
      </c>
      <c r="D1692" s="52" t="s">
        <v>872</v>
      </c>
      <c r="E1692" s="50" t="s">
        <v>873</v>
      </c>
      <c r="F1692" s="53" t="s">
        <v>886</v>
      </c>
    </row>
    <row r="1693">
      <c r="A1693" s="54">
        <v>44792.0</v>
      </c>
      <c r="B1693" s="55" t="s">
        <v>743</v>
      </c>
      <c r="C1693" s="56" t="s">
        <v>871</v>
      </c>
      <c r="D1693" s="57" t="s">
        <v>872</v>
      </c>
      <c r="E1693" s="55" t="s">
        <v>873</v>
      </c>
      <c r="F1693" s="58" t="s">
        <v>886</v>
      </c>
    </row>
    <row r="1694">
      <c r="A1694" s="59">
        <v>44793.0</v>
      </c>
      <c r="B1694" s="50" t="s">
        <v>766</v>
      </c>
      <c r="C1694" s="51" t="s">
        <v>871</v>
      </c>
      <c r="D1694" s="52" t="s">
        <v>872</v>
      </c>
      <c r="E1694" s="50" t="s">
        <v>873</v>
      </c>
      <c r="F1694" s="53" t="s">
        <v>886</v>
      </c>
    </row>
    <row r="1695">
      <c r="A1695" s="54">
        <v>44794.0</v>
      </c>
      <c r="B1695" s="55" t="s">
        <v>745</v>
      </c>
      <c r="C1695" s="56" t="s">
        <v>871</v>
      </c>
      <c r="D1695" s="57" t="s">
        <v>872</v>
      </c>
      <c r="E1695" s="55" t="s">
        <v>873</v>
      </c>
      <c r="F1695" s="58" t="s">
        <v>886</v>
      </c>
    </row>
    <row r="1696">
      <c r="A1696" s="59">
        <v>44795.0</v>
      </c>
      <c r="B1696" s="50" t="s">
        <v>767</v>
      </c>
      <c r="C1696" s="51" t="s">
        <v>871</v>
      </c>
      <c r="D1696" s="52" t="s">
        <v>872</v>
      </c>
      <c r="E1696" s="50" t="s">
        <v>873</v>
      </c>
      <c r="F1696" s="53" t="s">
        <v>886</v>
      </c>
    </row>
    <row r="1697">
      <c r="A1697" s="54">
        <v>44796.0</v>
      </c>
      <c r="B1697" s="55" t="s">
        <v>768</v>
      </c>
      <c r="C1697" s="56" t="s">
        <v>871</v>
      </c>
      <c r="D1697" s="57" t="s">
        <v>872</v>
      </c>
      <c r="E1697" s="55" t="s">
        <v>873</v>
      </c>
      <c r="F1697" s="58" t="s">
        <v>886</v>
      </c>
    </row>
    <row r="1698">
      <c r="A1698" s="59">
        <v>44797.0</v>
      </c>
      <c r="B1698" s="50" t="s">
        <v>747</v>
      </c>
      <c r="C1698" s="51" t="s">
        <v>871</v>
      </c>
      <c r="D1698" s="52" t="s">
        <v>872</v>
      </c>
      <c r="E1698" s="50" t="s">
        <v>873</v>
      </c>
      <c r="F1698" s="53" t="s">
        <v>886</v>
      </c>
    </row>
    <row r="1699">
      <c r="A1699" s="54">
        <v>44798.0</v>
      </c>
      <c r="B1699" s="55" t="s">
        <v>769</v>
      </c>
      <c r="C1699" s="56" t="s">
        <v>871</v>
      </c>
      <c r="D1699" s="57" t="s">
        <v>872</v>
      </c>
      <c r="E1699" s="55" t="s">
        <v>873</v>
      </c>
      <c r="F1699" s="58" t="s">
        <v>886</v>
      </c>
    </row>
    <row r="1700">
      <c r="A1700" s="59">
        <v>44799.0</v>
      </c>
      <c r="B1700" s="50" t="s">
        <v>770</v>
      </c>
      <c r="C1700" s="51" t="s">
        <v>871</v>
      </c>
      <c r="D1700" s="52" t="s">
        <v>872</v>
      </c>
      <c r="E1700" s="50" t="s">
        <v>873</v>
      </c>
      <c r="F1700" s="53" t="s">
        <v>886</v>
      </c>
    </row>
    <row r="1701">
      <c r="A1701" s="54">
        <v>44800.0</v>
      </c>
      <c r="B1701" s="55" t="s">
        <v>749</v>
      </c>
      <c r="C1701" s="56" t="s">
        <v>871</v>
      </c>
      <c r="D1701" s="57" t="s">
        <v>872</v>
      </c>
      <c r="E1701" s="55" t="s">
        <v>873</v>
      </c>
      <c r="F1701" s="58" t="s">
        <v>886</v>
      </c>
    </row>
    <row r="1702">
      <c r="A1702" s="59">
        <v>44801.0</v>
      </c>
      <c r="B1702" s="50" t="s">
        <v>771</v>
      </c>
      <c r="C1702" s="51" t="s">
        <v>871</v>
      </c>
      <c r="D1702" s="52" t="s">
        <v>872</v>
      </c>
      <c r="E1702" s="50" t="s">
        <v>873</v>
      </c>
      <c r="F1702" s="53" t="s">
        <v>886</v>
      </c>
    </row>
    <row r="1703">
      <c r="A1703" s="54">
        <v>44802.0</v>
      </c>
      <c r="B1703" s="55" t="s">
        <v>772</v>
      </c>
      <c r="C1703" s="56" t="s">
        <v>871</v>
      </c>
      <c r="D1703" s="57" t="s">
        <v>872</v>
      </c>
      <c r="E1703" s="55" t="s">
        <v>873</v>
      </c>
      <c r="F1703" s="58" t="s">
        <v>886</v>
      </c>
    </row>
    <row r="1704">
      <c r="A1704" s="59">
        <v>44803.0</v>
      </c>
      <c r="B1704" s="50" t="s">
        <v>773</v>
      </c>
      <c r="C1704" s="51" t="s">
        <v>871</v>
      </c>
      <c r="D1704" s="52" t="s">
        <v>872</v>
      </c>
      <c r="E1704" s="50" t="s">
        <v>873</v>
      </c>
      <c r="F1704" s="53" t="s">
        <v>886</v>
      </c>
    </row>
    <row r="1705">
      <c r="A1705" s="54">
        <v>44804.0</v>
      </c>
      <c r="B1705" s="55" t="s">
        <v>774</v>
      </c>
      <c r="C1705" s="56" t="s">
        <v>871</v>
      </c>
      <c r="D1705" s="57" t="s">
        <v>872</v>
      </c>
      <c r="E1705" s="55" t="s">
        <v>873</v>
      </c>
      <c r="F1705" s="58" t="s">
        <v>886</v>
      </c>
    </row>
    <row r="1706">
      <c r="A1706" s="59">
        <v>44805.0</v>
      </c>
      <c r="B1706" s="50" t="s">
        <v>742</v>
      </c>
      <c r="C1706" s="51" t="s">
        <v>874</v>
      </c>
      <c r="D1706" s="52" t="s">
        <v>875</v>
      </c>
      <c r="E1706" s="50" t="s">
        <v>876</v>
      </c>
      <c r="F1706" s="53" t="s">
        <v>886</v>
      </c>
    </row>
    <row r="1707">
      <c r="A1707" s="54">
        <v>44806.0</v>
      </c>
      <c r="B1707" s="55" t="s">
        <v>744</v>
      </c>
      <c r="C1707" s="56" t="s">
        <v>874</v>
      </c>
      <c r="D1707" s="57" t="s">
        <v>875</v>
      </c>
      <c r="E1707" s="55" t="s">
        <v>876</v>
      </c>
      <c r="F1707" s="58" t="s">
        <v>886</v>
      </c>
    </row>
    <row r="1708">
      <c r="A1708" s="59">
        <v>44807.0</v>
      </c>
      <c r="B1708" s="50" t="s">
        <v>746</v>
      </c>
      <c r="C1708" s="51" t="s">
        <v>874</v>
      </c>
      <c r="D1708" s="52" t="s">
        <v>875</v>
      </c>
      <c r="E1708" s="50" t="s">
        <v>876</v>
      </c>
      <c r="F1708" s="53" t="s">
        <v>886</v>
      </c>
    </row>
    <row r="1709">
      <c r="A1709" s="54">
        <v>44808.0</v>
      </c>
      <c r="B1709" s="55" t="s">
        <v>748</v>
      </c>
      <c r="C1709" s="56" t="s">
        <v>874</v>
      </c>
      <c r="D1709" s="57" t="s">
        <v>875</v>
      </c>
      <c r="E1709" s="55" t="s">
        <v>876</v>
      </c>
      <c r="F1709" s="58" t="s">
        <v>886</v>
      </c>
    </row>
    <row r="1710">
      <c r="A1710" s="59">
        <v>44809.0</v>
      </c>
      <c r="B1710" s="50" t="s">
        <v>750</v>
      </c>
      <c r="C1710" s="51" t="s">
        <v>874</v>
      </c>
      <c r="D1710" s="52" t="s">
        <v>875</v>
      </c>
      <c r="E1710" s="50" t="s">
        <v>876</v>
      </c>
      <c r="F1710" s="53" t="s">
        <v>886</v>
      </c>
    </row>
    <row r="1711">
      <c r="A1711" s="54">
        <v>44810.0</v>
      </c>
      <c r="B1711" s="55" t="s">
        <v>752</v>
      </c>
      <c r="C1711" s="56" t="s">
        <v>874</v>
      </c>
      <c r="D1711" s="57" t="s">
        <v>875</v>
      </c>
      <c r="E1711" s="55" t="s">
        <v>876</v>
      </c>
      <c r="F1711" s="58" t="s">
        <v>886</v>
      </c>
    </row>
    <row r="1712">
      <c r="A1712" s="59">
        <v>44811.0</v>
      </c>
      <c r="B1712" s="50" t="s">
        <v>753</v>
      </c>
      <c r="C1712" s="51" t="s">
        <v>874</v>
      </c>
      <c r="D1712" s="52" t="s">
        <v>875</v>
      </c>
      <c r="E1712" s="50" t="s">
        <v>876</v>
      </c>
      <c r="F1712" s="53" t="s">
        <v>886</v>
      </c>
    </row>
    <row r="1713">
      <c r="A1713" s="54">
        <v>44812.0</v>
      </c>
      <c r="B1713" s="55" t="s">
        <v>754</v>
      </c>
      <c r="C1713" s="56" t="s">
        <v>874</v>
      </c>
      <c r="D1713" s="57" t="s">
        <v>875</v>
      </c>
      <c r="E1713" s="55" t="s">
        <v>876</v>
      </c>
      <c r="F1713" s="58" t="s">
        <v>886</v>
      </c>
    </row>
    <row r="1714">
      <c r="A1714" s="59">
        <v>44813.0</v>
      </c>
      <c r="B1714" s="50" t="s">
        <v>755</v>
      </c>
      <c r="C1714" s="51" t="s">
        <v>874</v>
      </c>
      <c r="D1714" s="52" t="s">
        <v>875</v>
      </c>
      <c r="E1714" s="50" t="s">
        <v>876</v>
      </c>
      <c r="F1714" s="53" t="s">
        <v>886</v>
      </c>
    </row>
    <row r="1715">
      <c r="A1715" s="54">
        <v>44814.0</v>
      </c>
      <c r="B1715" s="55" t="s">
        <v>756</v>
      </c>
      <c r="C1715" s="56" t="s">
        <v>874</v>
      </c>
      <c r="D1715" s="57" t="s">
        <v>875</v>
      </c>
      <c r="E1715" s="55" t="s">
        <v>876</v>
      </c>
      <c r="F1715" s="58" t="s">
        <v>886</v>
      </c>
    </row>
    <row r="1716">
      <c r="A1716" s="59">
        <v>44815.0</v>
      </c>
      <c r="B1716" s="50" t="s">
        <v>758</v>
      </c>
      <c r="C1716" s="51" t="s">
        <v>874</v>
      </c>
      <c r="D1716" s="52" t="s">
        <v>875</v>
      </c>
      <c r="E1716" s="50" t="s">
        <v>876</v>
      </c>
      <c r="F1716" s="53" t="s">
        <v>886</v>
      </c>
    </row>
    <row r="1717">
      <c r="A1717" s="54">
        <v>44816.0</v>
      </c>
      <c r="B1717" s="55" t="s">
        <v>759</v>
      </c>
      <c r="C1717" s="56" t="s">
        <v>874</v>
      </c>
      <c r="D1717" s="57" t="s">
        <v>875</v>
      </c>
      <c r="E1717" s="55" t="s">
        <v>876</v>
      </c>
      <c r="F1717" s="58" t="s">
        <v>886</v>
      </c>
    </row>
    <row r="1718">
      <c r="A1718" s="59">
        <v>44817.0</v>
      </c>
      <c r="B1718" s="50" t="s">
        <v>760</v>
      </c>
      <c r="C1718" s="51" t="s">
        <v>874</v>
      </c>
      <c r="D1718" s="52" t="s">
        <v>875</v>
      </c>
      <c r="E1718" s="50" t="s">
        <v>876</v>
      </c>
      <c r="F1718" s="53" t="s">
        <v>886</v>
      </c>
    </row>
    <row r="1719">
      <c r="A1719" s="54">
        <v>44818.0</v>
      </c>
      <c r="B1719" s="55" t="s">
        <v>761</v>
      </c>
      <c r="C1719" s="56" t="s">
        <v>874</v>
      </c>
      <c r="D1719" s="57" t="s">
        <v>875</v>
      </c>
      <c r="E1719" s="55" t="s">
        <v>876</v>
      </c>
      <c r="F1719" s="58" t="s">
        <v>886</v>
      </c>
    </row>
    <row r="1720">
      <c r="A1720" s="59">
        <v>44819.0</v>
      </c>
      <c r="B1720" s="50" t="s">
        <v>762</v>
      </c>
      <c r="C1720" s="51" t="s">
        <v>874</v>
      </c>
      <c r="D1720" s="52" t="s">
        <v>875</v>
      </c>
      <c r="E1720" s="50" t="s">
        <v>876</v>
      </c>
      <c r="F1720" s="53" t="s">
        <v>886</v>
      </c>
    </row>
    <row r="1721">
      <c r="A1721" s="54">
        <v>44820.0</v>
      </c>
      <c r="B1721" s="55" t="s">
        <v>763</v>
      </c>
      <c r="C1721" s="56" t="s">
        <v>874</v>
      </c>
      <c r="D1721" s="57" t="s">
        <v>875</v>
      </c>
      <c r="E1721" s="55" t="s">
        <v>876</v>
      </c>
      <c r="F1721" s="58" t="s">
        <v>886</v>
      </c>
    </row>
    <row r="1722">
      <c r="A1722" s="59">
        <v>44821.0</v>
      </c>
      <c r="B1722" s="50" t="s">
        <v>764</v>
      </c>
      <c r="C1722" s="51" t="s">
        <v>874</v>
      </c>
      <c r="D1722" s="52" t="s">
        <v>875</v>
      </c>
      <c r="E1722" s="50" t="s">
        <v>876</v>
      </c>
      <c r="F1722" s="53" t="s">
        <v>886</v>
      </c>
    </row>
    <row r="1723">
      <c r="A1723" s="54">
        <v>44822.0</v>
      </c>
      <c r="B1723" s="55" t="s">
        <v>765</v>
      </c>
      <c r="C1723" s="56" t="s">
        <v>874</v>
      </c>
      <c r="D1723" s="57" t="s">
        <v>875</v>
      </c>
      <c r="E1723" s="55" t="s">
        <v>876</v>
      </c>
      <c r="F1723" s="58" t="s">
        <v>886</v>
      </c>
    </row>
    <row r="1724">
      <c r="A1724" s="59">
        <v>44823.0</v>
      </c>
      <c r="B1724" s="50" t="s">
        <v>743</v>
      </c>
      <c r="C1724" s="51" t="s">
        <v>874</v>
      </c>
      <c r="D1724" s="52" t="s">
        <v>875</v>
      </c>
      <c r="E1724" s="50" t="s">
        <v>876</v>
      </c>
      <c r="F1724" s="53" t="s">
        <v>886</v>
      </c>
    </row>
    <row r="1725">
      <c r="A1725" s="54">
        <v>44824.0</v>
      </c>
      <c r="B1725" s="55" t="s">
        <v>766</v>
      </c>
      <c r="C1725" s="56" t="s">
        <v>874</v>
      </c>
      <c r="D1725" s="57" t="s">
        <v>875</v>
      </c>
      <c r="E1725" s="55" t="s">
        <v>876</v>
      </c>
      <c r="F1725" s="58" t="s">
        <v>886</v>
      </c>
    </row>
    <row r="1726">
      <c r="A1726" s="59">
        <v>44825.0</v>
      </c>
      <c r="B1726" s="50" t="s">
        <v>745</v>
      </c>
      <c r="C1726" s="51" t="s">
        <v>874</v>
      </c>
      <c r="D1726" s="52" t="s">
        <v>875</v>
      </c>
      <c r="E1726" s="50" t="s">
        <v>876</v>
      </c>
      <c r="F1726" s="53" t="s">
        <v>886</v>
      </c>
    </row>
    <row r="1727">
      <c r="A1727" s="54">
        <v>44826.0</v>
      </c>
      <c r="B1727" s="55" t="s">
        <v>767</v>
      </c>
      <c r="C1727" s="56" t="s">
        <v>874</v>
      </c>
      <c r="D1727" s="57" t="s">
        <v>875</v>
      </c>
      <c r="E1727" s="55" t="s">
        <v>876</v>
      </c>
      <c r="F1727" s="58" t="s">
        <v>886</v>
      </c>
    </row>
    <row r="1728">
      <c r="A1728" s="59">
        <v>44827.0</v>
      </c>
      <c r="B1728" s="50" t="s">
        <v>768</v>
      </c>
      <c r="C1728" s="51" t="s">
        <v>874</v>
      </c>
      <c r="D1728" s="52" t="s">
        <v>875</v>
      </c>
      <c r="E1728" s="50" t="s">
        <v>876</v>
      </c>
      <c r="F1728" s="53" t="s">
        <v>886</v>
      </c>
    </row>
    <row r="1729">
      <c r="A1729" s="54">
        <v>44828.0</v>
      </c>
      <c r="B1729" s="55" t="s">
        <v>747</v>
      </c>
      <c r="C1729" s="56" t="s">
        <v>874</v>
      </c>
      <c r="D1729" s="57" t="s">
        <v>875</v>
      </c>
      <c r="E1729" s="55" t="s">
        <v>876</v>
      </c>
      <c r="F1729" s="58" t="s">
        <v>886</v>
      </c>
    </row>
    <row r="1730">
      <c r="A1730" s="59">
        <v>44829.0</v>
      </c>
      <c r="B1730" s="50" t="s">
        <v>769</v>
      </c>
      <c r="C1730" s="51" t="s">
        <v>874</v>
      </c>
      <c r="D1730" s="52" t="s">
        <v>875</v>
      </c>
      <c r="E1730" s="50" t="s">
        <v>876</v>
      </c>
      <c r="F1730" s="53" t="s">
        <v>886</v>
      </c>
    </row>
    <row r="1731">
      <c r="A1731" s="54">
        <v>44830.0</v>
      </c>
      <c r="B1731" s="55" t="s">
        <v>770</v>
      </c>
      <c r="C1731" s="56" t="s">
        <v>874</v>
      </c>
      <c r="D1731" s="57" t="s">
        <v>875</v>
      </c>
      <c r="E1731" s="55" t="s">
        <v>876</v>
      </c>
      <c r="F1731" s="58" t="s">
        <v>886</v>
      </c>
    </row>
    <row r="1732">
      <c r="A1732" s="59">
        <v>44831.0</v>
      </c>
      <c r="B1732" s="50" t="s">
        <v>749</v>
      </c>
      <c r="C1732" s="51" t="s">
        <v>874</v>
      </c>
      <c r="D1732" s="52" t="s">
        <v>875</v>
      </c>
      <c r="E1732" s="50" t="s">
        <v>876</v>
      </c>
      <c r="F1732" s="53" t="s">
        <v>886</v>
      </c>
    </row>
    <row r="1733">
      <c r="A1733" s="54">
        <v>44832.0</v>
      </c>
      <c r="B1733" s="55" t="s">
        <v>771</v>
      </c>
      <c r="C1733" s="56" t="s">
        <v>874</v>
      </c>
      <c r="D1733" s="57" t="s">
        <v>875</v>
      </c>
      <c r="E1733" s="55" t="s">
        <v>876</v>
      </c>
      <c r="F1733" s="58" t="s">
        <v>886</v>
      </c>
    </row>
    <row r="1734">
      <c r="A1734" s="59">
        <v>44833.0</v>
      </c>
      <c r="B1734" s="50" t="s">
        <v>772</v>
      </c>
      <c r="C1734" s="51" t="s">
        <v>874</v>
      </c>
      <c r="D1734" s="52" t="s">
        <v>875</v>
      </c>
      <c r="E1734" s="50" t="s">
        <v>876</v>
      </c>
      <c r="F1734" s="53" t="s">
        <v>886</v>
      </c>
    </row>
    <row r="1735">
      <c r="A1735" s="54">
        <v>44834.0</v>
      </c>
      <c r="B1735" s="55" t="s">
        <v>773</v>
      </c>
      <c r="C1735" s="56" t="s">
        <v>874</v>
      </c>
      <c r="D1735" s="57" t="s">
        <v>875</v>
      </c>
      <c r="E1735" s="55" t="s">
        <v>876</v>
      </c>
      <c r="F1735" s="58" t="s">
        <v>886</v>
      </c>
    </row>
    <row r="1736">
      <c r="A1736" s="59">
        <v>44835.0</v>
      </c>
      <c r="B1736" s="50" t="s">
        <v>742</v>
      </c>
      <c r="C1736" s="61" t="s">
        <v>756</v>
      </c>
      <c r="D1736" s="52" t="s">
        <v>877</v>
      </c>
      <c r="E1736" s="50" t="s">
        <v>878</v>
      </c>
      <c r="F1736" s="53" t="s">
        <v>886</v>
      </c>
    </row>
    <row r="1737">
      <c r="A1737" s="54">
        <v>44836.0</v>
      </c>
      <c r="B1737" s="55" t="s">
        <v>744</v>
      </c>
      <c r="C1737" s="60" t="s">
        <v>756</v>
      </c>
      <c r="D1737" s="57" t="s">
        <v>877</v>
      </c>
      <c r="E1737" s="55" t="s">
        <v>878</v>
      </c>
      <c r="F1737" s="58" t="s">
        <v>886</v>
      </c>
    </row>
    <row r="1738">
      <c r="A1738" s="59">
        <v>44837.0</v>
      </c>
      <c r="B1738" s="50" t="s">
        <v>746</v>
      </c>
      <c r="C1738" s="61" t="s">
        <v>756</v>
      </c>
      <c r="D1738" s="52" t="s">
        <v>877</v>
      </c>
      <c r="E1738" s="50" t="s">
        <v>878</v>
      </c>
      <c r="F1738" s="53" t="s">
        <v>886</v>
      </c>
    </row>
    <row r="1739">
      <c r="A1739" s="54">
        <v>44838.0</v>
      </c>
      <c r="B1739" s="55" t="s">
        <v>748</v>
      </c>
      <c r="C1739" s="60" t="s">
        <v>756</v>
      </c>
      <c r="D1739" s="57" t="s">
        <v>877</v>
      </c>
      <c r="E1739" s="55" t="s">
        <v>878</v>
      </c>
      <c r="F1739" s="58" t="s">
        <v>886</v>
      </c>
    </row>
    <row r="1740">
      <c r="A1740" s="59">
        <v>44839.0</v>
      </c>
      <c r="B1740" s="50" t="s">
        <v>750</v>
      </c>
      <c r="C1740" s="61" t="s">
        <v>756</v>
      </c>
      <c r="D1740" s="52" t="s">
        <v>877</v>
      </c>
      <c r="E1740" s="50" t="s">
        <v>878</v>
      </c>
      <c r="F1740" s="53" t="s">
        <v>886</v>
      </c>
    </row>
    <row r="1741">
      <c r="A1741" s="54">
        <v>44840.0</v>
      </c>
      <c r="B1741" s="55" t="s">
        <v>752</v>
      </c>
      <c r="C1741" s="60" t="s">
        <v>756</v>
      </c>
      <c r="D1741" s="57" t="s">
        <v>877</v>
      </c>
      <c r="E1741" s="55" t="s">
        <v>878</v>
      </c>
      <c r="F1741" s="58" t="s">
        <v>886</v>
      </c>
    </row>
    <row r="1742">
      <c r="A1742" s="59">
        <v>44841.0</v>
      </c>
      <c r="B1742" s="50" t="s">
        <v>753</v>
      </c>
      <c r="C1742" s="61" t="s">
        <v>756</v>
      </c>
      <c r="D1742" s="52" t="s">
        <v>877</v>
      </c>
      <c r="E1742" s="50" t="s">
        <v>878</v>
      </c>
      <c r="F1742" s="53" t="s">
        <v>886</v>
      </c>
    </row>
    <row r="1743">
      <c r="A1743" s="54">
        <v>44842.0</v>
      </c>
      <c r="B1743" s="55" t="s">
        <v>754</v>
      </c>
      <c r="C1743" s="60" t="s">
        <v>756</v>
      </c>
      <c r="D1743" s="57" t="s">
        <v>877</v>
      </c>
      <c r="E1743" s="55" t="s">
        <v>878</v>
      </c>
      <c r="F1743" s="58" t="s">
        <v>886</v>
      </c>
    </row>
    <row r="1744">
      <c r="A1744" s="59">
        <v>44843.0</v>
      </c>
      <c r="B1744" s="50" t="s">
        <v>755</v>
      </c>
      <c r="C1744" s="61" t="s">
        <v>756</v>
      </c>
      <c r="D1744" s="52" t="s">
        <v>877</v>
      </c>
      <c r="E1744" s="50" t="s">
        <v>878</v>
      </c>
      <c r="F1744" s="53" t="s">
        <v>886</v>
      </c>
    </row>
    <row r="1745">
      <c r="A1745" s="54">
        <v>44844.0</v>
      </c>
      <c r="B1745" s="55" t="s">
        <v>756</v>
      </c>
      <c r="C1745" s="60" t="s">
        <v>756</v>
      </c>
      <c r="D1745" s="57" t="s">
        <v>877</v>
      </c>
      <c r="E1745" s="55" t="s">
        <v>878</v>
      </c>
      <c r="F1745" s="58" t="s">
        <v>886</v>
      </c>
    </row>
    <row r="1746">
      <c r="A1746" s="59">
        <v>44845.0</v>
      </c>
      <c r="B1746" s="50" t="s">
        <v>758</v>
      </c>
      <c r="C1746" s="61" t="s">
        <v>756</v>
      </c>
      <c r="D1746" s="52" t="s">
        <v>877</v>
      </c>
      <c r="E1746" s="50" t="s">
        <v>878</v>
      </c>
      <c r="F1746" s="53" t="s">
        <v>886</v>
      </c>
    </row>
    <row r="1747">
      <c r="A1747" s="54">
        <v>44846.0</v>
      </c>
      <c r="B1747" s="55" t="s">
        <v>759</v>
      </c>
      <c r="C1747" s="60" t="s">
        <v>756</v>
      </c>
      <c r="D1747" s="57" t="s">
        <v>877</v>
      </c>
      <c r="E1747" s="55" t="s">
        <v>878</v>
      </c>
      <c r="F1747" s="58" t="s">
        <v>886</v>
      </c>
    </row>
    <row r="1748">
      <c r="A1748" s="59">
        <v>44847.0</v>
      </c>
      <c r="B1748" s="50" t="s">
        <v>760</v>
      </c>
      <c r="C1748" s="61" t="s">
        <v>756</v>
      </c>
      <c r="D1748" s="52" t="s">
        <v>877</v>
      </c>
      <c r="E1748" s="50" t="s">
        <v>878</v>
      </c>
      <c r="F1748" s="53" t="s">
        <v>886</v>
      </c>
    </row>
    <row r="1749">
      <c r="A1749" s="54">
        <v>44848.0</v>
      </c>
      <c r="B1749" s="55" t="s">
        <v>761</v>
      </c>
      <c r="C1749" s="60" t="s">
        <v>756</v>
      </c>
      <c r="D1749" s="57" t="s">
        <v>877</v>
      </c>
      <c r="E1749" s="55" t="s">
        <v>878</v>
      </c>
      <c r="F1749" s="58" t="s">
        <v>886</v>
      </c>
    </row>
    <row r="1750">
      <c r="A1750" s="59">
        <v>44849.0</v>
      </c>
      <c r="B1750" s="50" t="s">
        <v>762</v>
      </c>
      <c r="C1750" s="61" t="s">
        <v>756</v>
      </c>
      <c r="D1750" s="52" t="s">
        <v>877</v>
      </c>
      <c r="E1750" s="50" t="s">
        <v>878</v>
      </c>
      <c r="F1750" s="53" t="s">
        <v>886</v>
      </c>
    </row>
    <row r="1751">
      <c r="A1751" s="54">
        <v>44850.0</v>
      </c>
      <c r="B1751" s="55" t="s">
        <v>763</v>
      </c>
      <c r="C1751" s="60" t="s">
        <v>756</v>
      </c>
      <c r="D1751" s="57" t="s">
        <v>877</v>
      </c>
      <c r="E1751" s="55" t="s">
        <v>878</v>
      </c>
      <c r="F1751" s="58" t="s">
        <v>886</v>
      </c>
    </row>
    <row r="1752">
      <c r="A1752" s="59">
        <v>44851.0</v>
      </c>
      <c r="B1752" s="50" t="s">
        <v>764</v>
      </c>
      <c r="C1752" s="61" t="s">
        <v>756</v>
      </c>
      <c r="D1752" s="52" t="s">
        <v>877</v>
      </c>
      <c r="E1752" s="50" t="s">
        <v>878</v>
      </c>
      <c r="F1752" s="53" t="s">
        <v>886</v>
      </c>
    </row>
    <row r="1753">
      <c r="A1753" s="54">
        <v>44852.0</v>
      </c>
      <c r="B1753" s="55" t="s">
        <v>765</v>
      </c>
      <c r="C1753" s="60" t="s">
        <v>756</v>
      </c>
      <c r="D1753" s="57" t="s">
        <v>877</v>
      </c>
      <c r="E1753" s="55" t="s">
        <v>878</v>
      </c>
      <c r="F1753" s="58" t="s">
        <v>886</v>
      </c>
    </row>
    <row r="1754">
      <c r="A1754" s="59">
        <v>44853.0</v>
      </c>
      <c r="B1754" s="50" t="s">
        <v>743</v>
      </c>
      <c r="C1754" s="61" t="s">
        <v>756</v>
      </c>
      <c r="D1754" s="52" t="s">
        <v>877</v>
      </c>
      <c r="E1754" s="50" t="s">
        <v>878</v>
      </c>
      <c r="F1754" s="53" t="s">
        <v>886</v>
      </c>
    </row>
    <row r="1755">
      <c r="A1755" s="54">
        <v>44854.0</v>
      </c>
      <c r="B1755" s="55" t="s">
        <v>766</v>
      </c>
      <c r="C1755" s="60" t="s">
        <v>756</v>
      </c>
      <c r="D1755" s="57" t="s">
        <v>877</v>
      </c>
      <c r="E1755" s="55" t="s">
        <v>878</v>
      </c>
      <c r="F1755" s="58" t="s">
        <v>886</v>
      </c>
    </row>
    <row r="1756">
      <c r="A1756" s="59">
        <v>44855.0</v>
      </c>
      <c r="B1756" s="50" t="s">
        <v>745</v>
      </c>
      <c r="C1756" s="61" t="s">
        <v>756</v>
      </c>
      <c r="D1756" s="52" t="s">
        <v>877</v>
      </c>
      <c r="E1756" s="50" t="s">
        <v>878</v>
      </c>
      <c r="F1756" s="53" t="s">
        <v>886</v>
      </c>
    </row>
    <row r="1757">
      <c r="A1757" s="54">
        <v>44856.0</v>
      </c>
      <c r="B1757" s="55" t="s">
        <v>767</v>
      </c>
      <c r="C1757" s="60" t="s">
        <v>756</v>
      </c>
      <c r="D1757" s="57" t="s">
        <v>877</v>
      </c>
      <c r="E1757" s="55" t="s">
        <v>878</v>
      </c>
      <c r="F1757" s="58" t="s">
        <v>886</v>
      </c>
    </row>
    <row r="1758">
      <c r="A1758" s="59">
        <v>44857.0</v>
      </c>
      <c r="B1758" s="50" t="s">
        <v>768</v>
      </c>
      <c r="C1758" s="61" t="s">
        <v>756</v>
      </c>
      <c r="D1758" s="52" t="s">
        <v>877</v>
      </c>
      <c r="E1758" s="50" t="s">
        <v>878</v>
      </c>
      <c r="F1758" s="53" t="s">
        <v>886</v>
      </c>
    </row>
    <row r="1759">
      <c r="A1759" s="54">
        <v>44858.0</v>
      </c>
      <c r="B1759" s="55" t="s">
        <v>747</v>
      </c>
      <c r="C1759" s="60" t="s">
        <v>756</v>
      </c>
      <c r="D1759" s="57" t="s">
        <v>877</v>
      </c>
      <c r="E1759" s="55" t="s">
        <v>878</v>
      </c>
      <c r="F1759" s="58" t="s">
        <v>886</v>
      </c>
    </row>
    <row r="1760">
      <c r="A1760" s="59">
        <v>44859.0</v>
      </c>
      <c r="B1760" s="50" t="s">
        <v>769</v>
      </c>
      <c r="C1760" s="61" t="s">
        <v>756</v>
      </c>
      <c r="D1760" s="52" t="s">
        <v>877</v>
      </c>
      <c r="E1760" s="50" t="s">
        <v>878</v>
      </c>
      <c r="F1760" s="53" t="s">
        <v>886</v>
      </c>
    </row>
    <row r="1761">
      <c r="A1761" s="54">
        <v>44860.0</v>
      </c>
      <c r="B1761" s="55" t="s">
        <v>770</v>
      </c>
      <c r="C1761" s="60" t="s">
        <v>756</v>
      </c>
      <c r="D1761" s="57" t="s">
        <v>877</v>
      </c>
      <c r="E1761" s="55" t="s">
        <v>878</v>
      </c>
      <c r="F1761" s="58" t="s">
        <v>886</v>
      </c>
    </row>
    <row r="1762">
      <c r="A1762" s="59">
        <v>44861.0</v>
      </c>
      <c r="B1762" s="50" t="s">
        <v>749</v>
      </c>
      <c r="C1762" s="61" t="s">
        <v>756</v>
      </c>
      <c r="D1762" s="52" t="s">
        <v>877</v>
      </c>
      <c r="E1762" s="50" t="s">
        <v>878</v>
      </c>
      <c r="F1762" s="53" t="s">
        <v>886</v>
      </c>
    </row>
    <row r="1763">
      <c r="A1763" s="54">
        <v>44862.0</v>
      </c>
      <c r="B1763" s="55" t="s">
        <v>771</v>
      </c>
      <c r="C1763" s="60" t="s">
        <v>756</v>
      </c>
      <c r="D1763" s="57" t="s">
        <v>877</v>
      </c>
      <c r="E1763" s="55" t="s">
        <v>878</v>
      </c>
      <c r="F1763" s="58" t="s">
        <v>886</v>
      </c>
    </row>
    <row r="1764">
      <c r="A1764" s="59">
        <v>44863.0</v>
      </c>
      <c r="B1764" s="50" t="s">
        <v>772</v>
      </c>
      <c r="C1764" s="61" t="s">
        <v>756</v>
      </c>
      <c r="D1764" s="52" t="s">
        <v>877</v>
      </c>
      <c r="E1764" s="50" t="s">
        <v>878</v>
      </c>
      <c r="F1764" s="53" t="s">
        <v>886</v>
      </c>
    </row>
    <row r="1765">
      <c r="A1765" s="54">
        <v>44864.0</v>
      </c>
      <c r="B1765" s="55" t="s">
        <v>773</v>
      </c>
      <c r="C1765" s="60" t="s">
        <v>756</v>
      </c>
      <c r="D1765" s="57" t="s">
        <v>877</v>
      </c>
      <c r="E1765" s="55" t="s">
        <v>878</v>
      </c>
      <c r="F1765" s="58" t="s">
        <v>886</v>
      </c>
    </row>
    <row r="1766">
      <c r="A1766" s="59">
        <v>44865.0</v>
      </c>
      <c r="B1766" s="50" t="s">
        <v>774</v>
      </c>
      <c r="C1766" s="61" t="s">
        <v>756</v>
      </c>
      <c r="D1766" s="52" t="s">
        <v>877</v>
      </c>
      <c r="E1766" s="50" t="s">
        <v>878</v>
      </c>
      <c r="F1766" s="53" t="s">
        <v>886</v>
      </c>
    </row>
    <row r="1767">
      <c r="A1767" s="54">
        <v>44866.0</v>
      </c>
      <c r="B1767" s="55" t="s">
        <v>742</v>
      </c>
      <c r="C1767" s="60" t="s">
        <v>758</v>
      </c>
      <c r="D1767" s="57" t="s">
        <v>879</v>
      </c>
      <c r="E1767" s="55" t="s">
        <v>880</v>
      </c>
      <c r="F1767" s="58" t="s">
        <v>886</v>
      </c>
    </row>
    <row r="1768">
      <c r="A1768" s="59">
        <v>44867.0</v>
      </c>
      <c r="B1768" s="50" t="s">
        <v>744</v>
      </c>
      <c r="C1768" s="61" t="s">
        <v>758</v>
      </c>
      <c r="D1768" s="52" t="s">
        <v>879</v>
      </c>
      <c r="E1768" s="50" t="s">
        <v>880</v>
      </c>
      <c r="F1768" s="53" t="s">
        <v>886</v>
      </c>
    </row>
    <row r="1769">
      <c r="A1769" s="54">
        <v>44868.0</v>
      </c>
      <c r="B1769" s="55" t="s">
        <v>746</v>
      </c>
      <c r="C1769" s="60" t="s">
        <v>758</v>
      </c>
      <c r="D1769" s="57" t="s">
        <v>879</v>
      </c>
      <c r="E1769" s="55" t="s">
        <v>880</v>
      </c>
      <c r="F1769" s="58" t="s">
        <v>886</v>
      </c>
    </row>
    <row r="1770">
      <c r="A1770" s="59">
        <v>44869.0</v>
      </c>
      <c r="B1770" s="50" t="s">
        <v>748</v>
      </c>
      <c r="C1770" s="61" t="s">
        <v>758</v>
      </c>
      <c r="D1770" s="52" t="s">
        <v>879</v>
      </c>
      <c r="E1770" s="50" t="s">
        <v>880</v>
      </c>
      <c r="F1770" s="53" t="s">
        <v>886</v>
      </c>
    </row>
    <row r="1771">
      <c r="A1771" s="54">
        <v>44870.0</v>
      </c>
      <c r="B1771" s="55" t="s">
        <v>750</v>
      </c>
      <c r="C1771" s="60" t="s">
        <v>758</v>
      </c>
      <c r="D1771" s="57" t="s">
        <v>879</v>
      </c>
      <c r="E1771" s="55" t="s">
        <v>880</v>
      </c>
      <c r="F1771" s="58" t="s">
        <v>886</v>
      </c>
    </row>
    <row r="1772">
      <c r="A1772" s="59">
        <v>44871.0</v>
      </c>
      <c r="B1772" s="50" t="s">
        <v>752</v>
      </c>
      <c r="C1772" s="61" t="s">
        <v>758</v>
      </c>
      <c r="D1772" s="52" t="s">
        <v>879</v>
      </c>
      <c r="E1772" s="50" t="s">
        <v>880</v>
      </c>
      <c r="F1772" s="53" t="s">
        <v>886</v>
      </c>
    </row>
    <row r="1773">
      <c r="A1773" s="54">
        <v>44872.0</v>
      </c>
      <c r="B1773" s="55" t="s">
        <v>753</v>
      </c>
      <c r="C1773" s="60" t="s">
        <v>758</v>
      </c>
      <c r="D1773" s="57" t="s">
        <v>879</v>
      </c>
      <c r="E1773" s="55" t="s">
        <v>880</v>
      </c>
      <c r="F1773" s="58" t="s">
        <v>886</v>
      </c>
    </row>
    <row r="1774">
      <c r="A1774" s="59">
        <v>44873.0</v>
      </c>
      <c r="B1774" s="50" t="s">
        <v>754</v>
      </c>
      <c r="C1774" s="61" t="s">
        <v>758</v>
      </c>
      <c r="D1774" s="52" t="s">
        <v>879</v>
      </c>
      <c r="E1774" s="50" t="s">
        <v>880</v>
      </c>
      <c r="F1774" s="53" t="s">
        <v>886</v>
      </c>
    </row>
    <row r="1775">
      <c r="A1775" s="54">
        <v>44874.0</v>
      </c>
      <c r="B1775" s="55" t="s">
        <v>755</v>
      </c>
      <c r="C1775" s="60" t="s">
        <v>758</v>
      </c>
      <c r="D1775" s="57" t="s">
        <v>879</v>
      </c>
      <c r="E1775" s="55" t="s">
        <v>880</v>
      </c>
      <c r="F1775" s="58" t="s">
        <v>886</v>
      </c>
    </row>
    <row r="1776">
      <c r="A1776" s="59">
        <v>44875.0</v>
      </c>
      <c r="B1776" s="50" t="s">
        <v>756</v>
      </c>
      <c r="C1776" s="61" t="s">
        <v>758</v>
      </c>
      <c r="D1776" s="52" t="s">
        <v>879</v>
      </c>
      <c r="E1776" s="50" t="s">
        <v>880</v>
      </c>
      <c r="F1776" s="53" t="s">
        <v>886</v>
      </c>
    </row>
    <row r="1777">
      <c r="A1777" s="54">
        <v>44876.0</v>
      </c>
      <c r="B1777" s="55" t="s">
        <v>758</v>
      </c>
      <c r="C1777" s="60" t="s">
        <v>758</v>
      </c>
      <c r="D1777" s="57" t="s">
        <v>879</v>
      </c>
      <c r="E1777" s="55" t="s">
        <v>880</v>
      </c>
      <c r="F1777" s="58" t="s">
        <v>886</v>
      </c>
    </row>
    <row r="1778">
      <c r="A1778" s="59">
        <v>44877.0</v>
      </c>
      <c r="B1778" s="50" t="s">
        <v>759</v>
      </c>
      <c r="C1778" s="61" t="s">
        <v>758</v>
      </c>
      <c r="D1778" s="52" t="s">
        <v>879</v>
      </c>
      <c r="E1778" s="50" t="s">
        <v>880</v>
      </c>
      <c r="F1778" s="53" t="s">
        <v>886</v>
      </c>
    </row>
    <row r="1779">
      <c r="A1779" s="54">
        <v>44878.0</v>
      </c>
      <c r="B1779" s="55" t="s">
        <v>760</v>
      </c>
      <c r="C1779" s="60" t="s">
        <v>758</v>
      </c>
      <c r="D1779" s="57" t="s">
        <v>879</v>
      </c>
      <c r="E1779" s="55" t="s">
        <v>880</v>
      </c>
      <c r="F1779" s="58" t="s">
        <v>886</v>
      </c>
    </row>
    <row r="1780">
      <c r="A1780" s="59">
        <v>44879.0</v>
      </c>
      <c r="B1780" s="50" t="s">
        <v>761</v>
      </c>
      <c r="C1780" s="61" t="s">
        <v>758</v>
      </c>
      <c r="D1780" s="52" t="s">
        <v>879</v>
      </c>
      <c r="E1780" s="50" t="s">
        <v>880</v>
      </c>
      <c r="F1780" s="53" t="s">
        <v>886</v>
      </c>
    </row>
    <row r="1781">
      <c r="A1781" s="54">
        <v>44880.0</v>
      </c>
      <c r="B1781" s="55" t="s">
        <v>762</v>
      </c>
      <c r="C1781" s="60" t="s">
        <v>758</v>
      </c>
      <c r="D1781" s="57" t="s">
        <v>879</v>
      </c>
      <c r="E1781" s="55" t="s">
        <v>880</v>
      </c>
      <c r="F1781" s="58" t="s">
        <v>886</v>
      </c>
    </row>
    <row r="1782">
      <c r="A1782" s="59">
        <v>44881.0</v>
      </c>
      <c r="B1782" s="50" t="s">
        <v>763</v>
      </c>
      <c r="C1782" s="61" t="s">
        <v>758</v>
      </c>
      <c r="D1782" s="52" t="s">
        <v>879</v>
      </c>
      <c r="E1782" s="50" t="s">
        <v>880</v>
      </c>
      <c r="F1782" s="53" t="s">
        <v>886</v>
      </c>
    </row>
    <row r="1783">
      <c r="A1783" s="54">
        <v>44882.0</v>
      </c>
      <c r="B1783" s="55" t="s">
        <v>764</v>
      </c>
      <c r="C1783" s="60" t="s">
        <v>758</v>
      </c>
      <c r="D1783" s="57" t="s">
        <v>879</v>
      </c>
      <c r="E1783" s="55" t="s">
        <v>880</v>
      </c>
      <c r="F1783" s="58" t="s">
        <v>886</v>
      </c>
    </row>
    <row r="1784">
      <c r="A1784" s="59">
        <v>44883.0</v>
      </c>
      <c r="B1784" s="50" t="s">
        <v>765</v>
      </c>
      <c r="C1784" s="61" t="s">
        <v>758</v>
      </c>
      <c r="D1784" s="52" t="s">
        <v>879</v>
      </c>
      <c r="E1784" s="50" t="s">
        <v>880</v>
      </c>
      <c r="F1784" s="53" t="s">
        <v>886</v>
      </c>
    </row>
    <row r="1785">
      <c r="A1785" s="54">
        <v>44884.0</v>
      </c>
      <c r="B1785" s="55" t="s">
        <v>743</v>
      </c>
      <c r="C1785" s="60" t="s">
        <v>758</v>
      </c>
      <c r="D1785" s="57" t="s">
        <v>879</v>
      </c>
      <c r="E1785" s="55" t="s">
        <v>880</v>
      </c>
      <c r="F1785" s="58" t="s">
        <v>886</v>
      </c>
    </row>
    <row r="1786">
      <c r="A1786" s="59">
        <v>44885.0</v>
      </c>
      <c r="B1786" s="50" t="s">
        <v>766</v>
      </c>
      <c r="C1786" s="61" t="s">
        <v>758</v>
      </c>
      <c r="D1786" s="52" t="s">
        <v>879</v>
      </c>
      <c r="E1786" s="50" t="s">
        <v>880</v>
      </c>
      <c r="F1786" s="53" t="s">
        <v>886</v>
      </c>
    </row>
    <row r="1787">
      <c r="A1787" s="54">
        <v>44886.0</v>
      </c>
      <c r="B1787" s="55" t="s">
        <v>745</v>
      </c>
      <c r="C1787" s="60" t="s">
        <v>758</v>
      </c>
      <c r="D1787" s="57" t="s">
        <v>879</v>
      </c>
      <c r="E1787" s="55" t="s">
        <v>880</v>
      </c>
      <c r="F1787" s="58" t="s">
        <v>886</v>
      </c>
    </row>
    <row r="1788">
      <c r="A1788" s="59">
        <v>44887.0</v>
      </c>
      <c r="B1788" s="50" t="s">
        <v>767</v>
      </c>
      <c r="C1788" s="61" t="s">
        <v>758</v>
      </c>
      <c r="D1788" s="52" t="s">
        <v>879</v>
      </c>
      <c r="E1788" s="50" t="s">
        <v>880</v>
      </c>
      <c r="F1788" s="53" t="s">
        <v>886</v>
      </c>
    </row>
    <row r="1789">
      <c r="A1789" s="54">
        <v>44888.0</v>
      </c>
      <c r="B1789" s="55" t="s">
        <v>768</v>
      </c>
      <c r="C1789" s="60" t="s">
        <v>758</v>
      </c>
      <c r="D1789" s="57" t="s">
        <v>879</v>
      </c>
      <c r="E1789" s="55" t="s">
        <v>880</v>
      </c>
      <c r="F1789" s="58" t="s">
        <v>886</v>
      </c>
    </row>
    <row r="1790">
      <c r="A1790" s="59">
        <v>44889.0</v>
      </c>
      <c r="B1790" s="50" t="s">
        <v>747</v>
      </c>
      <c r="C1790" s="61" t="s">
        <v>758</v>
      </c>
      <c r="D1790" s="52" t="s">
        <v>879</v>
      </c>
      <c r="E1790" s="50" t="s">
        <v>880</v>
      </c>
      <c r="F1790" s="53" t="s">
        <v>886</v>
      </c>
    </row>
    <row r="1791">
      <c r="A1791" s="54">
        <v>44890.0</v>
      </c>
      <c r="B1791" s="55" t="s">
        <v>769</v>
      </c>
      <c r="C1791" s="60" t="s">
        <v>758</v>
      </c>
      <c r="D1791" s="57" t="s">
        <v>879</v>
      </c>
      <c r="E1791" s="55" t="s">
        <v>880</v>
      </c>
      <c r="F1791" s="58" t="s">
        <v>886</v>
      </c>
    </row>
    <row r="1792">
      <c r="A1792" s="59">
        <v>44891.0</v>
      </c>
      <c r="B1792" s="50" t="s">
        <v>770</v>
      </c>
      <c r="C1792" s="61" t="s">
        <v>758</v>
      </c>
      <c r="D1792" s="52" t="s">
        <v>879</v>
      </c>
      <c r="E1792" s="50" t="s">
        <v>880</v>
      </c>
      <c r="F1792" s="53" t="s">
        <v>886</v>
      </c>
    </row>
    <row r="1793">
      <c r="A1793" s="54">
        <v>44892.0</v>
      </c>
      <c r="B1793" s="55" t="s">
        <v>749</v>
      </c>
      <c r="C1793" s="60" t="s">
        <v>758</v>
      </c>
      <c r="D1793" s="57" t="s">
        <v>879</v>
      </c>
      <c r="E1793" s="55" t="s">
        <v>880</v>
      </c>
      <c r="F1793" s="58" t="s">
        <v>886</v>
      </c>
    </row>
    <row r="1794">
      <c r="A1794" s="59">
        <v>44893.0</v>
      </c>
      <c r="B1794" s="50" t="s">
        <v>771</v>
      </c>
      <c r="C1794" s="61" t="s">
        <v>758</v>
      </c>
      <c r="D1794" s="52" t="s">
        <v>879</v>
      </c>
      <c r="E1794" s="50" t="s">
        <v>880</v>
      </c>
      <c r="F1794" s="53" t="s">
        <v>886</v>
      </c>
    </row>
    <row r="1795">
      <c r="A1795" s="54">
        <v>44894.0</v>
      </c>
      <c r="B1795" s="55" t="s">
        <v>772</v>
      </c>
      <c r="C1795" s="60" t="s">
        <v>758</v>
      </c>
      <c r="D1795" s="57" t="s">
        <v>879</v>
      </c>
      <c r="E1795" s="55" t="s">
        <v>880</v>
      </c>
      <c r="F1795" s="58" t="s">
        <v>886</v>
      </c>
    </row>
    <row r="1796">
      <c r="A1796" s="59">
        <v>44895.0</v>
      </c>
      <c r="B1796" s="50" t="s">
        <v>773</v>
      </c>
      <c r="C1796" s="61" t="s">
        <v>758</v>
      </c>
      <c r="D1796" s="52" t="s">
        <v>879</v>
      </c>
      <c r="E1796" s="50" t="s">
        <v>880</v>
      </c>
      <c r="F1796" s="53" t="s">
        <v>886</v>
      </c>
    </row>
    <row r="1797">
      <c r="A1797" s="54">
        <v>44896.0</v>
      </c>
      <c r="B1797" s="55" t="s">
        <v>742</v>
      </c>
      <c r="C1797" s="60" t="s">
        <v>759</v>
      </c>
      <c r="D1797" s="57" t="s">
        <v>881</v>
      </c>
      <c r="E1797" s="55" t="s">
        <v>882</v>
      </c>
      <c r="F1797" s="58" t="s">
        <v>886</v>
      </c>
    </row>
    <row r="1798">
      <c r="A1798" s="59">
        <v>44897.0</v>
      </c>
      <c r="B1798" s="50" t="s">
        <v>744</v>
      </c>
      <c r="C1798" s="61" t="s">
        <v>759</v>
      </c>
      <c r="D1798" s="52" t="s">
        <v>881</v>
      </c>
      <c r="E1798" s="50" t="s">
        <v>882</v>
      </c>
      <c r="F1798" s="53" t="s">
        <v>886</v>
      </c>
    </row>
    <row r="1799">
      <c r="A1799" s="54">
        <v>44898.0</v>
      </c>
      <c r="B1799" s="55" t="s">
        <v>746</v>
      </c>
      <c r="C1799" s="60" t="s">
        <v>759</v>
      </c>
      <c r="D1799" s="57" t="s">
        <v>881</v>
      </c>
      <c r="E1799" s="55" t="s">
        <v>882</v>
      </c>
      <c r="F1799" s="58" t="s">
        <v>886</v>
      </c>
    </row>
    <row r="1800">
      <c r="A1800" s="59">
        <v>44899.0</v>
      </c>
      <c r="B1800" s="50" t="s">
        <v>748</v>
      </c>
      <c r="C1800" s="61" t="s">
        <v>759</v>
      </c>
      <c r="D1800" s="52" t="s">
        <v>881</v>
      </c>
      <c r="E1800" s="50" t="s">
        <v>882</v>
      </c>
      <c r="F1800" s="53" t="s">
        <v>886</v>
      </c>
    </row>
    <row r="1801">
      <c r="A1801" s="54">
        <v>44900.0</v>
      </c>
      <c r="B1801" s="55" t="s">
        <v>750</v>
      </c>
      <c r="C1801" s="60" t="s">
        <v>759</v>
      </c>
      <c r="D1801" s="57" t="s">
        <v>881</v>
      </c>
      <c r="E1801" s="55" t="s">
        <v>882</v>
      </c>
      <c r="F1801" s="58" t="s">
        <v>886</v>
      </c>
    </row>
    <row r="1802">
      <c r="A1802" s="59">
        <v>44901.0</v>
      </c>
      <c r="B1802" s="50" t="s">
        <v>752</v>
      </c>
      <c r="C1802" s="61" t="s">
        <v>759</v>
      </c>
      <c r="D1802" s="52" t="s">
        <v>881</v>
      </c>
      <c r="E1802" s="50" t="s">
        <v>882</v>
      </c>
      <c r="F1802" s="53" t="s">
        <v>886</v>
      </c>
    </row>
    <row r="1803">
      <c r="A1803" s="54">
        <v>44902.0</v>
      </c>
      <c r="B1803" s="55" t="s">
        <v>753</v>
      </c>
      <c r="C1803" s="60" t="s">
        <v>759</v>
      </c>
      <c r="D1803" s="57" t="s">
        <v>881</v>
      </c>
      <c r="E1803" s="55" t="s">
        <v>882</v>
      </c>
      <c r="F1803" s="58" t="s">
        <v>886</v>
      </c>
    </row>
    <row r="1804">
      <c r="A1804" s="59">
        <v>44903.0</v>
      </c>
      <c r="B1804" s="50" t="s">
        <v>754</v>
      </c>
      <c r="C1804" s="61" t="s">
        <v>759</v>
      </c>
      <c r="D1804" s="52" t="s">
        <v>881</v>
      </c>
      <c r="E1804" s="50" t="s">
        <v>882</v>
      </c>
      <c r="F1804" s="53" t="s">
        <v>886</v>
      </c>
    </row>
    <row r="1805">
      <c r="A1805" s="54">
        <v>44904.0</v>
      </c>
      <c r="B1805" s="55" t="s">
        <v>755</v>
      </c>
      <c r="C1805" s="60" t="s">
        <v>759</v>
      </c>
      <c r="D1805" s="57" t="s">
        <v>881</v>
      </c>
      <c r="E1805" s="55" t="s">
        <v>882</v>
      </c>
      <c r="F1805" s="58" t="s">
        <v>886</v>
      </c>
    </row>
    <row r="1806">
      <c r="A1806" s="59">
        <v>44905.0</v>
      </c>
      <c r="B1806" s="50" t="s">
        <v>756</v>
      </c>
      <c r="C1806" s="61" t="s">
        <v>759</v>
      </c>
      <c r="D1806" s="52" t="s">
        <v>881</v>
      </c>
      <c r="E1806" s="50" t="s">
        <v>882</v>
      </c>
      <c r="F1806" s="53" t="s">
        <v>886</v>
      </c>
    </row>
    <row r="1807">
      <c r="A1807" s="54">
        <v>44906.0</v>
      </c>
      <c r="B1807" s="55" t="s">
        <v>758</v>
      </c>
      <c r="C1807" s="60" t="s">
        <v>759</v>
      </c>
      <c r="D1807" s="57" t="s">
        <v>881</v>
      </c>
      <c r="E1807" s="55" t="s">
        <v>882</v>
      </c>
      <c r="F1807" s="58" t="s">
        <v>886</v>
      </c>
    </row>
    <row r="1808">
      <c r="A1808" s="59">
        <v>44907.0</v>
      </c>
      <c r="B1808" s="50" t="s">
        <v>759</v>
      </c>
      <c r="C1808" s="61" t="s">
        <v>759</v>
      </c>
      <c r="D1808" s="52" t="s">
        <v>881</v>
      </c>
      <c r="E1808" s="50" t="s">
        <v>882</v>
      </c>
      <c r="F1808" s="53" t="s">
        <v>886</v>
      </c>
    </row>
    <row r="1809">
      <c r="A1809" s="54">
        <v>44908.0</v>
      </c>
      <c r="B1809" s="55" t="s">
        <v>760</v>
      </c>
      <c r="C1809" s="60" t="s">
        <v>759</v>
      </c>
      <c r="D1809" s="57" t="s">
        <v>881</v>
      </c>
      <c r="E1809" s="55" t="s">
        <v>882</v>
      </c>
      <c r="F1809" s="58" t="s">
        <v>886</v>
      </c>
    </row>
    <row r="1810">
      <c r="A1810" s="59">
        <v>44909.0</v>
      </c>
      <c r="B1810" s="50" t="s">
        <v>761</v>
      </c>
      <c r="C1810" s="61" t="s">
        <v>759</v>
      </c>
      <c r="D1810" s="52" t="s">
        <v>881</v>
      </c>
      <c r="E1810" s="50" t="s">
        <v>882</v>
      </c>
      <c r="F1810" s="53" t="s">
        <v>886</v>
      </c>
    </row>
    <row r="1811">
      <c r="A1811" s="54">
        <v>44910.0</v>
      </c>
      <c r="B1811" s="55" t="s">
        <v>762</v>
      </c>
      <c r="C1811" s="60" t="s">
        <v>759</v>
      </c>
      <c r="D1811" s="57" t="s">
        <v>881</v>
      </c>
      <c r="E1811" s="55" t="s">
        <v>882</v>
      </c>
      <c r="F1811" s="58" t="s">
        <v>886</v>
      </c>
    </row>
    <row r="1812">
      <c r="A1812" s="59">
        <v>44911.0</v>
      </c>
      <c r="B1812" s="50" t="s">
        <v>763</v>
      </c>
      <c r="C1812" s="61" t="s">
        <v>759</v>
      </c>
      <c r="D1812" s="52" t="s">
        <v>881</v>
      </c>
      <c r="E1812" s="50" t="s">
        <v>882</v>
      </c>
      <c r="F1812" s="53" t="s">
        <v>886</v>
      </c>
    </row>
    <row r="1813">
      <c r="A1813" s="54">
        <v>44912.0</v>
      </c>
      <c r="B1813" s="55" t="s">
        <v>764</v>
      </c>
      <c r="C1813" s="60" t="s">
        <v>759</v>
      </c>
      <c r="D1813" s="57" t="s">
        <v>881</v>
      </c>
      <c r="E1813" s="55" t="s">
        <v>882</v>
      </c>
      <c r="F1813" s="58" t="s">
        <v>886</v>
      </c>
    </row>
    <row r="1814">
      <c r="A1814" s="59">
        <v>44913.0</v>
      </c>
      <c r="B1814" s="50" t="s">
        <v>765</v>
      </c>
      <c r="C1814" s="61" t="s">
        <v>759</v>
      </c>
      <c r="D1814" s="52" t="s">
        <v>881</v>
      </c>
      <c r="E1814" s="50" t="s">
        <v>882</v>
      </c>
      <c r="F1814" s="53" t="s">
        <v>886</v>
      </c>
    </row>
    <row r="1815">
      <c r="A1815" s="54">
        <v>44914.0</v>
      </c>
      <c r="B1815" s="55" t="s">
        <v>743</v>
      </c>
      <c r="C1815" s="60" t="s">
        <v>759</v>
      </c>
      <c r="D1815" s="57" t="s">
        <v>881</v>
      </c>
      <c r="E1815" s="55" t="s">
        <v>882</v>
      </c>
      <c r="F1815" s="58" t="s">
        <v>886</v>
      </c>
    </row>
    <row r="1816">
      <c r="A1816" s="59">
        <v>44915.0</v>
      </c>
      <c r="B1816" s="50" t="s">
        <v>766</v>
      </c>
      <c r="C1816" s="61" t="s">
        <v>759</v>
      </c>
      <c r="D1816" s="52" t="s">
        <v>881</v>
      </c>
      <c r="E1816" s="50" t="s">
        <v>882</v>
      </c>
      <c r="F1816" s="53" t="s">
        <v>886</v>
      </c>
    </row>
    <row r="1817">
      <c r="A1817" s="54">
        <v>44916.0</v>
      </c>
      <c r="B1817" s="55" t="s">
        <v>745</v>
      </c>
      <c r="C1817" s="60" t="s">
        <v>759</v>
      </c>
      <c r="D1817" s="57" t="s">
        <v>881</v>
      </c>
      <c r="E1817" s="55" t="s">
        <v>882</v>
      </c>
      <c r="F1817" s="58" t="s">
        <v>886</v>
      </c>
    </row>
    <row r="1818">
      <c r="A1818" s="59">
        <v>44917.0</v>
      </c>
      <c r="B1818" s="50" t="s">
        <v>767</v>
      </c>
      <c r="C1818" s="61" t="s">
        <v>759</v>
      </c>
      <c r="D1818" s="52" t="s">
        <v>881</v>
      </c>
      <c r="E1818" s="50" t="s">
        <v>882</v>
      </c>
      <c r="F1818" s="53" t="s">
        <v>886</v>
      </c>
    </row>
    <row r="1819">
      <c r="A1819" s="54">
        <v>44918.0</v>
      </c>
      <c r="B1819" s="55" t="s">
        <v>768</v>
      </c>
      <c r="C1819" s="60" t="s">
        <v>759</v>
      </c>
      <c r="D1819" s="57" t="s">
        <v>881</v>
      </c>
      <c r="E1819" s="55" t="s">
        <v>882</v>
      </c>
      <c r="F1819" s="58" t="s">
        <v>886</v>
      </c>
    </row>
    <row r="1820">
      <c r="A1820" s="59">
        <v>44919.0</v>
      </c>
      <c r="B1820" s="50" t="s">
        <v>747</v>
      </c>
      <c r="C1820" s="61" t="s">
        <v>759</v>
      </c>
      <c r="D1820" s="52" t="s">
        <v>881</v>
      </c>
      <c r="E1820" s="50" t="s">
        <v>882</v>
      </c>
      <c r="F1820" s="53" t="s">
        <v>886</v>
      </c>
    </row>
    <row r="1821">
      <c r="A1821" s="54">
        <v>44920.0</v>
      </c>
      <c r="B1821" s="55" t="s">
        <v>769</v>
      </c>
      <c r="C1821" s="60" t="s">
        <v>759</v>
      </c>
      <c r="D1821" s="57" t="s">
        <v>881</v>
      </c>
      <c r="E1821" s="55" t="s">
        <v>882</v>
      </c>
      <c r="F1821" s="58" t="s">
        <v>886</v>
      </c>
    </row>
    <row r="1822">
      <c r="A1822" s="59">
        <v>44921.0</v>
      </c>
      <c r="B1822" s="50" t="s">
        <v>770</v>
      </c>
      <c r="C1822" s="61" t="s">
        <v>759</v>
      </c>
      <c r="D1822" s="52" t="s">
        <v>881</v>
      </c>
      <c r="E1822" s="50" t="s">
        <v>882</v>
      </c>
      <c r="F1822" s="53" t="s">
        <v>886</v>
      </c>
    </row>
    <row r="1823">
      <c r="A1823" s="54">
        <v>44922.0</v>
      </c>
      <c r="B1823" s="55" t="s">
        <v>749</v>
      </c>
      <c r="C1823" s="60" t="s">
        <v>759</v>
      </c>
      <c r="D1823" s="57" t="s">
        <v>881</v>
      </c>
      <c r="E1823" s="55" t="s">
        <v>882</v>
      </c>
      <c r="F1823" s="58" t="s">
        <v>886</v>
      </c>
    </row>
    <row r="1824">
      <c r="A1824" s="59">
        <v>44923.0</v>
      </c>
      <c r="B1824" s="50" t="s">
        <v>771</v>
      </c>
      <c r="C1824" s="61" t="s">
        <v>759</v>
      </c>
      <c r="D1824" s="52" t="s">
        <v>881</v>
      </c>
      <c r="E1824" s="50" t="s">
        <v>882</v>
      </c>
      <c r="F1824" s="53" t="s">
        <v>886</v>
      </c>
    </row>
    <row r="1825">
      <c r="A1825" s="54">
        <v>44924.0</v>
      </c>
      <c r="B1825" s="55" t="s">
        <v>772</v>
      </c>
      <c r="C1825" s="60" t="s">
        <v>759</v>
      </c>
      <c r="D1825" s="57" t="s">
        <v>881</v>
      </c>
      <c r="E1825" s="55" t="s">
        <v>882</v>
      </c>
      <c r="F1825" s="58" t="s">
        <v>886</v>
      </c>
    </row>
    <row r="1826">
      <c r="A1826" s="59">
        <v>44925.0</v>
      </c>
      <c r="B1826" s="50" t="s">
        <v>773</v>
      </c>
      <c r="C1826" s="61" t="s">
        <v>759</v>
      </c>
      <c r="D1826" s="52" t="s">
        <v>881</v>
      </c>
      <c r="E1826" s="50" t="s">
        <v>882</v>
      </c>
      <c r="F1826" s="53" t="s">
        <v>886</v>
      </c>
    </row>
    <row r="1827">
      <c r="A1827" s="54">
        <v>44926.0</v>
      </c>
      <c r="B1827" s="55" t="s">
        <v>774</v>
      </c>
      <c r="C1827" s="60" t="s">
        <v>759</v>
      </c>
      <c r="D1827" s="57" t="s">
        <v>881</v>
      </c>
      <c r="E1827" s="55" t="s">
        <v>882</v>
      </c>
      <c r="F1827" s="58" t="s">
        <v>886</v>
      </c>
    </row>
    <row r="1828">
      <c r="A1828" s="59">
        <v>44927.0</v>
      </c>
      <c r="B1828" s="50" t="s">
        <v>742</v>
      </c>
      <c r="C1828" s="51" t="s">
        <v>849</v>
      </c>
      <c r="D1828" s="52" t="s">
        <v>850</v>
      </c>
      <c r="E1828" s="50" t="s">
        <v>851</v>
      </c>
      <c r="F1828" s="53" t="s">
        <v>887</v>
      </c>
    </row>
    <row r="1829">
      <c r="A1829" s="54">
        <v>44928.0</v>
      </c>
      <c r="B1829" s="55" t="s">
        <v>744</v>
      </c>
      <c r="C1829" s="56" t="s">
        <v>849</v>
      </c>
      <c r="D1829" s="57" t="s">
        <v>850</v>
      </c>
      <c r="E1829" s="55" t="s">
        <v>851</v>
      </c>
      <c r="F1829" s="58" t="s">
        <v>887</v>
      </c>
    </row>
    <row r="1830">
      <c r="A1830" s="59">
        <v>44929.0</v>
      </c>
      <c r="B1830" s="50" t="s">
        <v>746</v>
      </c>
      <c r="C1830" s="51" t="s">
        <v>849</v>
      </c>
      <c r="D1830" s="52" t="s">
        <v>850</v>
      </c>
      <c r="E1830" s="50" t="s">
        <v>851</v>
      </c>
      <c r="F1830" s="53" t="s">
        <v>887</v>
      </c>
    </row>
    <row r="1831">
      <c r="A1831" s="54">
        <v>44930.0</v>
      </c>
      <c r="B1831" s="55" t="s">
        <v>748</v>
      </c>
      <c r="C1831" s="56" t="s">
        <v>849</v>
      </c>
      <c r="D1831" s="57" t="s">
        <v>850</v>
      </c>
      <c r="E1831" s="55" t="s">
        <v>851</v>
      </c>
      <c r="F1831" s="58" t="s">
        <v>887</v>
      </c>
    </row>
    <row r="1832">
      <c r="A1832" s="59">
        <v>44931.0</v>
      </c>
      <c r="B1832" s="50" t="s">
        <v>750</v>
      </c>
      <c r="C1832" s="51" t="s">
        <v>849</v>
      </c>
      <c r="D1832" s="52" t="s">
        <v>850</v>
      </c>
      <c r="E1832" s="50" t="s">
        <v>851</v>
      </c>
      <c r="F1832" s="53" t="s">
        <v>887</v>
      </c>
    </row>
    <row r="1833">
      <c r="A1833" s="54">
        <v>44932.0</v>
      </c>
      <c r="B1833" s="55" t="s">
        <v>752</v>
      </c>
      <c r="C1833" s="56" t="s">
        <v>849</v>
      </c>
      <c r="D1833" s="57" t="s">
        <v>850</v>
      </c>
      <c r="E1833" s="55" t="s">
        <v>851</v>
      </c>
      <c r="F1833" s="58" t="s">
        <v>887</v>
      </c>
    </row>
    <row r="1834">
      <c r="A1834" s="59">
        <v>44933.0</v>
      </c>
      <c r="B1834" s="50" t="s">
        <v>753</v>
      </c>
      <c r="C1834" s="51" t="s">
        <v>849</v>
      </c>
      <c r="D1834" s="52" t="s">
        <v>850</v>
      </c>
      <c r="E1834" s="50" t="s">
        <v>851</v>
      </c>
      <c r="F1834" s="53" t="s">
        <v>887</v>
      </c>
    </row>
    <row r="1835">
      <c r="A1835" s="54">
        <v>44934.0</v>
      </c>
      <c r="B1835" s="55" t="s">
        <v>754</v>
      </c>
      <c r="C1835" s="56" t="s">
        <v>849</v>
      </c>
      <c r="D1835" s="57" t="s">
        <v>850</v>
      </c>
      <c r="E1835" s="55" t="s">
        <v>851</v>
      </c>
      <c r="F1835" s="58" t="s">
        <v>887</v>
      </c>
    </row>
    <row r="1836">
      <c r="A1836" s="59">
        <v>44935.0</v>
      </c>
      <c r="B1836" s="50" t="s">
        <v>755</v>
      </c>
      <c r="C1836" s="51" t="s">
        <v>849</v>
      </c>
      <c r="D1836" s="52" t="s">
        <v>850</v>
      </c>
      <c r="E1836" s="50" t="s">
        <v>851</v>
      </c>
      <c r="F1836" s="53" t="s">
        <v>887</v>
      </c>
    </row>
    <row r="1837">
      <c r="A1837" s="54">
        <v>44936.0</v>
      </c>
      <c r="B1837" s="55" t="s">
        <v>756</v>
      </c>
      <c r="C1837" s="56" t="s">
        <v>849</v>
      </c>
      <c r="D1837" s="57" t="s">
        <v>850</v>
      </c>
      <c r="E1837" s="55" t="s">
        <v>851</v>
      </c>
      <c r="F1837" s="58" t="s">
        <v>887</v>
      </c>
    </row>
    <row r="1838">
      <c r="A1838" s="59">
        <v>44937.0</v>
      </c>
      <c r="B1838" s="50" t="s">
        <v>758</v>
      </c>
      <c r="C1838" s="51" t="s">
        <v>849</v>
      </c>
      <c r="D1838" s="52" t="s">
        <v>850</v>
      </c>
      <c r="E1838" s="50" t="s">
        <v>851</v>
      </c>
      <c r="F1838" s="53" t="s">
        <v>887</v>
      </c>
    </row>
    <row r="1839">
      <c r="A1839" s="54">
        <v>44938.0</v>
      </c>
      <c r="B1839" s="55" t="s">
        <v>759</v>
      </c>
      <c r="C1839" s="56" t="s">
        <v>849</v>
      </c>
      <c r="D1839" s="57" t="s">
        <v>850</v>
      </c>
      <c r="E1839" s="55" t="s">
        <v>851</v>
      </c>
      <c r="F1839" s="58" t="s">
        <v>887</v>
      </c>
    </row>
    <row r="1840">
      <c r="A1840" s="59">
        <v>44939.0</v>
      </c>
      <c r="B1840" s="50" t="s">
        <v>760</v>
      </c>
      <c r="C1840" s="51" t="s">
        <v>849</v>
      </c>
      <c r="D1840" s="52" t="s">
        <v>850</v>
      </c>
      <c r="E1840" s="50" t="s">
        <v>851</v>
      </c>
      <c r="F1840" s="53" t="s">
        <v>887</v>
      </c>
    </row>
    <row r="1841">
      <c r="A1841" s="54">
        <v>44940.0</v>
      </c>
      <c r="B1841" s="55" t="s">
        <v>761</v>
      </c>
      <c r="C1841" s="56" t="s">
        <v>849</v>
      </c>
      <c r="D1841" s="57" t="s">
        <v>850</v>
      </c>
      <c r="E1841" s="55" t="s">
        <v>851</v>
      </c>
      <c r="F1841" s="58" t="s">
        <v>887</v>
      </c>
    </row>
    <row r="1842">
      <c r="A1842" s="59">
        <v>44941.0</v>
      </c>
      <c r="B1842" s="50" t="s">
        <v>762</v>
      </c>
      <c r="C1842" s="51" t="s">
        <v>849</v>
      </c>
      <c r="D1842" s="52" t="s">
        <v>850</v>
      </c>
      <c r="E1842" s="50" t="s">
        <v>851</v>
      </c>
      <c r="F1842" s="53" t="s">
        <v>887</v>
      </c>
    </row>
    <row r="1843">
      <c r="A1843" s="54">
        <v>44942.0</v>
      </c>
      <c r="B1843" s="55" t="s">
        <v>763</v>
      </c>
      <c r="C1843" s="56" t="s">
        <v>849</v>
      </c>
      <c r="D1843" s="57" t="s">
        <v>850</v>
      </c>
      <c r="E1843" s="55" t="s">
        <v>851</v>
      </c>
      <c r="F1843" s="58" t="s">
        <v>887</v>
      </c>
    </row>
    <row r="1844">
      <c r="A1844" s="59">
        <v>44943.0</v>
      </c>
      <c r="B1844" s="50" t="s">
        <v>764</v>
      </c>
      <c r="C1844" s="51" t="s">
        <v>849</v>
      </c>
      <c r="D1844" s="52" t="s">
        <v>850</v>
      </c>
      <c r="E1844" s="50" t="s">
        <v>851</v>
      </c>
      <c r="F1844" s="53" t="s">
        <v>887</v>
      </c>
    </row>
    <row r="1845">
      <c r="A1845" s="54">
        <v>44944.0</v>
      </c>
      <c r="B1845" s="55" t="s">
        <v>765</v>
      </c>
      <c r="C1845" s="56" t="s">
        <v>849</v>
      </c>
      <c r="D1845" s="57" t="s">
        <v>850</v>
      </c>
      <c r="E1845" s="55" t="s">
        <v>851</v>
      </c>
      <c r="F1845" s="58" t="s">
        <v>887</v>
      </c>
    </row>
    <row r="1846">
      <c r="A1846" s="59">
        <v>44945.0</v>
      </c>
      <c r="B1846" s="50" t="s">
        <v>743</v>
      </c>
      <c r="C1846" s="51" t="s">
        <v>849</v>
      </c>
      <c r="D1846" s="52" t="s">
        <v>850</v>
      </c>
      <c r="E1846" s="50" t="s">
        <v>851</v>
      </c>
      <c r="F1846" s="53" t="s">
        <v>887</v>
      </c>
    </row>
    <row r="1847">
      <c r="A1847" s="54">
        <v>44946.0</v>
      </c>
      <c r="B1847" s="55" t="s">
        <v>766</v>
      </c>
      <c r="C1847" s="56" t="s">
        <v>849</v>
      </c>
      <c r="D1847" s="57" t="s">
        <v>850</v>
      </c>
      <c r="E1847" s="55" t="s">
        <v>851</v>
      </c>
      <c r="F1847" s="58" t="s">
        <v>887</v>
      </c>
    </row>
    <row r="1848">
      <c r="A1848" s="59">
        <v>44947.0</v>
      </c>
      <c r="B1848" s="50" t="s">
        <v>745</v>
      </c>
      <c r="C1848" s="51" t="s">
        <v>849</v>
      </c>
      <c r="D1848" s="52" t="s">
        <v>850</v>
      </c>
      <c r="E1848" s="50" t="s">
        <v>851</v>
      </c>
      <c r="F1848" s="53" t="s">
        <v>887</v>
      </c>
    </row>
    <row r="1849">
      <c r="A1849" s="54">
        <v>44948.0</v>
      </c>
      <c r="B1849" s="55" t="s">
        <v>767</v>
      </c>
      <c r="C1849" s="56" t="s">
        <v>849</v>
      </c>
      <c r="D1849" s="57" t="s">
        <v>850</v>
      </c>
      <c r="E1849" s="55" t="s">
        <v>851</v>
      </c>
      <c r="F1849" s="58" t="s">
        <v>887</v>
      </c>
    </row>
    <row r="1850">
      <c r="A1850" s="59">
        <v>44949.0</v>
      </c>
      <c r="B1850" s="50" t="s">
        <v>768</v>
      </c>
      <c r="C1850" s="51" t="s">
        <v>849</v>
      </c>
      <c r="D1850" s="52" t="s">
        <v>850</v>
      </c>
      <c r="E1850" s="50" t="s">
        <v>851</v>
      </c>
      <c r="F1850" s="53" t="s">
        <v>887</v>
      </c>
    </row>
    <row r="1851">
      <c r="A1851" s="54">
        <v>44950.0</v>
      </c>
      <c r="B1851" s="55" t="s">
        <v>747</v>
      </c>
      <c r="C1851" s="56" t="s">
        <v>849</v>
      </c>
      <c r="D1851" s="57" t="s">
        <v>850</v>
      </c>
      <c r="E1851" s="55" t="s">
        <v>851</v>
      </c>
      <c r="F1851" s="58" t="s">
        <v>887</v>
      </c>
    </row>
    <row r="1852">
      <c r="A1852" s="59">
        <v>44951.0</v>
      </c>
      <c r="B1852" s="50" t="s">
        <v>769</v>
      </c>
      <c r="C1852" s="51" t="s">
        <v>849</v>
      </c>
      <c r="D1852" s="52" t="s">
        <v>850</v>
      </c>
      <c r="E1852" s="50" t="s">
        <v>851</v>
      </c>
      <c r="F1852" s="53" t="s">
        <v>887</v>
      </c>
    </row>
    <row r="1853">
      <c r="A1853" s="54">
        <v>44952.0</v>
      </c>
      <c r="B1853" s="55" t="s">
        <v>770</v>
      </c>
      <c r="C1853" s="56" t="s">
        <v>849</v>
      </c>
      <c r="D1853" s="57" t="s">
        <v>850</v>
      </c>
      <c r="E1853" s="55" t="s">
        <v>851</v>
      </c>
      <c r="F1853" s="58" t="s">
        <v>887</v>
      </c>
    </row>
    <row r="1854">
      <c r="A1854" s="59">
        <v>44953.0</v>
      </c>
      <c r="B1854" s="50" t="s">
        <v>749</v>
      </c>
      <c r="C1854" s="51" t="s">
        <v>849</v>
      </c>
      <c r="D1854" s="52" t="s">
        <v>850</v>
      </c>
      <c r="E1854" s="50" t="s">
        <v>851</v>
      </c>
      <c r="F1854" s="53" t="s">
        <v>887</v>
      </c>
    </row>
    <row r="1855">
      <c r="A1855" s="54">
        <v>44954.0</v>
      </c>
      <c r="B1855" s="55" t="s">
        <v>771</v>
      </c>
      <c r="C1855" s="56" t="s">
        <v>849</v>
      </c>
      <c r="D1855" s="57" t="s">
        <v>850</v>
      </c>
      <c r="E1855" s="55" t="s">
        <v>851</v>
      </c>
      <c r="F1855" s="58" t="s">
        <v>887</v>
      </c>
    </row>
    <row r="1856">
      <c r="A1856" s="59">
        <v>44955.0</v>
      </c>
      <c r="B1856" s="50" t="s">
        <v>772</v>
      </c>
      <c r="C1856" s="51" t="s">
        <v>849</v>
      </c>
      <c r="D1856" s="52" t="s">
        <v>850</v>
      </c>
      <c r="E1856" s="50" t="s">
        <v>851</v>
      </c>
      <c r="F1856" s="53" t="s">
        <v>887</v>
      </c>
    </row>
    <row r="1857">
      <c r="A1857" s="54">
        <v>44956.0</v>
      </c>
      <c r="B1857" s="55" t="s">
        <v>773</v>
      </c>
      <c r="C1857" s="56" t="s">
        <v>849</v>
      </c>
      <c r="D1857" s="57" t="s">
        <v>850</v>
      </c>
      <c r="E1857" s="55" t="s">
        <v>851</v>
      </c>
      <c r="F1857" s="58" t="s">
        <v>887</v>
      </c>
    </row>
    <row r="1858">
      <c r="A1858" s="59">
        <v>44957.0</v>
      </c>
      <c r="B1858" s="50" t="s">
        <v>774</v>
      </c>
      <c r="C1858" s="51" t="s">
        <v>849</v>
      </c>
      <c r="D1858" s="52" t="s">
        <v>850</v>
      </c>
      <c r="E1858" s="50" t="s">
        <v>851</v>
      </c>
      <c r="F1858" s="53" t="s">
        <v>887</v>
      </c>
    </row>
    <row r="1859">
      <c r="A1859" s="54">
        <v>44958.0</v>
      </c>
      <c r="B1859" s="55" t="s">
        <v>742</v>
      </c>
      <c r="C1859" s="56" t="s">
        <v>853</v>
      </c>
      <c r="D1859" s="57" t="s">
        <v>854</v>
      </c>
      <c r="E1859" s="55" t="s">
        <v>855</v>
      </c>
      <c r="F1859" s="58" t="s">
        <v>887</v>
      </c>
    </row>
    <row r="1860">
      <c r="A1860" s="59">
        <v>44959.0</v>
      </c>
      <c r="B1860" s="50" t="s">
        <v>744</v>
      </c>
      <c r="C1860" s="51" t="s">
        <v>853</v>
      </c>
      <c r="D1860" s="52" t="s">
        <v>854</v>
      </c>
      <c r="E1860" s="50" t="s">
        <v>855</v>
      </c>
      <c r="F1860" s="53" t="s">
        <v>887</v>
      </c>
    </row>
    <row r="1861">
      <c r="A1861" s="54">
        <v>44960.0</v>
      </c>
      <c r="B1861" s="55" t="s">
        <v>746</v>
      </c>
      <c r="C1861" s="56" t="s">
        <v>853</v>
      </c>
      <c r="D1861" s="57" t="s">
        <v>854</v>
      </c>
      <c r="E1861" s="55" t="s">
        <v>855</v>
      </c>
      <c r="F1861" s="58" t="s">
        <v>887</v>
      </c>
    </row>
    <row r="1862">
      <c r="A1862" s="59">
        <v>44961.0</v>
      </c>
      <c r="B1862" s="50" t="s">
        <v>748</v>
      </c>
      <c r="C1862" s="51" t="s">
        <v>853</v>
      </c>
      <c r="D1862" s="52" t="s">
        <v>854</v>
      </c>
      <c r="E1862" s="50" t="s">
        <v>855</v>
      </c>
      <c r="F1862" s="53" t="s">
        <v>887</v>
      </c>
    </row>
    <row r="1863">
      <c r="A1863" s="54">
        <v>44962.0</v>
      </c>
      <c r="B1863" s="55" t="s">
        <v>750</v>
      </c>
      <c r="C1863" s="56" t="s">
        <v>853</v>
      </c>
      <c r="D1863" s="57" t="s">
        <v>854</v>
      </c>
      <c r="E1863" s="55" t="s">
        <v>855</v>
      </c>
      <c r="F1863" s="58" t="s">
        <v>887</v>
      </c>
    </row>
    <row r="1864">
      <c r="A1864" s="59">
        <v>44963.0</v>
      </c>
      <c r="B1864" s="50" t="s">
        <v>752</v>
      </c>
      <c r="C1864" s="51" t="s">
        <v>853</v>
      </c>
      <c r="D1864" s="52" t="s">
        <v>854</v>
      </c>
      <c r="E1864" s="50" t="s">
        <v>855</v>
      </c>
      <c r="F1864" s="53" t="s">
        <v>887</v>
      </c>
    </row>
    <row r="1865">
      <c r="A1865" s="54">
        <v>44964.0</v>
      </c>
      <c r="B1865" s="55" t="s">
        <v>753</v>
      </c>
      <c r="C1865" s="56" t="s">
        <v>853</v>
      </c>
      <c r="D1865" s="57" t="s">
        <v>854</v>
      </c>
      <c r="E1865" s="55" t="s">
        <v>855</v>
      </c>
      <c r="F1865" s="58" t="s">
        <v>887</v>
      </c>
    </row>
    <row r="1866">
      <c r="A1866" s="59">
        <v>44965.0</v>
      </c>
      <c r="B1866" s="50" t="s">
        <v>754</v>
      </c>
      <c r="C1866" s="51" t="s">
        <v>853</v>
      </c>
      <c r="D1866" s="52" t="s">
        <v>854</v>
      </c>
      <c r="E1866" s="50" t="s">
        <v>855</v>
      </c>
      <c r="F1866" s="53" t="s">
        <v>887</v>
      </c>
    </row>
    <row r="1867">
      <c r="A1867" s="54">
        <v>44966.0</v>
      </c>
      <c r="B1867" s="55" t="s">
        <v>755</v>
      </c>
      <c r="C1867" s="56" t="s">
        <v>853</v>
      </c>
      <c r="D1867" s="57" t="s">
        <v>854</v>
      </c>
      <c r="E1867" s="55" t="s">
        <v>855</v>
      </c>
      <c r="F1867" s="58" t="s">
        <v>887</v>
      </c>
    </row>
    <row r="1868">
      <c r="A1868" s="59">
        <v>44967.0</v>
      </c>
      <c r="B1868" s="50" t="s">
        <v>756</v>
      </c>
      <c r="C1868" s="51" t="s">
        <v>853</v>
      </c>
      <c r="D1868" s="52" t="s">
        <v>854</v>
      </c>
      <c r="E1868" s="50" t="s">
        <v>855</v>
      </c>
      <c r="F1868" s="53" t="s">
        <v>887</v>
      </c>
    </row>
    <row r="1869">
      <c r="A1869" s="54">
        <v>44968.0</v>
      </c>
      <c r="B1869" s="55" t="s">
        <v>758</v>
      </c>
      <c r="C1869" s="56" t="s">
        <v>853</v>
      </c>
      <c r="D1869" s="57" t="s">
        <v>854</v>
      </c>
      <c r="E1869" s="55" t="s">
        <v>855</v>
      </c>
      <c r="F1869" s="58" t="s">
        <v>887</v>
      </c>
    </row>
    <row r="1870">
      <c r="A1870" s="59">
        <v>44969.0</v>
      </c>
      <c r="B1870" s="50" t="s">
        <v>759</v>
      </c>
      <c r="C1870" s="51" t="s">
        <v>853</v>
      </c>
      <c r="D1870" s="52" t="s">
        <v>854</v>
      </c>
      <c r="E1870" s="50" t="s">
        <v>855</v>
      </c>
      <c r="F1870" s="53" t="s">
        <v>887</v>
      </c>
    </row>
    <row r="1871">
      <c r="A1871" s="54">
        <v>44970.0</v>
      </c>
      <c r="B1871" s="55" t="s">
        <v>760</v>
      </c>
      <c r="C1871" s="56" t="s">
        <v>853</v>
      </c>
      <c r="D1871" s="57" t="s">
        <v>854</v>
      </c>
      <c r="E1871" s="55" t="s">
        <v>855</v>
      </c>
      <c r="F1871" s="58" t="s">
        <v>887</v>
      </c>
    </row>
    <row r="1872">
      <c r="A1872" s="59">
        <v>44971.0</v>
      </c>
      <c r="B1872" s="50" t="s">
        <v>761</v>
      </c>
      <c r="C1872" s="51" t="s">
        <v>853</v>
      </c>
      <c r="D1872" s="52" t="s">
        <v>854</v>
      </c>
      <c r="E1872" s="50" t="s">
        <v>855</v>
      </c>
      <c r="F1872" s="53" t="s">
        <v>887</v>
      </c>
    </row>
    <row r="1873">
      <c r="A1873" s="54">
        <v>44972.0</v>
      </c>
      <c r="B1873" s="55" t="s">
        <v>762</v>
      </c>
      <c r="C1873" s="56" t="s">
        <v>853</v>
      </c>
      <c r="D1873" s="57" t="s">
        <v>854</v>
      </c>
      <c r="E1873" s="55" t="s">
        <v>855</v>
      </c>
      <c r="F1873" s="58" t="s">
        <v>887</v>
      </c>
    </row>
    <row r="1874">
      <c r="A1874" s="59">
        <v>44973.0</v>
      </c>
      <c r="B1874" s="50" t="s">
        <v>763</v>
      </c>
      <c r="C1874" s="51" t="s">
        <v>853</v>
      </c>
      <c r="D1874" s="52" t="s">
        <v>854</v>
      </c>
      <c r="E1874" s="50" t="s">
        <v>855</v>
      </c>
      <c r="F1874" s="53" t="s">
        <v>887</v>
      </c>
    </row>
    <row r="1875">
      <c r="A1875" s="54">
        <v>44974.0</v>
      </c>
      <c r="B1875" s="55" t="s">
        <v>764</v>
      </c>
      <c r="C1875" s="56" t="s">
        <v>853</v>
      </c>
      <c r="D1875" s="57" t="s">
        <v>854</v>
      </c>
      <c r="E1875" s="55" t="s">
        <v>855</v>
      </c>
      <c r="F1875" s="58" t="s">
        <v>887</v>
      </c>
    </row>
    <row r="1876">
      <c r="A1876" s="59">
        <v>44975.0</v>
      </c>
      <c r="B1876" s="50" t="s">
        <v>765</v>
      </c>
      <c r="C1876" s="51" t="s">
        <v>853</v>
      </c>
      <c r="D1876" s="52" t="s">
        <v>854</v>
      </c>
      <c r="E1876" s="50" t="s">
        <v>855</v>
      </c>
      <c r="F1876" s="53" t="s">
        <v>887</v>
      </c>
    </row>
    <row r="1877">
      <c r="A1877" s="54">
        <v>44976.0</v>
      </c>
      <c r="B1877" s="55" t="s">
        <v>743</v>
      </c>
      <c r="C1877" s="56" t="s">
        <v>853</v>
      </c>
      <c r="D1877" s="57" t="s">
        <v>854</v>
      </c>
      <c r="E1877" s="55" t="s">
        <v>855</v>
      </c>
      <c r="F1877" s="58" t="s">
        <v>887</v>
      </c>
    </row>
    <row r="1878">
      <c r="A1878" s="59">
        <v>44977.0</v>
      </c>
      <c r="B1878" s="50" t="s">
        <v>766</v>
      </c>
      <c r="C1878" s="51" t="s">
        <v>853</v>
      </c>
      <c r="D1878" s="52" t="s">
        <v>854</v>
      </c>
      <c r="E1878" s="50" t="s">
        <v>855</v>
      </c>
      <c r="F1878" s="53" t="s">
        <v>887</v>
      </c>
    </row>
    <row r="1879">
      <c r="A1879" s="54">
        <v>44978.0</v>
      </c>
      <c r="B1879" s="55" t="s">
        <v>745</v>
      </c>
      <c r="C1879" s="56" t="s">
        <v>853</v>
      </c>
      <c r="D1879" s="57" t="s">
        <v>854</v>
      </c>
      <c r="E1879" s="55" t="s">
        <v>855</v>
      </c>
      <c r="F1879" s="58" t="s">
        <v>887</v>
      </c>
    </row>
    <row r="1880">
      <c r="A1880" s="59">
        <v>44979.0</v>
      </c>
      <c r="B1880" s="50" t="s">
        <v>767</v>
      </c>
      <c r="C1880" s="51" t="s">
        <v>853</v>
      </c>
      <c r="D1880" s="52" t="s">
        <v>854</v>
      </c>
      <c r="E1880" s="50" t="s">
        <v>855</v>
      </c>
      <c r="F1880" s="53" t="s">
        <v>887</v>
      </c>
    </row>
    <row r="1881">
      <c r="A1881" s="54">
        <v>44980.0</v>
      </c>
      <c r="B1881" s="55" t="s">
        <v>768</v>
      </c>
      <c r="C1881" s="56" t="s">
        <v>853</v>
      </c>
      <c r="D1881" s="57" t="s">
        <v>854</v>
      </c>
      <c r="E1881" s="55" t="s">
        <v>855</v>
      </c>
      <c r="F1881" s="58" t="s">
        <v>887</v>
      </c>
    </row>
    <row r="1882">
      <c r="A1882" s="59">
        <v>44981.0</v>
      </c>
      <c r="B1882" s="50" t="s">
        <v>747</v>
      </c>
      <c r="C1882" s="51" t="s">
        <v>853</v>
      </c>
      <c r="D1882" s="52" t="s">
        <v>854</v>
      </c>
      <c r="E1882" s="50" t="s">
        <v>855</v>
      </c>
      <c r="F1882" s="53" t="s">
        <v>887</v>
      </c>
    </row>
    <row r="1883">
      <c r="A1883" s="54">
        <v>44982.0</v>
      </c>
      <c r="B1883" s="55" t="s">
        <v>769</v>
      </c>
      <c r="C1883" s="56" t="s">
        <v>853</v>
      </c>
      <c r="D1883" s="57" t="s">
        <v>854</v>
      </c>
      <c r="E1883" s="55" t="s">
        <v>855</v>
      </c>
      <c r="F1883" s="58" t="s">
        <v>887</v>
      </c>
    </row>
    <row r="1884">
      <c r="A1884" s="59">
        <v>44983.0</v>
      </c>
      <c r="B1884" s="50" t="s">
        <v>770</v>
      </c>
      <c r="C1884" s="51" t="s">
        <v>853</v>
      </c>
      <c r="D1884" s="52" t="s">
        <v>854</v>
      </c>
      <c r="E1884" s="50" t="s">
        <v>855</v>
      </c>
      <c r="F1884" s="53" t="s">
        <v>887</v>
      </c>
    </row>
    <row r="1885">
      <c r="A1885" s="54">
        <v>44984.0</v>
      </c>
      <c r="B1885" s="55" t="s">
        <v>749</v>
      </c>
      <c r="C1885" s="56" t="s">
        <v>853</v>
      </c>
      <c r="D1885" s="57" t="s">
        <v>854</v>
      </c>
      <c r="E1885" s="55" t="s">
        <v>855</v>
      </c>
      <c r="F1885" s="58" t="s">
        <v>887</v>
      </c>
    </row>
    <row r="1886">
      <c r="A1886" s="59">
        <v>44985.0</v>
      </c>
      <c r="B1886" s="50" t="s">
        <v>771</v>
      </c>
      <c r="C1886" s="51" t="s">
        <v>853</v>
      </c>
      <c r="D1886" s="52" t="s">
        <v>854</v>
      </c>
      <c r="E1886" s="50" t="s">
        <v>855</v>
      </c>
      <c r="F1886" s="53" t="s">
        <v>887</v>
      </c>
    </row>
    <row r="1887">
      <c r="A1887" s="54">
        <v>44986.0</v>
      </c>
      <c r="B1887" s="55" t="s">
        <v>742</v>
      </c>
      <c r="C1887" s="56" t="s">
        <v>856</v>
      </c>
      <c r="D1887" s="57" t="s">
        <v>857</v>
      </c>
      <c r="E1887" s="55" t="s">
        <v>858</v>
      </c>
      <c r="F1887" s="58" t="s">
        <v>887</v>
      </c>
    </row>
    <row r="1888">
      <c r="A1888" s="59">
        <v>44987.0</v>
      </c>
      <c r="B1888" s="50" t="s">
        <v>744</v>
      </c>
      <c r="C1888" s="51" t="s">
        <v>856</v>
      </c>
      <c r="D1888" s="52" t="s">
        <v>857</v>
      </c>
      <c r="E1888" s="50" t="s">
        <v>858</v>
      </c>
      <c r="F1888" s="53" t="s">
        <v>887</v>
      </c>
    </row>
    <row r="1889">
      <c r="A1889" s="54">
        <v>44988.0</v>
      </c>
      <c r="B1889" s="55" t="s">
        <v>746</v>
      </c>
      <c r="C1889" s="56" t="s">
        <v>856</v>
      </c>
      <c r="D1889" s="57" t="s">
        <v>857</v>
      </c>
      <c r="E1889" s="55" t="s">
        <v>858</v>
      </c>
      <c r="F1889" s="58" t="s">
        <v>887</v>
      </c>
    </row>
    <row r="1890">
      <c r="A1890" s="59">
        <v>44989.0</v>
      </c>
      <c r="B1890" s="50" t="s">
        <v>748</v>
      </c>
      <c r="C1890" s="51" t="s">
        <v>856</v>
      </c>
      <c r="D1890" s="52" t="s">
        <v>857</v>
      </c>
      <c r="E1890" s="50" t="s">
        <v>858</v>
      </c>
      <c r="F1890" s="53" t="s">
        <v>887</v>
      </c>
    </row>
    <row r="1891">
      <c r="A1891" s="54">
        <v>44990.0</v>
      </c>
      <c r="B1891" s="55" t="s">
        <v>750</v>
      </c>
      <c r="C1891" s="56" t="s">
        <v>856</v>
      </c>
      <c r="D1891" s="57" t="s">
        <v>857</v>
      </c>
      <c r="E1891" s="55" t="s">
        <v>858</v>
      </c>
      <c r="F1891" s="58" t="s">
        <v>887</v>
      </c>
    </row>
    <row r="1892">
      <c r="A1892" s="59">
        <v>44991.0</v>
      </c>
      <c r="B1892" s="50" t="s">
        <v>752</v>
      </c>
      <c r="C1892" s="51" t="s">
        <v>856</v>
      </c>
      <c r="D1892" s="52" t="s">
        <v>857</v>
      </c>
      <c r="E1892" s="50" t="s">
        <v>858</v>
      </c>
      <c r="F1892" s="53" t="s">
        <v>887</v>
      </c>
    </row>
    <row r="1893">
      <c r="A1893" s="54">
        <v>44992.0</v>
      </c>
      <c r="B1893" s="55" t="s">
        <v>753</v>
      </c>
      <c r="C1893" s="56" t="s">
        <v>856</v>
      </c>
      <c r="D1893" s="57" t="s">
        <v>857</v>
      </c>
      <c r="E1893" s="55" t="s">
        <v>858</v>
      </c>
      <c r="F1893" s="58" t="s">
        <v>887</v>
      </c>
    </row>
    <row r="1894">
      <c r="A1894" s="59">
        <v>44993.0</v>
      </c>
      <c r="B1894" s="50" t="s">
        <v>754</v>
      </c>
      <c r="C1894" s="51" t="s">
        <v>856</v>
      </c>
      <c r="D1894" s="52" t="s">
        <v>857</v>
      </c>
      <c r="E1894" s="50" t="s">
        <v>858</v>
      </c>
      <c r="F1894" s="53" t="s">
        <v>887</v>
      </c>
    </row>
    <row r="1895">
      <c r="A1895" s="54">
        <v>44994.0</v>
      </c>
      <c r="B1895" s="55" t="s">
        <v>755</v>
      </c>
      <c r="C1895" s="56" t="s">
        <v>856</v>
      </c>
      <c r="D1895" s="57" t="s">
        <v>857</v>
      </c>
      <c r="E1895" s="55" t="s">
        <v>858</v>
      </c>
      <c r="F1895" s="58" t="s">
        <v>887</v>
      </c>
    </row>
    <row r="1896">
      <c r="A1896" s="59">
        <v>44995.0</v>
      </c>
      <c r="B1896" s="50" t="s">
        <v>756</v>
      </c>
      <c r="C1896" s="51" t="s">
        <v>856</v>
      </c>
      <c r="D1896" s="52" t="s">
        <v>857</v>
      </c>
      <c r="E1896" s="50" t="s">
        <v>858</v>
      </c>
      <c r="F1896" s="53" t="s">
        <v>887</v>
      </c>
    </row>
    <row r="1897">
      <c r="A1897" s="54">
        <v>44996.0</v>
      </c>
      <c r="B1897" s="55" t="s">
        <v>758</v>
      </c>
      <c r="C1897" s="56" t="s">
        <v>856</v>
      </c>
      <c r="D1897" s="57" t="s">
        <v>857</v>
      </c>
      <c r="E1897" s="55" t="s">
        <v>858</v>
      </c>
      <c r="F1897" s="58" t="s">
        <v>887</v>
      </c>
    </row>
    <row r="1898">
      <c r="A1898" s="59">
        <v>44997.0</v>
      </c>
      <c r="B1898" s="50" t="s">
        <v>759</v>
      </c>
      <c r="C1898" s="51" t="s">
        <v>856</v>
      </c>
      <c r="D1898" s="52" t="s">
        <v>857</v>
      </c>
      <c r="E1898" s="50" t="s">
        <v>858</v>
      </c>
      <c r="F1898" s="53" t="s">
        <v>887</v>
      </c>
    </row>
    <row r="1899">
      <c r="A1899" s="54">
        <v>44998.0</v>
      </c>
      <c r="B1899" s="55" t="s">
        <v>760</v>
      </c>
      <c r="C1899" s="56" t="s">
        <v>856</v>
      </c>
      <c r="D1899" s="57" t="s">
        <v>857</v>
      </c>
      <c r="E1899" s="55" t="s">
        <v>858</v>
      </c>
      <c r="F1899" s="58" t="s">
        <v>887</v>
      </c>
    </row>
    <row r="1900">
      <c r="A1900" s="59">
        <v>44999.0</v>
      </c>
      <c r="B1900" s="50" t="s">
        <v>761</v>
      </c>
      <c r="C1900" s="51" t="s">
        <v>856</v>
      </c>
      <c r="D1900" s="52" t="s">
        <v>857</v>
      </c>
      <c r="E1900" s="50" t="s">
        <v>858</v>
      </c>
      <c r="F1900" s="53" t="s">
        <v>887</v>
      </c>
    </row>
    <row r="1901">
      <c r="A1901" s="54">
        <v>45000.0</v>
      </c>
      <c r="B1901" s="55" t="s">
        <v>762</v>
      </c>
      <c r="C1901" s="56" t="s">
        <v>856</v>
      </c>
      <c r="D1901" s="57" t="s">
        <v>857</v>
      </c>
      <c r="E1901" s="55" t="s">
        <v>858</v>
      </c>
      <c r="F1901" s="58" t="s">
        <v>887</v>
      </c>
    </row>
    <row r="1902">
      <c r="A1902" s="59">
        <v>45001.0</v>
      </c>
      <c r="B1902" s="50" t="s">
        <v>763</v>
      </c>
      <c r="C1902" s="51" t="s">
        <v>856</v>
      </c>
      <c r="D1902" s="52" t="s">
        <v>857</v>
      </c>
      <c r="E1902" s="50" t="s">
        <v>858</v>
      </c>
      <c r="F1902" s="53" t="s">
        <v>887</v>
      </c>
    </row>
    <row r="1903">
      <c r="A1903" s="54">
        <v>45002.0</v>
      </c>
      <c r="B1903" s="55" t="s">
        <v>764</v>
      </c>
      <c r="C1903" s="56" t="s">
        <v>856</v>
      </c>
      <c r="D1903" s="57" t="s">
        <v>857</v>
      </c>
      <c r="E1903" s="55" t="s">
        <v>858</v>
      </c>
      <c r="F1903" s="58" t="s">
        <v>887</v>
      </c>
    </row>
    <row r="1904">
      <c r="A1904" s="59">
        <v>45003.0</v>
      </c>
      <c r="B1904" s="50" t="s">
        <v>765</v>
      </c>
      <c r="C1904" s="51" t="s">
        <v>856</v>
      </c>
      <c r="D1904" s="52" t="s">
        <v>857</v>
      </c>
      <c r="E1904" s="50" t="s">
        <v>858</v>
      </c>
      <c r="F1904" s="53" t="s">
        <v>887</v>
      </c>
    </row>
    <row r="1905">
      <c r="A1905" s="54">
        <v>45004.0</v>
      </c>
      <c r="B1905" s="55" t="s">
        <v>743</v>
      </c>
      <c r="C1905" s="56" t="s">
        <v>856</v>
      </c>
      <c r="D1905" s="57" t="s">
        <v>857</v>
      </c>
      <c r="E1905" s="55" t="s">
        <v>858</v>
      </c>
      <c r="F1905" s="58" t="s">
        <v>887</v>
      </c>
    </row>
    <row r="1906">
      <c r="A1906" s="59">
        <v>45005.0</v>
      </c>
      <c r="B1906" s="50" t="s">
        <v>766</v>
      </c>
      <c r="C1906" s="51" t="s">
        <v>856</v>
      </c>
      <c r="D1906" s="52" t="s">
        <v>857</v>
      </c>
      <c r="E1906" s="50" t="s">
        <v>858</v>
      </c>
      <c r="F1906" s="53" t="s">
        <v>887</v>
      </c>
    </row>
    <row r="1907">
      <c r="A1907" s="54">
        <v>45006.0</v>
      </c>
      <c r="B1907" s="55" t="s">
        <v>745</v>
      </c>
      <c r="C1907" s="56" t="s">
        <v>856</v>
      </c>
      <c r="D1907" s="57" t="s">
        <v>857</v>
      </c>
      <c r="E1907" s="55" t="s">
        <v>858</v>
      </c>
      <c r="F1907" s="58" t="s">
        <v>887</v>
      </c>
    </row>
    <row r="1908">
      <c r="A1908" s="59">
        <v>45007.0</v>
      </c>
      <c r="B1908" s="50" t="s">
        <v>767</v>
      </c>
      <c r="C1908" s="51" t="s">
        <v>856</v>
      </c>
      <c r="D1908" s="52" t="s">
        <v>857</v>
      </c>
      <c r="E1908" s="50" t="s">
        <v>858</v>
      </c>
      <c r="F1908" s="53" t="s">
        <v>887</v>
      </c>
    </row>
    <row r="1909">
      <c r="A1909" s="54">
        <v>45008.0</v>
      </c>
      <c r="B1909" s="55" t="s">
        <v>768</v>
      </c>
      <c r="C1909" s="56" t="s">
        <v>856</v>
      </c>
      <c r="D1909" s="57" t="s">
        <v>857</v>
      </c>
      <c r="E1909" s="55" t="s">
        <v>858</v>
      </c>
      <c r="F1909" s="58" t="s">
        <v>887</v>
      </c>
    </row>
    <row r="1910">
      <c r="A1910" s="59">
        <v>45009.0</v>
      </c>
      <c r="B1910" s="50" t="s">
        <v>747</v>
      </c>
      <c r="C1910" s="51" t="s">
        <v>856</v>
      </c>
      <c r="D1910" s="52" t="s">
        <v>857</v>
      </c>
      <c r="E1910" s="50" t="s">
        <v>858</v>
      </c>
      <c r="F1910" s="53" t="s">
        <v>887</v>
      </c>
    </row>
    <row r="1911">
      <c r="A1911" s="54">
        <v>45010.0</v>
      </c>
      <c r="B1911" s="55" t="s">
        <v>769</v>
      </c>
      <c r="C1911" s="56" t="s">
        <v>856</v>
      </c>
      <c r="D1911" s="57" t="s">
        <v>857</v>
      </c>
      <c r="E1911" s="55" t="s">
        <v>858</v>
      </c>
      <c r="F1911" s="58" t="s">
        <v>887</v>
      </c>
    </row>
    <row r="1912">
      <c r="A1912" s="59">
        <v>45011.0</v>
      </c>
      <c r="B1912" s="50" t="s">
        <v>770</v>
      </c>
      <c r="C1912" s="51" t="s">
        <v>856</v>
      </c>
      <c r="D1912" s="52" t="s">
        <v>857</v>
      </c>
      <c r="E1912" s="50" t="s">
        <v>858</v>
      </c>
      <c r="F1912" s="53" t="s">
        <v>887</v>
      </c>
    </row>
    <row r="1913">
      <c r="A1913" s="54">
        <v>45012.0</v>
      </c>
      <c r="B1913" s="55" t="s">
        <v>749</v>
      </c>
      <c r="C1913" s="56" t="s">
        <v>856</v>
      </c>
      <c r="D1913" s="57" t="s">
        <v>857</v>
      </c>
      <c r="E1913" s="55" t="s">
        <v>858</v>
      </c>
      <c r="F1913" s="58" t="s">
        <v>887</v>
      </c>
    </row>
    <row r="1914">
      <c r="A1914" s="59">
        <v>45013.0</v>
      </c>
      <c r="B1914" s="50" t="s">
        <v>771</v>
      </c>
      <c r="C1914" s="51" t="s">
        <v>856</v>
      </c>
      <c r="D1914" s="52" t="s">
        <v>857</v>
      </c>
      <c r="E1914" s="50" t="s">
        <v>858</v>
      </c>
      <c r="F1914" s="53" t="s">
        <v>887</v>
      </c>
    </row>
    <row r="1915">
      <c r="A1915" s="54">
        <v>45014.0</v>
      </c>
      <c r="B1915" s="55" t="s">
        <v>772</v>
      </c>
      <c r="C1915" s="56" t="s">
        <v>856</v>
      </c>
      <c r="D1915" s="57" t="s">
        <v>857</v>
      </c>
      <c r="E1915" s="55" t="s">
        <v>858</v>
      </c>
      <c r="F1915" s="58" t="s">
        <v>887</v>
      </c>
    </row>
    <row r="1916">
      <c r="A1916" s="59">
        <v>45015.0</v>
      </c>
      <c r="B1916" s="50" t="s">
        <v>773</v>
      </c>
      <c r="C1916" s="51" t="s">
        <v>856</v>
      </c>
      <c r="D1916" s="52" t="s">
        <v>857</v>
      </c>
      <c r="E1916" s="50" t="s">
        <v>858</v>
      </c>
      <c r="F1916" s="53" t="s">
        <v>887</v>
      </c>
    </row>
    <row r="1917">
      <c r="A1917" s="54">
        <v>45016.0</v>
      </c>
      <c r="B1917" s="55" t="s">
        <v>774</v>
      </c>
      <c r="C1917" s="56" t="s">
        <v>856</v>
      </c>
      <c r="D1917" s="57" t="s">
        <v>857</v>
      </c>
      <c r="E1917" s="55" t="s">
        <v>858</v>
      </c>
      <c r="F1917" s="58" t="s">
        <v>887</v>
      </c>
    </row>
    <row r="1918">
      <c r="A1918" s="59">
        <v>45017.0</v>
      </c>
      <c r="B1918" s="50" t="s">
        <v>742</v>
      </c>
      <c r="C1918" s="51" t="s">
        <v>859</v>
      </c>
      <c r="D1918" s="52" t="s">
        <v>860</v>
      </c>
      <c r="E1918" s="50" t="s">
        <v>861</v>
      </c>
      <c r="F1918" s="53" t="s">
        <v>887</v>
      </c>
    </row>
    <row r="1919">
      <c r="A1919" s="54">
        <v>45018.0</v>
      </c>
      <c r="B1919" s="55" t="s">
        <v>744</v>
      </c>
      <c r="C1919" s="56" t="s">
        <v>859</v>
      </c>
      <c r="D1919" s="57" t="s">
        <v>860</v>
      </c>
      <c r="E1919" s="55" t="s">
        <v>861</v>
      </c>
      <c r="F1919" s="58" t="s">
        <v>887</v>
      </c>
    </row>
    <row r="1920">
      <c r="A1920" s="59">
        <v>45019.0</v>
      </c>
      <c r="B1920" s="50" t="s">
        <v>746</v>
      </c>
      <c r="C1920" s="51" t="s">
        <v>859</v>
      </c>
      <c r="D1920" s="52" t="s">
        <v>860</v>
      </c>
      <c r="E1920" s="50" t="s">
        <v>861</v>
      </c>
      <c r="F1920" s="53" t="s">
        <v>887</v>
      </c>
    </row>
    <row r="1921">
      <c r="A1921" s="54">
        <v>45020.0</v>
      </c>
      <c r="B1921" s="55" t="s">
        <v>748</v>
      </c>
      <c r="C1921" s="56" t="s">
        <v>859</v>
      </c>
      <c r="D1921" s="57" t="s">
        <v>860</v>
      </c>
      <c r="E1921" s="55" t="s">
        <v>861</v>
      </c>
      <c r="F1921" s="58" t="s">
        <v>887</v>
      </c>
    </row>
    <row r="1922">
      <c r="A1922" s="59">
        <v>45021.0</v>
      </c>
      <c r="B1922" s="50" t="s">
        <v>750</v>
      </c>
      <c r="C1922" s="51" t="s">
        <v>859</v>
      </c>
      <c r="D1922" s="52" t="s">
        <v>860</v>
      </c>
      <c r="E1922" s="50" t="s">
        <v>861</v>
      </c>
      <c r="F1922" s="53" t="s">
        <v>887</v>
      </c>
    </row>
    <row r="1923">
      <c r="A1923" s="54">
        <v>45022.0</v>
      </c>
      <c r="B1923" s="55" t="s">
        <v>752</v>
      </c>
      <c r="C1923" s="56" t="s">
        <v>859</v>
      </c>
      <c r="D1923" s="57" t="s">
        <v>860</v>
      </c>
      <c r="E1923" s="55" t="s">
        <v>861</v>
      </c>
      <c r="F1923" s="58" t="s">
        <v>887</v>
      </c>
    </row>
    <row r="1924">
      <c r="A1924" s="59">
        <v>45023.0</v>
      </c>
      <c r="B1924" s="50" t="s">
        <v>753</v>
      </c>
      <c r="C1924" s="51" t="s">
        <v>859</v>
      </c>
      <c r="D1924" s="52" t="s">
        <v>860</v>
      </c>
      <c r="E1924" s="50" t="s">
        <v>861</v>
      </c>
      <c r="F1924" s="53" t="s">
        <v>887</v>
      </c>
    </row>
    <row r="1925">
      <c r="A1925" s="54">
        <v>45024.0</v>
      </c>
      <c r="B1925" s="55" t="s">
        <v>754</v>
      </c>
      <c r="C1925" s="56" t="s">
        <v>859</v>
      </c>
      <c r="D1925" s="57" t="s">
        <v>860</v>
      </c>
      <c r="E1925" s="55" t="s">
        <v>861</v>
      </c>
      <c r="F1925" s="58" t="s">
        <v>887</v>
      </c>
    </row>
    <row r="1926">
      <c r="A1926" s="59">
        <v>45025.0</v>
      </c>
      <c r="B1926" s="50" t="s">
        <v>755</v>
      </c>
      <c r="C1926" s="51" t="s">
        <v>859</v>
      </c>
      <c r="D1926" s="52" t="s">
        <v>860</v>
      </c>
      <c r="E1926" s="50" t="s">
        <v>861</v>
      </c>
      <c r="F1926" s="53" t="s">
        <v>887</v>
      </c>
    </row>
    <row r="1927">
      <c r="A1927" s="54">
        <v>45026.0</v>
      </c>
      <c r="B1927" s="55" t="s">
        <v>756</v>
      </c>
      <c r="C1927" s="56" t="s">
        <v>859</v>
      </c>
      <c r="D1927" s="57" t="s">
        <v>860</v>
      </c>
      <c r="E1927" s="55" t="s">
        <v>861</v>
      </c>
      <c r="F1927" s="58" t="s">
        <v>887</v>
      </c>
    </row>
    <row r="1928">
      <c r="A1928" s="59">
        <v>45027.0</v>
      </c>
      <c r="B1928" s="50" t="s">
        <v>758</v>
      </c>
      <c r="C1928" s="51" t="s">
        <v>859</v>
      </c>
      <c r="D1928" s="52" t="s">
        <v>860</v>
      </c>
      <c r="E1928" s="50" t="s">
        <v>861</v>
      </c>
      <c r="F1928" s="53" t="s">
        <v>887</v>
      </c>
    </row>
    <row r="1929">
      <c r="A1929" s="54">
        <v>45028.0</v>
      </c>
      <c r="B1929" s="55" t="s">
        <v>759</v>
      </c>
      <c r="C1929" s="56" t="s">
        <v>859</v>
      </c>
      <c r="D1929" s="57" t="s">
        <v>860</v>
      </c>
      <c r="E1929" s="55" t="s">
        <v>861</v>
      </c>
      <c r="F1929" s="58" t="s">
        <v>887</v>
      </c>
    </row>
    <row r="1930">
      <c r="A1930" s="59">
        <v>45029.0</v>
      </c>
      <c r="B1930" s="50" t="s">
        <v>760</v>
      </c>
      <c r="C1930" s="51" t="s">
        <v>859</v>
      </c>
      <c r="D1930" s="52" t="s">
        <v>860</v>
      </c>
      <c r="E1930" s="50" t="s">
        <v>861</v>
      </c>
      <c r="F1930" s="53" t="s">
        <v>887</v>
      </c>
    </row>
    <row r="1931">
      <c r="A1931" s="54">
        <v>45030.0</v>
      </c>
      <c r="B1931" s="55" t="s">
        <v>761</v>
      </c>
      <c r="C1931" s="56" t="s">
        <v>859</v>
      </c>
      <c r="D1931" s="57" t="s">
        <v>860</v>
      </c>
      <c r="E1931" s="55" t="s">
        <v>861</v>
      </c>
      <c r="F1931" s="58" t="s">
        <v>887</v>
      </c>
    </row>
    <row r="1932">
      <c r="A1932" s="59">
        <v>45031.0</v>
      </c>
      <c r="B1932" s="50" t="s">
        <v>762</v>
      </c>
      <c r="C1932" s="51" t="s">
        <v>859</v>
      </c>
      <c r="D1932" s="52" t="s">
        <v>860</v>
      </c>
      <c r="E1932" s="50" t="s">
        <v>861</v>
      </c>
      <c r="F1932" s="53" t="s">
        <v>887</v>
      </c>
    </row>
    <row r="1933">
      <c r="A1933" s="54">
        <v>45032.0</v>
      </c>
      <c r="B1933" s="55" t="s">
        <v>763</v>
      </c>
      <c r="C1933" s="56" t="s">
        <v>859</v>
      </c>
      <c r="D1933" s="57" t="s">
        <v>860</v>
      </c>
      <c r="E1933" s="55" t="s">
        <v>861</v>
      </c>
      <c r="F1933" s="58" t="s">
        <v>887</v>
      </c>
    </row>
    <row r="1934">
      <c r="A1934" s="59">
        <v>45033.0</v>
      </c>
      <c r="B1934" s="50" t="s">
        <v>764</v>
      </c>
      <c r="C1934" s="51" t="s">
        <v>859</v>
      </c>
      <c r="D1934" s="52" t="s">
        <v>860</v>
      </c>
      <c r="E1934" s="50" t="s">
        <v>861</v>
      </c>
      <c r="F1934" s="53" t="s">
        <v>887</v>
      </c>
    </row>
    <row r="1935">
      <c r="A1935" s="54">
        <v>45034.0</v>
      </c>
      <c r="B1935" s="55" t="s">
        <v>765</v>
      </c>
      <c r="C1935" s="56" t="s">
        <v>859</v>
      </c>
      <c r="D1935" s="57" t="s">
        <v>860</v>
      </c>
      <c r="E1935" s="55" t="s">
        <v>861</v>
      </c>
      <c r="F1935" s="58" t="s">
        <v>887</v>
      </c>
    </row>
    <row r="1936">
      <c r="A1936" s="59">
        <v>45035.0</v>
      </c>
      <c r="B1936" s="50" t="s">
        <v>743</v>
      </c>
      <c r="C1936" s="51" t="s">
        <v>859</v>
      </c>
      <c r="D1936" s="52" t="s">
        <v>860</v>
      </c>
      <c r="E1936" s="50" t="s">
        <v>861</v>
      </c>
      <c r="F1936" s="53" t="s">
        <v>887</v>
      </c>
    </row>
    <row r="1937">
      <c r="A1937" s="54">
        <v>45036.0</v>
      </c>
      <c r="B1937" s="55" t="s">
        <v>766</v>
      </c>
      <c r="C1937" s="56" t="s">
        <v>859</v>
      </c>
      <c r="D1937" s="57" t="s">
        <v>860</v>
      </c>
      <c r="E1937" s="55" t="s">
        <v>861</v>
      </c>
      <c r="F1937" s="58" t="s">
        <v>887</v>
      </c>
    </row>
    <row r="1938">
      <c r="A1938" s="59">
        <v>45037.0</v>
      </c>
      <c r="B1938" s="50" t="s">
        <v>745</v>
      </c>
      <c r="C1938" s="51" t="s">
        <v>859</v>
      </c>
      <c r="D1938" s="52" t="s">
        <v>860</v>
      </c>
      <c r="E1938" s="50" t="s">
        <v>861</v>
      </c>
      <c r="F1938" s="53" t="s">
        <v>887</v>
      </c>
    </row>
    <row r="1939">
      <c r="A1939" s="54">
        <v>45038.0</v>
      </c>
      <c r="B1939" s="55" t="s">
        <v>767</v>
      </c>
      <c r="C1939" s="56" t="s">
        <v>859</v>
      </c>
      <c r="D1939" s="57" t="s">
        <v>860</v>
      </c>
      <c r="E1939" s="55" t="s">
        <v>861</v>
      </c>
      <c r="F1939" s="58" t="s">
        <v>887</v>
      </c>
    </row>
    <row r="1940">
      <c r="A1940" s="59">
        <v>45039.0</v>
      </c>
      <c r="B1940" s="50" t="s">
        <v>768</v>
      </c>
      <c r="C1940" s="51" t="s">
        <v>859</v>
      </c>
      <c r="D1940" s="52" t="s">
        <v>860</v>
      </c>
      <c r="E1940" s="50" t="s">
        <v>861</v>
      </c>
      <c r="F1940" s="53" t="s">
        <v>887</v>
      </c>
    </row>
    <row r="1941">
      <c r="A1941" s="54">
        <v>45040.0</v>
      </c>
      <c r="B1941" s="55" t="s">
        <v>747</v>
      </c>
      <c r="C1941" s="56" t="s">
        <v>859</v>
      </c>
      <c r="D1941" s="57" t="s">
        <v>860</v>
      </c>
      <c r="E1941" s="55" t="s">
        <v>861</v>
      </c>
      <c r="F1941" s="58" t="s">
        <v>887</v>
      </c>
    </row>
    <row r="1942">
      <c r="A1942" s="59">
        <v>45041.0</v>
      </c>
      <c r="B1942" s="50" t="s">
        <v>769</v>
      </c>
      <c r="C1942" s="51" t="s">
        <v>859</v>
      </c>
      <c r="D1942" s="52" t="s">
        <v>860</v>
      </c>
      <c r="E1942" s="50" t="s">
        <v>861</v>
      </c>
      <c r="F1942" s="53" t="s">
        <v>887</v>
      </c>
    </row>
    <row r="1943">
      <c r="A1943" s="54">
        <v>45042.0</v>
      </c>
      <c r="B1943" s="55" t="s">
        <v>770</v>
      </c>
      <c r="C1943" s="56" t="s">
        <v>859</v>
      </c>
      <c r="D1943" s="57" t="s">
        <v>860</v>
      </c>
      <c r="E1943" s="55" t="s">
        <v>861</v>
      </c>
      <c r="F1943" s="58" t="s">
        <v>887</v>
      </c>
    </row>
    <row r="1944">
      <c r="A1944" s="59">
        <v>45043.0</v>
      </c>
      <c r="B1944" s="50" t="s">
        <v>749</v>
      </c>
      <c r="C1944" s="51" t="s">
        <v>859</v>
      </c>
      <c r="D1944" s="52" t="s">
        <v>860</v>
      </c>
      <c r="E1944" s="50" t="s">
        <v>861</v>
      </c>
      <c r="F1944" s="53" t="s">
        <v>887</v>
      </c>
    </row>
    <row r="1945">
      <c r="A1945" s="54">
        <v>45044.0</v>
      </c>
      <c r="B1945" s="55" t="s">
        <v>771</v>
      </c>
      <c r="C1945" s="56" t="s">
        <v>859</v>
      </c>
      <c r="D1945" s="57" t="s">
        <v>860</v>
      </c>
      <c r="E1945" s="55" t="s">
        <v>861</v>
      </c>
      <c r="F1945" s="58" t="s">
        <v>887</v>
      </c>
    </row>
    <row r="1946">
      <c r="A1946" s="59">
        <v>45045.0</v>
      </c>
      <c r="B1946" s="50" t="s">
        <v>772</v>
      </c>
      <c r="C1946" s="51" t="s">
        <v>859</v>
      </c>
      <c r="D1946" s="52" t="s">
        <v>860</v>
      </c>
      <c r="E1946" s="50" t="s">
        <v>861</v>
      </c>
      <c r="F1946" s="53" t="s">
        <v>887</v>
      </c>
    </row>
    <row r="1947">
      <c r="A1947" s="54">
        <v>45046.0</v>
      </c>
      <c r="B1947" s="55" t="s">
        <v>773</v>
      </c>
      <c r="C1947" s="56" t="s">
        <v>859</v>
      </c>
      <c r="D1947" s="57" t="s">
        <v>860</v>
      </c>
      <c r="E1947" s="55" t="s">
        <v>861</v>
      </c>
      <c r="F1947" s="58" t="s">
        <v>887</v>
      </c>
    </row>
    <row r="1948">
      <c r="A1948" s="59">
        <v>45047.0</v>
      </c>
      <c r="B1948" s="50" t="s">
        <v>742</v>
      </c>
      <c r="C1948" s="51" t="s">
        <v>862</v>
      </c>
      <c r="D1948" s="52" t="s">
        <v>863</v>
      </c>
      <c r="E1948" s="50" t="s">
        <v>864</v>
      </c>
      <c r="F1948" s="53" t="s">
        <v>887</v>
      </c>
    </row>
    <row r="1949">
      <c r="A1949" s="54">
        <v>45048.0</v>
      </c>
      <c r="B1949" s="55" t="s">
        <v>744</v>
      </c>
      <c r="C1949" s="56" t="s">
        <v>862</v>
      </c>
      <c r="D1949" s="57" t="s">
        <v>863</v>
      </c>
      <c r="E1949" s="55" t="s">
        <v>864</v>
      </c>
      <c r="F1949" s="58" t="s">
        <v>887</v>
      </c>
    </row>
    <row r="1950">
      <c r="A1950" s="59">
        <v>45049.0</v>
      </c>
      <c r="B1950" s="50" t="s">
        <v>746</v>
      </c>
      <c r="C1950" s="51" t="s">
        <v>862</v>
      </c>
      <c r="D1950" s="52" t="s">
        <v>863</v>
      </c>
      <c r="E1950" s="50" t="s">
        <v>864</v>
      </c>
      <c r="F1950" s="53" t="s">
        <v>887</v>
      </c>
    </row>
    <row r="1951">
      <c r="A1951" s="54">
        <v>45050.0</v>
      </c>
      <c r="B1951" s="55" t="s">
        <v>748</v>
      </c>
      <c r="C1951" s="56" t="s">
        <v>862</v>
      </c>
      <c r="D1951" s="57" t="s">
        <v>863</v>
      </c>
      <c r="E1951" s="55" t="s">
        <v>864</v>
      </c>
      <c r="F1951" s="58" t="s">
        <v>887</v>
      </c>
    </row>
    <row r="1952">
      <c r="A1952" s="59">
        <v>45051.0</v>
      </c>
      <c r="B1952" s="50" t="s">
        <v>750</v>
      </c>
      <c r="C1952" s="51" t="s">
        <v>862</v>
      </c>
      <c r="D1952" s="52" t="s">
        <v>863</v>
      </c>
      <c r="E1952" s="50" t="s">
        <v>864</v>
      </c>
      <c r="F1952" s="53" t="s">
        <v>887</v>
      </c>
    </row>
    <row r="1953">
      <c r="A1953" s="54">
        <v>45052.0</v>
      </c>
      <c r="B1953" s="55" t="s">
        <v>752</v>
      </c>
      <c r="C1953" s="56" t="s">
        <v>862</v>
      </c>
      <c r="D1953" s="57" t="s">
        <v>863</v>
      </c>
      <c r="E1953" s="55" t="s">
        <v>864</v>
      </c>
      <c r="F1953" s="58" t="s">
        <v>887</v>
      </c>
    </row>
    <row r="1954">
      <c r="A1954" s="59">
        <v>45053.0</v>
      </c>
      <c r="B1954" s="50" t="s">
        <v>753</v>
      </c>
      <c r="C1954" s="51" t="s">
        <v>862</v>
      </c>
      <c r="D1954" s="52" t="s">
        <v>863</v>
      </c>
      <c r="E1954" s="50" t="s">
        <v>864</v>
      </c>
      <c r="F1954" s="53" t="s">
        <v>887</v>
      </c>
    </row>
    <row r="1955">
      <c r="A1955" s="54">
        <v>45054.0</v>
      </c>
      <c r="B1955" s="55" t="s">
        <v>754</v>
      </c>
      <c r="C1955" s="56" t="s">
        <v>862</v>
      </c>
      <c r="D1955" s="57" t="s">
        <v>863</v>
      </c>
      <c r="E1955" s="55" t="s">
        <v>864</v>
      </c>
      <c r="F1955" s="58" t="s">
        <v>887</v>
      </c>
    </row>
    <row r="1956">
      <c r="A1956" s="59">
        <v>45055.0</v>
      </c>
      <c r="B1956" s="50" t="s">
        <v>755</v>
      </c>
      <c r="C1956" s="51" t="s">
        <v>862</v>
      </c>
      <c r="D1956" s="52" t="s">
        <v>863</v>
      </c>
      <c r="E1956" s="50" t="s">
        <v>864</v>
      </c>
      <c r="F1956" s="53" t="s">
        <v>887</v>
      </c>
    </row>
    <row r="1957">
      <c r="A1957" s="54">
        <v>45056.0</v>
      </c>
      <c r="B1957" s="55" t="s">
        <v>756</v>
      </c>
      <c r="C1957" s="56" t="s">
        <v>862</v>
      </c>
      <c r="D1957" s="57" t="s">
        <v>863</v>
      </c>
      <c r="E1957" s="55" t="s">
        <v>864</v>
      </c>
      <c r="F1957" s="58" t="s">
        <v>887</v>
      </c>
    </row>
    <row r="1958">
      <c r="A1958" s="59">
        <v>45057.0</v>
      </c>
      <c r="B1958" s="50" t="s">
        <v>758</v>
      </c>
      <c r="C1958" s="51" t="s">
        <v>862</v>
      </c>
      <c r="D1958" s="52" t="s">
        <v>863</v>
      </c>
      <c r="E1958" s="50" t="s">
        <v>864</v>
      </c>
      <c r="F1958" s="53" t="s">
        <v>887</v>
      </c>
    </row>
    <row r="1959">
      <c r="A1959" s="54">
        <v>45058.0</v>
      </c>
      <c r="B1959" s="55" t="s">
        <v>759</v>
      </c>
      <c r="C1959" s="56" t="s">
        <v>862</v>
      </c>
      <c r="D1959" s="57" t="s">
        <v>863</v>
      </c>
      <c r="E1959" s="55" t="s">
        <v>864</v>
      </c>
      <c r="F1959" s="58" t="s">
        <v>887</v>
      </c>
    </row>
    <row r="1960">
      <c r="A1960" s="59">
        <v>45059.0</v>
      </c>
      <c r="B1960" s="50" t="s">
        <v>760</v>
      </c>
      <c r="C1960" s="51" t="s">
        <v>862</v>
      </c>
      <c r="D1960" s="52" t="s">
        <v>863</v>
      </c>
      <c r="E1960" s="50" t="s">
        <v>864</v>
      </c>
      <c r="F1960" s="53" t="s">
        <v>887</v>
      </c>
    </row>
    <row r="1961">
      <c r="A1961" s="54">
        <v>45060.0</v>
      </c>
      <c r="B1961" s="55" t="s">
        <v>761</v>
      </c>
      <c r="C1961" s="56" t="s">
        <v>862</v>
      </c>
      <c r="D1961" s="57" t="s">
        <v>863</v>
      </c>
      <c r="E1961" s="55" t="s">
        <v>864</v>
      </c>
      <c r="F1961" s="58" t="s">
        <v>887</v>
      </c>
    </row>
    <row r="1962">
      <c r="A1962" s="59">
        <v>45061.0</v>
      </c>
      <c r="B1962" s="50" t="s">
        <v>762</v>
      </c>
      <c r="C1962" s="51" t="s">
        <v>862</v>
      </c>
      <c r="D1962" s="52" t="s">
        <v>863</v>
      </c>
      <c r="E1962" s="50" t="s">
        <v>864</v>
      </c>
      <c r="F1962" s="53" t="s">
        <v>887</v>
      </c>
    </row>
    <row r="1963">
      <c r="A1963" s="54">
        <v>45062.0</v>
      </c>
      <c r="B1963" s="55" t="s">
        <v>763</v>
      </c>
      <c r="C1963" s="56" t="s">
        <v>862</v>
      </c>
      <c r="D1963" s="57" t="s">
        <v>863</v>
      </c>
      <c r="E1963" s="55" t="s">
        <v>864</v>
      </c>
      <c r="F1963" s="58" t="s">
        <v>887</v>
      </c>
    </row>
    <row r="1964">
      <c r="A1964" s="59">
        <v>45063.0</v>
      </c>
      <c r="B1964" s="50" t="s">
        <v>764</v>
      </c>
      <c r="C1964" s="51" t="s">
        <v>862</v>
      </c>
      <c r="D1964" s="52" t="s">
        <v>863</v>
      </c>
      <c r="E1964" s="50" t="s">
        <v>864</v>
      </c>
      <c r="F1964" s="53" t="s">
        <v>887</v>
      </c>
    </row>
    <row r="1965">
      <c r="A1965" s="54">
        <v>45064.0</v>
      </c>
      <c r="B1965" s="55" t="s">
        <v>765</v>
      </c>
      <c r="C1965" s="56" t="s">
        <v>862</v>
      </c>
      <c r="D1965" s="57" t="s">
        <v>863</v>
      </c>
      <c r="E1965" s="55" t="s">
        <v>864</v>
      </c>
      <c r="F1965" s="58" t="s">
        <v>887</v>
      </c>
    </row>
    <row r="1966">
      <c r="A1966" s="59">
        <v>45065.0</v>
      </c>
      <c r="B1966" s="50" t="s">
        <v>743</v>
      </c>
      <c r="C1966" s="51" t="s">
        <v>862</v>
      </c>
      <c r="D1966" s="52" t="s">
        <v>863</v>
      </c>
      <c r="E1966" s="50" t="s">
        <v>864</v>
      </c>
      <c r="F1966" s="53" t="s">
        <v>887</v>
      </c>
    </row>
    <row r="1967">
      <c r="A1967" s="54">
        <v>45066.0</v>
      </c>
      <c r="B1967" s="55" t="s">
        <v>766</v>
      </c>
      <c r="C1967" s="56" t="s">
        <v>862</v>
      </c>
      <c r="D1967" s="57" t="s">
        <v>863</v>
      </c>
      <c r="E1967" s="55" t="s">
        <v>864</v>
      </c>
      <c r="F1967" s="58" t="s">
        <v>887</v>
      </c>
    </row>
    <row r="1968">
      <c r="A1968" s="59">
        <v>45067.0</v>
      </c>
      <c r="B1968" s="50" t="s">
        <v>745</v>
      </c>
      <c r="C1968" s="51" t="s">
        <v>862</v>
      </c>
      <c r="D1968" s="52" t="s">
        <v>863</v>
      </c>
      <c r="E1968" s="50" t="s">
        <v>864</v>
      </c>
      <c r="F1968" s="53" t="s">
        <v>887</v>
      </c>
    </row>
    <row r="1969">
      <c r="A1969" s="54">
        <v>45068.0</v>
      </c>
      <c r="B1969" s="55" t="s">
        <v>767</v>
      </c>
      <c r="C1969" s="56" t="s">
        <v>862</v>
      </c>
      <c r="D1969" s="57" t="s">
        <v>863</v>
      </c>
      <c r="E1969" s="55" t="s">
        <v>864</v>
      </c>
      <c r="F1969" s="58" t="s">
        <v>887</v>
      </c>
    </row>
    <row r="1970">
      <c r="A1970" s="59">
        <v>45069.0</v>
      </c>
      <c r="B1970" s="50" t="s">
        <v>768</v>
      </c>
      <c r="C1970" s="51" t="s">
        <v>862</v>
      </c>
      <c r="D1970" s="52" t="s">
        <v>863</v>
      </c>
      <c r="E1970" s="50" t="s">
        <v>864</v>
      </c>
      <c r="F1970" s="53" t="s">
        <v>887</v>
      </c>
    </row>
    <row r="1971">
      <c r="A1971" s="54">
        <v>45070.0</v>
      </c>
      <c r="B1971" s="55" t="s">
        <v>747</v>
      </c>
      <c r="C1971" s="56" t="s">
        <v>862</v>
      </c>
      <c r="D1971" s="57" t="s">
        <v>863</v>
      </c>
      <c r="E1971" s="55" t="s">
        <v>864</v>
      </c>
      <c r="F1971" s="58" t="s">
        <v>887</v>
      </c>
    </row>
    <row r="1972">
      <c r="A1972" s="59">
        <v>45071.0</v>
      </c>
      <c r="B1972" s="50" t="s">
        <v>769</v>
      </c>
      <c r="C1972" s="51" t="s">
        <v>862</v>
      </c>
      <c r="D1972" s="52" t="s">
        <v>863</v>
      </c>
      <c r="E1972" s="50" t="s">
        <v>864</v>
      </c>
      <c r="F1972" s="53" t="s">
        <v>887</v>
      </c>
    </row>
    <row r="1973">
      <c r="A1973" s="54">
        <v>45072.0</v>
      </c>
      <c r="B1973" s="55" t="s">
        <v>770</v>
      </c>
      <c r="C1973" s="56" t="s">
        <v>862</v>
      </c>
      <c r="D1973" s="57" t="s">
        <v>863</v>
      </c>
      <c r="E1973" s="55" t="s">
        <v>864</v>
      </c>
      <c r="F1973" s="58" t="s">
        <v>887</v>
      </c>
    </row>
    <row r="1974">
      <c r="A1974" s="59">
        <v>45073.0</v>
      </c>
      <c r="B1974" s="50" t="s">
        <v>749</v>
      </c>
      <c r="C1974" s="51" t="s">
        <v>862</v>
      </c>
      <c r="D1974" s="52" t="s">
        <v>863</v>
      </c>
      <c r="E1974" s="50" t="s">
        <v>864</v>
      </c>
      <c r="F1974" s="53" t="s">
        <v>887</v>
      </c>
    </row>
    <row r="1975">
      <c r="A1975" s="54">
        <v>45074.0</v>
      </c>
      <c r="B1975" s="55" t="s">
        <v>771</v>
      </c>
      <c r="C1975" s="56" t="s">
        <v>862</v>
      </c>
      <c r="D1975" s="57" t="s">
        <v>863</v>
      </c>
      <c r="E1975" s="55" t="s">
        <v>864</v>
      </c>
      <c r="F1975" s="58" t="s">
        <v>887</v>
      </c>
    </row>
    <row r="1976">
      <c r="A1976" s="59">
        <v>45075.0</v>
      </c>
      <c r="B1976" s="50" t="s">
        <v>772</v>
      </c>
      <c r="C1976" s="51" t="s">
        <v>862</v>
      </c>
      <c r="D1976" s="52" t="s">
        <v>863</v>
      </c>
      <c r="E1976" s="50" t="s">
        <v>864</v>
      </c>
      <c r="F1976" s="53" t="s">
        <v>887</v>
      </c>
    </row>
    <row r="1977">
      <c r="A1977" s="54">
        <v>45076.0</v>
      </c>
      <c r="B1977" s="55" t="s">
        <v>773</v>
      </c>
      <c r="C1977" s="56" t="s">
        <v>862</v>
      </c>
      <c r="D1977" s="57" t="s">
        <v>863</v>
      </c>
      <c r="E1977" s="55" t="s">
        <v>864</v>
      </c>
      <c r="F1977" s="58" t="s">
        <v>887</v>
      </c>
    </row>
    <row r="1978">
      <c r="A1978" s="59">
        <v>45077.0</v>
      </c>
      <c r="B1978" s="50" t="s">
        <v>774</v>
      </c>
      <c r="C1978" s="51" t="s">
        <v>862</v>
      </c>
      <c r="D1978" s="52" t="s">
        <v>863</v>
      </c>
      <c r="E1978" s="50" t="s">
        <v>864</v>
      </c>
      <c r="F1978" s="53" t="s">
        <v>887</v>
      </c>
    </row>
    <row r="1979">
      <c r="A1979" s="54">
        <v>45078.0</v>
      </c>
      <c r="B1979" s="55" t="s">
        <v>742</v>
      </c>
      <c r="C1979" s="56" t="s">
        <v>865</v>
      </c>
      <c r="D1979" s="57" t="s">
        <v>866</v>
      </c>
      <c r="E1979" s="55" t="s">
        <v>867</v>
      </c>
      <c r="F1979" s="58" t="s">
        <v>887</v>
      </c>
    </row>
    <row r="1980">
      <c r="A1980" s="59">
        <v>45079.0</v>
      </c>
      <c r="B1980" s="50" t="s">
        <v>744</v>
      </c>
      <c r="C1980" s="51" t="s">
        <v>865</v>
      </c>
      <c r="D1980" s="52" t="s">
        <v>866</v>
      </c>
      <c r="E1980" s="50" t="s">
        <v>867</v>
      </c>
      <c r="F1980" s="53" t="s">
        <v>887</v>
      </c>
    </row>
    <row r="1981">
      <c r="A1981" s="54">
        <v>45080.0</v>
      </c>
      <c r="B1981" s="55" t="s">
        <v>746</v>
      </c>
      <c r="C1981" s="56" t="s">
        <v>865</v>
      </c>
      <c r="D1981" s="57" t="s">
        <v>866</v>
      </c>
      <c r="E1981" s="55" t="s">
        <v>867</v>
      </c>
      <c r="F1981" s="58" t="s">
        <v>887</v>
      </c>
    </row>
    <row r="1982">
      <c r="A1982" s="59">
        <v>45081.0</v>
      </c>
      <c r="B1982" s="50" t="s">
        <v>748</v>
      </c>
      <c r="C1982" s="51" t="s">
        <v>865</v>
      </c>
      <c r="D1982" s="52" t="s">
        <v>866</v>
      </c>
      <c r="E1982" s="50" t="s">
        <v>867</v>
      </c>
      <c r="F1982" s="53" t="s">
        <v>887</v>
      </c>
    </row>
    <row r="1983">
      <c r="A1983" s="54">
        <v>45082.0</v>
      </c>
      <c r="B1983" s="55" t="s">
        <v>750</v>
      </c>
      <c r="C1983" s="56" t="s">
        <v>865</v>
      </c>
      <c r="D1983" s="57" t="s">
        <v>866</v>
      </c>
      <c r="E1983" s="55" t="s">
        <v>867</v>
      </c>
      <c r="F1983" s="58" t="s">
        <v>887</v>
      </c>
    </row>
    <row r="1984">
      <c r="A1984" s="59">
        <v>45083.0</v>
      </c>
      <c r="B1984" s="50" t="s">
        <v>752</v>
      </c>
      <c r="C1984" s="51" t="s">
        <v>865</v>
      </c>
      <c r="D1984" s="52" t="s">
        <v>866</v>
      </c>
      <c r="E1984" s="50" t="s">
        <v>867</v>
      </c>
      <c r="F1984" s="53" t="s">
        <v>887</v>
      </c>
    </row>
    <row r="1985">
      <c r="A1985" s="54">
        <v>45084.0</v>
      </c>
      <c r="B1985" s="55" t="s">
        <v>753</v>
      </c>
      <c r="C1985" s="56" t="s">
        <v>865</v>
      </c>
      <c r="D1985" s="57" t="s">
        <v>866</v>
      </c>
      <c r="E1985" s="55" t="s">
        <v>867</v>
      </c>
      <c r="F1985" s="58" t="s">
        <v>887</v>
      </c>
    </row>
    <row r="1986">
      <c r="A1986" s="59">
        <v>45085.0</v>
      </c>
      <c r="B1986" s="50" t="s">
        <v>754</v>
      </c>
      <c r="C1986" s="51" t="s">
        <v>865</v>
      </c>
      <c r="D1986" s="52" t="s">
        <v>866</v>
      </c>
      <c r="E1986" s="50" t="s">
        <v>867</v>
      </c>
      <c r="F1986" s="53" t="s">
        <v>887</v>
      </c>
    </row>
    <row r="1987">
      <c r="A1987" s="54">
        <v>45086.0</v>
      </c>
      <c r="B1987" s="55" t="s">
        <v>755</v>
      </c>
      <c r="C1987" s="56" t="s">
        <v>865</v>
      </c>
      <c r="D1987" s="57" t="s">
        <v>866</v>
      </c>
      <c r="E1987" s="55" t="s">
        <v>867</v>
      </c>
      <c r="F1987" s="58" t="s">
        <v>887</v>
      </c>
    </row>
    <row r="1988">
      <c r="A1988" s="59">
        <v>45087.0</v>
      </c>
      <c r="B1988" s="50" t="s">
        <v>756</v>
      </c>
      <c r="C1988" s="51" t="s">
        <v>865</v>
      </c>
      <c r="D1988" s="52" t="s">
        <v>866</v>
      </c>
      <c r="E1988" s="50" t="s">
        <v>867</v>
      </c>
      <c r="F1988" s="53" t="s">
        <v>887</v>
      </c>
    </row>
    <row r="1989">
      <c r="A1989" s="54">
        <v>45088.0</v>
      </c>
      <c r="B1989" s="55" t="s">
        <v>758</v>
      </c>
      <c r="C1989" s="56" t="s">
        <v>865</v>
      </c>
      <c r="D1989" s="57" t="s">
        <v>866</v>
      </c>
      <c r="E1989" s="55" t="s">
        <v>867</v>
      </c>
      <c r="F1989" s="58" t="s">
        <v>887</v>
      </c>
    </row>
    <row r="1990">
      <c r="A1990" s="59">
        <v>45089.0</v>
      </c>
      <c r="B1990" s="50" t="s">
        <v>759</v>
      </c>
      <c r="C1990" s="51" t="s">
        <v>865</v>
      </c>
      <c r="D1990" s="52" t="s">
        <v>866</v>
      </c>
      <c r="E1990" s="50" t="s">
        <v>867</v>
      </c>
      <c r="F1990" s="53" t="s">
        <v>887</v>
      </c>
    </row>
    <row r="1991">
      <c r="A1991" s="54">
        <v>45090.0</v>
      </c>
      <c r="B1991" s="55" t="s">
        <v>760</v>
      </c>
      <c r="C1991" s="56" t="s">
        <v>865</v>
      </c>
      <c r="D1991" s="57" t="s">
        <v>866</v>
      </c>
      <c r="E1991" s="55" t="s">
        <v>867</v>
      </c>
      <c r="F1991" s="58" t="s">
        <v>887</v>
      </c>
    </row>
    <row r="1992">
      <c r="A1992" s="59">
        <v>45091.0</v>
      </c>
      <c r="B1992" s="50" t="s">
        <v>761</v>
      </c>
      <c r="C1992" s="51" t="s">
        <v>865</v>
      </c>
      <c r="D1992" s="52" t="s">
        <v>866</v>
      </c>
      <c r="E1992" s="50" t="s">
        <v>867</v>
      </c>
      <c r="F1992" s="53" t="s">
        <v>887</v>
      </c>
    </row>
    <row r="1993">
      <c r="A1993" s="54">
        <v>45092.0</v>
      </c>
      <c r="B1993" s="55" t="s">
        <v>762</v>
      </c>
      <c r="C1993" s="56" t="s">
        <v>865</v>
      </c>
      <c r="D1993" s="57" t="s">
        <v>866</v>
      </c>
      <c r="E1993" s="55" t="s">
        <v>867</v>
      </c>
      <c r="F1993" s="58" t="s">
        <v>887</v>
      </c>
    </row>
    <row r="1994">
      <c r="A1994" s="59">
        <v>45093.0</v>
      </c>
      <c r="B1994" s="50" t="s">
        <v>763</v>
      </c>
      <c r="C1994" s="51" t="s">
        <v>865</v>
      </c>
      <c r="D1994" s="52" t="s">
        <v>866</v>
      </c>
      <c r="E1994" s="50" t="s">
        <v>867</v>
      </c>
      <c r="F1994" s="53" t="s">
        <v>887</v>
      </c>
    </row>
    <row r="1995">
      <c r="A1995" s="54">
        <v>45094.0</v>
      </c>
      <c r="B1995" s="55" t="s">
        <v>764</v>
      </c>
      <c r="C1995" s="56" t="s">
        <v>865</v>
      </c>
      <c r="D1995" s="57" t="s">
        <v>866</v>
      </c>
      <c r="E1995" s="55" t="s">
        <v>867</v>
      </c>
      <c r="F1995" s="58" t="s">
        <v>887</v>
      </c>
    </row>
    <row r="1996">
      <c r="A1996" s="59">
        <v>45095.0</v>
      </c>
      <c r="B1996" s="50" t="s">
        <v>765</v>
      </c>
      <c r="C1996" s="51" t="s">
        <v>865</v>
      </c>
      <c r="D1996" s="52" t="s">
        <v>866</v>
      </c>
      <c r="E1996" s="50" t="s">
        <v>867</v>
      </c>
      <c r="F1996" s="53" t="s">
        <v>887</v>
      </c>
    </row>
    <row r="1997">
      <c r="A1997" s="54">
        <v>45096.0</v>
      </c>
      <c r="B1997" s="55" t="s">
        <v>743</v>
      </c>
      <c r="C1997" s="56" t="s">
        <v>865</v>
      </c>
      <c r="D1997" s="57" t="s">
        <v>866</v>
      </c>
      <c r="E1997" s="55" t="s">
        <v>867</v>
      </c>
      <c r="F1997" s="58" t="s">
        <v>887</v>
      </c>
    </row>
    <row r="1998">
      <c r="A1998" s="59">
        <v>45097.0</v>
      </c>
      <c r="B1998" s="50" t="s">
        <v>766</v>
      </c>
      <c r="C1998" s="51" t="s">
        <v>865</v>
      </c>
      <c r="D1998" s="52" t="s">
        <v>866</v>
      </c>
      <c r="E1998" s="50" t="s">
        <v>867</v>
      </c>
      <c r="F1998" s="53" t="s">
        <v>887</v>
      </c>
    </row>
    <row r="1999">
      <c r="A1999" s="54">
        <v>45098.0</v>
      </c>
      <c r="B1999" s="55" t="s">
        <v>745</v>
      </c>
      <c r="C1999" s="56" t="s">
        <v>865</v>
      </c>
      <c r="D1999" s="57" t="s">
        <v>866</v>
      </c>
      <c r="E1999" s="55" t="s">
        <v>867</v>
      </c>
      <c r="F1999" s="58" t="s">
        <v>887</v>
      </c>
    </row>
    <row r="2000">
      <c r="A2000" s="59">
        <v>45099.0</v>
      </c>
      <c r="B2000" s="50" t="s">
        <v>767</v>
      </c>
      <c r="C2000" s="51" t="s">
        <v>865</v>
      </c>
      <c r="D2000" s="52" t="s">
        <v>866</v>
      </c>
      <c r="E2000" s="50" t="s">
        <v>867</v>
      </c>
      <c r="F2000" s="53" t="s">
        <v>887</v>
      </c>
    </row>
    <row r="2001">
      <c r="A2001" s="54">
        <v>45100.0</v>
      </c>
      <c r="B2001" s="55" t="s">
        <v>768</v>
      </c>
      <c r="C2001" s="56" t="s">
        <v>865</v>
      </c>
      <c r="D2001" s="57" t="s">
        <v>866</v>
      </c>
      <c r="E2001" s="55" t="s">
        <v>867</v>
      </c>
      <c r="F2001" s="58" t="s">
        <v>887</v>
      </c>
    </row>
    <row r="2002">
      <c r="A2002" s="59">
        <v>45101.0</v>
      </c>
      <c r="B2002" s="50" t="s">
        <v>747</v>
      </c>
      <c r="C2002" s="51" t="s">
        <v>865</v>
      </c>
      <c r="D2002" s="52" t="s">
        <v>866</v>
      </c>
      <c r="E2002" s="50" t="s">
        <v>867</v>
      </c>
      <c r="F2002" s="53" t="s">
        <v>887</v>
      </c>
    </row>
    <row r="2003">
      <c r="A2003" s="54">
        <v>45102.0</v>
      </c>
      <c r="B2003" s="55" t="s">
        <v>769</v>
      </c>
      <c r="C2003" s="56" t="s">
        <v>865</v>
      </c>
      <c r="D2003" s="57" t="s">
        <v>866</v>
      </c>
      <c r="E2003" s="55" t="s">
        <v>867</v>
      </c>
      <c r="F2003" s="58" t="s">
        <v>887</v>
      </c>
    </row>
    <row r="2004">
      <c r="A2004" s="59">
        <v>45103.0</v>
      </c>
      <c r="B2004" s="50" t="s">
        <v>770</v>
      </c>
      <c r="C2004" s="51" t="s">
        <v>865</v>
      </c>
      <c r="D2004" s="52" t="s">
        <v>866</v>
      </c>
      <c r="E2004" s="50" t="s">
        <v>867</v>
      </c>
      <c r="F2004" s="53" t="s">
        <v>887</v>
      </c>
    </row>
    <row r="2005">
      <c r="A2005" s="54">
        <v>45104.0</v>
      </c>
      <c r="B2005" s="55" t="s">
        <v>749</v>
      </c>
      <c r="C2005" s="56" t="s">
        <v>865</v>
      </c>
      <c r="D2005" s="57" t="s">
        <v>866</v>
      </c>
      <c r="E2005" s="55" t="s">
        <v>867</v>
      </c>
      <c r="F2005" s="58" t="s">
        <v>887</v>
      </c>
    </row>
    <row r="2006">
      <c r="A2006" s="59">
        <v>45105.0</v>
      </c>
      <c r="B2006" s="50" t="s">
        <v>771</v>
      </c>
      <c r="C2006" s="51" t="s">
        <v>865</v>
      </c>
      <c r="D2006" s="52" t="s">
        <v>866</v>
      </c>
      <c r="E2006" s="50" t="s">
        <v>867</v>
      </c>
      <c r="F2006" s="53" t="s">
        <v>887</v>
      </c>
    </row>
    <row r="2007">
      <c r="A2007" s="54">
        <v>45106.0</v>
      </c>
      <c r="B2007" s="55" t="s">
        <v>772</v>
      </c>
      <c r="C2007" s="56" t="s">
        <v>865</v>
      </c>
      <c r="D2007" s="57" t="s">
        <v>866</v>
      </c>
      <c r="E2007" s="55" t="s">
        <v>867</v>
      </c>
      <c r="F2007" s="58" t="s">
        <v>887</v>
      </c>
    </row>
    <row r="2008">
      <c r="A2008" s="59">
        <v>45107.0</v>
      </c>
      <c r="B2008" s="50" t="s">
        <v>773</v>
      </c>
      <c r="C2008" s="51" t="s">
        <v>865</v>
      </c>
      <c r="D2008" s="52" t="s">
        <v>866</v>
      </c>
      <c r="E2008" s="50" t="s">
        <v>867</v>
      </c>
      <c r="F2008" s="53" t="s">
        <v>887</v>
      </c>
    </row>
    <row r="2009">
      <c r="A2009" s="54">
        <v>45108.0</v>
      </c>
      <c r="B2009" s="55" t="s">
        <v>742</v>
      </c>
      <c r="C2009" s="56" t="s">
        <v>868</v>
      </c>
      <c r="D2009" s="57" t="s">
        <v>869</v>
      </c>
      <c r="E2009" s="55" t="s">
        <v>870</v>
      </c>
      <c r="F2009" s="58" t="s">
        <v>887</v>
      </c>
    </row>
    <row r="2010">
      <c r="A2010" s="59">
        <v>45109.0</v>
      </c>
      <c r="B2010" s="50" t="s">
        <v>744</v>
      </c>
      <c r="C2010" s="51" t="s">
        <v>868</v>
      </c>
      <c r="D2010" s="52" t="s">
        <v>869</v>
      </c>
      <c r="E2010" s="50" t="s">
        <v>870</v>
      </c>
      <c r="F2010" s="53" t="s">
        <v>887</v>
      </c>
    </row>
    <row r="2011">
      <c r="A2011" s="54">
        <v>45110.0</v>
      </c>
      <c r="B2011" s="55" t="s">
        <v>746</v>
      </c>
      <c r="C2011" s="56" t="s">
        <v>868</v>
      </c>
      <c r="D2011" s="57" t="s">
        <v>869</v>
      </c>
      <c r="E2011" s="55" t="s">
        <v>870</v>
      </c>
      <c r="F2011" s="58" t="s">
        <v>887</v>
      </c>
    </row>
    <row r="2012">
      <c r="A2012" s="59">
        <v>45111.0</v>
      </c>
      <c r="B2012" s="50" t="s">
        <v>748</v>
      </c>
      <c r="C2012" s="51" t="s">
        <v>868</v>
      </c>
      <c r="D2012" s="52" t="s">
        <v>869</v>
      </c>
      <c r="E2012" s="50" t="s">
        <v>870</v>
      </c>
      <c r="F2012" s="53" t="s">
        <v>887</v>
      </c>
    </row>
    <row r="2013">
      <c r="A2013" s="54">
        <v>45112.0</v>
      </c>
      <c r="B2013" s="55" t="s">
        <v>750</v>
      </c>
      <c r="C2013" s="56" t="s">
        <v>868</v>
      </c>
      <c r="D2013" s="57" t="s">
        <v>869</v>
      </c>
      <c r="E2013" s="55" t="s">
        <v>870</v>
      </c>
      <c r="F2013" s="58" t="s">
        <v>887</v>
      </c>
    </row>
    <row r="2014">
      <c r="A2014" s="59">
        <v>45113.0</v>
      </c>
      <c r="B2014" s="50" t="s">
        <v>752</v>
      </c>
      <c r="C2014" s="51" t="s">
        <v>868</v>
      </c>
      <c r="D2014" s="52" t="s">
        <v>869</v>
      </c>
      <c r="E2014" s="50" t="s">
        <v>870</v>
      </c>
      <c r="F2014" s="53" t="s">
        <v>887</v>
      </c>
    </row>
    <row r="2015">
      <c r="A2015" s="54">
        <v>45114.0</v>
      </c>
      <c r="B2015" s="55" t="s">
        <v>753</v>
      </c>
      <c r="C2015" s="56" t="s">
        <v>868</v>
      </c>
      <c r="D2015" s="57" t="s">
        <v>869</v>
      </c>
      <c r="E2015" s="55" t="s">
        <v>870</v>
      </c>
      <c r="F2015" s="58" t="s">
        <v>887</v>
      </c>
    </row>
    <row r="2016">
      <c r="A2016" s="59">
        <v>45115.0</v>
      </c>
      <c r="B2016" s="50" t="s">
        <v>754</v>
      </c>
      <c r="C2016" s="51" t="s">
        <v>868</v>
      </c>
      <c r="D2016" s="52" t="s">
        <v>869</v>
      </c>
      <c r="E2016" s="50" t="s">
        <v>870</v>
      </c>
      <c r="F2016" s="53" t="s">
        <v>887</v>
      </c>
    </row>
    <row r="2017">
      <c r="A2017" s="54">
        <v>45116.0</v>
      </c>
      <c r="B2017" s="55" t="s">
        <v>755</v>
      </c>
      <c r="C2017" s="56" t="s">
        <v>868</v>
      </c>
      <c r="D2017" s="57" t="s">
        <v>869</v>
      </c>
      <c r="E2017" s="55" t="s">
        <v>870</v>
      </c>
      <c r="F2017" s="58" t="s">
        <v>887</v>
      </c>
    </row>
    <row r="2018">
      <c r="A2018" s="59">
        <v>45117.0</v>
      </c>
      <c r="B2018" s="50" t="s">
        <v>756</v>
      </c>
      <c r="C2018" s="51" t="s">
        <v>868</v>
      </c>
      <c r="D2018" s="52" t="s">
        <v>869</v>
      </c>
      <c r="E2018" s="50" t="s">
        <v>870</v>
      </c>
      <c r="F2018" s="53" t="s">
        <v>887</v>
      </c>
    </row>
    <row r="2019">
      <c r="A2019" s="54">
        <v>45118.0</v>
      </c>
      <c r="B2019" s="55" t="s">
        <v>758</v>
      </c>
      <c r="C2019" s="56" t="s">
        <v>868</v>
      </c>
      <c r="D2019" s="57" t="s">
        <v>869</v>
      </c>
      <c r="E2019" s="55" t="s">
        <v>870</v>
      </c>
      <c r="F2019" s="58" t="s">
        <v>887</v>
      </c>
    </row>
    <row r="2020">
      <c r="A2020" s="59">
        <v>45119.0</v>
      </c>
      <c r="B2020" s="50" t="s">
        <v>759</v>
      </c>
      <c r="C2020" s="51" t="s">
        <v>868</v>
      </c>
      <c r="D2020" s="52" t="s">
        <v>869</v>
      </c>
      <c r="E2020" s="50" t="s">
        <v>870</v>
      </c>
      <c r="F2020" s="53" t="s">
        <v>887</v>
      </c>
    </row>
    <row r="2021">
      <c r="A2021" s="54">
        <v>45120.0</v>
      </c>
      <c r="B2021" s="55" t="s">
        <v>760</v>
      </c>
      <c r="C2021" s="56" t="s">
        <v>868</v>
      </c>
      <c r="D2021" s="57" t="s">
        <v>869</v>
      </c>
      <c r="E2021" s="55" t="s">
        <v>870</v>
      </c>
      <c r="F2021" s="58" t="s">
        <v>887</v>
      </c>
    </row>
    <row r="2022">
      <c r="A2022" s="59">
        <v>45121.0</v>
      </c>
      <c r="B2022" s="50" t="s">
        <v>761</v>
      </c>
      <c r="C2022" s="51" t="s">
        <v>868</v>
      </c>
      <c r="D2022" s="52" t="s">
        <v>869</v>
      </c>
      <c r="E2022" s="50" t="s">
        <v>870</v>
      </c>
      <c r="F2022" s="53" t="s">
        <v>887</v>
      </c>
    </row>
    <row r="2023">
      <c r="A2023" s="54">
        <v>45122.0</v>
      </c>
      <c r="B2023" s="55" t="s">
        <v>762</v>
      </c>
      <c r="C2023" s="56" t="s">
        <v>868</v>
      </c>
      <c r="D2023" s="57" t="s">
        <v>869</v>
      </c>
      <c r="E2023" s="55" t="s">
        <v>870</v>
      </c>
      <c r="F2023" s="58" t="s">
        <v>887</v>
      </c>
    </row>
    <row r="2024">
      <c r="A2024" s="59">
        <v>45123.0</v>
      </c>
      <c r="B2024" s="50" t="s">
        <v>763</v>
      </c>
      <c r="C2024" s="51" t="s">
        <v>868</v>
      </c>
      <c r="D2024" s="52" t="s">
        <v>869</v>
      </c>
      <c r="E2024" s="50" t="s">
        <v>870</v>
      </c>
      <c r="F2024" s="53" t="s">
        <v>887</v>
      </c>
    </row>
    <row r="2025">
      <c r="A2025" s="54">
        <v>45124.0</v>
      </c>
      <c r="B2025" s="55" t="s">
        <v>764</v>
      </c>
      <c r="C2025" s="56" t="s">
        <v>868</v>
      </c>
      <c r="D2025" s="57" t="s">
        <v>869</v>
      </c>
      <c r="E2025" s="55" t="s">
        <v>870</v>
      </c>
      <c r="F2025" s="58" t="s">
        <v>887</v>
      </c>
    </row>
    <row r="2026">
      <c r="A2026" s="59">
        <v>45125.0</v>
      </c>
      <c r="B2026" s="50" t="s">
        <v>765</v>
      </c>
      <c r="C2026" s="51" t="s">
        <v>868</v>
      </c>
      <c r="D2026" s="52" t="s">
        <v>869</v>
      </c>
      <c r="E2026" s="50" t="s">
        <v>870</v>
      </c>
      <c r="F2026" s="53" t="s">
        <v>887</v>
      </c>
    </row>
    <row r="2027">
      <c r="A2027" s="54">
        <v>45126.0</v>
      </c>
      <c r="B2027" s="55" t="s">
        <v>743</v>
      </c>
      <c r="C2027" s="56" t="s">
        <v>868</v>
      </c>
      <c r="D2027" s="57" t="s">
        <v>869</v>
      </c>
      <c r="E2027" s="55" t="s">
        <v>870</v>
      </c>
      <c r="F2027" s="58" t="s">
        <v>887</v>
      </c>
    </row>
    <row r="2028">
      <c r="A2028" s="59">
        <v>45127.0</v>
      </c>
      <c r="B2028" s="50" t="s">
        <v>766</v>
      </c>
      <c r="C2028" s="51" t="s">
        <v>868</v>
      </c>
      <c r="D2028" s="52" t="s">
        <v>869</v>
      </c>
      <c r="E2028" s="50" t="s">
        <v>870</v>
      </c>
      <c r="F2028" s="53" t="s">
        <v>887</v>
      </c>
    </row>
    <row r="2029">
      <c r="A2029" s="54">
        <v>45128.0</v>
      </c>
      <c r="B2029" s="55" t="s">
        <v>745</v>
      </c>
      <c r="C2029" s="56" t="s">
        <v>868</v>
      </c>
      <c r="D2029" s="57" t="s">
        <v>869</v>
      </c>
      <c r="E2029" s="55" t="s">
        <v>870</v>
      </c>
      <c r="F2029" s="58" t="s">
        <v>887</v>
      </c>
    </row>
    <row r="2030">
      <c r="A2030" s="59">
        <v>45129.0</v>
      </c>
      <c r="B2030" s="50" t="s">
        <v>767</v>
      </c>
      <c r="C2030" s="51" t="s">
        <v>868</v>
      </c>
      <c r="D2030" s="52" t="s">
        <v>869</v>
      </c>
      <c r="E2030" s="50" t="s">
        <v>870</v>
      </c>
      <c r="F2030" s="53" t="s">
        <v>887</v>
      </c>
    </row>
    <row r="2031">
      <c r="A2031" s="54">
        <v>45130.0</v>
      </c>
      <c r="B2031" s="55" t="s">
        <v>768</v>
      </c>
      <c r="C2031" s="56" t="s">
        <v>868</v>
      </c>
      <c r="D2031" s="57" t="s">
        <v>869</v>
      </c>
      <c r="E2031" s="55" t="s">
        <v>870</v>
      </c>
      <c r="F2031" s="58" t="s">
        <v>887</v>
      </c>
    </row>
    <row r="2032">
      <c r="A2032" s="59">
        <v>45131.0</v>
      </c>
      <c r="B2032" s="50" t="s">
        <v>747</v>
      </c>
      <c r="C2032" s="51" t="s">
        <v>868</v>
      </c>
      <c r="D2032" s="52" t="s">
        <v>869</v>
      </c>
      <c r="E2032" s="50" t="s">
        <v>870</v>
      </c>
      <c r="F2032" s="53" t="s">
        <v>887</v>
      </c>
    </row>
    <row r="2033">
      <c r="A2033" s="54">
        <v>45132.0</v>
      </c>
      <c r="B2033" s="55" t="s">
        <v>769</v>
      </c>
      <c r="C2033" s="56" t="s">
        <v>868</v>
      </c>
      <c r="D2033" s="57" t="s">
        <v>869</v>
      </c>
      <c r="E2033" s="55" t="s">
        <v>870</v>
      </c>
      <c r="F2033" s="58" t="s">
        <v>887</v>
      </c>
    </row>
    <row r="2034">
      <c r="A2034" s="59">
        <v>45133.0</v>
      </c>
      <c r="B2034" s="50" t="s">
        <v>770</v>
      </c>
      <c r="C2034" s="51" t="s">
        <v>868</v>
      </c>
      <c r="D2034" s="52" t="s">
        <v>869</v>
      </c>
      <c r="E2034" s="50" t="s">
        <v>870</v>
      </c>
      <c r="F2034" s="53" t="s">
        <v>887</v>
      </c>
    </row>
    <row r="2035">
      <c r="A2035" s="54">
        <v>45134.0</v>
      </c>
      <c r="B2035" s="55" t="s">
        <v>749</v>
      </c>
      <c r="C2035" s="56" t="s">
        <v>868</v>
      </c>
      <c r="D2035" s="57" t="s">
        <v>869</v>
      </c>
      <c r="E2035" s="55" t="s">
        <v>870</v>
      </c>
      <c r="F2035" s="58" t="s">
        <v>887</v>
      </c>
    </row>
    <row r="2036">
      <c r="A2036" s="59">
        <v>45135.0</v>
      </c>
      <c r="B2036" s="50" t="s">
        <v>771</v>
      </c>
      <c r="C2036" s="51" t="s">
        <v>868</v>
      </c>
      <c r="D2036" s="52" t="s">
        <v>869</v>
      </c>
      <c r="E2036" s="50" t="s">
        <v>870</v>
      </c>
      <c r="F2036" s="53" t="s">
        <v>887</v>
      </c>
    </row>
    <row r="2037">
      <c r="A2037" s="54">
        <v>45136.0</v>
      </c>
      <c r="B2037" s="55" t="s">
        <v>772</v>
      </c>
      <c r="C2037" s="56" t="s">
        <v>868</v>
      </c>
      <c r="D2037" s="57" t="s">
        <v>869</v>
      </c>
      <c r="E2037" s="55" t="s">
        <v>870</v>
      </c>
      <c r="F2037" s="58" t="s">
        <v>887</v>
      </c>
    </row>
    <row r="2038">
      <c r="A2038" s="59">
        <v>45137.0</v>
      </c>
      <c r="B2038" s="50" t="s">
        <v>773</v>
      </c>
      <c r="C2038" s="51" t="s">
        <v>868</v>
      </c>
      <c r="D2038" s="52" t="s">
        <v>869</v>
      </c>
      <c r="E2038" s="50" t="s">
        <v>870</v>
      </c>
      <c r="F2038" s="53" t="s">
        <v>887</v>
      </c>
    </row>
    <row r="2039">
      <c r="A2039" s="54">
        <v>45138.0</v>
      </c>
      <c r="B2039" s="55" t="s">
        <v>774</v>
      </c>
      <c r="C2039" s="56" t="s">
        <v>868</v>
      </c>
      <c r="D2039" s="57" t="s">
        <v>869</v>
      </c>
      <c r="E2039" s="55" t="s">
        <v>870</v>
      </c>
      <c r="F2039" s="58" t="s">
        <v>887</v>
      </c>
    </row>
    <row r="2040">
      <c r="A2040" s="59">
        <v>45139.0</v>
      </c>
      <c r="B2040" s="50" t="s">
        <v>742</v>
      </c>
      <c r="C2040" s="51" t="s">
        <v>871</v>
      </c>
      <c r="D2040" s="52" t="s">
        <v>872</v>
      </c>
      <c r="E2040" s="50" t="s">
        <v>873</v>
      </c>
      <c r="F2040" s="53" t="s">
        <v>887</v>
      </c>
    </row>
    <row r="2041">
      <c r="A2041" s="54">
        <v>45140.0</v>
      </c>
      <c r="B2041" s="55" t="s">
        <v>744</v>
      </c>
      <c r="C2041" s="56" t="s">
        <v>871</v>
      </c>
      <c r="D2041" s="57" t="s">
        <v>872</v>
      </c>
      <c r="E2041" s="55" t="s">
        <v>873</v>
      </c>
      <c r="F2041" s="58" t="s">
        <v>887</v>
      </c>
    </row>
    <row r="2042">
      <c r="A2042" s="59">
        <v>45141.0</v>
      </c>
      <c r="B2042" s="50" t="s">
        <v>746</v>
      </c>
      <c r="C2042" s="51" t="s">
        <v>871</v>
      </c>
      <c r="D2042" s="52" t="s">
        <v>872</v>
      </c>
      <c r="E2042" s="50" t="s">
        <v>873</v>
      </c>
      <c r="F2042" s="53" t="s">
        <v>887</v>
      </c>
    </row>
    <row r="2043">
      <c r="A2043" s="54">
        <v>45142.0</v>
      </c>
      <c r="B2043" s="55" t="s">
        <v>748</v>
      </c>
      <c r="C2043" s="56" t="s">
        <v>871</v>
      </c>
      <c r="D2043" s="57" t="s">
        <v>872</v>
      </c>
      <c r="E2043" s="55" t="s">
        <v>873</v>
      </c>
      <c r="F2043" s="58" t="s">
        <v>887</v>
      </c>
    </row>
    <row r="2044">
      <c r="A2044" s="59">
        <v>45143.0</v>
      </c>
      <c r="B2044" s="50" t="s">
        <v>750</v>
      </c>
      <c r="C2044" s="51" t="s">
        <v>871</v>
      </c>
      <c r="D2044" s="52" t="s">
        <v>872</v>
      </c>
      <c r="E2044" s="50" t="s">
        <v>873</v>
      </c>
      <c r="F2044" s="53" t="s">
        <v>887</v>
      </c>
    </row>
    <row r="2045">
      <c r="A2045" s="54">
        <v>45144.0</v>
      </c>
      <c r="B2045" s="55" t="s">
        <v>752</v>
      </c>
      <c r="C2045" s="56" t="s">
        <v>871</v>
      </c>
      <c r="D2045" s="57" t="s">
        <v>872</v>
      </c>
      <c r="E2045" s="55" t="s">
        <v>873</v>
      </c>
      <c r="F2045" s="58" t="s">
        <v>887</v>
      </c>
    </row>
    <row r="2046">
      <c r="A2046" s="59">
        <v>45145.0</v>
      </c>
      <c r="B2046" s="50" t="s">
        <v>753</v>
      </c>
      <c r="C2046" s="51" t="s">
        <v>871</v>
      </c>
      <c r="D2046" s="52" t="s">
        <v>872</v>
      </c>
      <c r="E2046" s="50" t="s">
        <v>873</v>
      </c>
      <c r="F2046" s="53" t="s">
        <v>887</v>
      </c>
    </row>
    <row r="2047">
      <c r="A2047" s="54">
        <v>45146.0</v>
      </c>
      <c r="B2047" s="55" t="s">
        <v>754</v>
      </c>
      <c r="C2047" s="56" t="s">
        <v>871</v>
      </c>
      <c r="D2047" s="57" t="s">
        <v>872</v>
      </c>
      <c r="E2047" s="55" t="s">
        <v>873</v>
      </c>
      <c r="F2047" s="58" t="s">
        <v>887</v>
      </c>
    </row>
    <row r="2048">
      <c r="A2048" s="59">
        <v>45147.0</v>
      </c>
      <c r="B2048" s="50" t="s">
        <v>755</v>
      </c>
      <c r="C2048" s="51" t="s">
        <v>871</v>
      </c>
      <c r="D2048" s="52" t="s">
        <v>872</v>
      </c>
      <c r="E2048" s="50" t="s">
        <v>873</v>
      </c>
      <c r="F2048" s="53" t="s">
        <v>887</v>
      </c>
    </row>
    <row r="2049">
      <c r="A2049" s="54">
        <v>45148.0</v>
      </c>
      <c r="B2049" s="55" t="s">
        <v>756</v>
      </c>
      <c r="C2049" s="56" t="s">
        <v>871</v>
      </c>
      <c r="D2049" s="57" t="s">
        <v>872</v>
      </c>
      <c r="E2049" s="55" t="s">
        <v>873</v>
      </c>
      <c r="F2049" s="58" t="s">
        <v>887</v>
      </c>
    </row>
    <row r="2050">
      <c r="A2050" s="59">
        <v>45149.0</v>
      </c>
      <c r="B2050" s="50" t="s">
        <v>758</v>
      </c>
      <c r="C2050" s="51" t="s">
        <v>871</v>
      </c>
      <c r="D2050" s="52" t="s">
        <v>872</v>
      </c>
      <c r="E2050" s="50" t="s">
        <v>873</v>
      </c>
      <c r="F2050" s="53" t="s">
        <v>887</v>
      </c>
    </row>
    <row r="2051">
      <c r="A2051" s="54">
        <v>45150.0</v>
      </c>
      <c r="B2051" s="55" t="s">
        <v>759</v>
      </c>
      <c r="C2051" s="56" t="s">
        <v>871</v>
      </c>
      <c r="D2051" s="57" t="s">
        <v>872</v>
      </c>
      <c r="E2051" s="55" t="s">
        <v>873</v>
      </c>
      <c r="F2051" s="58" t="s">
        <v>887</v>
      </c>
    </row>
    <row r="2052">
      <c r="A2052" s="59">
        <v>45151.0</v>
      </c>
      <c r="B2052" s="50" t="s">
        <v>760</v>
      </c>
      <c r="C2052" s="51" t="s">
        <v>871</v>
      </c>
      <c r="D2052" s="52" t="s">
        <v>872</v>
      </c>
      <c r="E2052" s="50" t="s">
        <v>873</v>
      </c>
      <c r="F2052" s="53" t="s">
        <v>887</v>
      </c>
    </row>
    <row r="2053">
      <c r="A2053" s="54">
        <v>45152.0</v>
      </c>
      <c r="B2053" s="55" t="s">
        <v>761</v>
      </c>
      <c r="C2053" s="56" t="s">
        <v>871</v>
      </c>
      <c r="D2053" s="57" t="s">
        <v>872</v>
      </c>
      <c r="E2053" s="55" t="s">
        <v>873</v>
      </c>
      <c r="F2053" s="58" t="s">
        <v>887</v>
      </c>
    </row>
    <row r="2054">
      <c r="A2054" s="59">
        <v>45153.0</v>
      </c>
      <c r="B2054" s="50" t="s">
        <v>762</v>
      </c>
      <c r="C2054" s="51" t="s">
        <v>871</v>
      </c>
      <c r="D2054" s="52" t="s">
        <v>872</v>
      </c>
      <c r="E2054" s="50" t="s">
        <v>873</v>
      </c>
      <c r="F2054" s="53" t="s">
        <v>887</v>
      </c>
    </row>
    <row r="2055">
      <c r="A2055" s="54">
        <v>45154.0</v>
      </c>
      <c r="B2055" s="55" t="s">
        <v>763</v>
      </c>
      <c r="C2055" s="56" t="s">
        <v>871</v>
      </c>
      <c r="D2055" s="57" t="s">
        <v>872</v>
      </c>
      <c r="E2055" s="55" t="s">
        <v>873</v>
      </c>
      <c r="F2055" s="58" t="s">
        <v>887</v>
      </c>
    </row>
    <row r="2056">
      <c r="A2056" s="59">
        <v>45155.0</v>
      </c>
      <c r="B2056" s="50" t="s">
        <v>764</v>
      </c>
      <c r="C2056" s="51" t="s">
        <v>871</v>
      </c>
      <c r="D2056" s="52" t="s">
        <v>872</v>
      </c>
      <c r="E2056" s="50" t="s">
        <v>873</v>
      </c>
      <c r="F2056" s="53" t="s">
        <v>887</v>
      </c>
    </row>
    <row r="2057">
      <c r="A2057" s="54">
        <v>45156.0</v>
      </c>
      <c r="B2057" s="55" t="s">
        <v>765</v>
      </c>
      <c r="C2057" s="56" t="s">
        <v>871</v>
      </c>
      <c r="D2057" s="57" t="s">
        <v>872</v>
      </c>
      <c r="E2057" s="55" t="s">
        <v>873</v>
      </c>
      <c r="F2057" s="58" t="s">
        <v>887</v>
      </c>
    </row>
    <row r="2058">
      <c r="A2058" s="59">
        <v>45157.0</v>
      </c>
      <c r="B2058" s="50" t="s">
        <v>743</v>
      </c>
      <c r="C2058" s="51" t="s">
        <v>871</v>
      </c>
      <c r="D2058" s="52" t="s">
        <v>872</v>
      </c>
      <c r="E2058" s="50" t="s">
        <v>873</v>
      </c>
      <c r="F2058" s="53" t="s">
        <v>887</v>
      </c>
    </row>
    <row r="2059">
      <c r="A2059" s="54">
        <v>45158.0</v>
      </c>
      <c r="B2059" s="55" t="s">
        <v>766</v>
      </c>
      <c r="C2059" s="56" t="s">
        <v>871</v>
      </c>
      <c r="D2059" s="57" t="s">
        <v>872</v>
      </c>
      <c r="E2059" s="55" t="s">
        <v>873</v>
      </c>
      <c r="F2059" s="58" t="s">
        <v>887</v>
      </c>
    </row>
    <row r="2060">
      <c r="A2060" s="59">
        <v>45159.0</v>
      </c>
      <c r="B2060" s="50" t="s">
        <v>745</v>
      </c>
      <c r="C2060" s="51" t="s">
        <v>871</v>
      </c>
      <c r="D2060" s="52" t="s">
        <v>872</v>
      </c>
      <c r="E2060" s="50" t="s">
        <v>873</v>
      </c>
      <c r="F2060" s="53" t="s">
        <v>887</v>
      </c>
    </row>
    <row r="2061">
      <c r="A2061" s="54">
        <v>45160.0</v>
      </c>
      <c r="B2061" s="55" t="s">
        <v>767</v>
      </c>
      <c r="C2061" s="56" t="s">
        <v>871</v>
      </c>
      <c r="D2061" s="57" t="s">
        <v>872</v>
      </c>
      <c r="E2061" s="55" t="s">
        <v>873</v>
      </c>
      <c r="F2061" s="58" t="s">
        <v>887</v>
      </c>
    </row>
    <row r="2062">
      <c r="A2062" s="59">
        <v>45161.0</v>
      </c>
      <c r="B2062" s="50" t="s">
        <v>768</v>
      </c>
      <c r="C2062" s="51" t="s">
        <v>871</v>
      </c>
      <c r="D2062" s="52" t="s">
        <v>872</v>
      </c>
      <c r="E2062" s="50" t="s">
        <v>873</v>
      </c>
      <c r="F2062" s="53" t="s">
        <v>887</v>
      </c>
    </row>
    <row r="2063">
      <c r="A2063" s="54">
        <v>45162.0</v>
      </c>
      <c r="B2063" s="55" t="s">
        <v>747</v>
      </c>
      <c r="C2063" s="56" t="s">
        <v>871</v>
      </c>
      <c r="D2063" s="57" t="s">
        <v>872</v>
      </c>
      <c r="E2063" s="55" t="s">
        <v>873</v>
      </c>
      <c r="F2063" s="58" t="s">
        <v>887</v>
      </c>
    </row>
    <row r="2064">
      <c r="A2064" s="59">
        <v>45163.0</v>
      </c>
      <c r="B2064" s="50" t="s">
        <v>769</v>
      </c>
      <c r="C2064" s="51" t="s">
        <v>871</v>
      </c>
      <c r="D2064" s="52" t="s">
        <v>872</v>
      </c>
      <c r="E2064" s="50" t="s">
        <v>873</v>
      </c>
      <c r="F2064" s="53" t="s">
        <v>887</v>
      </c>
    </row>
    <row r="2065">
      <c r="A2065" s="54">
        <v>45164.0</v>
      </c>
      <c r="B2065" s="55" t="s">
        <v>770</v>
      </c>
      <c r="C2065" s="56" t="s">
        <v>871</v>
      </c>
      <c r="D2065" s="57" t="s">
        <v>872</v>
      </c>
      <c r="E2065" s="55" t="s">
        <v>873</v>
      </c>
      <c r="F2065" s="58" t="s">
        <v>887</v>
      </c>
    </row>
    <row r="2066">
      <c r="A2066" s="59">
        <v>45165.0</v>
      </c>
      <c r="B2066" s="50" t="s">
        <v>749</v>
      </c>
      <c r="C2066" s="51" t="s">
        <v>871</v>
      </c>
      <c r="D2066" s="52" t="s">
        <v>872</v>
      </c>
      <c r="E2066" s="50" t="s">
        <v>873</v>
      </c>
      <c r="F2066" s="53" t="s">
        <v>887</v>
      </c>
    </row>
    <row r="2067">
      <c r="A2067" s="54">
        <v>45166.0</v>
      </c>
      <c r="B2067" s="55" t="s">
        <v>771</v>
      </c>
      <c r="C2067" s="56" t="s">
        <v>871</v>
      </c>
      <c r="D2067" s="57" t="s">
        <v>872</v>
      </c>
      <c r="E2067" s="55" t="s">
        <v>873</v>
      </c>
      <c r="F2067" s="58" t="s">
        <v>887</v>
      </c>
    </row>
    <row r="2068">
      <c r="A2068" s="59">
        <v>45167.0</v>
      </c>
      <c r="B2068" s="50" t="s">
        <v>772</v>
      </c>
      <c r="C2068" s="51" t="s">
        <v>871</v>
      </c>
      <c r="D2068" s="52" t="s">
        <v>872</v>
      </c>
      <c r="E2068" s="50" t="s">
        <v>873</v>
      </c>
      <c r="F2068" s="53" t="s">
        <v>887</v>
      </c>
    </row>
    <row r="2069">
      <c r="A2069" s="54">
        <v>45168.0</v>
      </c>
      <c r="B2069" s="55" t="s">
        <v>773</v>
      </c>
      <c r="C2069" s="56" t="s">
        <v>871</v>
      </c>
      <c r="D2069" s="57" t="s">
        <v>872</v>
      </c>
      <c r="E2069" s="55" t="s">
        <v>873</v>
      </c>
      <c r="F2069" s="58" t="s">
        <v>887</v>
      </c>
    </row>
    <row r="2070">
      <c r="A2070" s="59">
        <v>45169.0</v>
      </c>
      <c r="B2070" s="50" t="s">
        <v>774</v>
      </c>
      <c r="C2070" s="51" t="s">
        <v>871</v>
      </c>
      <c r="D2070" s="52" t="s">
        <v>872</v>
      </c>
      <c r="E2070" s="50" t="s">
        <v>873</v>
      </c>
      <c r="F2070" s="53" t="s">
        <v>887</v>
      </c>
    </row>
    <row r="2071">
      <c r="A2071" s="54">
        <v>45170.0</v>
      </c>
      <c r="B2071" s="55" t="s">
        <v>742</v>
      </c>
      <c r="C2071" s="56" t="s">
        <v>874</v>
      </c>
      <c r="D2071" s="57" t="s">
        <v>875</v>
      </c>
      <c r="E2071" s="55" t="s">
        <v>876</v>
      </c>
      <c r="F2071" s="58" t="s">
        <v>887</v>
      </c>
    </row>
    <row r="2072">
      <c r="A2072" s="59">
        <v>45171.0</v>
      </c>
      <c r="B2072" s="50" t="s">
        <v>744</v>
      </c>
      <c r="C2072" s="51" t="s">
        <v>874</v>
      </c>
      <c r="D2072" s="52" t="s">
        <v>875</v>
      </c>
      <c r="E2072" s="50" t="s">
        <v>876</v>
      </c>
      <c r="F2072" s="53" t="s">
        <v>887</v>
      </c>
    </row>
    <row r="2073">
      <c r="A2073" s="54">
        <v>45172.0</v>
      </c>
      <c r="B2073" s="55" t="s">
        <v>746</v>
      </c>
      <c r="C2073" s="56" t="s">
        <v>874</v>
      </c>
      <c r="D2073" s="57" t="s">
        <v>875</v>
      </c>
      <c r="E2073" s="55" t="s">
        <v>876</v>
      </c>
      <c r="F2073" s="58" t="s">
        <v>887</v>
      </c>
    </row>
    <row r="2074">
      <c r="A2074" s="59">
        <v>45173.0</v>
      </c>
      <c r="B2074" s="50" t="s">
        <v>748</v>
      </c>
      <c r="C2074" s="51" t="s">
        <v>874</v>
      </c>
      <c r="D2074" s="52" t="s">
        <v>875</v>
      </c>
      <c r="E2074" s="50" t="s">
        <v>876</v>
      </c>
      <c r="F2074" s="53" t="s">
        <v>887</v>
      </c>
    </row>
    <row r="2075">
      <c r="A2075" s="54">
        <v>45174.0</v>
      </c>
      <c r="B2075" s="55" t="s">
        <v>750</v>
      </c>
      <c r="C2075" s="56" t="s">
        <v>874</v>
      </c>
      <c r="D2075" s="57" t="s">
        <v>875</v>
      </c>
      <c r="E2075" s="55" t="s">
        <v>876</v>
      </c>
      <c r="F2075" s="58" t="s">
        <v>887</v>
      </c>
    </row>
    <row r="2076">
      <c r="A2076" s="59">
        <v>45175.0</v>
      </c>
      <c r="B2076" s="50" t="s">
        <v>752</v>
      </c>
      <c r="C2076" s="51" t="s">
        <v>874</v>
      </c>
      <c r="D2076" s="52" t="s">
        <v>875</v>
      </c>
      <c r="E2076" s="50" t="s">
        <v>876</v>
      </c>
      <c r="F2076" s="53" t="s">
        <v>887</v>
      </c>
    </row>
    <row r="2077">
      <c r="A2077" s="54">
        <v>45176.0</v>
      </c>
      <c r="B2077" s="55" t="s">
        <v>753</v>
      </c>
      <c r="C2077" s="56" t="s">
        <v>874</v>
      </c>
      <c r="D2077" s="57" t="s">
        <v>875</v>
      </c>
      <c r="E2077" s="55" t="s">
        <v>876</v>
      </c>
      <c r="F2077" s="58" t="s">
        <v>887</v>
      </c>
    </row>
    <row r="2078">
      <c r="A2078" s="59">
        <v>45177.0</v>
      </c>
      <c r="B2078" s="50" t="s">
        <v>754</v>
      </c>
      <c r="C2078" s="51" t="s">
        <v>874</v>
      </c>
      <c r="D2078" s="52" t="s">
        <v>875</v>
      </c>
      <c r="E2078" s="50" t="s">
        <v>876</v>
      </c>
      <c r="F2078" s="53" t="s">
        <v>887</v>
      </c>
    </row>
    <row r="2079">
      <c r="A2079" s="54">
        <v>45178.0</v>
      </c>
      <c r="B2079" s="55" t="s">
        <v>755</v>
      </c>
      <c r="C2079" s="56" t="s">
        <v>874</v>
      </c>
      <c r="D2079" s="57" t="s">
        <v>875</v>
      </c>
      <c r="E2079" s="55" t="s">
        <v>876</v>
      </c>
      <c r="F2079" s="58" t="s">
        <v>887</v>
      </c>
    </row>
    <row r="2080">
      <c r="A2080" s="59">
        <v>45179.0</v>
      </c>
      <c r="B2080" s="50" t="s">
        <v>756</v>
      </c>
      <c r="C2080" s="51" t="s">
        <v>874</v>
      </c>
      <c r="D2080" s="52" t="s">
        <v>875</v>
      </c>
      <c r="E2080" s="50" t="s">
        <v>876</v>
      </c>
      <c r="F2080" s="53" t="s">
        <v>887</v>
      </c>
    </row>
    <row r="2081">
      <c r="A2081" s="54">
        <v>45180.0</v>
      </c>
      <c r="B2081" s="55" t="s">
        <v>758</v>
      </c>
      <c r="C2081" s="56" t="s">
        <v>874</v>
      </c>
      <c r="D2081" s="57" t="s">
        <v>875</v>
      </c>
      <c r="E2081" s="55" t="s">
        <v>876</v>
      </c>
      <c r="F2081" s="58" t="s">
        <v>887</v>
      </c>
    </row>
    <row r="2082">
      <c r="A2082" s="59">
        <v>45181.0</v>
      </c>
      <c r="B2082" s="50" t="s">
        <v>759</v>
      </c>
      <c r="C2082" s="51" t="s">
        <v>874</v>
      </c>
      <c r="D2082" s="52" t="s">
        <v>875</v>
      </c>
      <c r="E2082" s="50" t="s">
        <v>876</v>
      </c>
      <c r="F2082" s="53" t="s">
        <v>887</v>
      </c>
    </row>
    <row r="2083">
      <c r="A2083" s="54">
        <v>45182.0</v>
      </c>
      <c r="B2083" s="55" t="s">
        <v>760</v>
      </c>
      <c r="C2083" s="56" t="s">
        <v>874</v>
      </c>
      <c r="D2083" s="57" t="s">
        <v>875</v>
      </c>
      <c r="E2083" s="55" t="s">
        <v>876</v>
      </c>
      <c r="F2083" s="58" t="s">
        <v>887</v>
      </c>
    </row>
    <row r="2084">
      <c r="A2084" s="59">
        <v>45183.0</v>
      </c>
      <c r="B2084" s="50" t="s">
        <v>761</v>
      </c>
      <c r="C2084" s="51" t="s">
        <v>874</v>
      </c>
      <c r="D2084" s="52" t="s">
        <v>875</v>
      </c>
      <c r="E2084" s="50" t="s">
        <v>876</v>
      </c>
      <c r="F2084" s="53" t="s">
        <v>887</v>
      </c>
    </row>
    <row r="2085">
      <c r="A2085" s="54">
        <v>45184.0</v>
      </c>
      <c r="B2085" s="55" t="s">
        <v>762</v>
      </c>
      <c r="C2085" s="56" t="s">
        <v>874</v>
      </c>
      <c r="D2085" s="57" t="s">
        <v>875</v>
      </c>
      <c r="E2085" s="55" t="s">
        <v>876</v>
      </c>
      <c r="F2085" s="58" t="s">
        <v>887</v>
      </c>
    </row>
    <row r="2086">
      <c r="A2086" s="59">
        <v>45185.0</v>
      </c>
      <c r="B2086" s="50" t="s">
        <v>763</v>
      </c>
      <c r="C2086" s="51" t="s">
        <v>874</v>
      </c>
      <c r="D2086" s="52" t="s">
        <v>875</v>
      </c>
      <c r="E2086" s="50" t="s">
        <v>876</v>
      </c>
      <c r="F2086" s="53" t="s">
        <v>887</v>
      </c>
    </row>
    <row r="2087">
      <c r="A2087" s="54">
        <v>45186.0</v>
      </c>
      <c r="B2087" s="55" t="s">
        <v>764</v>
      </c>
      <c r="C2087" s="56" t="s">
        <v>874</v>
      </c>
      <c r="D2087" s="57" t="s">
        <v>875</v>
      </c>
      <c r="E2087" s="55" t="s">
        <v>876</v>
      </c>
      <c r="F2087" s="58" t="s">
        <v>887</v>
      </c>
    </row>
    <row r="2088">
      <c r="A2088" s="59">
        <v>45187.0</v>
      </c>
      <c r="B2088" s="50" t="s">
        <v>765</v>
      </c>
      <c r="C2088" s="51" t="s">
        <v>874</v>
      </c>
      <c r="D2088" s="52" t="s">
        <v>875</v>
      </c>
      <c r="E2088" s="50" t="s">
        <v>876</v>
      </c>
      <c r="F2088" s="53" t="s">
        <v>887</v>
      </c>
    </row>
    <row r="2089">
      <c r="A2089" s="54">
        <v>45188.0</v>
      </c>
      <c r="B2089" s="55" t="s">
        <v>743</v>
      </c>
      <c r="C2089" s="56" t="s">
        <v>874</v>
      </c>
      <c r="D2089" s="57" t="s">
        <v>875</v>
      </c>
      <c r="E2089" s="55" t="s">
        <v>876</v>
      </c>
      <c r="F2089" s="58" t="s">
        <v>887</v>
      </c>
    </row>
    <row r="2090">
      <c r="A2090" s="59">
        <v>45189.0</v>
      </c>
      <c r="B2090" s="50" t="s">
        <v>766</v>
      </c>
      <c r="C2090" s="51" t="s">
        <v>874</v>
      </c>
      <c r="D2090" s="52" t="s">
        <v>875</v>
      </c>
      <c r="E2090" s="50" t="s">
        <v>876</v>
      </c>
      <c r="F2090" s="53" t="s">
        <v>887</v>
      </c>
    </row>
    <row r="2091">
      <c r="A2091" s="54">
        <v>45190.0</v>
      </c>
      <c r="B2091" s="55" t="s">
        <v>745</v>
      </c>
      <c r="C2091" s="56" t="s">
        <v>874</v>
      </c>
      <c r="D2091" s="57" t="s">
        <v>875</v>
      </c>
      <c r="E2091" s="55" t="s">
        <v>876</v>
      </c>
      <c r="F2091" s="58" t="s">
        <v>887</v>
      </c>
    </row>
    <row r="2092">
      <c r="A2092" s="59">
        <v>45191.0</v>
      </c>
      <c r="B2092" s="50" t="s">
        <v>767</v>
      </c>
      <c r="C2092" s="51" t="s">
        <v>874</v>
      </c>
      <c r="D2092" s="52" t="s">
        <v>875</v>
      </c>
      <c r="E2092" s="50" t="s">
        <v>876</v>
      </c>
      <c r="F2092" s="53" t="s">
        <v>887</v>
      </c>
    </row>
    <row r="2093">
      <c r="A2093" s="54">
        <v>45192.0</v>
      </c>
      <c r="B2093" s="55" t="s">
        <v>768</v>
      </c>
      <c r="C2093" s="56" t="s">
        <v>874</v>
      </c>
      <c r="D2093" s="57" t="s">
        <v>875</v>
      </c>
      <c r="E2093" s="55" t="s">
        <v>876</v>
      </c>
      <c r="F2093" s="58" t="s">
        <v>887</v>
      </c>
    </row>
    <row r="2094">
      <c r="A2094" s="59">
        <v>45193.0</v>
      </c>
      <c r="B2094" s="50" t="s">
        <v>747</v>
      </c>
      <c r="C2094" s="51" t="s">
        <v>874</v>
      </c>
      <c r="D2094" s="52" t="s">
        <v>875</v>
      </c>
      <c r="E2094" s="50" t="s">
        <v>876</v>
      </c>
      <c r="F2094" s="53" t="s">
        <v>887</v>
      </c>
    </row>
    <row r="2095">
      <c r="A2095" s="54">
        <v>45194.0</v>
      </c>
      <c r="B2095" s="55" t="s">
        <v>769</v>
      </c>
      <c r="C2095" s="56" t="s">
        <v>874</v>
      </c>
      <c r="D2095" s="57" t="s">
        <v>875</v>
      </c>
      <c r="E2095" s="55" t="s">
        <v>876</v>
      </c>
      <c r="F2095" s="58" t="s">
        <v>887</v>
      </c>
    </row>
    <row r="2096">
      <c r="A2096" s="59">
        <v>45195.0</v>
      </c>
      <c r="B2096" s="50" t="s">
        <v>770</v>
      </c>
      <c r="C2096" s="51" t="s">
        <v>874</v>
      </c>
      <c r="D2096" s="52" t="s">
        <v>875</v>
      </c>
      <c r="E2096" s="50" t="s">
        <v>876</v>
      </c>
      <c r="F2096" s="53" t="s">
        <v>887</v>
      </c>
    </row>
    <row r="2097">
      <c r="A2097" s="54">
        <v>45196.0</v>
      </c>
      <c r="B2097" s="55" t="s">
        <v>749</v>
      </c>
      <c r="C2097" s="56" t="s">
        <v>874</v>
      </c>
      <c r="D2097" s="57" t="s">
        <v>875</v>
      </c>
      <c r="E2097" s="55" t="s">
        <v>876</v>
      </c>
      <c r="F2097" s="58" t="s">
        <v>887</v>
      </c>
    </row>
    <row r="2098">
      <c r="A2098" s="59">
        <v>45197.0</v>
      </c>
      <c r="B2098" s="50" t="s">
        <v>771</v>
      </c>
      <c r="C2098" s="51" t="s">
        <v>874</v>
      </c>
      <c r="D2098" s="52" t="s">
        <v>875</v>
      </c>
      <c r="E2098" s="50" t="s">
        <v>876</v>
      </c>
      <c r="F2098" s="53" t="s">
        <v>887</v>
      </c>
    </row>
    <row r="2099">
      <c r="A2099" s="54">
        <v>45198.0</v>
      </c>
      <c r="B2099" s="55" t="s">
        <v>772</v>
      </c>
      <c r="C2099" s="56" t="s">
        <v>874</v>
      </c>
      <c r="D2099" s="57" t="s">
        <v>875</v>
      </c>
      <c r="E2099" s="55" t="s">
        <v>876</v>
      </c>
      <c r="F2099" s="58" t="s">
        <v>887</v>
      </c>
    </row>
    <row r="2100">
      <c r="A2100" s="59">
        <v>45199.0</v>
      </c>
      <c r="B2100" s="50" t="s">
        <v>773</v>
      </c>
      <c r="C2100" s="51" t="s">
        <v>874</v>
      </c>
      <c r="D2100" s="52" t="s">
        <v>875</v>
      </c>
      <c r="E2100" s="50" t="s">
        <v>876</v>
      </c>
      <c r="F2100" s="53" t="s">
        <v>887</v>
      </c>
    </row>
    <row r="2101">
      <c r="A2101" s="54">
        <v>45200.0</v>
      </c>
      <c r="B2101" s="55" t="s">
        <v>742</v>
      </c>
      <c r="C2101" s="60" t="s">
        <v>756</v>
      </c>
      <c r="D2101" s="57" t="s">
        <v>877</v>
      </c>
      <c r="E2101" s="55" t="s">
        <v>878</v>
      </c>
      <c r="F2101" s="58" t="s">
        <v>887</v>
      </c>
    </row>
    <row r="2102">
      <c r="A2102" s="59">
        <v>45201.0</v>
      </c>
      <c r="B2102" s="50" t="s">
        <v>744</v>
      </c>
      <c r="C2102" s="61" t="s">
        <v>756</v>
      </c>
      <c r="D2102" s="52" t="s">
        <v>877</v>
      </c>
      <c r="E2102" s="50" t="s">
        <v>878</v>
      </c>
      <c r="F2102" s="53" t="s">
        <v>887</v>
      </c>
    </row>
    <row r="2103">
      <c r="A2103" s="54">
        <v>45202.0</v>
      </c>
      <c r="B2103" s="55" t="s">
        <v>746</v>
      </c>
      <c r="C2103" s="60" t="s">
        <v>756</v>
      </c>
      <c r="D2103" s="57" t="s">
        <v>877</v>
      </c>
      <c r="E2103" s="55" t="s">
        <v>878</v>
      </c>
      <c r="F2103" s="58" t="s">
        <v>887</v>
      </c>
    </row>
    <row r="2104">
      <c r="A2104" s="59">
        <v>45203.0</v>
      </c>
      <c r="B2104" s="50" t="s">
        <v>748</v>
      </c>
      <c r="C2104" s="61" t="s">
        <v>756</v>
      </c>
      <c r="D2104" s="52" t="s">
        <v>877</v>
      </c>
      <c r="E2104" s="50" t="s">
        <v>878</v>
      </c>
      <c r="F2104" s="53" t="s">
        <v>887</v>
      </c>
    </row>
    <row r="2105">
      <c r="A2105" s="54">
        <v>45204.0</v>
      </c>
      <c r="B2105" s="55" t="s">
        <v>750</v>
      </c>
      <c r="C2105" s="60" t="s">
        <v>756</v>
      </c>
      <c r="D2105" s="57" t="s">
        <v>877</v>
      </c>
      <c r="E2105" s="55" t="s">
        <v>878</v>
      </c>
      <c r="F2105" s="58" t="s">
        <v>887</v>
      </c>
    </row>
    <row r="2106">
      <c r="A2106" s="59">
        <v>45205.0</v>
      </c>
      <c r="B2106" s="50" t="s">
        <v>752</v>
      </c>
      <c r="C2106" s="61" t="s">
        <v>756</v>
      </c>
      <c r="D2106" s="52" t="s">
        <v>877</v>
      </c>
      <c r="E2106" s="50" t="s">
        <v>878</v>
      </c>
      <c r="F2106" s="53" t="s">
        <v>887</v>
      </c>
    </row>
    <row r="2107">
      <c r="A2107" s="54">
        <v>45206.0</v>
      </c>
      <c r="B2107" s="55" t="s">
        <v>753</v>
      </c>
      <c r="C2107" s="60" t="s">
        <v>756</v>
      </c>
      <c r="D2107" s="57" t="s">
        <v>877</v>
      </c>
      <c r="E2107" s="55" t="s">
        <v>878</v>
      </c>
      <c r="F2107" s="58" t="s">
        <v>887</v>
      </c>
    </row>
    <row r="2108">
      <c r="A2108" s="59">
        <v>45207.0</v>
      </c>
      <c r="B2108" s="50" t="s">
        <v>754</v>
      </c>
      <c r="C2108" s="61" t="s">
        <v>756</v>
      </c>
      <c r="D2108" s="52" t="s">
        <v>877</v>
      </c>
      <c r="E2108" s="50" t="s">
        <v>878</v>
      </c>
      <c r="F2108" s="53" t="s">
        <v>887</v>
      </c>
    </row>
    <row r="2109">
      <c r="A2109" s="54">
        <v>45208.0</v>
      </c>
      <c r="B2109" s="55" t="s">
        <v>755</v>
      </c>
      <c r="C2109" s="60" t="s">
        <v>756</v>
      </c>
      <c r="D2109" s="57" t="s">
        <v>877</v>
      </c>
      <c r="E2109" s="55" t="s">
        <v>878</v>
      </c>
      <c r="F2109" s="58" t="s">
        <v>887</v>
      </c>
    </row>
    <row r="2110">
      <c r="A2110" s="59">
        <v>45209.0</v>
      </c>
      <c r="B2110" s="50" t="s">
        <v>756</v>
      </c>
      <c r="C2110" s="61" t="s">
        <v>756</v>
      </c>
      <c r="D2110" s="52" t="s">
        <v>877</v>
      </c>
      <c r="E2110" s="50" t="s">
        <v>878</v>
      </c>
      <c r="F2110" s="53" t="s">
        <v>887</v>
      </c>
    </row>
    <row r="2111">
      <c r="A2111" s="54">
        <v>45210.0</v>
      </c>
      <c r="B2111" s="55" t="s">
        <v>758</v>
      </c>
      <c r="C2111" s="60" t="s">
        <v>756</v>
      </c>
      <c r="D2111" s="57" t="s">
        <v>877</v>
      </c>
      <c r="E2111" s="55" t="s">
        <v>878</v>
      </c>
      <c r="F2111" s="58" t="s">
        <v>887</v>
      </c>
    </row>
    <row r="2112">
      <c r="A2112" s="59">
        <v>45211.0</v>
      </c>
      <c r="B2112" s="50" t="s">
        <v>759</v>
      </c>
      <c r="C2112" s="61" t="s">
        <v>756</v>
      </c>
      <c r="D2112" s="52" t="s">
        <v>877</v>
      </c>
      <c r="E2112" s="50" t="s">
        <v>878</v>
      </c>
      <c r="F2112" s="53" t="s">
        <v>887</v>
      </c>
    </row>
    <row r="2113">
      <c r="A2113" s="54">
        <v>45212.0</v>
      </c>
      <c r="B2113" s="55" t="s">
        <v>760</v>
      </c>
      <c r="C2113" s="60" t="s">
        <v>756</v>
      </c>
      <c r="D2113" s="57" t="s">
        <v>877</v>
      </c>
      <c r="E2113" s="55" t="s">
        <v>878</v>
      </c>
      <c r="F2113" s="58" t="s">
        <v>887</v>
      </c>
    </row>
    <row r="2114">
      <c r="A2114" s="59">
        <v>45213.0</v>
      </c>
      <c r="B2114" s="50" t="s">
        <v>761</v>
      </c>
      <c r="C2114" s="61" t="s">
        <v>756</v>
      </c>
      <c r="D2114" s="52" t="s">
        <v>877</v>
      </c>
      <c r="E2114" s="50" t="s">
        <v>878</v>
      </c>
      <c r="F2114" s="53" t="s">
        <v>887</v>
      </c>
    </row>
    <row r="2115">
      <c r="A2115" s="54">
        <v>45214.0</v>
      </c>
      <c r="B2115" s="55" t="s">
        <v>762</v>
      </c>
      <c r="C2115" s="60" t="s">
        <v>756</v>
      </c>
      <c r="D2115" s="57" t="s">
        <v>877</v>
      </c>
      <c r="E2115" s="55" t="s">
        <v>878</v>
      </c>
      <c r="F2115" s="58" t="s">
        <v>887</v>
      </c>
    </row>
    <row r="2116">
      <c r="A2116" s="59">
        <v>45215.0</v>
      </c>
      <c r="B2116" s="50" t="s">
        <v>763</v>
      </c>
      <c r="C2116" s="61" t="s">
        <v>756</v>
      </c>
      <c r="D2116" s="52" t="s">
        <v>877</v>
      </c>
      <c r="E2116" s="50" t="s">
        <v>878</v>
      </c>
      <c r="F2116" s="53" t="s">
        <v>887</v>
      </c>
    </row>
    <row r="2117">
      <c r="A2117" s="54">
        <v>45216.0</v>
      </c>
      <c r="B2117" s="55" t="s">
        <v>764</v>
      </c>
      <c r="C2117" s="60" t="s">
        <v>756</v>
      </c>
      <c r="D2117" s="57" t="s">
        <v>877</v>
      </c>
      <c r="E2117" s="55" t="s">
        <v>878</v>
      </c>
      <c r="F2117" s="58" t="s">
        <v>887</v>
      </c>
    </row>
    <row r="2118">
      <c r="A2118" s="59">
        <v>45217.0</v>
      </c>
      <c r="B2118" s="50" t="s">
        <v>765</v>
      </c>
      <c r="C2118" s="61" t="s">
        <v>756</v>
      </c>
      <c r="D2118" s="52" t="s">
        <v>877</v>
      </c>
      <c r="E2118" s="50" t="s">
        <v>878</v>
      </c>
      <c r="F2118" s="53" t="s">
        <v>887</v>
      </c>
    </row>
    <row r="2119">
      <c r="A2119" s="54">
        <v>45218.0</v>
      </c>
      <c r="B2119" s="55" t="s">
        <v>743</v>
      </c>
      <c r="C2119" s="60" t="s">
        <v>756</v>
      </c>
      <c r="D2119" s="57" t="s">
        <v>877</v>
      </c>
      <c r="E2119" s="55" t="s">
        <v>878</v>
      </c>
      <c r="F2119" s="58" t="s">
        <v>887</v>
      </c>
    </row>
    <row r="2120">
      <c r="A2120" s="59">
        <v>45219.0</v>
      </c>
      <c r="B2120" s="50" t="s">
        <v>766</v>
      </c>
      <c r="C2120" s="61" t="s">
        <v>756</v>
      </c>
      <c r="D2120" s="52" t="s">
        <v>877</v>
      </c>
      <c r="E2120" s="50" t="s">
        <v>878</v>
      </c>
      <c r="F2120" s="53" t="s">
        <v>887</v>
      </c>
    </row>
    <row r="2121">
      <c r="A2121" s="54">
        <v>45220.0</v>
      </c>
      <c r="B2121" s="55" t="s">
        <v>745</v>
      </c>
      <c r="C2121" s="60" t="s">
        <v>756</v>
      </c>
      <c r="D2121" s="57" t="s">
        <v>877</v>
      </c>
      <c r="E2121" s="55" t="s">
        <v>878</v>
      </c>
      <c r="F2121" s="58" t="s">
        <v>887</v>
      </c>
    </row>
    <row r="2122">
      <c r="A2122" s="59">
        <v>45221.0</v>
      </c>
      <c r="B2122" s="50" t="s">
        <v>767</v>
      </c>
      <c r="C2122" s="61" t="s">
        <v>756</v>
      </c>
      <c r="D2122" s="52" t="s">
        <v>877</v>
      </c>
      <c r="E2122" s="50" t="s">
        <v>878</v>
      </c>
      <c r="F2122" s="53" t="s">
        <v>887</v>
      </c>
    </row>
    <row r="2123">
      <c r="A2123" s="54">
        <v>45222.0</v>
      </c>
      <c r="B2123" s="55" t="s">
        <v>768</v>
      </c>
      <c r="C2123" s="60" t="s">
        <v>756</v>
      </c>
      <c r="D2123" s="57" t="s">
        <v>877</v>
      </c>
      <c r="E2123" s="55" t="s">
        <v>878</v>
      </c>
      <c r="F2123" s="58" t="s">
        <v>887</v>
      </c>
    </row>
    <row r="2124">
      <c r="A2124" s="59">
        <v>45223.0</v>
      </c>
      <c r="B2124" s="50" t="s">
        <v>747</v>
      </c>
      <c r="C2124" s="61" t="s">
        <v>756</v>
      </c>
      <c r="D2124" s="52" t="s">
        <v>877</v>
      </c>
      <c r="E2124" s="50" t="s">
        <v>878</v>
      </c>
      <c r="F2124" s="53" t="s">
        <v>887</v>
      </c>
    </row>
    <row r="2125">
      <c r="A2125" s="54">
        <v>45224.0</v>
      </c>
      <c r="B2125" s="55" t="s">
        <v>769</v>
      </c>
      <c r="C2125" s="60" t="s">
        <v>756</v>
      </c>
      <c r="D2125" s="57" t="s">
        <v>877</v>
      </c>
      <c r="E2125" s="55" t="s">
        <v>878</v>
      </c>
      <c r="F2125" s="58" t="s">
        <v>887</v>
      </c>
    </row>
    <row r="2126">
      <c r="A2126" s="59">
        <v>45225.0</v>
      </c>
      <c r="B2126" s="50" t="s">
        <v>770</v>
      </c>
      <c r="C2126" s="61" t="s">
        <v>756</v>
      </c>
      <c r="D2126" s="52" t="s">
        <v>877</v>
      </c>
      <c r="E2126" s="50" t="s">
        <v>878</v>
      </c>
      <c r="F2126" s="53" t="s">
        <v>887</v>
      </c>
    </row>
    <row r="2127">
      <c r="A2127" s="54">
        <v>45226.0</v>
      </c>
      <c r="B2127" s="55" t="s">
        <v>749</v>
      </c>
      <c r="C2127" s="60" t="s">
        <v>756</v>
      </c>
      <c r="D2127" s="57" t="s">
        <v>877</v>
      </c>
      <c r="E2127" s="55" t="s">
        <v>878</v>
      </c>
      <c r="F2127" s="58" t="s">
        <v>887</v>
      </c>
    </row>
    <row r="2128">
      <c r="A2128" s="59">
        <v>45227.0</v>
      </c>
      <c r="B2128" s="50" t="s">
        <v>771</v>
      </c>
      <c r="C2128" s="61" t="s">
        <v>756</v>
      </c>
      <c r="D2128" s="52" t="s">
        <v>877</v>
      </c>
      <c r="E2128" s="50" t="s">
        <v>878</v>
      </c>
      <c r="F2128" s="53" t="s">
        <v>887</v>
      </c>
    </row>
    <row r="2129">
      <c r="A2129" s="54">
        <v>45228.0</v>
      </c>
      <c r="B2129" s="55" t="s">
        <v>772</v>
      </c>
      <c r="C2129" s="60" t="s">
        <v>756</v>
      </c>
      <c r="D2129" s="57" t="s">
        <v>877</v>
      </c>
      <c r="E2129" s="55" t="s">
        <v>878</v>
      </c>
      <c r="F2129" s="58" t="s">
        <v>887</v>
      </c>
    </row>
    <row r="2130">
      <c r="A2130" s="59">
        <v>45229.0</v>
      </c>
      <c r="B2130" s="50" t="s">
        <v>773</v>
      </c>
      <c r="C2130" s="61" t="s">
        <v>756</v>
      </c>
      <c r="D2130" s="52" t="s">
        <v>877</v>
      </c>
      <c r="E2130" s="50" t="s">
        <v>878</v>
      </c>
      <c r="F2130" s="53" t="s">
        <v>887</v>
      </c>
    </row>
    <row r="2131">
      <c r="A2131" s="54">
        <v>45230.0</v>
      </c>
      <c r="B2131" s="55" t="s">
        <v>774</v>
      </c>
      <c r="C2131" s="60" t="s">
        <v>756</v>
      </c>
      <c r="D2131" s="57" t="s">
        <v>877</v>
      </c>
      <c r="E2131" s="55" t="s">
        <v>878</v>
      </c>
      <c r="F2131" s="58" t="s">
        <v>887</v>
      </c>
    </row>
    <row r="2132">
      <c r="A2132" s="59">
        <v>45231.0</v>
      </c>
      <c r="B2132" s="50" t="s">
        <v>742</v>
      </c>
      <c r="C2132" s="61" t="s">
        <v>758</v>
      </c>
      <c r="D2132" s="52" t="s">
        <v>879</v>
      </c>
      <c r="E2132" s="50" t="s">
        <v>880</v>
      </c>
      <c r="F2132" s="53" t="s">
        <v>887</v>
      </c>
    </row>
    <row r="2133">
      <c r="A2133" s="54">
        <v>45232.0</v>
      </c>
      <c r="B2133" s="55" t="s">
        <v>744</v>
      </c>
      <c r="C2133" s="60" t="s">
        <v>758</v>
      </c>
      <c r="D2133" s="57" t="s">
        <v>879</v>
      </c>
      <c r="E2133" s="55" t="s">
        <v>880</v>
      </c>
      <c r="F2133" s="58" t="s">
        <v>887</v>
      </c>
    </row>
    <row r="2134">
      <c r="A2134" s="59">
        <v>45233.0</v>
      </c>
      <c r="B2134" s="50" t="s">
        <v>746</v>
      </c>
      <c r="C2134" s="61" t="s">
        <v>758</v>
      </c>
      <c r="D2134" s="52" t="s">
        <v>879</v>
      </c>
      <c r="E2134" s="50" t="s">
        <v>880</v>
      </c>
      <c r="F2134" s="53" t="s">
        <v>887</v>
      </c>
    </row>
    <row r="2135">
      <c r="A2135" s="54">
        <v>45234.0</v>
      </c>
      <c r="B2135" s="55" t="s">
        <v>748</v>
      </c>
      <c r="C2135" s="60" t="s">
        <v>758</v>
      </c>
      <c r="D2135" s="57" t="s">
        <v>879</v>
      </c>
      <c r="E2135" s="55" t="s">
        <v>880</v>
      </c>
      <c r="F2135" s="58" t="s">
        <v>887</v>
      </c>
    </row>
    <row r="2136">
      <c r="A2136" s="59">
        <v>45235.0</v>
      </c>
      <c r="B2136" s="50" t="s">
        <v>750</v>
      </c>
      <c r="C2136" s="61" t="s">
        <v>758</v>
      </c>
      <c r="D2136" s="52" t="s">
        <v>879</v>
      </c>
      <c r="E2136" s="50" t="s">
        <v>880</v>
      </c>
      <c r="F2136" s="53" t="s">
        <v>887</v>
      </c>
    </row>
    <row r="2137">
      <c r="A2137" s="54">
        <v>45236.0</v>
      </c>
      <c r="B2137" s="55" t="s">
        <v>752</v>
      </c>
      <c r="C2137" s="60" t="s">
        <v>758</v>
      </c>
      <c r="D2137" s="57" t="s">
        <v>879</v>
      </c>
      <c r="E2137" s="55" t="s">
        <v>880</v>
      </c>
      <c r="F2137" s="58" t="s">
        <v>887</v>
      </c>
    </row>
    <row r="2138">
      <c r="A2138" s="59">
        <v>45237.0</v>
      </c>
      <c r="B2138" s="50" t="s">
        <v>753</v>
      </c>
      <c r="C2138" s="61" t="s">
        <v>758</v>
      </c>
      <c r="D2138" s="52" t="s">
        <v>879</v>
      </c>
      <c r="E2138" s="50" t="s">
        <v>880</v>
      </c>
      <c r="F2138" s="53" t="s">
        <v>887</v>
      </c>
    </row>
    <row r="2139">
      <c r="A2139" s="54">
        <v>45238.0</v>
      </c>
      <c r="B2139" s="55" t="s">
        <v>754</v>
      </c>
      <c r="C2139" s="60" t="s">
        <v>758</v>
      </c>
      <c r="D2139" s="57" t="s">
        <v>879</v>
      </c>
      <c r="E2139" s="55" t="s">
        <v>880</v>
      </c>
      <c r="F2139" s="58" t="s">
        <v>887</v>
      </c>
    </row>
    <row r="2140">
      <c r="A2140" s="59">
        <v>45239.0</v>
      </c>
      <c r="B2140" s="50" t="s">
        <v>755</v>
      </c>
      <c r="C2140" s="61" t="s">
        <v>758</v>
      </c>
      <c r="D2140" s="52" t="s">
        <v>879</v>
      </c>
      <c r="E2140" s="50" t="s">
        <v>880</v>
      </c>
      <c r="F2140" s="53" t="s">
        <v>887</v>
      </c>
    </row>
    <row r="2141">
      <c r="A2141" s="54">
        <v>45240.0</v>
      </c>
      <c r="B2141" s="55" t="s">
        <v>756</v>
      </c>
      <c r="C2141" s="60" t="s">
        <v>758</v>
      </c>
      <c r="D2141" s="57" t="s">
        <v>879</v>
      </c>
      <c r="E2141" s="55" t="s">
        <v>880</v>
      </c>
      <c r="F2141" s="58" t="s">
        <v>887</v>
      </c>
    </row>
    <row r="2142">
      <c r="A2142" s="59">
        <v>45241.0</v>
      </c>
      <c r="B2142" s="50" t="s">
        <v>758</v>
      </c>
      <c r="C2142" s="61" t="s">
        <v>758</v>
      </c>
      <c r="D2142" s="52" t="s">
        <v>879</v>
      </c>
      <c r="E2142" s="50" t="s">
        <v>880</v>
      </c>
      <c r="F2142" s="53" t="s">
        <v>887</v>
      </c>
    </row>
    <row r="2143">
      <c r="A2143" s="54">
        <v>45242.0</v>
      </c>
      <c r="B2143" s="55" t="s">
        <v>759</v>
      </c>
      <c r="C2143" s="60" t="s">
        <v>758</v>
      </c>
      <c r="D2143" s="57" t="s">
        <v>879</v>
      </c>
      <c r="E2143" s="55" t="s">
        <v>880</v>
      </c>
      <c r="F2143" s="58" t="s">
        <v>887</v>
      </c>
    </row>
    <row r="2144">
      <c r="A2144" s="59">
        <v>45243.0</v>
      </c>
      <c r="B2144" s="50" t="s">
        <v>760</v>
      </c>
      <c r="C2144" s="61" t="s">
        <v>758</v>
      </c>
      <c r="D2144" s="52" t="s">
        <v>879</v>
      </c>
      <c r="E2144" s="50" t="s">
        <v>880</v>
      </c>
      <c r="F2144" s="53" t="s">
        <v>887</v>
      </c>
    </row>
    <row r="2145">
      <c r="A2145" s="54">
        <v>45244.0</v>
      </c>
      <c r="B2145" s="55" t="s">
        <v>761</v>
      </c>
      <c r="C2145" s="60" t="s">
        <v>758</v>
      </c>
      <c r="D2145" s="57" t="s">
        <v>879</v>
      </c>
      <c r="E2145" s="55" t="s">
        <v>880</v>
      </c>
      <c r="F2145" s="58" t="s">
        <v>887</v>
      </c>
    </row>
    <row r="2146">
      <c r="A2146" s="59">
        <v>45245.0</v>
      </c>
      <c r="B2146" s="50" t="s">
        <v>762</v>
      </c>
      <c r="C2146" s="61" t="s">
        <v>758</v>
      </c>
      <c r="D2146" s="52" t="s">
        <v>879</v>
      </c>
      <c r="E2146" s="50" t="s">
        <v>880</v>
      </c>
      <c r="F2146" s="53" t="s">
        <v>887</v>
      </c>
    </row>
    <row r="2147">
      <c r="A2147" s="54">
        <v>45246.0</v>
      </c>
      <c r="B2147" s="55" t="s">
        <v>763</v>
      </c>
      <c r="C2147" s="60" t="s">
        <v>758</v>
      </c>
      <c r="D2147" s="57" t="s">
        <v>879</v>
      </c>
      <c r="E2147" s="55" t="s">
        <v>880</v>
      </c>
      <c r="F2147" s="58" t="s">
        <v>887</v>
      </c>
    </row>
    <row r="2148">
      <c r="A2148" s="59">
        <v>45247.0</v>
      </c>
      <c r="B2148" s="50" t="s">
        <v>764</v>
      </c>
      <c r="C2148" s="61" t="s">
        <v>758</v>
      </c>
      <c r="D2148" s="52" t="s">
        <v>879</v>
      </c>
      <c r="E2148" s="50" t="s">
        <v>880</v>
      </c>
      <c r="F2148" s="53" t="s">
        <v>887</v>
      </c>
    </row>
    <row r="2149">
      <c r="A2149" s="54">
        <v>45248.0</v>
      </c>
      <c r="B2149" s="55" t="s">
        <v>765</v>
      </c>
      <c r="C2149" s="60" t="s">
        <v>758</v>
      </c>
      <c r="D2149" s="57" t="s">
        <v>879</v>
      </c>
      <c r="E2149" s="55" t="s">
        <v>880</v>
      </c>
      <c r="F2149" s="58" t="s">
        <v>887</v>
      </c>
    </row>
    <row r="2150">
      <c r="A2150" s="59">
        <v>45249.0</v>
      </c>
      <c r="B2150" s="50" t="s">
        <v>743</v>
      </c>
      <c r="C2150" s="61" t="s">
        <v>758</v>
      </c>
      <c r="D2150" s="52" t="s">
        <v>879</v>
      </c>
      <c r="E2150" s="50" t="s">
        <v>880</v>
      </c>
      <c r="F2150" s="53" t="s">
        <v>887</v>
      </c>
    </row>
    <row r="2151">
      <c r="A2151" s="54">
        <v>45250.0</v>
      </c>
      <c r="B2151" s="55" t="s">
        <v>766</v>
      </c>
      <c r="C2151" s="60" t="s">
        <v>758</v>
      </c>
      <c r="D2151" s="57" t="s">
        <v>879</v>
      </c>
      <c r="E2151" s="55" t="s">
        <v>880</v>
      </c>
      <c r="F2151" s="58" t="s">
        <v>887</v>
      </c>
    </row>
    <row r="2152">
      <c r="A2152" s="59">
        <v>45251.0</v>
      </c>
      <c r="B2152" s="50" t="s">
        <v>745</v>
      </c>
      <c r="C2152" s="61" t="s">
        <v>758</v>
      </c>
      <c r="D2152" s="52" t="s">
        <v>879</v>
      </c>
      <c r="E2152" s="50" t="s">
        <v>880</v>
      </c>
      <c r="F2152" s="53" t="s">
        <v>887</v>
      </c>
    </row>
    <row r="2153">
      <c r="A2153" s="54">
        <v>45252.0</v>
      </c>
      <c r="B2153" s="55" t="s">
        <v>767</v>
      </c>
      <c r="C2153" s="60" t="s">
        <v>758</v>
      </c>
      <c r="D2153" s="57" t="s">
        <v>879</v>
      </c>
      <c r="E2153" s="55" t="s">
        <v>880</v>
      </c>
      <c r="F2153" s="58" t="s">
        <v>887</v>
      </c>
    </row>
    <row r="2154">
      <c r="A2154" s="59">
        <v>45253.0</v>
      </c>
      <c r="B2154" s="50" t="s">
        <v>768</v>
      </c>
      <c r="C2154" s="61" t="s">
        <v>758</v>
      </c>
      <c r="D2154" s="52" t="s">
        <v>879</v>
      </c>
      <c r="E2154" s="50" t="s">
        <v>880</v>
      </c>
      <c r="F2154" s="53" t="s">
        <v>887</v>
      </c>
    </row>
    <row r="2155">
      <c r="A2155" s="54">
        <v>45254.0</v>
      </c>
      <c r="B2155" s="55" t="s">
        <v>747</v>
      </c>
      <c r="C2155" s="60" t="s">
        <v>758</v>
      </c>
      <c r="D2155" s="57" t="s">
        <v>879</v>
      </c>
      <c r="E2155" s="55" t="s">
        <v>880</v>
      </c>
      <c r="F2155" s="58" t="s">
        <v>887</v>
      </c>
    </row>
    <row r="2156">
      <c r="A2156" s="59">
        <v>45255.0</v>
      </c>
      <c r="B2156" s="50" t="s">
        <v>769</v>
      </c>
      <c r="C2156" s="61" t="s">
        <v>758</v>
      </c>
      <c r="D2156" s="52" t="s">
        <v>879</v>
      </c>
      <c r="E2156" s="50" t="s">
        <v>880</v>
      </c>
      <c r="F2156" s="53" t="s">
        <v>887</v>
      </c>
    </row>
    <row r="2157">
      <c r="A2157" s="54">
        <v>45256.0</v>
      </c>
      <c r="B2157" s="55" t="s">
        <v>770</v>
      </c>
      <c r="C2157" s="60" t="s">
        <v>758</v>
      </c>
      <c r="D2157" s="57" t="s">
        <v>879</v>
      </c>
      <c r="E2157" s="55" t="s">
        <v>880</v>
      </c>
      <c r="F2157" s="58" t="s">
        <v>887</v>
      </c>
    </row>
    <row r="2158">
      <c r="A2158" s="59">
        <v>45257.0</v>
      </c>
      <c r="B2158" s="50" t="s">
        <v>749</v>
      </c>
      <c r="C2158" s="61" t="s">
        <v>758</v>
      </c>
      <c r="D2158" s="52" t="s">
        <v>879</v>
      </c>
      <c r="E2158" s="50" t="s">
        <v>880</v>
      </c>
      <c r="F2158" s="53" t="s">
        <v>887</v>
      </c>
    </row>
    <row r="2159">
      <c r="A2159" s="54">
        <v>45258.0</v>
      </c>
      <c r="B2159" s="55" t="s">
        <v>771</v>
      </c>
      <c r="C2159" s="60" t="s">
        <v>758</v>
      </c>
      <c r="D2159" s="57" t="s">
        <v>879</v>
      </c>
      <c r="E2159" s="55" t="s">
        <v>880</v>
      </c>
      <c r="F2159" s="58" t="s">
        <v>887</v>
      </c>
    </row>
    <row r="2160">
      <c r="A2160" s="59">
        <v>45259.0</v>
      </c>
      <c r="B2160" s="50" t="s">
        <v>772</v>
      </c>
      <c r="C2160" s="61" t="s">
        <v>758</v>
      </c>
      <c r="D2160" s="52" t="s">
        <v>879</v>
      </c>
      <c r="E2160" s="50" t="s">
        <v>880</v>
      </c>
      <c r="F2160" s="53" t="s">
        <v>887</v>
      </c>
    </row>
    <row r="2161">
      <c r="A2161" s="54">
        <v>45260.0</v>
      </c>
      <c r="B2161" s="55" t="s">
        <v>773</v>
      </c>
      <c r="C2161" s="60" t="s">
        <v>758</v>
      </c>
      <c r="D2161" s="57" t="s">
        <v>879</v>
      </c>
      <c r="E2161" s="55" t="s">
        <v>880</v>
      </c>
      <c r="F2161" s="58" t="s">
        <v>887</v>
      </c>
    </row>
    <row r="2162">
      <c r="A2162" s="59">
        <v>45261.0</v>
      </c>
      <c r="B2162" s="50" t="s">
        <v>742</v>
      </c>
      <c r="C2162" s="61" t="s">
        <v>759</v>
      </c>
      <c r="D2162" s="52" t="s">
        <v>881</v>
      </c>
      <c r="E2162" s="50" t="s">
        <v>882</v>
      </c>
      <c r="F2162" s="53" t="s">
        <v>887</v>
      </c>
    </row>
    <row r="2163">
      <c r="A2163" s="54">
        <v>45262.0</v>
      </c>
      <c r="B2163" s="55" t="s">
        <v>744</v>
      </c>
      <c r="C2163" s="60" t="s">
        <v>759</v>
      </c>
      <c r="D2163" s="57" t="s">
        <v>881</v>
      </c>
      <c r="E2163" s="55" t="s">
        <v>882</v>
      </c>
      <c r="F2163" s="58" t="s">
        <v>887</v>
      </c>
    </row>
    <row r="2164">
      <c r="A2164" s="59">
        <v>45263.0</v>
      </c>
      <c r="B2164" s="50" t="s">
        <v>746</v>
      </c>
      <c r="C2164" s="61" t="s">
        <v>759</v>
      </c>
      <c r="D2164" s="52" t="s">
        <v>881</v>
      </c>
      <c r="E2164" s="50" t="s">
        <v>882</v>
      </c>
      <c r="F2164" s="53" t="s">
        <v>887</v>
      </c>
    </row>
    <row r="2165">
      <c r="A2165" s="54">
        <v>45264.0</v>
      </c>
      <c r="B2165" s="55" t="s">
        <v>748</v>
      </c>
      <c r="C2165" s="60" t="s">
        <v>759</v>
      </c>
      <c r="D2165" s="57" t="s">
        <v>881</v>
      </c>
      <c r="E2165" s="55" t="s">
        <v>882</v>
      </c>
      <c r="F2165" s="58" t="s">
        <v>887</v>
      </c>
    </row>
    <row r="2166">
      <c r="A2166" s="59">
        <v>45265.0</v>
      </c>
      <c r="B2166" s="50" t="s">
        <v>750</v>
      </c>
      <c r="C2166" s="61" t="s">
        <v>759</v>
      </c>
      <c r="D2166" s="52" t="s">
        <v>881</v>
      </c>
      <c r="E2166" s="50" t="s">
        <v>882</v>
      </c>
      <c r="F2166" s="53" t="s">
        <v>887</v>
      </c>
    </row>
    <row r="2167">
      <c r="A2167" s="54">
        <v>45266.0</v>
      </c>
      <c r="B2167" s="55" t="s">
        <v>752</v>
      </c>
      <c r="C2167" s="60" t="s">
        <v>759</v>
      </c>
      <c r="D2167" s="57" t="s">
        <v>881</v>
      </c>
      <c r="E2167" s="55" t="s">
        <v>882</v>
      </c>
      <c r="F2167" s="58" t="s">
        <v>887</v>
      </c>
    </row>
    <row r="2168">
      <c r="A2168" s="59">
        <v>45267.0</v>
      </c>
      <c r="B2168" s="50" t="s">
        <v>753</v>
      </c>
      <c r="C2168" s="61" t="s">
        <v>759</v>
      </c>
      <c r="D2168" s="52" t="s">
        <v>881</v>
      </c>
      <c r="E2168" s="50" t="s">
        <v>882</v>
      </c>
      <c r="F2168" s="53" t="s">
        <v>887</v>
      </c>
    </row>
    <row r="2169">
      <c r="A2169" s="54">
        <v>45268.0</v>
      </c>
      <c r="B2169" s="55" t="s">
        <v>754</v>
      </c>
      <c r="C2169" s="60" t="s">
        <v>759</v>
      </c>
      <c r="D2169" s="57" t="s">
        <v>881</v>
      </c>
      <c r="E2169" s="55" t="s">
        <v>882</v>
      </c>
      <c r="F2169" s="58" t="s">
        <v>887</v>
      </c>
    </row>
    <row r="2170">
      <c r="A2170" s="59">
        <v>45269.0</v>
      </c>
      <c r="B2170" s="50" t="s">
        <v>755</v>
      </c>
      <c r="C2170" s="61" t="s">
        <v>759</v>
      </c>
      <c r="D2170" s="52" t="s">
        <v>881</v>
      </c>
      <c r="E2170" s="50" t="s">
        <v>882</v>
      </c>
      <c r="F2170" s="53" t="s">
        <v>887</v>
      </c>
    </row>
    <row r="2171">
      <c r="A2171" s="54">
        <v>45270.0</v>
      </c>
      <c r="B2171" s="55" t="s">
        <v>756</v>
      </c>
      <c r="C2171" s="60" t="s">
        <v>759</v>
      </c>
      <c r="D2171" s="57" t="s">
        <v>881</v>
      </c>
      <c r="E2171" s="55" t="s">
        <v>882</v>
      </c>
      <c r="F2171" s="58" t="s">
        <v>887</v>
      </c>
    </row>
    <row r="2172">
      <c r="A2172" s="59">
        <v>45271.0</v>
      </c>
      <c r="B2172" s="50" t="s">
        <v>758</v>
      </c>
      <c r="C2172" s="61" t="s">
        <v>759</v>
      </c>
      <c r="D2172" s="52" t="s">
        <v>881</v>
      </c>
      <c r="E2172" s="50" t="s">
        <v>882</v>
      </c>
      <c r="F2172" s="53" t="s">
        <v>887</v>
      </c>
    </row>
    <row r="2173">
      <c r="A2173" s="54">
        <v>45272.0</v>
      </c>
      <c r="B2173" s="55" t="s">
        <v>759</v>
      </c>
      <c r="C2173" s="60" t="s">
        <v>759</v>
      </c>
      <c r="D2173" s="57" t="s">
        <v>881</v>
      </c>
      <c r="E2173" s="55" t="s">
        <v>882</v>
      </c>
      <c r="F2173" s="58" t="s">
        <v>887</v>
      </c>
    </row>
    <row r="2174">
      <c r="A2174" s="59">
        <v>45273.0</v>
      </c>
      <c r="B2174" s="50" t="s">
        <v>760</v>
      </c>
      <c r="C2174" s="61" t="s">
        <v>759</v>
      </c>
      <c r="D2174" s="52" t="s">
        <v>881</v>
      </c>
      <c r="E2174" s="50" t="s">
        <v>882</v>
      </c>
      <c r="F2174" s="53" t="s">
        <v>887</v>
      </c>
    </row>
    <row r="2175">
      <c r="A2175" s="54">
        <v>45274.0</v>
      </c>
      <c r="B2175" s="55" t="s">
        <v>761</v>
      </c>
      <c r="C2175" s="60" t="s">
        <v>759</v>
      </c>
      <c r="D2175" s="57" t="s">
        <v>881</v>
      </c>
      <c r="E2175" s="55" t="s">
        <v>882</v>
      </c>
      <c r="F2175" s="58" t="s">
        <v>887</v>
      </c>
    </row>
    <row r="2176">
      <c r="A2176" s="59">
        <v>45275.0</v>
      </c>
      <c r="B2176" s="50" t="s">
        <v>762</v>
      </c>
      <c r="C2176" s="61" t="s">
        <v>759</v>
      </c>
      <c r="D2176" s="52" t="s">
        <v>881</v>
      </c>
      <c r="E2176" s="50" t="s">
        <v>882</v>
      </c>
      <c r="F2176" s="53" t="s">
        <v>887</v>
      </c>
    </row>
    <row r="2177">
      <c r="A2177" s="54">
        <v>45276.0</v>
      </c>
      <c r="B2177" s="55" t="s">
        <v>763</v>
      </c>
      <c r="C2177" s="60" t="s">
        <v>759</v>
      </c>
      <c r="D2177" s="57" t="s">
        <v>881</v>
      </c>
      <c r="E2177" s="55" t="s">
        <v>882</v>
      </c>
      <c r="F2177" s="58" t="s">
        <v>887</v>
      </c>
    </row>
    <row r="2178">
      <c r="A2178" s="59">
        <v>45277.0</v>
      </c>
      <c r="B2178" s="50" t="s">
        <v>764</v>
      </c>
      <c r="C2178" s="61" t="s">
        <v>759</v>
      </c>
      <c r="D2178" s="52" t="s">
        <v>881</v>
      </c>
      <c r="E2178" s="50" t="s">
        <v>882</v>
      </c>
      <c r="F2178" s="53" t="s">
        <v>887</v>
      </c>
    </row>
    <row r="2179">
      <c r="A2179" s="54">
        <v>45278.0</v>
      </c>
      <c r="B2179" s="55" t="s">
        <v>765</v>
      </c>
      <c r="C2179" s="60" t="s">
        <v>759</v>
      </c>
      <c r="D2179" s="57" t="s">
        <v>881</v>
      </c>
      <c r="E2179" s="55" t="s">
        <v>882</v>
      </c>
      <c r="F2179" s="58" t="s">
        <v>887</v>
      </c>
    </row>
    <row r="2180">
      <c r="A2180" s="59">
        <v>45279.0</v>
      </c>
      <c r="B2180" s="50" t="s">
        <v>743</v>
      </c>
      <c r="C2180" s="61" t="s">
        <v>759</v>
      </c>
      <c r="D2180" s="52" t="s">
        <v>881</v>
      </c>
      <c r="E2180" s="50" t="s">
        <v>882</v>
      </c>
      <c r="F2180" s="53" t="s">
        <v>887</v>
      </c>
    </row>
    <row r="2181">
      <c r="A2181" s="54">
        <v>45280.0</v>
      </c>
      <c r="B2181" s="55" t="s">
        <v>766</v>
      </c>
      <c r="C2181" s="60" t="s">
        <v>759</v>
      </c>
      <c r="D2181" s="57" t="s">
        <v>881</v>
      </c>
      <c r="E2181" s="55" t="s">
        <v>882</v>
      </c>
      <c r="F2181" s="58" t="s">
        <v>887</v>
      </c>
    </row>
    <row r="2182">
      <c r="A2182" s="59">
        <v>45281.0</v>
      </c>
      <c r="B2182" s="50" t="s">
        <v>745</v>
      </c>
      <c r="C2182" s="61" t="s">
        <v>759</v>
      </c>
      <c r="D2182" s="52" t="s">
        <v>881</v>
      </c>
      <c r="E2182" s="50" t="s">
        <v>882</v>
      </c>
      <c r="F2182" s="53" t="s">
        <v>887</v>
      </c>
    </row>
    <row r="2183">
      <c r="A2183" s="54">
        <v>45282.0</v>
      </c>
      <c r="B2183" s="55" t="s">
        <v>767</v>
      </c>
      <c r="C2183" s="60" t="s">
        <v>759</v>
      </c>
      <c r="D2183" s="57" t="s">
        <v>881</v>
      </c>
      <c r="E2183" s="55" t="s">
        <v>882</v>
      </c>
      <c r="F2183" s="58" t="s">
        <v>887</v>
      </c>
    </row>
    <row r="2184">
      <c r="A2184" s="59">
        <v>45283.0</v>
      </c>
      <c r="B2184" s="50" t="s">
        <v>768</v>
      </c>
      <c r="C2184" s="61" t="s">
        <v>759</v>
      </c>
      <c r="D2184" s="52" t="s">
        <v>881</v>
      </c>
      <c r="E2184" s="50" t="s">
        <v>882</v>
      </c>
      <c r="F2184" s="53" t="s">
        <v>887</v>
      </c>
    </row>
    <row r="2185">
      <c r="A2185" s="54">
        <v>45284.0</v>
      </c>
      <c r="B2185" s="55" t="s">
        <v>747</v>
      </c>
      <c r="C2185" s="60" t="s">
        <v>759</v>
      </c>
      <c r="D2185" s="57" t="s">
        <v>881</v>
      </c>
      <c r="E2185" s="55" t="s">
        <v>882</v>
      </c>
      <c r="F2185" s="58" t="s">
        <v>887</v>
      </c>
    </row>
    <row r="2186">
      <c r="A2186" s="59">
        <v>45285.0</v>
      </c>
      <c r="B2186" s="50" t="s">
        <v>769</v>
      </c>
      <c r="C2186" s="61" t="s">
        <v>759</v>
      </c>
      <c r="D2186" s="52" t="s">
        <v>881</v>
      </c>
      <c r="E2186" s="50" t="s">
        <v>882</v>
      </c>
      <c r="F2186" s="53" t="s">
        <v>887</v>
      </c>
    </row>
    <row r="2187">
      <c r="A2187" s="54">
        <v>45286.0</v>
      </c>
      <c r="B2187" s="55" t="s">
        <v>770</v>
      </c>
      <c r="C2187" s="60" t="s">
        <v>759</v>
      </c>
      <c r="D2187" s="57" t="s">
        <v>881</v>
      </c>
      <c r="E2187" s="55" t="s">
        <v>882</v>
      </c>
      <c r="F2187" s="58" t="s">
        <v>887</v>
      </c>
    </row>
    <row r="2188">
      <c r="A2188" s="59">
        <v>45287.0</v>
      </c>
      <c r="B2188" s="50" t="s">
        <v>749</v>
      </c>
      <c r="C2188" s="61" t="s">
        <v>759</v>
      </c>
      <c r="D2188" s="52" t="s">
        <v>881</v>
      </c>
      <c r="E2188" s="50" t="s">
        <v>882</v>
      </c>
      <c r="F2188" s="53" t="s">
        <v>887</v>
      </c>
    </row>
    <row r="2189">
      <c r="A2189" s="54">
        <v>45288.0</v>
      </c>
      <c r="B2189" s="55" t="s">
        <v>771</v>
      </c>
      <c r="C2189" s="60" t="s">
        <v>759</v>
      </c>
      <c r="D2189" s="57" t="s">
        <v>881</v>
      </c>
      <c r="E2189" s="55" t="s">
        <v>882</v>
      </c>
      <c r="F2189" s="58" t="s">
        <v>887</v>
      </c>
    </row>
    <row r="2190">
      <c r="A2190" s="59">
        <v>45289.0</v>
      </c>
      <c r="B2190" s="50" t="s">
        <v>772</v>
      </c>
      <c r="C2190" s="61" t="s">
        <v>759</v>
      </c>
      <c r="D2190" s="52" t="s">
        <v>881</v>
      </c>
      <c r="E2190" s="50" t="s">
        <v>882</v>
      </c>
      <c r="F2190" s="53" t="s">
        <v>887</v>
      </c>
    </row>
    <row r="2191">
      <c r="A2191" s="54">
        <v>45290.0</v>
      </c>
      <c r="B2191" s="55" t="s">
        <v>773</v>
      </c>
      <c r="C2191" s="60" t="s">
        <v>759</v>
      </c>
      <c r="D2191" s="57" t="s">
        <v>881</v>
      </c>
      <c r="E2191" s="55" t="s">
        <v>882</v>
      </c>
      <c r="F2191" s="58" t="s">
        <v>887</v>
      </c>
    </row>
    <row r="2192">
      <c r="A2192" s="59">
        <v>45291.0</v>
      </c>
      <c r="B2192" s="50" t="s">
        <v>774</v>
      </c>
      <c r="C2192" s="61" t="s">
        <v>759</v>
      </c>
      <c r="D2192" s="52" t="s">
        <v>881</v>
      </c>
      <c r="E2192" s="50" t="s">
        <v>882</v>
      </c>
      <c r="F2192" s="53" t="s">
        <v>887</v>
      </c>
    </row>
    <row r="2193">
      <c r="A2193" s="54">
        <v>45292.0</v>
      </c>
      <c r="B2193" s="55" t="s">
        <v>742</v>
      </c>
      <c r="C2193" s="56" t="s">
        <v>849</v>
      </c>
      <c r="D2193" s="57" t="s">
        <v>850</v>
      </c>
      <c r="E2193" s="55" t="s">
        <v>851</v>
      </c>
      <c r="F2193" s="58" t="s">
        <v>888</v>
      </c>
    </row>
    <row r="2194">
      <c r="A2194" s="59">
        <v>45293.0</v>
      </c>
      <c r="B2194" s="50" t="s">
        <v>744</v>
      </c>
      <c r="C2194" s="51" t="s">
        <v>849</v>
      </c>
      <c r="D2194" s="52" t="s">
        <v>850</v>
      </c>
      <c r="E2194" s="50" t="s">
        <v>851</v>
      </c>
      <c r="F2194" s="53" t="s">
        <v>888</v>
      </c>
    </row>
    <row r="2195">
      <c r="A2195" s="54">
        <v>45294.0</v>
      </c>
      <c r="B2195" s="55" t="s">
        <v>746</v>
      </c>
      <c r="C2195" s="56" t="s">
        <v>849</v>
      </c>
      <c r="D2195" s="57" t="s">
        <v>850</v>
      </c>
      <c r="E2195" s="55" t="s">
        <v>851</v>
      </c>
      <c r="F2195" s="58" t="s">
        <v>888</v>
      </c>
    </row>
    <row r="2196">
      <c r="A2196" s="59">
        <v>45295.0</v>
      </c>
      <c r="B2196" s="50" t="s">
        <v>748</v>
      </c>
      <c r="C2196" s="51" t="s">
        <v>849</v>
      </c>
      <c r="D2196" s="52" t="s">
        <v>850</v>
      </c>
      <c r="E2196" s="50" t="s">
        <v>851</v>
      </c>
      <c r="F2196" s="53" t="s">
        <v>888</v>
      </c>
    </row>
    <row r="2197">
      <c r="A2197" s="54">
        <v>45296.0</v>
      </c>
      <c r="B2197" s="55" t="s">
        <v>750</v>
      </c>
      <c r="C2197" s="56" t="s">
        <v>849</v>
      </c>
      <c r="D2197" s="57" t="s">
        <v>850</v>
      </c>
      <c r="E2197" s="55" t="s">
        <v>851</v>
      </c>
      <c r="F2197" s="58" t="s">
        <v>888</v>
      </c>
    </row>
    <row r="2198">
      <c r="A2198" s="59">
        <v>45297.0</v>
      </c>
      <c r="B2198" s="50" t="s">
        <v>752</v>
      </c>
      <c r="C2198" s="51" t="s">
        <v>849</v>
      </c>
      <c r="D2198" s="52" t="s">
        <v>850</v>
      </c>
      <c r="E2198" s="50" t="s">
        <v>851</v>
      </c>
      <c r="F2198" s="53" t="s">
        <v>888</v>
      </c>
    </row>
    <row r="2199">
      <c r="A2199" s="54">
        <v>45298.0</v>
      </c>
      <c r="B2199" s="55" t="s">
        <v>753</v>
      </c>
      <c r="C2199" s="56" t="s">
        <v>849</v>
      </c>
      <c r="D2199" s="57" t="s">
        <v>850</v>
      </c>
      <c r="E2199" s="55" t="s">
        <v>851</v>
      </c>
      <c r="F2199" s="58" t="s">
        <v>888</v>
      </c>
    </row>
    <row r="2200">
      <c r="A2200" s="59">
        <v>45299.0</v>
      </c>
      <c r="B2200" s="50" t="s">
        <v>754</v>
      </c>
      <c r="C2200" s="51" t="s">
        <v>849</v>
      </c>
      <c r="D2200" s="52" t="s">
        <v>850</v>
      </c>
      <c r="E2200" s="50" t="s">
        <v>851</v>
      </c>
      <c r="F2200" s="53" t="s">
        <v>888</v>
      </c>
    </row>
    <row r="2201">
      <c r="A2201" s="54">
        <v>45300.0</v>
      </c>
      <c r="B2201" s="55" t="s">
        <v>755</v>
      </c>
      <c r="C2201" s="56" t="s">
        <v>849</v>
      </c>
      <c r="D2201" s="57" t="s">
        <v>850</v>
      </c>
      <c r="E2201" s="55" t="s">
        <v>851</v>
      </c>
      <c r="F2201" s="58" t="s">
        <v>888</v>
      </c>
    </row>
    <row r="2202">
      <c r="A2202" s="59">
        <v>45301.0</v>
      </c>
      <c r="B2202" s="50" t="s">
        <v>756</v>
      </c>
      <c r="C2202" s="51" t="s">
        <v>849</v>
      </c>
      <c r="D2202" s="52" t="s">
        <v>850</v>
      </c>
      <c r="E2202" s="50" t="s">
        <v>851</v>
      </c>
      <c r="F2202" s="53" t="s">
        <v>888</v>
      </c>
    </row>
    <row r="2203">
      <c r="A2203" s="54">
        <v>45302.0</v>
      </c>
      <c r="B2203" s="55" t="s">
        <v>758</v>
      </c>
      <c r="C2203" s="56" t="s">
        <v>849</v>
      </c>
      <c r="D2203" s="57" t="s">
        <v>850</v>
      </c>
      <c r="E2203" s="55" t="s">
        <v>851</v>
      </c>
      <c r="F2203" s="58" t="s">
        <v>888</v>
      </c>
    </row>
    <row r="2204">
      <c r="A2204" s="59">
        <v>45303.0</v>
      </c>
      <c r="B2204" s="50" t="s">
        <v>759</v>
      </c>
      <c r="C2204" s="51" t="s">
        <v>849</v>
      </c>
      <c r="D2204" s="52" t="s">
        <v>850</v>
      </c>
      <c r="E2204" s="50" t="s">
        <v>851</v>
      </c>
      <c r="F2204" s="53" t="s">
        <v>888</v>
      </c>
    </row>
    <row r="2205">
      <c r="A2205" s="54">
        <v>45304.0</v>
      </c>
      <c r="B2205" s="55" t="s">
        <v>760</v>
      </c>
      <c r="C2205" s="56" t="s">
        <v>849</v>
      </c>
      <c r="D2205" s="57" t="s">
        <v>850</v>
      </c>
      <c r="E2205" s="55" t="s">
        <v>851</v>
      </c>
      <c r="F2205" s="58" t="s">
        <v>888</v>
      </c>
    </row>
    <row r="2206">
      <c r="A2206" s="59">
        <v>45305.0</v>
      </c>
      <c r="B2206" s="50" t="s">
        <v>761</v>
      </c>
      <c r="C2206" s="51" t="s">
        <v>849</v>
      </c>
      <c r="D2206" s="52" t="s">
        <v>850</v>
      </c>
      <c r="E2206" s="50" t="s">
        <v>851</v>
      </c>
      <c r="F2206" s="53" t="s">
        <v>888</v>
      </c>
    </row>
    <row r="2207">
      <c r="A2207" s="54">
        <v>45306.0</v>
      </c>
      <c r="B2207" s="55" t="s">
        <v>762</v>
      </c>
      <c r="C2207" s="56" t="s">
        <v>849</v>
      </c>
      <c r="D2207" s="57" t="s">
        <v>850</v>
      </c>
      <c r="E2207" s="55" t="s">
        <v>851</v>
      </c>
      <c r="F2207" s="58" t="s">
        <v>888</v>
      </c>
    </row>
    <row r="2208">
      <c r="A2208" s="59">
        <v>45307.0</v>
      </c>
      <c r="B2208" s="50" t="s">
        <v>763</v>
      </c>
      <c r="C2208" s="51" t="s">
        <v>849</v>
      </c>
      <c r="D2208" s="52" t="s">
        <v>850</v>
      </c>
      <c r="E2208" s="50" t="s">
        <v>851</v>
      </c>
      <c r="F2208" s="53" t="s">
        <v>888</v>
      </c>
    </row>
    <row r="2209">
      <c r="A2209" s="54">
        <v>45308.0</v>
      </c>
      <c r="B2209" s="55" t="s">
        <v>764</v>
      </c>
      <c r="C2209" s="56" t="s">
        <v>849</v>
      </c>
      <c r="D2209" s="57" t="s">
        <v>850</v>
      </c>
      <c r="E2209" s="55" t="s">
        <v>851</v>
      </c>
      <c r="F2209" s="58" t="s">
        <v>888</v>
      </c>
    </row>
    <row r="2210">
      <c r="A2210" s="59">
        <v>45309.0</v>
      </c>
      <c r="B2210" s="50" t="s">
        <v>765</v>
      </c>
      <c r="C2210" s="51" t="s">
        <v>849</v>
      </c>
      <c r="D2210" s="52" t="s">
        <v>850</v>
      </c>
      <c r="E2210" s="50" t="s">
        <v>851</v>
      </c>
      <c r="F2210" s="53" t="s">
        <v>888</v>
      </c>
    </row>
    <row r="2211">
      <c r="A2211" s="54">
        <v>45310.0</v>
      </c>
      <c r="B2211" s="55" t="s">
        <v>743</v>
      </c>
      <c r="C2211" s="56" t="s">
        <v>849</v>
      </c>
      <c r="D2211" s="57" t="s">
        <v>850</v>
      </c>
      <c r="E2211" s="55" t="s">
        <v>851</v>
      </c>
      <c r="F2211" s="58" t="s">
        <v>888</v>
      </c>
    </row>
    <row r="2212">
      <c r="A2212" s="59">
        <v>45311.0</v>
      </c>
      <c r="B2212" s="50" t="s">
        <v>766</v>
      </c>
      <c r="C2212" s="51" t="s">
        <v>849</v>
      </c>
      <c r="D2212" s="52" t="s">
        <v>850</v>
      </c>
      <c r="E2212" s="50" t="s">
        <v>851</v>
      </c>
      <c r="F2212" s="53" t="s">
        <v>888</v>
      </c>
    </row>
    <row r="2213">
      <c r="A2213" s="54">
        <v>45312.0</v>
      </c>
      <c r="B2213" s="55" t="s">
        <v>745</v>
      </c>
      <c r="C2213" s="56" t="s">
        <v>849</v>
      </c>
      <c r="D2213" s="57" t="s">
        <v>850</v>
      </c>
      <c r="E2213" s="55" t="s">
        <v>851</v>
      </c>
      <c r="F2213" s="58" t="s">
        <v>888</v>
      </c>
    </row>
    <row r="2214">
      <c r="A2214" s="59">
        <v>45313.0</v>
      </c>
      <c r="B2214" s="50" t="s">
        <v>767</v>
      </c>
      <c r="C2214" s="51" t="s">
        <v>849</v>
      </c>
      <c r="D2214" s="52" t="s">
        <v>850</v>
      </c>
      <c r="E2214" s="50" t="s">
        <v>851</v>
      </c>
      <c r="F2214" s="53" t="s">
        <v>888</v>
      </c>
    </row>
    <row r="2215">
      <c r="A2215" s="54">
        <v>45314.0</v>
      </c>
      <c r="B2215" s="55" t="s">
        <v>768</v>
      </c>
      <c r="C2215" s="56" t="s">
        <v>849</v>
      </c>
      <c r="D2215" s="57" t="s">
        <v>850</v>
      </c>
      <c r="E2215" s="55" t="s">
        <v>851</v>
      </c>
      <c r="F2215" s="58" t="s">
        <v>888</v>
      </c>
    </row>
    <row r="2216">
      <c r="A2216" s="59">
        <v>45315.0</v>
      </c>
      <c r="B2216" s="50" t="s">
        <v>747</v>
      </c>
      <c r="C2216" s="51" t="s">
        <v>849</v>
      </c>
      <c r="D2216" s="52" t="s">
        <v>850</v>
      </c>
      <c r="E2216" s="50" t="s">
        <v>851</v>
      </c>
      <c r="F2216" s="53" t="s">
        <v>888</v>
      </c>
    </row>
    <row r="2217">
      <c r="A2217" s="54">
        <v>45316.0</v>
      </c>
      <c r="B2217" s="55" t="s">
        <v>769</v>
      </c>
      <c r="C2217" s="56" t="s">
        <v>849</v>
      </c>
      <c r="D2217" s="57" t="s">
        <v>850</v>
      </c>
      <c r="E2217" s="55" t="s">
        <v>851</v>
      </c>
      <c r="F2217" s="58" t="s">
        <v>888</v>
      </c>
    </row>
    <row r="2218">
      <c r="A2218" s="59">
        <v>45317.0</v>
      </c>
      <c r="B2218" s="50" t="s">
        <v>770</v>
      </c>
      <c r="C2218" s="51" t="s">
        <v>849</v>
      </c>
      <c r="D2218" s="52" t="s">
        <v>850</v>
      </c>
      <c r="E2218" s="50" t="s">
        <v>851</v>
      </c>
      <c r="F2218" s="53" t="s">
        <v>888</v>
      </c>
    </row>
    <row r="2219">
      <c r="A2219" s="54">
        <v>45318.0</v>
      </c>
      <c r="B2219" s="55" t="s">
        <v>749</v>
      </c>
      <c r="C2219" s="56" t="s">
        <v>849</v>
      </c>
      <c r="D2219" s="57" t="s">
        <v>850</v>
      </c>
      <c r="E2219" s="55" t="s">
        <v>851</v>
      </c>
      <c r="F2219" s="58" t="s">
        <v>888</v>
      </c>
    </row>
    <row r="2220">
      <c r="A2220" s="59">
        <v>45319.0</v>
      </c>
      <c r="B2220" s="50" t="s">
        <v>771</v>
      </c>
      <c r="C2220" s="51" t="s">
        <v>849</v>
      </c>
      <c r="D2220" s="52" t="s">
        <v>850</v>
      </c>
      <c r="E2220" s="50" t="s">
        <v>851</v>
      </c>
      <c r="F2220" s="53" t="s">
        <v>888</v>
      </c>
    </row>
    <row r="2221">
      <c r="A2221" s="54">
        <v>45320.0</v>
      </c>
      <c r="B2221" s="55" t="s">
        <v>772</v>
      </c>
      <c r="C2221" s="56" t="s">
        <v>849</v>
      </c>
      <c r="D2221" s="57" t="s">
        <v>850</v>
      </c>
      <c r="E2221" s="55" t="s">
        <v>851</v>
      </c>
      <c r="F2221" s="58" t="s">
        <v>888</v>
      </c>
    </row>
    <row r="2222">
      <c r="A2222" s="59">
        <v>45321.0</v>
      </c>
      <c r="B2222" s="50" t="s">
        <v>773</v>
      </c>
      <c r="C2222" s="51" t="s">
        <v>849</v>
      </c>
      <c r="D2222" s="52" t="s">
        <v>850</v>
      </c>
      <c r="E2222" s="50" t="s">
        <v>851</v>
      </c>
      <c r="F2222" s="53" t="s">
        <v>888</v>
      </c>
    </row>
    <row r="2223">
      <c r="A2223" s="54">
        <v>45322.0</v>
      </c>
      <c r="B2223" s="55" t="s">
        <v>774</v>
      </c>
      <c r="C2223" s="56" t="s">
        <v>849</v>
      </c>
      <c r="D2223" s="57" t="s">
        <v>850</v>
      </c>
      <c r="E2223" s="55" t="s">
        <v>851</v>
      </c>
      <c r="F2223" s="58" t="s">
        <v>888</v>
      </c>
    </row>
    <row r="2224">
      <c r="A2224" s="59">
        <v>45323.0</v>
      </c>
      <c r="B2224" s="50" t="s">
        <v>742</v>
      </c>
      <c r="C2224" s="51" t="s">
        <v>853</v>
      </c>
      <c r="D2224" s="52" t="s">
        <v>854</v>
      </c>
      <c r="E2224" s="50" t="s">
        <v>855</v>
      </c>
      <c r="F2224" s="53" t="s">
        <v>888</v>
      </c>
    </row>
    <row r="2225">
      <c r="A2225" s="54">
        <v>45324.0</v>
      </c>
      <c r="B2225" s="55" t="s">
        <v>744</v>
      </c>
      <c r="C2225" s="56" t="s">
        <v>853</v>
      </c>
      <c r="D2225" s="57" t="s">
        <v>854</v>
      </c>
      <c r="E2225" s="55" t="s">
        <v>855</v>
      </c>
      <c r="F2225" s="58" t="s">
        <v>888</v>
      </c>
    </row>
    <row r="2226">
      <c r="A2226" s="59">
        <v>45325.0</v>
      </c>
      <c r="B2226" s="50" t="s">
        <v>746</v>
      </c>
      <c r="C2226" s="51" t="s">
        <v>853</v>
      </c>
      <c r="D2226" s="52" t="s">
        <v>854</v>
      </c>
      <c r="E2226" s="50" t="s">
        <v>855</v>
      </c>
      <c r="F2226" s="53" t="s">
        <v>888</v>
      </c>
    </row>
    <row r="2227">
      <c r="A2227" s="54">
        <v>45326.0</v>
      </c>
      <c r="B2227" s="55" t="s">
        <v>748</v>
      </c>
      <c r="C2227" s="56" t="s">
        <v>853</v>
      </c>
      <c r="D2227" s="57" t="s">
        <v>854</v>
      </c>
      <c r="E2227" s="55" t="s">
        <v>855</v>
      </c>
      <c r="F2227" s="58" t="s">
        <v>888</v>
      </c>
    </row>
    <row r="2228">
      <c r="A2228" s="59">
        <v>45327.0</v>
      </c>
      <c r="B2228" s="50" t="s">
        <v>750</v>
      </c>
      <c r="C2228" s="51" t="s">
        <v>853</v>
      </c>
      <c r="D2228" s="52" t="s">
        <v>854</v>
      </c>
      <c r="E2228" s="50" t="s">
        <v>855</v>
      </c>
      <c r="F2228" s="53" t="s">
        <v>888</v>
      </c>
    </row>
    <row r="2229">
      <c r="A2229" s="54">
        <v>45328.0</v>
      </c>
      <c r="B2229" s="55" t="s">
        <v>752</v>
      </c>
      <c r="C2229" s="56" t="s">
        <v>853</v>
      </c>
      <c r="D2229" s="57" t="s">
        <v>854</v>
      </c>
      <c r="E2229" s="55" t="s">
        <v>855</v>
      </c>
      <c r="F2229" s="58" t="s">
        <v>888</v>
      </c>
    </row>
    <row r="2230">
      <c r="A2230" s="59">
        <v>45329.0</v>
      </c>
      <c r="B2230" s="50" t="s">
        <v>753</v>
      </c>
      <c r="C2230" s="51" t="s">
        <v>853</v>
      </c>
      <c r="D2230" s="52" t="s">
        <v>854</v>
      </c>
      <c r="E2230" s="50" t="s">
        <v>855</v>
      </c>
      <c r="F2230" s="53" t="s">
        <v>888</v>
      </c>
    </row>
    <row r="2231">
      <c r="A2231" s="54">
        <v>45330.0</v>
      </c>
      <c r="B2231" s="55" t="s">
        <v>754</v>
      </c>
      <c r="C2231" s="56" t="s">
        <v>853</v>
      </c>
      <c r="D2231" s="57" t="s">
        <v>854</v>
      </c>
      <c r="E2231" s="55" t="s">
        <v>855</v>
      </c>
      <c r="F2231" s="58" t="s">
        <v>888</v>
      </c>
    </row>
    <row r="2232">
      <c r="A2232" s="59">
        <v>45331.0</v>
      </c>
      <c r="B2232" s="50" t="s">
        <v>755</v>
      </c>
      <c r="C2232" s="51" t="s">
        <v>853</v>
      </c>
      <c r="D2232" s="52" t="s">
        <v>854</v>
      </c>
      <c r="E2232" s="50" t="s">
        <v>855</v>
      </c>
      <c r="F2232" s="53" t="s">
        <v>888</v>
      </c>
    </row>
    <row r="2233">
      <c r="A2233" s="54">
        <v>45332.0</v>
      </c>
      <c r="B2233" s="55" t="s">
        <v>756</v>
      </c>
      <c r="C2233" s="56" t="s">
        <v>853</v>
      </c>
      <c r="D2233" s="57" t="s">
        <v>854</v>
      </c>
      <c r="E2233" s="55" t="s">
        <v>855</v>
      </c>
      <c r="F2233" s="58" t="s">
        <v>888</v>
      </c>
    </row>
    <row r="2234">
      <c r="A2234" s="59">
        <v>45333.0</v>
      </c>
      <c r="B2234" s="50" t="s">
        <v>758</v>
      </c>
      <c r="C2234" s="51" t="s">
        <v>853</v>
      </c>
      <c r="D2234" s="52" t="s">
        <v>854</v>
      </c>
      <c r="E2234" s="50" t="s">
        <v>855</v>
      </c>
      <c r="F2234" s="53" t="s">
        <v>888</v>
      </c>
    </row>
    <row r="2235">
      <c r="A2235" s="54">
        <v>45334.0</v>
      </c>
      <c r="B2235" s="55" t="s">
        <v>759</v>
      </c>
      <c r="C2235" s="56" t="s">
        <v>853</v>
      </c>
      <c r="D2235" s="57" t="s">
        <v>854</v>
      </c>
      <c r="E2235" s="55" t="s">
        <v>855</v>
      </c>
      <c r="F2235" s="58" t="s">
        <v>888</v>
      </c>
    </row>
    <row r="2236">
      <c r="A2236" s="59">
        <v>45335.0</v>
      </c>
      <c r="B2236" s="50" t="s">
        <v>760</v>
      </c>
      <c r="C2236" s="51" t="s">
        <v>853</v>
      </c>
      <c r="D2236" s="52" t="s">
        <v>854</v>
      </c>
      <c r="E2236" s="50" t="s">
        <v>855</v>
      </c>
      <c r="F2236" s="53" t="s">
        <v>888</v>
      </c>
    </row>
    <row r="2237">
      <c r="A2237" s="54">
        <v>45336.0</v>
      </c>
      <c r="B2237" s="55" t="s">
        <v>761</v>
      </c>
      <c r="C2237" s="56" t="s">
        <v>853</v>
      </c>
      <c r="D2237" s="57" t="s">
        <v>854</v>
      </c>
      <c r="E2237" s="55" t="s">
        <v>855</v>
      </c>
      <c r="F2237" s="58" t="s">
        <v>888</v>
      </c>
    </row>
    <row r="2238">
      <c r="A2238" s="59">
        <v>45337.0</v>
      </c>
      <c r="B2238" s="50" t="s">
        <v>762</v>
      </c>
      <c r="C2238" s="51" t="s">
        <v>853</v>
      </c>
      <c r="D2238" s="52" t="s">
        <v>854</v>
      </c>
      <c r="E2238" s="50" t="s">
        <v>855</v>
      </c>
      <c r="F2238" s="53" t="s">
        <v>888</v>
      </c>
    </row>
    <row r="2239">
      <c r="A2239" s="54">
        <v>45338.0</v>
      </c>
      <c r="B2239" s="55" t="s">
        <v>763</v>
      </c>
      <c r="C2239" s="56" t="s">
        <v>853</v>
      </c>
      <c r="D2239" s="57" t="s">
        <v>854</v>
      </c>
      <c r="E2239" s="55" t="s">
        <v>855</v>
      </c>
      <c r="F2239" s="58" t="s">
        <v>888</v>
      </c>
    </row>
    <row r="2240">
      <c r="A2240" s="59">
        <v>45339.0</v>
      </c>
      <c r="B2240" s="50" t="s">
        <v>764</v>
      </c>
      <c r="C2240" s="51" t="s">
        <v>853</v>
      </c>
      <c r="D2240" s="52" t="s">
        <v>854</v>
      </c>
      <c r="E2240" s="50" t="s">
        <v>855</v>
      </c>
      <c r="F2240" s="53" t="s">
        <v>888</v>
      </c>
    </row>
    <row r="2241">
      <c r="A2241" s="54">
        <v>45340.0</v>
      </c>
      <c r="B2241" s="55" t="s">
        <v>765</v>
      </c>
      <c r="C2241" s="56" t="s">
        <v>853</v>
      </c>
      <c r="D2241" s="57" t="s">
        <v>854</v>
      </c>
      <c r="E2241" s="55" t="s">
        <v>855</v>
      </c>
      <c r="F2241" s="58" t="s">
        <v>888</v>
      </c>
    </row>
    <row r="2242">
      <c r="A2242" s="59">
        <v>45341.0</v>
      </c>
      <c r="B2242" s="50" t="s">
        <v>743</v>
      </c>
      <c r="C2242" s="51" t="s">
        <v>853</v>
      </c>
      <c r="D2242" s="52" t="s">
        <v>854</v>
      </c>
      <c r="E2242" s="50" t="s">
        <v>855</v>
      </c>
      <c r="F2242" s="53" t="s">
        <v>888</v>
      </c>
    </row>
    <row r="2243">
      <c r="A2243" s="54">
        <v>45342.0</v>
      </c>
      <c r="B2243" s="55" t="s">
        <v>766</v>
      </c>
      <c r="C2243" s="56" t="s">
        <v>853</v>
      </c>
      <c r="D2243" s="57" t="s">
        <v>854</v>
      </c>
      <c r="E2243" s="55" t="s">
        <v>855</v>
      </c>
      <c r="F2243" s="58" t="s">
        <v>888</v>
      </c>
    </row>
    <row r="2244">
      <c r="A2244" s="59">
        <v>45343.0</v>
      </c>
      <c r="B2244" s="50" t="s">
        <v>745</v>
      </c>
      <c r="C2244" s="51" t="s">
        <v>853</v>
      </c>
      <c r="D2244" s="52" t="s">
        <v>854</v>
      </c>
      <c r="E2244" s="50" t="s">
        <v>855</v>
      </c>
      <c r="F2244" s="53" t="s">
        <v>888</v>
      </c>
    </row>
    <row r="2245">
      <c r="A2245" s="54">
        <v>45344.0</v>
      </c>
      <c r="B2245" s="55" t="s">
        <v>767</v>
      </c>
      <c r="C2245" s="56" t="s">
        <v>853</v>
      </c>
      <c r="D2245" s="57" t="s">
        <v>854</v>
      </c>
      <c r="E2245" s="55" t="s">
        <v>855</v>
      </c>
      <c r="F2245" s="58" t="s">
        <v>888</v>
      </c>
    </row>
    <row r="2246">
      <c r="A2246" s="59">
        <v>45345.0</v>
      </c>
      <c r="B2246" s="50" t="s">
        <v>768</v>
      </c>
      <c r="C2246" s="51" t="s">
        <v>853</v>
      </c>
      <c r="D2246" s="52" t="s">
        <v>854</v>
      </c>
      <c r="E2246" s="50" t="s">
        <v>855</v>
      </c>
      <c r="F2246" s="53" t="s">
        <v>888</v>
      </c>
    </row>
    <row r="2247">
      <c r="A2247" s="54">
        <v>45346.0</v>
      </c>
      <c r="B2247" s="55" t="s">
        <v>747</v>
      </c>
      <c r="C2247" s="56" t="s">
        <v>853</v>
      </c>
      <c r="D2247" s="57" t="s">
        <v>854</v>
      </c>
      <c r="E2247" s="55" t="s">
        <v>855</v>
      </c>
      <c r="F2247" s="58" t="s">
        <v>888</v>
      </c>
    </row>
    <row r="2248">
      <c r="A2248" s="59">
        <v>45347.0</v>
      </c>
      <c r="B2248" s="50" t="s">
        <v>769</v>
      </c>
      <c r="C2248" s="51" t="s">
        <v>853</v>
      </c>
      <c r="D2248" s="52" t="s">
        <v>854</v>
      </c>
      <c r="E2248" s="50" t="s">
        <v>855</v>
      </c>
      <c r="F2248" s="53" t="s">
        <v>888</v>
      </c>
    </row>
    <row r="2249">
      <c r="A2249" s="54">
        <v>45348.0</v>
      </c>
      <c r="B2249" s="55" t="s">
        <v>770</v>
      </c>
      <c r="C2249" s="56" t="s">
        <v>853</v>
      </c>
      <c r="D2249" s="57" t="s">
        <v>854</v>
      </c>
      <c r="E2249" s="55" t="s">
        <v>855</v>
      </c>
      <c r="F2249" s="58" t="s">
        <v>888</v>
      </c>
    </row>
    <row r="2250">
      <c r="A2250" s="59">
        <v>45349.0</v>
      </c>
      <c r="B2250" s="50" t="s">
        <v>749</v>
      </c>
      <c r="C2250" s="51" t="s">
        <v>853</v>
      </c>
      <c r="D2250" s="52" t="s">
        <v>854</v>
      </c>
      <c r="E2250" s="50" t="s">
        <v>855</v>
      </c>
      <c r="F2250" s="53" t="s">
        <v>888</v>
      </c>
    </row>
    <row r="2251">
      <c r="A2251" s="54">
        <v>45350.0</v>
      </c>
      <c r="B2251" s="55" t="s">
        <v>771</v>
      </c>
      <c r="C2251" s="56" t="s">
        <v>853</v>
      </c>
      <c r="D2251" s="57" t="s">
        <v>854</v>
      </c>
      <c r="E2251" s="55" t="s">
        <v>855</v>
      </c>
      <c r="F2251" s="58" t="s">
        <v>888</v>
      </c>
    </row>
    <row r="2252">
      <c r="A2252" s="59">
        <v>45351.0</v>
      </c>
      <c r="B2252" s="50" t="s">
        <v>772</v>
      </c>
      <c r="C2252" s="51" t="s">
        <v>853</v>
      </c>
      <c r="D2252" s="52" t="s">
        <v>854</v>
      </c>
      <c r="E2252" s="50" t="s">
        <v>855</v>
      </c>
      <c r="F2252" s="53" t="s">
        <v>888</v>
      </c>
    </row>
    <row r="2253">
      <c r="A2253" s="54">
        <v>45352.0</v>
      </c>
      <c r="B2253" s="55" t="s">
        <v>742</v>
      </c>
      <c r="C2253" s="56" t="s">
        <v>856</v>
      </c>
      <c r="D2253" s="57" t="s">
        <v>857</v>
      </c>
      <c r="E2253" s="55" t="s">
        <v>858</v>
      </c>
      <c r="F2253" s="58" t="s">
        <v>888</v>
      </c>
    </row>
    <row r="2254">
      <c r="A2254" s="59">
        <v>45353.0</v>
      </c>
      <c r="B2254" s="50" t="s">
        <v>744</v>
      </c>
      <c r="C2254" s="51" t="s">
        <v>856</v>
      </c>
      <c r="D2254" s="52" t="s">
        <v>857</v>
      </c>
      <c r="E2254" s="50" t="s">
        <v>858</v>
      </c>
      <c r="F2254" s="53" t="s">
        <v>888</v>
      </c>
    </row>
    <row r="2255">
      <c r="A2255" s="54">
        <v>45354.0</v>
      </c>
      <c r="B2255" s="55" t="s">
        <v>746</v>
      </c>
      <c r="C2255" s="56" t="s">
        <v>856</v>
      </c>
      <c r="D2255" s="57" t="s">
        <v>857</v>
      </c>
      <c r="E2255" s="55" t="s">
        <v>858</v>
      </c>
      <c r="F2255" s="58" t="s">
        <v>888</v>
      </c>
    </row>
    <row r="2256">
      <c r="A2256" s="59">
        <v>45355.0</v>
      </c>
      <c r="B2256" s="50" t="s">
        <v>748</v>
      </c>
      <c r="C2256" s="51" t="s">
        <v>856</v>
      </c>
      <c r="D2256" s="52" t="s">
        <v>857</v>
      </c>
      <c r="E2256" s="50" t="s">
        <v>858</v>
      </c>
      <c r="F2256" s="53" t="s">
        <v>888</v>
      </c>
    </row>
    <row r="2257">
      <c r="A2257" s="54">
        <v>45356.0</v>
      </c>
      <c r="B2257" s="55" t="s">
        <v>750</v>
      </c>
      <c r="C2257" s="56" t="s">
        <v>856</v>
      </c>
      <c r="D2257" s="57" t="s">
        <v>857</v>
      </c>
      <c r="E2257" s="55" t="s">
        <v>858</v>
      </c>
      <c r="F2257" s="58" t="s">
        <v>888</v>
      </c>
    </row>
    <row r="2258">
      <c r="A2258" s="59">
        <v>45357.0</v>
      </c>
      <c r="B2258" s="50" t="s">
        <v>752</v>
      </c>
      <c r="C2258" s="51" t="s">
        <v>856</v>
      </c>
      <c r="D2258" s="52" t="s">
        <v>857</v>
      </c>
      <c r="E2258" s="50" t="s">
        <v>858</v>
      </c>
      <c r="F2258" s="53" t="s">
        <v>888</v>
      </c>
    </row>
    <row r="2259">
      <c r="A2259" s="54">
        <v>45358.0</v>
      </c>
      <c r="B2259" s="55" t="s">
        <v>753</v>
      </c>
      <c r="C2259" s="56" t="s">
        <v>856</v>
      </c>
      <c r="D2259" s="57" t="s">
        <v>857</v>
      </c>
      <c r="E2259" s="55" t="s">
        <v>858</v>
      </c>
      <c r="F2259" s="58" t="s">
        <v>888</v>
      </c>
    </row>
    <row r="2260">
      <c r="A2260" s="59">
        <v>45359.0</v>
      </c>
      <c r="B2260" s="50" t="s">
        <v>754</v>
      </c>
      <c r="C2260" s="51" t="s">
        <v>856</v>
      </c>
      <c r="D2260" s="52" t="s">
        <v>857</v>
      </c>
      <c r="E2260" s="50" t="s">
        <v>858</v>
      </c>
      <c r="F2260" s="53" t="s">
        <v>888</v>
      </c>
    </row>
    <row r="2261">
      <c r="A2261" s="54">
        <v>45360.0</v>
      </c>
      <c r="B2261" s="55" t="s">
        <v>755</v>
      </c>
      <c r="C2261" s="56" t="s">
        <v>856</v>
      </c>
      <c r="D2261" s="57" t="s">
        <v>857</v>
      </c>
      <c r="E2261" s="55" t="s">
        <v>858</v>
      </c>
      <c r="F2261" s="58" t="s">
        <v>888</v>
      </c>
    </row>
    <row r="2262">
      <c r="A2262" s="59">
        <v>45361.0</v>
      </c>
      <c r="B2262" s="50" t="s">
        <v>756</v>
      </c>
      <c r="C2262" s="51" t="s">
        <v>856</v>
      </c>
      <c r="D2262" s="52" t="s">
        <v>857</v>
      </c>
      <c r="E2262" s="50" t="s">
        <v>858</v>
      </c>
      <c r="F2262" s="53" t="s">
        <v>888</v>
      </c>
    </row>
    <row r="2263">
      <c r="A2263" s="54">
        <v>45362.0</v>
      </c>
      <c r="B2263" s="55" t="s">
        <v>758</v>
      </c>
      <c r="C2263" s="56" t="s">
        <v>856</v>
      </c>
      <c r="D2263" s="57" t="s">
        <v>857</v>
      </c>
      <c r="E2263" s="55" t="s">
        <v>858</v>
      </c>
      <c r="F2263" s="58" t="s">
        <v>888</v>
      </c>
    </row>
    <row r="2264">
      <c r="A2264" s="59">
        <v>45363.0</v>
      </c>
      <c r="B2264" s="50" t="s">
        <v>759</v>
      </c>
      <c r="C2264" s="51" t="s">
        <v>856</v>
      </c>
      <c r="D2264" s="52" t="s">
        <v>857</v>
      </c>
      <c r="E2264" s="50" t="s">
        <v>858</v>
      </c>
      <c r="F2264" s="53" t="s">
        <v>888</v>
      </c>
    </row>
    <row r="2265">
      <c r="A2265" s="54">
        <v>45364.0</v>
      </c>
      <c r="B2265" s="55" t="s">
        <v>760</v>
      </c>
      <c r="C2265" s="56" t="s">
        <v>856</v>
      </c>
      <c r="D2265" s="57" t="s">
        <v>857</v>
      </c>
      <c r="E2265" s="55" t="s">
        <v>858</v>
      </c>
      <c r="F2265" s="58" t="s">
        <v>888</v>
      </c>
    </row>
    <row r="2266">
      <c r="A2266" s="59">
        <v>45365.0</v>
      </c>
      <c r="B2266" s="50" t="s">
        <v>761</v>
      </c>
      <c r="C2266" s="51" t="s">
        <v>856</v>
      </c>
      <c r="D2266" s="52" t="s">
        <v>857</v>
      </c>
      <c r="E2266" s="50" t="s">
        <v>858</v>
      </c>
      <c r="F2266" s="53" t="s">
        <v>888</v>
      </c>
    </row>
    <row r="2267">
      <c r="A2267" s="54">
        <v>45366.0</v>
      </c>
      <c r="B2267" s="55" t="s">
        <v>762</v>
      </c>
      <c r="C2267" s="56" t="s">
        <v>856</v>
      </c>
      <c r="D2267" s="57" t="s">
        <v>857</v>
      </c>
      <c r="E2267" s="55" t="s">
        <v>858</v>
      </c>
      <c r="F2267" s="58" t="s">
        <v>888</v>
      </c>
    </row>
    <row r="2268">
      <c r="A2268" s="59">
        <v>45367.0</v>
      </c>
      <c r="B2268" s="50" t="s">
        <v>763</v>
      </c>
      <c r="C2268" s="51" t="s">
        <v>856</v>
      </c>
      <c r="D2268" s="52" t="s">
        <v>857</v>
      </c>
      <c r="E2268" s="50" t="s">
        <v>858</v>
      </c>
      <c r="F2268" s="53" t="s">
        <v>888</v>
      </c>
    </row>
    <row r="2269">
      <c r="A2269" s="54">
        <v>45368.0</v>
      </c>
      <c r="B2269" s="55" t="s">
        <v>764</v>
      </c>
      <c r="C2269" s="56" t="s">
        <v>856</v>
      </c>
      <c r="D2269" s="57" t="s">
        <v>857</v>
      </c>
      <c r="E2269" s="55" t="s">
        <v>858</v>
      </c>
      <c r="F2269" s="58" t="s">
        <v>888</v>
      </c>
    </row>
    <row r="2270">
      <c r="A2270" s="59">
        <v>45369.0</v>
      </c>
      <c r="B2270" s="50" t="s">
        <v>765</v>
      </c>
      <c r="C2270" s="51" t="s">
        <v>856</v>
      </c>
      <c r="D2270" s="52" t="s">
        <v>857</v>
      </c>
      <c r="E2270" s="50" t="s">
        <v>858</v>
      </c>
      <c r="F2270" s="53" t="s">
        <v>888</v>
      </c>
    </row>
    <row r="2271">
      <c r="A2271" s="54">
        <v>45370.0</v>
      </c>
      <c r="B2271" s="55" t="s">
        <v>743</v>
      </c>
      <c r="C2271" s="56" t="s">
        <v>856</v>
      </c>
      <c r="D2271" s="57" t="s">
        <v>857</v>
      </c>
      <c r="E2271" s="55" t="s">
        <v>858</v>
      </c>
      <c r="F2271" s="58" t="s">
        <v>888</v>
      </c>
    </row>
    <row r="2272">
      <c r="A2272" s="59">
        <v>45371.0</v>
      </c>
      <c r="B2272" s="50" t="s">
        <v>766</v>
      </c>
      <c r="C2272" s="51" t="s">
        <v>856</v>
      </c>
      <c r="D2272" s="52" t="s">
        <v>857</v>
      </c>
      <c r="E2272" s="50" t="s">
        <v>858</v>
      </c>
      <c r="F2272" s="53" t="s">
        <v>888</v>
      </c>
    </row>
    <row r="2273">
      <c r="A2273" s="54">
        <v>45372.0</v>
      </c>
      <c r="B2273" s="55" t="s">
        <v>745</v>
      </c>
      <c r="C2273" s="56" t="s">
        <v>856</v>
      </c>
      <c r="D2273" s="57" t="s">
        <v>857</v>
      </c>
      <c r="E2273" s="55" t="s">
        <v>858</v>
      </c>
      <c r="F2273" s="58" t="s">
        <v>888</v>
      </c>
    </row>
    <row r="2274">
      <c r="A2274" s="59">
        <v>45373.0</v>
      </c>
      <c r="B2274" s="50" t="s">
        <v>767</v>
      </c>
      <c r="C2274" s="51" t="s">
        <v>856</v>
      </c>
      <c r="D2274" s="52" t="s">
        <v>857</v>
      </c>
      <c r="E2274" s="50" t="s">
        <v>858</v>
      </c>
      <c r="F2274" s="53" t="s">
        <v>888</v>
      </c>
    </row>
    <row r="2275">
      <c r="A2275" s="54">
        <v>45374.0</v>
      </c>
      <c r="B2275" s="55" t="s">
        <v>768</v>
      </c>
      <c r="C2275" s="56" t="s">
        <v>856</v>
      </c>
      <c r="D2275" s="57" t="s">
        <v>857</v>
      </c>
      <c r="E2275" s="55" t="s">
        <v>858</v>
      </c>
      <c r="F2275" s="58" t="s">
        <v>888</v>
      </c>
    </row>
    <row r="2276">
      <c r="A2276" s="59">
        <v>45375.0</v>
      </c>
      <c r="B2276" s="50" t="s">
        <v>747</v>
      </c>
      <c r="C2276" s="51" t="s">
        <v>856</v>
      </c>
      <c r="D2276" s="52" t="s">
        <v>857</v>
      </c>
      <c r="E2276" s="50" t="s">
        <v>858</v>
      </c>
      <c r="F2276" s="53" t="s">
        <v>888</v>
      </c>
    </row>
    <row r="2277">
      <c r="A2277" s="54">
        <v>45376.0</v>
      </c>
      <c r="B2277" s="55" t="s">
        <v>769</v>
      </c>
      <c r="C2277" s="56" t="s">
        <v>856</v>
      </c>
      <c r="D2277" s="57" t="s">
        <v>857</v>
      </c>
      <c r="E2277" s="55" t="s">
        <v>858</v>
      </c>
      <c r="F2277" s="58" t="s">
        <v>888</v>
      </c>
    </row>
    <row r="2278">
      <c r="A2278" s="59">
        <v>45377.0</v>
      </c>
      <c r="B2278" s="50" t="s">
        <v>770</v>
      </c>
      <c r="C2278" s="51" t="s">
        <v>856</v>
      </c>
      <c r="D2278" s="52" t="s">
        <v>857</v>
      </c>
      <c r="E2278" s="50" t="s">
        <v>858</v>
      </c>
      <c r="F2278" s="53" t="s">
        <v>888</v>
      </c>
    </row>
    <row r="2279">
      <c r="A2279" s="54">
        <v>45378.0</v>
      </c>
      <c r="B2279" s="55" t="s">
        <v>749</v>
      </c>
      <c r="C2279" s="56" t="s">
        <v>856</v>
      </c>
      <c r="D2279" s="57" t="s">
        <v>857</v>
      </c>
      <c r="E2279" s="55" t="s">
        <v>858</v>
      </c>
      <c r="F2279" s="58" t="s">
        <v>888</v>
      </c>
    </row>
    <row r="2280">
      <c r="A2280" s="59">
        <v>45379.0</v>
      </c>
      <c r="B2280" s="50" t="s">
        <v>771</v>
      </c>
      <c r="C2280" s="51" t="s">
        <v>856</v>
      </c>
      <c r="D2280" s="52" t="s">
        <v>857</v>
      </c>
      <c r="E2280" s="50" t="s">
        <v>858</v>
      </c>
      <c r="F2280" s="53" t="s">
        <v>888</v>
      </c>
    </row>
    <row r="2281">
      <c r="A2281" s="54">
        <v>45380.0</v>
      </c>
      <c r="B2281" s="55" t="s">
        <v>772</v>
      </c>
      <c r="C2281" s="56" t="s">
        <v>856</v>
      </c>
      <c r="D2281" s="57" t="s">
        <v>857</v>
      </c>
      <c r="E2281" s="55" t="s">
        <v>858</v>
      </c>
      <c r="F2281" s="58" t="s">
        <v>888</v>
      </c>
    </row>
    <row r="2282">
      <c r="A2282" s="59">
        <v>45381.0</v>
      </c>
      <c r="B2282" s="50" t="s">
        <v>773</v>
      </c>
      <c r="C2282" s="51" t="s">
        <v>856</v>
      </c>
      <c r="D2282" s="52" t="s">
        <v>857</v>
      </c>
      <c r="E2282" s="50" t="s">
        <v>858</v>
      </c>
      <c r="F2282" s="53" t="s">
        <v>888</v>
      </c>
    </row>
    <row r="2283">
      <c r="A2283" s="54">
        <v>45382.0</v>
      </c>
      <c r="B2283" s="55" t="s">
        <v>774</v>
      </c>
      <c r="C2283" s="56" t="s">
        <v>856</v>
      </c>
      <c r="D2283" s="57" t="s">
        <v>857</v>
      </c>
      <c r="E2283" s="55" t="s">
        <v>858</v>
      </c>
      <c r="F2283" s="58" t="s">
        <v>888</v>
      </c>
    </row>
    <row r="2284">
      <c r="A2284" s="59">
        <v>45383.0</v>
      </c>
      <c r="B2284" s="50" t="s">
        <v>742</v>
      </c>
      <c r="C2284" s="51" t="s">
        <v>859</v>
      </c>
      <c r="D2284" s="52" t="s">
        <v>860</v>
      </c>
      <c r="E2284" s="50" t="s">
        <v>861</v>
      </c>
      <c r="F2284" s="53" t="s">
        <v>888</v>
      </c>
    </row>
    <row r="2285">
      <c r="A2285" s="54">
        <v>45384.0</v>
      </c>
      <c r="B2285" s="55" t="s">
        <v>744</v>
      </c>
      <c r="C2285" s="56" t="s">
        <v>859</v>
      </c>
      <c r="D2285" s="57" t="s">
        <v>860</v>
      </c>
      <c r="E2285" s="55" t="s">
        <v>861</v>
      </c>
      <c r="F2285" s="58" t="s">
        <v>888</v>
      </c>
    </row>
    <row r="2286">
      <c r="A2286" s="59">
        <v>45385.0</v>
      </c>
      <c r="B2286" s="50" t="s">
        <v>746</v>
      </c>
      <c r="C2286" s="51" t="s">
        <v>859</v>
      </c>
      <c r="D2286" s="52" t="s">
        <v>860</v>
      </c>
      <c r="E2286" s="50" t="s">
        <v>861</v>
      </c>
      <c r="F2286" s="53" t="s">
        <v>888</v>
      </c>
    </row>
    <row r="2287">
      <c r="A2287" s="54">
        <v>45386.0</v>
      </c>
      <c r="B2287" s="55" t="s">
        <v>748</v>
      </c>
      <c r="C2287" s="56" t="s">
        <v>859</v>
      </c>
      <c r="D2287" s="57" t="s">
        <v>860</v>
      </c>
      <c r="E2287" s="55" t="s">
        <v>861</v>
      </c>
      <c r="F2287" s="58" t="s">
        <v>888</v>
      </c>
    </row>
    <row r="2288">
      <c r="A2288" s="59">
        <v>45387.0</v>
      </c>
      <c r="B2288" s="50" t="s">
        <v>750</v>
      </c>
      <c r="C2288" s="51" t="s">
        <v>859</v>
      </c>
      <c r="D2288" s="52" t="s">
        <v>860</v>
      </c>
      <c r="E2288" s="50" t="s">
        <v>861</v>
      </c>
      <c r="F2288" s="53" t="s">
        <v>888</v>
      </c>
    </row>
    <row r="2289">
      <c r="A2289" s="54">
        <v>45388.0</v>
      </c>
      <c r="B2289" s="55" t="s">
        <v>752</v>
      </c>
      <c r="C2289" s="56" t="s">
        <v>859</v>
      </c>
      <c r="D2289" s="57" t="s">
        <v>860</v>
      </c>
      <c r="E2289" s="55" t="s">
        <v>861</v>
      </c>
      <c r="F2289" s="58" t="s">
        <v>888</v>
      </c>
    </row>
    <row r="2290">
      <c r="A2290" s="59">
        <v>45389.0</v>
      </c>
      <c r="B2290" s="50" t="s">
        <v>753</v>
      </c>
      <c r="C2290" s="51" t="s">
        <v>859</v>
      </c>
      <c r="D2290" s="52" t="s">
        <v>860</v>
      </c>
      <c r="E2290" s="50" t="s">
        <v>861</v>
      </c>
      <c r="F2290" s="53" t="s">
        <v>888</v>
      </c>
    </row>
    <row r="2291">
      <c r="A2291" s="54">
        <v>45390.0</v>
      </c>
      <c r="B2291" s="55" t="s">
        <v>754</v>
      </c>
      <c r="C2291" s="56" t="s">
        <v>859</v>
      </c>
      <c r="D2291" s="57" t="s">
        <v>860</v>
      </c>
      <c r="E2291" s="55" t="s">
        <v>861</v>
      </c>
      <c r="F2291" s="58" t="s">
        <v>888</v>
      </c>
    </row>
    <row r="2292">
      <c r="A2292" s="59">
        <v>45391.0</v>
      </c>
      <c r="B2292" s="50" t="s">
        <v>755</v>
      </c>
      <c r="C2292" s="51" t="s">
        <v>859</v>
      </c>
      <c r="D2292" s="52" t="s">
        <v>860</v>
      </c>
      <c r="E2292" s="50" t="s">
        <v>861</v>
      </c>
      <c r="F2292" s="53" t="s">
        <v>888</v>
      </c>
    </row>
    <row r="2293">
      <c r="A2293" s="54">
        <v>45392.0</v>
      </c>
      <c r="B2293" s="55" t="s">
        <v>756</v>
      </c>
      <c r="C2293" s="56" t="s">
        <v>859</v>
      </c>
      <c r="D2293" s="57" t="s">
        <v>860</v>
      </c>
      <c r="E2293" s="55" t="s">
        <v>861</v>
      </c>
      <c r="F2293" s="58" t="s">
        <v>888</v>
      </c>
    </row>
    <row r="2294">
      <c r="A2294" s="59">
        <v>45393.0</v>
      </c>
      <c r="B2294" s="50" t="s">
        <v>758</v>
      </c>
      <c r="C2294" s="51" t="s">
        <v>859</v>
      </c>
      <c r="D2294" s="52" t="s">
        <v>860</v>
      </c>
      <c r="E2294" s="50" t="s">
        <v>861</v>
      </c>
      <c r="F2294" s="53" t="s">
        <v>888</v>
      </c>
    </row>
    <row r="2295">
      <c r="A2295" s="54">
        <v>45394.0</v>
      </c>
      <c r="B2295" s="55" t="s">
        <v>759</v>
      </c>
      <c r="C2295" s="56" t="s">
        <v>859</v>
      </c>
      <c r="D2295" s="57" t="s">
        <v>860</v>
      </c>
      <c r="E2295" s="55" t="s">
        <v>861</v>
      </c>
      <c r="F2295" s="58" t="s">
        <v>888</v>
      </c>
    </row>
    <row r="2296">
      <c r="A2296" s="59">
        <v>45395.0</v>
      </c>
      <c r="B2296" s="50" t="s">
        <v>760</v>
      </c>
      <c r="C2296" s="51" t="s">
        <v>859</v>
      </c>
      <c r="D2296" s="52" t="s">
        <v>860</v>
      </c>
      <c r="E2296" s="50" t="s">
        <v>861</v>
      </c>
      <c r="F2296" s="53" t="s">
        <v>888</v>
      </c>
    </row>
    <row r="2297">
      <c r="A2297" s="54">
        <v>45396.0</v>
      </c>
      <c r="B2297" s="55" t="s">
        <v>761</v>
      </c>
      <c r="C2297" s="56" t="s">
        <v>859</v>
      </c>
      <c r="D2297" s="57" t="s">
        <v>860</v>
      </c>
      <c r="E2297" s="55" t="s">
        <v>861</v>
      </c>
      <c r="F2297" s="58" t="s">
        <v>888</v>
      </c>
    </row>
    <row r="2298">
      <c r="A2298" s="59">
        <v>45397.0</v>
      </c>
      <c r="B2298" s="50" t="s">
        <v>762</v>
      </c>
      <c r="C2298" s="51" t="s">
        <v>859</v>
      </c>
      <c r="D2298" s="52" t="s">
        <v>860</v>
      </c>
      <c r="E2298" s="50" t="s">
        <v>861</v>
      </c>
      <c r="F2298" s="53" t="s">
        <v>888</v>
      </c>
    </row>
    <row r="2299">
      <c r="A2299" s="54">
        <v>45398.0</v>
      </c>
      <c r="B2299" s="55" t="s">
        <v>763</v>
      </c>
      <c r="C2299" s="56" t="s">
        <v>859</v>
      </c>
      <c r="D2299" s="57" t="s">
        <v>860</v>
      </c>
      <c r="E2299" s="55" t="s">
        <v>861</v>
      </c>
      <c r="F2299" s="58" t="s">
        <v>888</v>
      </c>
    </row>
    <row r="2300">
      <c r="A2300" s="59">
        <v>45399.0</v>
      </c>
      <c r="B2300" s="50" t="s">
        <v>764</v>
      </c>
      <c r="C2300" s="51" t="s">
        <v>859</v>
      </c>
      <c r="D2300" s="52" t="s">
        <v>860</v>
      </c>
      <c r="E2300" s="50" t="s">
        <v>861</v>
      </c>
      <c r="F2300" s="53" t="s">
        <v>888</v>
      </c>
    </row>
    <row r="2301">
      <c r="A2301" s="54">
        <v>45400.0</v>
      </c>
      <c r="B2301" s="55" t="s">
        <v>765</v>
      </c>
      <c r="C2301" s="56" t="s">
        <v>859</v>
      </c>
      <c r="D2301" s="57" t="s">
        <v>860</v>
      </c>
      <c r="E2301" s="55" t="s">
        <v>861</v>
      </c>
      <c r="F2301" s="58" t="s">
        <v>888</v>
      </c>
    </row>
    <row r="2302">
      <c r="A2302" s="59">
        <v>45401.0</v>
      </c>
      <c r="B2302" s="50" t="s">
        <v>743</v>
      </c>
      <c r="C2302" s="51" t="s">
        <v>859</v>
      </c>
      <c r="D2302" s="52" t="s">
        <v>860</v>
      </c>
      <c r="E2302" s="50" t="s">
        <v>861</v>
      </c>
      <c r="F2302" s="53" t="s">
        <v>888</v>
      </c>
    </row>
    <row r="2303">
      <c r="A2303" s="54">
        <v>45402.0</v>
      </c>
      <c r="B2303" s="55" t="s">
        <v>766</v>
      </c>
      <c r="C2303" s="56" t="s">
        <v>859</v>
      </c>
      <c r="D2303" s="57" t="s">
        <v>860</v>
      </c>
      <c r="E2303" s="55" t="s">
        <v>861</v>
      </c>
      <c r="F2303" s="58" t="s">
        <v>888</v>
      </c>
    </row>
    <row r="2304">
      <c r="A2304" s="59">
        <v>45403.0</v>
      </c>
      <c r="B2304" s="50" t="s">
        <v>745</v>
      </c>
      <c r="C2304" s="51" t="s">
        <v>859</v>
      </c>
      <c r="D2304" s="52" t="s">
        <v>860</v>
      </c>
      <c r="E2304" s="50" t="s">
        <v>861</v>
      </c>
      <c r="F2304" s="53" t="s">
        <v>888</v>
      </c>
    </row>
    <row r="2305">
      <c r="A2305" s="54">
        <v>45404.0</v>
      </c>
      <c r="B2305" s="55" t="s">
        <v>767</v>
      </c>
      <c r="C2305" s="56" t="s">
        <v>859</v>
      </c>
      <c r="D2305" s="57" t="s">
        <v>860</v>
      </c>
      <c r="E2305" s="55" t="s">
        <v>861</v>
      </c>
      <c r="F2305" s="58" t="s">
        <v>888</v>
      </c>
    </row>
    <row r="2306">
      <c r="A2306" s="59">
        <v>45405.0</v>
      </c>
      <c r="B2306" s="50" t="s">
        <v>768</v>
      </c>
      <c r="C2306" s="51" t="s">
        <v>859</v>
      </c>
      <c r="D2306" s="52" t="s">
        <v>860</v>
      </c>
      <c r="E2306" s="50" t="s">
        <v>861</v>
      </c>
      <c r="F2306" s="53" t="s">
        <v>888</v>
      </c>
    </row>
    <row r="2307">
      <c r="A2307" s="54">
        <v>45406.0</v>
      </c>
      <c r="B2307" s="55" t="s">
        <v>747</v>
      </c>
      <c r="C2307" s="56" t="s">
        <v>859</v>
      </c>
      <c r="D2307" s="57" t="s">
        <v>860</v>
      </c>
      <c r="E2307" s="55" t="s">
        <v>861</v>
      </c>
      <c r="F2307" s="58" t="s">
        <v>888</v>
      </c>
    </row>
    <row r="2308">
      <c r="A2308" s="59">
        <v>45407.0</v>
      </c>
      <c r="B2308" s="50" t="s">
        <v>769</v>
      </c>
      <c r="C2308" s="51" t="s">
        <v>859</v>
      </c>
      <c r="D2308" s="52" t="s">
        <v>860</v>
      </c>
      <c r="E2308" s="50" t="s">
        <v>861</v>
      </c>
      <c r="F2308" s="53" t="s">
        <v>888</v>
      </c>
    </row>
    <row r="2309">
      <c r="A2309" s="54">
        <v>45408.0</v>
      </c>
      <c r="B2309" s="55" t="s">
        <v>770</v>
      </c>
      <c r="C2309" s="56" t="s">
        <v>859</v>
      </c>
      <c r="D2309" s="57" t="s">
        <v>860</v>
      </c>
      <c r="E2309" s="55" t="s">
        <v>861</v>
      </c>
      <c r="F2309" s="58" t="s">
        <v>888</v>
      </c>
    </row>
    <row r="2310">
      <c r="A2310" s="59">
        <v>45409.0</v>
      </c>
      <c r="B2310" s="50" t="s">
        <v>749</v>
      </c>
      <c r="C2310" s="51" t="s">
        <v>859</v>
      </c>
      <c r="D2310" s="52" t="s">
        <v>860</v>
      </c>
      <c r="E2310" s="50" t="s">
        <v>861</v>
      </c>
      <c r="F2310" s="53" t="s">
        <v>888</v>
      </c>
    </row>
    <row r="2311">
      <c r="A2311" s="54">
        <v>45410.0</v>
      </c>
      <c r="B2311" s="55" t="s">
        <v>771</v>
      </c>
      <c r="C2311" s="56" t="s">
        <v>859</v>
      </c>
      <c r="D2311" s="57" t="s">
        <v>860</v>
      </c>
      <c r="E2311" s="55" t="s">
        <v>861</v>
      </c>
      <c r="F2311" s="58" t="s">
        <v>888</v>
      </c>
    </row>
    <row r="2312">
      <c r="A2312" s="59">
        <v>45411.0</v>
      </c>
      <c r="B2312" s="50" t="s">
        <v>772</v>
      </c>
      <c r="C2312" s="51" t="s">
        <v>859</v>
      </c>
      <c r="D2312" s="52" t="s">
        <v>860</v>
      </c>
      <c r="E2312" s="50" t="s">
        <v>861</v>
      </c>
      <c r="F2312" s="53" t="s">
        <v>888</v>
      </c>
    </row>
    <row r="2313">
      <c r="A2313" s="54">
        <v>45412.0</v>
      </c>
      <c r="B2313" s="55" t="s">
        <v>773</v>
      </c>
      <c r="C2313" s="56" t="s">
        <v>859</v>
      </c>
      <c r="D2313" s="57" t="s">
        <v>860</v>
      </c>
      <c r="E2313" s="55" t="s">
        <v>861</v>
      </c>
      <c r="F2313" s="58" t="s">
        <v>888</v>
      </c>
    </row>
    <row r="2314">
      <c r="A2314" s="59">
        <v>45413.0</v>
      </c>
      <c r="B2314" s="50" t="s">
        <v>742</v>
      </c>
      <c r="C2314" s="51" t="s">
        <v>862</v>
      </c>
      <c r="D2314" s="52" t="s">
        <v>863</v>
      </c>
      <c r="E2314" s="50" t="s">
        <v>864</v>
      </c>
      <c r="F2314" s="53" t="s">
        <v>888</v>
      </c>
    </row>
    <row r="2315">
      <c r="A2315" s="54">
        <v>45414.0</v>
      </c>
      <c r="B2315" s="55" t="s">
        <v>744</v>
      </c>
      <c r="C2315" s="56" t="s">
        <v>862</v>
      </c>
      <c r="D2315" s="57" t="s">
        <v>863</v>
      </c>
      <c r="E2315" s="55" t="s">
        <v>864</v>
      </c>
      <c r="F2315" s="58" t="s">
        <v>888</v>
      </c>
    </row>
    <row r="2316">
      <c r="A2316" s="59">
        <v>45415.0</v>
      </c>
      <c r="B2316" s="50" t="s">
        <v>746</v>
      </c>
      <c r="C2316" s="51" t="s">
        <v>862</v>
      </c>
      <c r="D2316" s="52" t="s">
        <v>863</v>
      </c>
      <c r="E2316" s="50" t="s">
        <v>864</v>
      </c>
      <c r="F2316" s="53" t="s">
        <v>888</v>
      </c>
    </row>
    <row r="2317">
      <c r="A2317" s="54">
        <v>45416.0</v>
      </c>
      <c r="B2317" s="55" t="s">
        <v>748</v>
      </c>
      <c r="C2317" s="56" t="s">
        <v>862</v>
      </c>
      <c r="D2317" s="57" t="s">
        <v>863</v>
      </c>
      <c r="E2317" s="55" t="s">
        <v>864</v>
      </c>
      <c r="F2317" s="58" t="s">
        <v>888</v>
      </c>
    </row>
    <row r="2318">
      <c r="A2318" s="59">
        <v>45417.0</v>
      </c>
      <c r="B2318" s="50" t="s">
        <v>750</v>
      </c>
      <c r="C2318" s="51" t="s">
        <v>862</v>
      </c>
      <c r="D2318" s="52" t="s">
        <v>863</v>
      </c>
      <c r="E2318" s="50" t="s">
        <v>864</v>
      </c>
      <c r="F2318" s="53" t="s">
        <v>888</v>
      </c>
    </row>
    <row r="2319">
      <c r="A2319" s="54">
        <v>45418.0</v>
      </c>
      <c r="B2319" s="55" t="s">
        <v>752</v>
      </c>
      <c r="C2319" s="56" t="s">
        <v>862</v>
      </c>
      <c r="D2319" s="57" t="s">
        <v>863</v>
      </c>
      <c r="E2319" s="55" t="s">
        <v>864</v>
      </c>
      <c r="F2319" s="58" t="s">
        <v>888</v>
      </c>
    </row>
    <row r="2320">
      <c r="A2320" s="59">
        <v>45419.0</v>
      </c>
      <c r="B2320" s="50" t="s">
        <v>753</v>
      </c>
      <c r="C2320" s="51" t="s">
        <v>862</v>
      </c>
      <c r="D2320" s="52" t="s">
        <v>863</v>
      </c>
      <c r="E2320" s="50" t="s">
        <v>864</v>
      </c>
      <c r="F2320" s="53" t="s">
        <v>888</v>
      </c>
    </row>
    <row r="2321">
      <c r="A2321" s="54">
        <v>45420.0</v>
      </c>
      <c r="B2321" s="55" t="s">
        <v>754</v>
      </c>
      <c r="C2321" s="56" t="s">
        <v>862</v>
      </c>
      <c r="D2321" s="57" t="s">
        <v>863</v>
      </c>
      <c r="E2321" s="55" t="s">
        <v>864</v>
      </c>
      <c r="F2321" s="58" t="s">
        <v>888</v>
      </c>
    </row>
    <row r="2322">
      <c r="A2322" s="59">
        <v>45421.0</v>
      </c>
      <c r="B2322" s="50" t="s">
        <v>755</v>
      </c>
      <c r="C2322" s="51" t="s">
        <v>862</v>
      </c>
      <c r="D2322" s="52" t="s">
        <v>863</v>
      </c>
      <c r="E2322" s="50" t="s">
        <v>864</v>
      </c>
      <c r="F2322" s="53" t="s">
        <v>888</v>
      </c>
    </row>
    <row r="2323">
      <c r="A2323" s="54">
        <v>45422.0</v>
      </c>
      <c r="B2323" s="55" t="s">
        <v>756</v>
      </c>
      <c r="C2323" s="56" t="s">
        <v>862</v>
      </c>
      <c r="D2323" s="57" t="s">
        <v>863</v>
      </c>
      <c r="E2323" s="55" t="s">
        <v>864</v>
      </c>
      <c r="F2323" s="58" t="s">
        <v>888</v>
      </c>
    </row>
    <row r="2324">
      <c r="A2324" s="59">
        <v>45423.0</v>
      </c>
      <c r="B2324" s="50" t="s">
        <v>758</v>
      </c>
      <c r="C2324" s="51" t="s">
        <v>862</v>
      </c>
      <c r="D2324" s="52" t="s">
        <v>863</v>
      </c>
      <c r="E2324" s="50" t="s">
        <v>864</v>
      </c>
      <c r="F2324" s="53" t="s">
        <v>888</v>
      </c>
    </row>
    <row r="2325">
      <c r="A2325" s="54">
        <v>45424.0</v>
      </c>
      <c r="B2325" s="55" t="s">
        <v>759</v>
      </c>
      <c r="C2325" s="56" t="s">
        <v>862</v>
      </c>
      <c r="D2325" s="57" t="s">
        <v>863</v>
      </c>
      <c r="E2325" s="55" t="s">
        <v>864</v>
      </c>
      <c r="F2325" s="58" t="s">
        <v>888</v>
      </c>
    </row>
    <row r="2326">
      <c r="A2326" s="59">
        <v>45425.0</v>
      </c>
      <c r="B2326" s="50" t="s">
        <v>760</v>
      </c>
      <c r="C2326" s="51" t="s">
        <v>862</v>
      </c>
      <c r="D2326" s="52" t="s">
        <v>863</v>
      </c>
      <c r="E2326" s="50" t="s">
        <v>864</v>
      </c>
      <c r="F2326" s="53" t="s">
        <v>888</v>
      </c>
    </row>
    <row r="2327">
      <c r="A2327" s="54">
        <v>45426.0</v>
      </c>
      <c r="B2327" s="55" t="s">
        <v>761</v>
      </c>
      <c r="C2327" s="56" t="s">
        <v>862</v>
      </c>
      <c r="D2327" s="57" t="s">
        <v>863</v>
      </c>
      <c r="E2327" s="55" t="s">
        <v>864</v>
      </c>
      <c r="F2327" s="58" t="s">
        <v>888</v>
      </c>
    </row>
    <row r="2328">
      <c r="A2328" s="59">
        <v>45427.0</v>
      </c>
      <c r="B2328" s="50" t="s">
        <v>762</v>
      </c>
      <c r="C2328" s="51" t="s">
        <v>862</v>
      </c>
      <c r="D2328" s="52" t="s">
        <v>863</v>
      </c>
      <c r="E2328" s="50" t="s">
        <v>864</v>
      </c>
      <c r="F2328" s="53" t="s">
        <v>888</v>
      </c>
    </row>
    <row r="2329">
      <c r="A2329" s="54">
        <v>45428.0</v>
      </c>
      <c r="B2329" s="55" t="s">
        <v>763</v>
      </c>
      <c r="C2329" s="56" t="s">
        <v>862</v>
      </c>
      <c r="D2329" s="57" t="s">
        <v>863</v>
      </c>
      <c r="E2329" s="55" t="s">
        <v>864</v>
      </c>
      <c r="F2329" s="58" t="s">
        <v>888</v>
      </c>
    </row>
    <row r="2330">
      <c r="A2330" s="59">
        <v>45429.0</v>
      </c>
      <c r="B2330" s="50" t="s">
        <v>764</v>
      </c>
      <c r="C2330" s="51" t="s">
        <v>862</v>
      </c>
      <c r="D2330" s="52" t="s">
        <v>863</v>
      </c>
      <c r="E2330" s="50" t="s">
        <v>864</v>
      </c>
      <c r="F2330" s="53" t="s">
        <v>888</v>
      </c>
    </row>
    <row r="2331">
      <c r="A2331" s="54">
        <v>45430.0</v>
      </c>
      <c r="B2331" s="55" t="s">
        <v>765</v>
      </c>
      <c r="C2331" s="56" t="s">
        <v>862</v>
      </c>
      <c r="D2331" s="57" t="s">
        <v>863</v>
      </c>
      <c r="E2331" s="55" t="s">
        <v>864</v>
      </c>
      <c r="F2331" s="58" t="s">
        <v>888</v>
      </c>
    </row>
    <row r="2332">
      <c r="A2332" s="59">
        <v>45431.0</v>
      </c>
      <c r="B2332" s="50" t="s">
        <v>743</v>
      </c>
      <c r="C2332" s="51" t="s">
        <v>862</v>
      </c>
      <c r="D2332" s="52" t="s">
        <v>863</v>
      </c>
      <c r="E2332" s="50" t="s">
        <v>864</v>
      </c>
      <c r="F2332" s="53" t="s">
        <v>888</v>
      </c>
    </row>
    <row r="2333">
      <c r="A2333" s="54">
        <v>45432.0</v>
      </c>
      <c r="B2333" s="55" t="s">
        <v>766</v>
      </c>
      <c r="C2333" s="56" t="s">
        <v>862</v>
      </c>
      <c r="D2333" s="57" t="s">
        <v>863</v>
      </c>
      <c r="E2333" s="55" t="s">
        <v>864</v>
      </c>
      <c r="F2333" s="58" t="s">
        <v>888</v>
      </c>
    </row>
    <row r="2334">
      <c r="A2334" s="59">
        <v>45433.0</v>
      </c>
      <c r="B2334" s="50" t="s">
        <v>745</v>
      </c>
      <c r="C2334" s="51" t="s">
        <v>862</v>
      </c>
      <c r="D2334" s="52" t="s">
        <v>863</v>
      </c>
      <c r="E2334" s="50" t="s">
        <v>864</v>
      </c>
      <c r="F2334" s="53" t="s">
        <v>888</v>
      </c>
    </row>
    <row r="2335">
      <c r="A2335" s="54">
        <v>45434.0</v>
      </c>
      <c r="B2335" s="55" t="s">
        <v>767</v>
      </c>
      <c r="C2335" s="56" t="s">
        <v>862</v>
      </c>
      <c r="D2335" s="57" t="s">
        <v>863</v>
      </c>
      <c r="E2335" s="55" t="s">
        <v>864</v>
      </c>
      <c r="F2335" s="58" t="s">
        <v>888</v>
      </c>
    </row>
    <row r="2336">
      <c r="A2336" s="59">
        <v>45435.0</v>
      </c>
      <c r="B2336" s="50" t="s">
        <v>768</v>
      </c>
      <c r="C2336" s="51" t="s">
        <v>862</v>
      </c>
      <c r="D2336" s="52" t="s">
        <v>863</v>
      </c>
      <c r="E2336" s="50" t="s">
        <v>864</v>
      </c>
      <c r="F2336" s="53" t="s">
        <v>888</v>
      </c>
    </row>
    <row r="2337">
      <c r="A2337" s="54">
        <v>45436.0</v>
      </c>
      <c r="B2337" s="55" t="s">
        <v>747</v>
      </c>
      <c r="C2337" s="56" t="s">
        <v>862</v>
      </c>
      <c r="D2337" s="57" t="s">
        <v>863</v>
      </c>
      <c r="E2337" s="55" t="s">
        <v>864</v>
      </c>
      <c r="F2337" s="58" t="s">
        <v>888</v>
      </c>
    </row>
    <row r="2338">
      <c r="A2338" s="59">
        <v>45437.0</v>
      </c>
      <c r="B2338" s="50" t="s">
        <v>769</v>
      </c>
      <c r="C2338" s="51" t="s">
        <v>862</v>
      </c>
      <c r="D2338" s="52" t="s">
        <v>863</v>
      </c>
      <c r="E2338" s="50" t="s">
        <v>864</v>
      </c>
      <c r="F2338" s="53" t="s">
        <v>888</v>
      </c>
    </row>
    <row r="2339">
      <c r="A2339" s="54">
        <v>45438.0</v>
      </c>
      <c r="B2339" s="55" t="s">
        <v>770</v>
      </c>
      <c r="C2339" s="56" t="s">
        <v>862</v>
      </c>
      <c r="D2339" s="57" t="s">
        <v>863</v>
      </c>
      <c r="E2339" s="55" t="s">
        <v>864</v>
      </c>
      <c r="F2339" s="58" t="s">
        <v>888</v>
      </c>
    </row>
    <row r="2340">
      <c r="A2340" s="59">
        <v>45439.0</v>
      </c>
      <c r="B2340" s="50" t="s">
        <v>749</v>
      </c>
      <c r="C2340" s="51" t="s">
        <v>862</v>
      </c>
      <c r="D2340" s="52" t="s">
        <v>863</v>
      </c>
      <c r="E2340" s="50" t="s">
        <v>864</v>
      </c>
      <c r="F2340" s="53" t="s">
        <v>888</v>
      </c>
    </row>
    <row r="2341">
      <c r="A2341" s="54">
        <v>45440.0</v>
      </c>
      <c r="B2341" s="55" t="s">
        <v>771</v>
      </c>
      <c r="C2341" s="56" t="s">
        <v>862</v>
      </c>
      <c r="D2341" s="57" t="s">
        <v>863</v>
      </c>
      <c r="E2341" s="55" t="s">
        <v>864</v>
      </c>
      <c r="F2341" s="58" t="s">
        <v>888</v>
      </c>
    </row>
    <row r="2342">
      <c r="A2342" s="59">
        <v>45441.0</v>
      </c>
      <c r="B2342" s="50" t="s">
        <v>772</v>
      </c>
      <c r="C2342" s="51" t="s">
        <v>862</v>
      </c>
      <c r="D2342" s="52" t="s">
        <v>863</v>
      </c>
      <c r="E2342" s="50" t="s">
        <v>864</v>
      </c>
      <c r="F2342" s="53" t="s">
        <v>888</v>
      </c>
    </row>
    <row r="2343">
      <c r="A2343" s="54">
        <v>45442.0</v>
      </c>
      <c r="B2343" s="55" t="s">
        <v>773</v>
      </c>
      <c r="C2343" s="56" t="s">
        <v>862</v>
      </c>
      <c r="D2343" s="57" t="s">
        <v>863</v>
      </c>
      <c r="E2343" s="55" t="s">
        <v>864</v>
      </c>
      <c r="F2343" s="58" t="s">
        <v>888</v>
      </c>
    </row>
    <row r="2344">
      <c r="A2344" s="59">
        <v>45443.0</v>
      </c>
      <c r="B2344" s="50" t="s">
        <v>774</v>
      </c>
      <c r="C2344" s="51" t="s">
        <v>862</v>
      </c>
      <c r="D2344" s="52" t="s">
        <v>863</v>
      </c>
      <c r="E2344" s="50" t="s">
        <v>864</v>
      </c>
      <c r="F2344" s="53" t="s">
        <v>888</v>
      </c>
    </row>
    <row r="2345">
      <c r="A2345" s="54">
        <v>45444.0</v>
      </c>
      <c r="B2345" s="55" t="s">
        <v>742</v>
      </c>
      <c r="C2345" s="56" t="s">
        <v>865</v>
      </c>
      <c r="D2345" s="57" t="s">
        <v>866</v>
      </c>
      <c r="E2345" s="55" t="s">
        <v>867</v>
      </c>
      <c r="F2345" s="58" t="s">
        <v>888</v>
      </c>
    </row>
    <row r="2346">
      <c r="A2346" s="59">
        <v>45445.0</v>
      </c>
      <c r="B2346" s="50" t="s">
        <v>744</v>
      </c>
      <c r="C2346" s="51" t="s">
        <v>865</v>
      </c>
      <c r="D2346" s="52" t="s">
        <v>866</v>
      </c>
      <c r="E2346" s="50" t="s">
        <v>867</v>
      </c>
      <c r="F2346" s="53" t="s">
        <v>888</v>
      </c>
    </row>
    <row r="2347">
      <c r="A2347" s="54">
        <v>45446.0</v>
      </c>
      <c r="B2347" s="55" t="s">
        <v>746</v>
      </c>
      <c r="C2347" s="56" t="s">
        <v>865</v>
      </c>
      <c r="D2347" s="57" t="s">
        <v>866</v>
      </c>
      <c r="E2347" s="55" t="s">
        <v>867</v>
      </c>
      <c r="F2347" s="58" t="s">
        <v>888</v>
      </c>
    </row>
    <row r="2348">
      <c r="A2348" s="59">
        <v>45447.0</v>
      </c>
      <c r="B2348" s="50" t="s">
        <v>748</v>
      </c>
      <c r="C2348" s="51" t="s">
        <v>865</v>
      </c>
      <c r="D2348" s="52" t="s">
        <v>866</v>
      </c>
      <c r="E2348" s="50" t="s">
        <v>867</v>
      </c>
      <c r="F2348" s="53" t="s">
        <v>888</v>
      </c>
    </row>
    <row r="2349">
      <c r="A2349" s="54">
        <v>45448.0</v>
      </c>
      <c r="B2349" s="55" t="s">
        <v>750</v>
      </c>
      <c r="C2349" s="56" t="s">
        <v>865</v>
      </c>
      <c r="D2349" s="57" t="s">
        <v>866</v>
      </c>
      <c r="E2349" s="55" t="s">
        <v>867</v>
      </c>
      <c r="F2349" s="58" t="s">
        <v>888</v>
      </c>
    </row>
    <row r="2350">
      <c r="A2350" s="59">
        <v>45449.0</v>
      </c>
      <c r="B2350" s="50" t="s">
        <v>752</v>
      </c>
      <c r="C2350" s="51" t="s">
        <v>865</v>
      </c>
      <c r="D2350" s="52" t="s">
        <v>866</v>
      </c>
      <c r="E2350" s="50" t="s">
        <v>867</v>
      </c>
      <c r="F2350" s="53" t="s">
        <v>888</v>
      </c>
    </row>
    <row r="2351">
      <c r="A2351" s="54">
        <v>45450.0</v>
      </c>
      <c r="B2351" s="55" t="s">
        <v>753</v>
      </c>
      <c r="C2351" s="56" t="s">
        <v>865</v>
      </c>
      <c r="D2351" s="57" t="s">
        <v>866</v>
      </c>
      <c r="E2351" s="55" t="s">
        <v>867</v>
      </c>
      <c r="F2351" s="58" t="s">
        <v>888</v>
      </c>
    </row>
    <row r="2352">
      <c r="A2352" s="59">
        <v>45451.0</v>
      </c>
      <c r="B2352" s="50" t="s">
        <v>754</v>
      </c>
      <c r="C2352" s="51" t="s">
        <v>865</v>
      </c>
      <c r="D2352" s="52" t="s">
        <v>866</v>
      </c>
      <c r="E2352" s="50" t="s">
        <v>867</v>
      </c>
      <c r="F2352" s="53" t="s">
        <v>888</v>
      </c>
    </row>
    <row r="2353">
      <c r="A2353" s="54">
        <v>45452.0</v>
      </c>
      <c r="B2353" s="55" t="s">
        <v>755</v>
      </c>
      <c r="C2353" s="56" t="s">
        <v>865</v>
      </c>
      <c r="D2353" s="57" t="s">
        <v>866</v>
      </c>
      <c r="E2353" s="55" t="s">
        <v>867</v>
      </c>
      <c r="F2353" s="58" t="s">
        <v>888</v>
      </c>
    </row>
    <row r="2354">
      <c r="A2354" s="59">
        <v>45453.0</v>
      </c>
      <c r="B2354" s="50" t="s">
        <v>756</v>
      </c>
      <c r="C2354" s="51" t="s">
        <v>865</v>
      </c>
      <c r="D2354" s="52" t="s">
        <v>866</v>
      </c>
      <c r="E2354" s="50" t="s">
        <v>867</v>
      </c>
      <c r="F2354" s="53" t="s">
        <v>888</v>
      </c>
    </row>
    <row r="2355">
      <c r="A2355" s="54">
        <v>45454.0</v>
      </c>
      <c r="B2355" s="55" t="s">
        <v>758</v>
      </c>
      <c r="C2355" s="56" t="s">
        <v>865</v>
      </c>
      <c r="D2355" s="57" t="s">
        <v>866</v>
      </c>
      <c r="E2355" s="55" t="s">
        <v>867</v>
      </c>
      <c r="F2355" s="58" t="s">
        <v>888</v>
      </c>
    </row>
    <row r="2356">
      <c r="A2356" s="59">
        <v>45455.0</v>
      </c>
      <c r="B2356" s="50" t="s">
        <v>759</v>
      </c>
      <c r="C2356" s="51" t="s">
        <v>865</v>
      </c>
      <c r="D2356" s="52" t="s">
        <v>866</v>
      </c>
      <c r="E2356" s="50" t="s">
        <v>867</v>
      </c>
      <c r="F2356" s="53" t="s">
        <v>888</v>
      </c>
    </row>
    <row r="2357">
      <c r="A2357" s="54">
        <v>45456.0</v>
      </c>
      <c r="B2357" s="55" t="s">
        <v>760</v>
      </c>
      <c r="C2357" s="56" t="s">
        <v>865</v>
      </c>
      <c r="D2357" s="57" t="s">
        <v>866</v>
      </c>
      <c r="E2357" s="55" t="s">
        <v>867</v>
      </c>
      <c r="F2357" s="58" t="s">
        <v>888</v>
      </c>
    </row>
    <row r="2358">
      <c r="A2358" s="59">
        <v>45457.0</v>
      </c>
      <c r="B2358" s="50" t="s">
        <v>761</v>
      </c>
      <c r="C2358" s="51" t="s">
        <v>865</v>
      </c>
      <c r="D2358" s="52" t="s">
        <v>866</v>
      </c>
      <c r="E2358" s="50" t="s">
        <v>867</v>
      </c>
      <c r="F2358" s="53" t="s">
        <v>888</v>
      </c>
    </row>
    <row r="2359">
      <c r="A2359" s="54">
        <v>45458.0</v>
      </c>
      <c r="B2359" s="55" t="s">
        <v>762</v>
      </c>
      <c r="C2359" s="56" t="s">
        <v>865</v>
      </c>
      <c r="D2359" s="57" t="s">
        <v>866</v>
      </c>
      <c r="E2359" s="55" t="s">
        <v>867</v>
      </c>
      <c r="F2359" s="58" t="s">
        <v>888</v>
      </c>
    </row>
    <row r="2360">
      <c r="A2360" s="59">
        <v>45459.0</v>
      </c>
      <c r="B2360" s="50" t="s">
        <v>763</v>
      </c>
      <c r="C2360" s="51" t="s">
        <v>865</v>
      </c>
      <c r="D2360" s="52" t="s">
        <v>866</v>
      </c>
      <c r="E2360" s="50" t="s">
        <v>867</v>
      </c>
      <c r="F2360" s="53" t="s">
        <v>888</v>
      </c>
    </row>
    <row r="2361">
      <c r="A2361" s="54">
        <v>45460.0</v>
      </c>
      <c r="B2361" s="55" t="s">
        <v>764</v>
      </c>
      <c r="C2361" s="56" t="s">
        <v>865</v>
      </c>
      <c r="D2361" s="57" t="s">
        <v>866</v>
      </c>
      <c r="E2361" s="55" t="s">
        <v>867</v>
      </c>
      <c r="F2361" s="58" t="s">
        <v>888</v>
      </c>
    </row>
    <row r="2362">
      <c r="A2362" s="59">
        <v>45461.0</v>
      </c>
      <c r="B2362" s="50" t="s">
        <v>765</v>
      </c>
      <c r="C2362" s="51" t="s">
        <v>865</v>
      </c>
      <c r="D2362" s="52" t="s">
        <v>866</v>
      </c>
      <c r="E2362" s="50" t="s">
        <v>867</v>
      </c>
      <c r="F2362" s="53" t="s">
        <v>888</v>
      </c>
    </row>
    <row r="2363">
      <c r="A2363" s="54">
        <v>45462.0</v>
      </c>
      <c r="B2363" s="55" t="s">
        <v>743</v>
      </c>
      <c r="C2363" s="56" t="s">
        <v>865</v>
      </c>
      <c r="D2363" s="57" t="s">
        <v>866</v>
      </c>
      <c r="E2363" s="55" t="s">
        <v>867</v>
      </c>
      <c r="F2363" s="58" t="s">
        <v>888</v>
      </c>
    </row>
    <row r="2364">
      <c r="A2364" s="59">
        <v>45463.0</v>
      </c>
      <c r="B2364" s="50" t="s">
        <v>766</v>
      </c>
      <c r="C2364" s="51" t="s">
        <v>865</v>
      </c>
      <c r="D2364" s="52" t="s">
        <v>866</v>
      </c>
      <c r="E2364" s="50" t="s">
        <v>867</v>
      </c>
      <c r="F2364" s="53" t="s">
        <v>888</v>
      </c>
    </row>
    <row r="2365">
      <c r="A2365" s="54">
        <v>45464.0</v>
      </c>
      <c r="B2365" s="55" t="s">
        <v>745</v>
      </c>
      <c r="C2365" s="56" t="s">
        <v>865</v>
      </c>
      <c r="D2365" s="57" t="s">
        <v>866</v>
      </c>
      <c r="E2365" s="55" t="s">
        <v>867</v>
      </c>
      <c r="F2365" s="58" t="s">
        <v>888</v>
      </c>
    </row>
    <row r="2366">
      <c r="A2366" s="59">
        <v>45465.0</v>
      </c>
      <c r="B2366" s="50" t="s">
        <v>767</v>
      </c>
      <c r="C2366" s="51" t="s">
        <v>865</v>
      </c>
      <c r="D2366" s="52" t="s">
        <v>866</v>
      </c>
      <c r="E2366" s="50" t="s">
        <v>867</v>
      </c>
      <c r="F2366" s="53" t="s">
        <v>888</v>
      </c>
    </row>
    <row r="2367">
      <c r="A2367" s="54">
        <v>45466.0</v>
      </c>
      <c r="B2367" s="55" t="s">
        <v>768</v>
      </c>
      <c r="C2367" s="56" t="s">
        <v>865</v>
      </c>
      <c r="D2367" s="57" t="s">
        <v>866</v>
      </c>
      <c r="E2367" s="55" t="s">
        <v>867</v>
      </c>
      <c r="F2367" s="58" t="s">
        <v>888</v>
      </c>
    </row>
    <row r="2368">
      <c r="A2368" s="59">
        <v>45467.0</v>
      </c>
      <c r="B2368" s="50" t="s">
        <v>747</v>
      </c>
      <c r="C2368" s="51" t="s">
        <v>865</v>
      </c>
      <c r="D2368" s="52" t="s">
        <v>866</v>
      </c>
      <c r="E2368" s="50" t="s">
        <v>867</v>
      </c>
      <c r="F2368" s="53" t="s">
        <v>888</v>
      </c>
    </row>
    <row r="2369">
      <c r="A2369" s="54">
        <v>45468.0</v>
      </c>
      <c r="B2369" s="55" t="s">
        <v>769</v>
      </c>
      <c r="C2369" s="56" t="s">
        <v>865</v>
      </c>
      <c r="D2369" s="57" t="s">
        <v>866</v>
      </c>
      <c r="E2369" s="55" t="s">
        <v>867</v>
      </c>
      <c r="F2369" s="58" t="s">
        <v>888</v>
      </c>
    </row>
    <row r="2370">
      <c r="A2370" s="59">
        <v>45469.0</v>
      </c>
      <c r="B2370" s="50" t="s">
        <v>770</v>
      </c>
      <c r="C2370" s="51" t="s">
        <v>865</v>
      </c>
      <c r="D2370" s="52" t="s">
        <v>866</v>
      </c>
      <c r="E2370" s="50" t="s">
        <v>867</v>
      </c>
      <c r="F2370" s="53" t="s">
        <v>888</v>
      </c>
    </row>
    <row r="2371">
      <c r="A2371" s="54">
        <v>45470.0</v>
      </c>
      <c r="B2371" s="55" t="s">
        <v>749</v>
      </c>
      <c r="C2371" s="56" t="s">
        <v>865</v>
      </c>
      <c r="D2371" s="57" t="s">
        <v>866</v>
      </c>
      <c r="E2371" s="55" t="s">
        <v>867</v>
      </c>
      <c r="F2371" s="58" t="s">
        <v>888</v>
      </c>
    </row>
    <row r="2372">
      <c r="A2372" s="59">
        <v>45471.0</v>
      </c>
      <c r="B2372" s="50" t="s">
        <v>771</v>
      </c>
      <c r="C2372" s="51" t="s">
        <v>865</v>
      </c>
      <c r="D2372" s="52" t="s">
        <v>866</v>
      </c>
      <c r="E2372" s="50" t="s">
        <v>867</v>
      </c>
      <c r="F2372" s="53" t="s">
        <v>888</v>
      </c>
    </row>
    <row r="2373">
      <c r="A2373" s="54">
        <v>45472.0</v>
      </c>
      <c r="B2373" s="55" t="s">
        <v>772</v>
      </c>
      <c r="C2373" s="56" t="s">
        <v>865</v>
      </c>
      <c r="D2373" s="57" t="s">
        <v>866</v>
      </c>
      <c r="E2373" s="55" t="s">
        <v>867</v>
      </c>
      <c r="F2373" s="58" t="s">
        <v>888</v>
      </c>
    </row>
    <row r="2374">
      <c r="A2374" s="59">
        <v>45473.0</v>
      </c>
      <c r="B2374" s="50" t="s">
        <v>773</v>
      </c>
      <c r="C2374" s="51" t="s">
        <v>865</v>
      </c>
      <c r="D2374" s="52" t="s">
        <v>866</v>
      </c>
      <c r="E2374" s="50" t="s">
        <v>867</v>
      </c>
      <c r="F2374" s="53" t="s">
        <v>888</v>
      </c>
    </row>
    <row r="2375">
      <c r="A2375" s="54">
        <v>45474.0</v>
      </c>
      <c r="B2375" s="55" t="s">
        <v>742</v>
      </c>
      <c r="C2375" s="56" t="s">
        <v>868</v>
      </c>
      <c r="D2375" s="57" t="s">
        <v>869</v>
      </c>
      <c r="E2375" s="55" t="s">
        <v>870</v>
      </c>
      <c r="F2375" s="58" t="s">
        <v>888</v>
      </c>
    </row>
    <row r="2376">
      <c r="A2376" s="59">
        <v>45475.0</v>
      </c>
      <c r="B2376" s="50" t="s">
        <v>744</v>
      </c>
      <c r="C2376" s="51" t="s">
        <v>868</v>
      </c>
      <c r="D2376" s="52" t="s">
        <v>869</v>
      </c>
      <c r="E2376" s="50" t="s">
        <v>870</v>
      </c>
      <c r="F2376" s="53" t="s">
        <v>888</v>
      </c>
    </row>
    <row r="2377">
      <c r="A2377" s="54">
        <v>45476.0</v>
      </c>
      <c r="B2377" s="55" t="s">
        <v>746</v>
      </c>
      <c r="C2377" s="56" t="s">
        <v>868</v>
      </c>
      <c r="D2377" s="57" t="s">
        <v>869</v>
      </c>
      <c r="E2377" s="55" t="s">
        <v>870</v>
      </c>
      <c r="F2377" s="58" t="s">
        <v>888</v>
      </c>
    </row>
    <row r="2378">
      <c r="A2378" s="59">
        <v>45477.0</v>
      </c>
      <c r="B2378" s="50" t="s">
        <v>748</v>
      </c>
      <c r="C2378" s="51" t="s">
        <v>868</v>
      </c>
      <c r="D2378" s="52" t="s">
        <v>869</v>
      </c>
      <c r="E2378" s="50" t="s">
        <v>870</v>
      </c>
      <c r="F2378" s="53" t="s">
        <v>888</v>
      </c>
    </row>
    <row r="2379">
      <c r="A2379" s="54">
        <v>45478.0</v>
      </c>
      <c r="B2379" s="55" t="s">
        <v>750</v>
      </c>
      <c r="C2379" s="56" t="s">
        <v>868</v>
      </c>
      <c r="D2379" s="57" t="s">
        <v>869</v>
      </c>
      <c r="E2379" s="55" t="s">
        <v>870</v>
      </c>
      <c r="F2379" s="58" t="s">
        <v>888</v>
      </c>
    </row>
    <row r="2380">
      <c r="A2380" s="59">
        <v>45479.0</v>
      </c>
      <c r="B2380" s="50" t="s">
        <v>752</v>
      </c>
      <c r="C2380" s="51" t="s">
        <v>868</v>
      </c>
      <c r="D2380" s="52" t="s">
        <v>869</v>
      </c>
      <c r="E2380" s="50" t="s">
        <v>870</v>
      </c>
      <c r="F2380" s="53" t="s">
        <v>888</v>
      </c>
    </row>
    <row r="2381">
      <c r="A2381" s="54">
        <v>45480.0</v>
      </c>
      <c r="B2381" s="55" t="s">
        <v>753</v>
      </c>
      <c r="C2381" s="56" t="s">
        <v>868</v>
      </c>
      <c r="D2381" s="57" t="s">
        <v>869</v>
      </c>
      <c r="E2381" s="55" t="s">
        <v>870</v>
      </c>
      <c r="F2381" s="58" t="s">
        <v>888</v>
      </c>
    </row>
    <row r="2382">
      <c r="A2382" s="59">
        <v>45481.0</v>
      </c>
      <c r="B2382" s="50" t="s">
        <v>754</v>
      </c>
      <c r="C2382" s="51" t="s">
        <v>868</v>
      </c>
      <c r="D2382" s="52" t="s">
        <v>869</v>
      </c>
      <c r="E2382" s="50" t="s">
        <v>870</v>
      </c>
      <c r="F2382" s="53" t="s">
        <v>888</v>
      </c>
    </row>
    <row r="2383">
      <c r="A2383" s="54">
        <v>45482.0</v>
      </c>
      <c r="B2383" s="55" t="s">
        <v>755</v>
      </c>
      <c r="C2383" s="56" t="s">
        <v>868</v>
      </c>
      <c r="D2383" s="57" t="s">
        <v>869</v>
      </c>
      <c r="E2383" s="55" t="s">
        <v>870</v>
      </c>
      <c r="F2383" s="58" t="s">
        <v>888</v>
      </c>
    </row>
    <row r="2384">
      <c r="A2384" s="59">
        <v>45483.0</v>
      </c>
      <c r="B2384" s="50" t="s">
        <v>756</v>
      </c>
      <c r="C2384" s="51" t="s">
        <v>868</v>
      </c>
      <c r="D2384" s="52" t="s">
        <v>869</v>
      </c>
      <c r="E2384" s="50" t="s">
        <v>870</v>
      </c>
      <c r="F2384" s="53" t="s">
        <v>888</v>
      </c>
    </row>
    <row r="2385">
      <c r="A2385" s="54">
        <v>45484.0</v>
      </c>
      <c r="B2385" s="55" t="s">
        <v>758</v>
      </c>
      <c r="C2385" s="56" t="s">
        <v>868</v>
      </c>
      <c r="D2385" s="57" t="s">
        <v>869</v>
      </c>
      <c r="E2385" s="55" t="s">
        <v>870</v>
      </c>
      <c r="F2385" s="58" t="s">
        <v>888</v>
      </c>
    </row>
    <row r="2386">
      <c r="A2386" s="59">
        <v>45485.0</v>
      </c>
      <c r="B2386" s="50" t="s">
        <v>759</v>
      </c>
      <c r="C2386" s="51" t="s">
        <v>868</v>
      </c>
      <c r="D2386" s="52" t="s">
        <v>869</v>
      </c>
      <c r="E2386" s="50" t="s">
        <v>870</v>
      </c>
      <c r="F2386" s="53" t="s">
        <v>888</v>
      </c>
    </row>
    <row r="2387">
      <c r="A2387" s="54">
        <v>45486.0</v>
      </c>
      <c r="B2387" s="55" t="s">
        <v>760</v>
      </c>
      <c r="C2387" s="56" t="s">
        <v>868</v>
      </c>
      <c r="D2387" s="57" t="s">
        <v>869</v>
      </c>
      <c r="E2387" s="55" t="s">
        <v>870</v>
      </c>
      <c r="F2387" s="58" t="s">
        <v>888</v>
      </c>
    </row>
    <row r="2388">
      <c r="A2388" s="59">
        <v>45487.0</v>
      </c>
      <c r="B2388" s="50" t="s">
        <v>761</v>
      </c>
      <c r="C2388" s="51" t="s">
        <v>868</v>
      </c>
      <c r="D2388" s="52" t="s">
        <v>869</v>
      </c>
      <c r="E2388" s="50" t="s">
        <v>870</v>
      </c>
      <c r="F2388" s="53" t="s">
        <v>888</v>
      </c>
    </row>
    <row r="2389">
      <c r="A2389" s="54">
        <v>45488.0</v>
      </c>
      <c r="B2389" s="55" t="s">
        <v>762</v>
      </c>
      <c r="C2389" s="56" t="s">
        <v>868</v>
      </c>
      <c r="D2389" s="57" t="s">
        <v>869</v>
      </c>
      <c r="E2389" s="55" t="s">
        <v>870</v>
      </c>
      <c r="F2389" s="58" t="s">
        <v>888</v>
      </c>
    </row>
    <row r="2390">
      <c r="A2390" s="59">
        <v>45489.0</v>
      </c>
      <c r="B2390" s="50" t="s">
        <v>763</v>
      </c>
      <c r="C2390" s="51" t="s">
        <v>868</v>
      </c>
      <c r="D2390" s="52" t="s">
        <v>869</v>
      </c>
      <c r="E2390" s="50" t="s">
        <v>870</v>
      </c>
      <c r="F2390" s="53" t="s">
        <v>888</v>
      </c>
    </row>
    <row r="2391">
      <c r="A2391" s="54">
        <v>45490.0</v>
      </c>
      <c r="B2391" s="55" t="s">
        <v>764</v>
      </c>
      <c r="C2391" s="56" t="s">
        <v>868</v>
      </c>
      <c r="D2391" s="57" t="s">
        <v>869</v>
      </c>
      <c r="E2391" s="55" t="s">
        <v>870</v>
      </c>
      <c r="F2391" s="58" t="s">
        <v>888</v>
      </c>
    </row>
    <row r="2392">
      <c r="A2392" s="59">
        <v>45491.0</v>
      </c>
      <c r="B2392" s="50" t="s">
        <v>765</v>
      </c>
      <c r="C2392" s="51" t="s">
        <v>868</v>
      </c>
      <c r="D2392" s="52" t="s">
        <v>869</v>
      </c>
      <c r="E2392" s="50" t="s">
        <v>870</v>
      </c>
      <c r="F2392" s="53" t="s">
        <v>888</v>
      </c>
    </row>
    <row r="2393">
      <c r="A2393" s="54">
        <v>45492.0</v>
      </c>
      <c r="B2393" s="55" t="s">
        <v>743</v>
      </c>
      <c r="C2393" s="56" t="s">
        <v>868</v>
      </c>
      <c r="D2393" s="57" t="s">
        <v>869</v>
      </c>
      <c r="E2393" s="55" t="s">
        <v>870</v>
      </c>
      <c r="F2393" s="58" t="s">
        <v>888</v>
      </c>
    </row>
    <row r="2394">
      <c r="A2394" s="59">
        <v>45493.0</v>
      </c>
      <c r="B2394" s="50" t="s">
        <v>766</v>
      </c>
      <c r="C2394" s="51" t="s">
        <v>868</v>
      </c>
      <c r="D2394" s="52" t="s">
        <v>869</v>
      </c>
      <c r="E2394" s="50" t="s">
        <v>870</v>
      </c>
      <c r="F2394" s="53" t="s">
        <v>888</v>
      </c>
    </row>
    <row r="2395">
      <c r="A2395" s="54">
        <v>45494.0</v>
      </c>
      <c r="B2395" s="55" t="s">
        <v>745</v>
      </c>
      <c r="C2395" s="56" t="s">
        <v>868</v>
      </c>
      <c r="D2395" s="57" t="s">
        <v>869</v>
      </c>
      <c r="E2395" s="55" t="s">
        <v>870</v>
      </c>
      <c r="F2395" s="58" t="s">
        <v>888</v>
      </c>
    </row>
    <row r="2396">
      <c r="A2396" s="59">
        <v>45495.0</v>
      </c>
      <c r="B2396" s="50" t="s">
        <v>767</v>
      </c>
      <c r="C2396" s="51" t="s">
        <v>868</v>
      </c>
      <c r="D2396" s="52" t="s">
        <v>869</v>
      </c>
      <c r="E2396" s="50" t="s">
        <v>870</v>
      </c>
      <c r="F2396" s="53" t="s">
        <v>888</v>
      </c>
    </row>
    <row r="2397">
      <c r="A2397" s="54">
        <v>45496.0</v>
      </c>
      <c r="B2397" s="55" t="s">
        <v>768</v>
      </c>
      <c r="C2397" s="56" t="s">
        <v>868</v>
      </c>
      <c r="D2397" s="57" t="s">
        <v>869</v>
      </c>
      <c r="E2397" s="55" t="s">
        <v>870</v>
      </c>
      <c r="F2397" s="58" t="s">
        <v>888</v>
      </c>
    </row>
    <row r="2398">
      <c r="A2398" s="59">
        <v>45497.0</v>
      </c>
      <c r="B2398" s="50" t="s">
        <v>747</v>
      </c>
      <c r="C2398" s="51" t="s">
        <v>868</v>
      </c>
      <c r="D2398" s="52" t="s">
        <v>869</v>
      </c>
      <c r="E2398" s="50" t="s">
        <v>870</v>
      </c>
      <c r="F2398" s="53" t="s">
        <v>888</v>
      </c>
    </row>
    <row r="2399">
      <c r="A2399" s="54">
        <v>45498.0</v>
      </c>
      <c r="B2399" s="55" t="s">
        <v>769</v>
      </c>
      <c r="C2399" s="56" t="s">
        <v>868</v>
      </c>
      <c r="D2399" s="57" t="s">
        <v>869</v>
      </c>
      <c r="E2399" s="55" t="s">
        <v>870</v>
      </c>
      <c r="F2399" s="58" t="s">
        <v>888</v>
      </c>
    </row>
    <row r="2400">
      <c r="A2400" s="59">
        <v>45499.0</v>
      </c>
      <c r="B2400" s="50" t="s">
        <v>770</v>
      </c>
      <c r="C2400" s="51" t="s">
        <v>868</v>
      </c>
      <c r="D2400" s="52" t="s">
        <v>869</v>
      </c>
      <c r="E2400" s="50" t="s">
        <v>870</v>
      </c>
      <c r="F2400" s="53" t="s">
        <v>888</v>
      </c>
    </row>
    <row r="2401">
      <c r="A2401" s="54">
        <v>45500.0</v>
      </c>
      <c r="B2401" s="55" t="s">
        <v>749</v>
      </c>
      <c r="C2401" s="56" t="s">
        <v>868</v>
      </c>
      <c r="D2401" s="57" t="s">
        <v>869</v>
      </c>
      <c r="E2401" s="55" t="s">
        <v>870</v>
      </c>
      <c r="F2401" s="58" t="s">
        <v>888</v>
      </c>
    </row>
    <row r="2402">
      <c r="A2402" s="59">
        <v>45501.0</v>
      </c>
      <c r="B2402" s="50" t="s">
        <v>771</v>
      </c>
      <c r="C2402" s="51" t="s">
        <v>868</v>
      </c>
      <c r="D2402" s="52" t="s">
        <v>869</v>
      </c>
      <c r="E2402" s="50" t="s">
        <v>870</v>
      </c>
      <c r="F2402" s="53" t="s">
        <v>888</v>
      </c>
    </row>
    <row r="2403">
      <c r="A2403" s="54">
        <v>45502.0</v>
      </c>
      <c r="B2403" s="55" t="s">
        <v>772</v>
      </c>
      <c r="C2403" s="56" t="s">
        <v>868</v>
      </c>
      <c r="D2403" s="57" t="s">
        <v>869</v>
      </c>
      <c r="E2403" s="55" t="s">
        <v>870</v>
      </c>
      <c r="F2403" s="58" t="s">
        <v>888</v>
      </c>
    </row>
    <row r="2404">
      <c r="A2404" s="59">
        <v>45503.0</v>
      </c>
      <c r="B2404" s="50" t="s">
        <v>773</v>
      </c>
      <c r="C2404" s="51" t="s">
        <v>868</v>
      </c>
      <c r="D2404" s="52" t="s">
        <v>869</v>
      </c>
      <c r="E2404" s="50" t="s">
        <v>870</v>
      </c>
      <c r="F2404" s="53" t="s">
        <v>888</v>
      </c>
    </row>
    <row r="2405">
      <c r="A2405" s="54">
        <v>45504.0</v>
      </c>
      <c r="B2405" s="55" t="s">
        <v>774</v>
      </c>
      <c r="C2405" s="56" t="s">
        <v>868</v>
      </c>
      <c r="D2405" s="57" t="s">
        <v>869</v>
      </c>
      <c r="E2405" s="55" t="s">
        <v>870</v>
      </c>
      <c r="F2405" s="58" t="s">
        <v>888</v>
      </c>
    </row>
    <row r="2406">
      <c r="A2406" s="59">
        <v>45505.0</v>
      </c>
      <c r="B2406" s="50" t="s">
        <v>742</v>
      </c>
      <c r="C2406" s="51" t="s">
        <v>871</v>
      </c>
      <c r="D2406" s="52" t="s">
        <v>872</v>
      </c>
      <c r="E2406" s="50" t="s">
        <v>873</v>
      </c>
      <c r="F2406" s="53" t="s">
        <v>888</v>
      </c>
    </row>
    <row r="2407">
      <c r="A2407" s="54">
        <v>45506.0</v>
      </c>
      <c r="B2407" s="55" t="s">
        <v>744</v>
      </c>
      <c r="C2407" s="56" t="s">
        <v>871</v>
      </c>
      <c r="D2407" s="57" t="s">
        <v>872</v>
      </c>
      <c r="E2407" s="55" t="s">
        <v>873</v>
      </c>
      <c r="F2407" s="58" t="s">
        <v>888</v>
      </c>
    </row>
    <row r="2408">
      <c r="A2408" s="59">
        <v>45507.0</v>
      </c>
      <c r="B2408" s="50" t="s">
        <v>746</v>
      </c>
      <c r="C2408" s="51" t="s">
        <v>871</v>
      </c>
      <c r="D2408" s="52" t="s">
        <v>872</v>
      </c>
      <c r="E2408" s="50" t="s">
        <v>873</v>
      </c>
      <c r="F2408" s="53" t="s">
        <v>888</v>
      </c>
    </row>
    <row r="2409">
      <c r="A2409" s="54">
        <v>45508.0</v>
      </c>
      <c r="B2409" s="55" t="s">
        <v>748</v>
      </c>
      <c r="C2409" s="56" t="s">
        <v>871</v>
      </c>
      <c r="D2409" s="57" t="s">
        <v>872</v>
      </c>
      <c r="E2409" s="55" t="s">
        <v>873</v>
      </c>
      <c r="F2409" s="58" t="s">
        <v>888</v>
      </c>
    </row>
    <row r="2410">
      <c r="A2410" s="59">
        <v>45509.0</v>
      </c>
      <c r="B2410" s="50" t="s">
        <v>750</v>
      </c>
      <c r="C2410" s="51" t="s">
        <v>871</v>
      </c>
      <c r="D2410" s="52" t="s">
        <v>872</v>
      </c>
      <c r="E2410" s="50" t="s">
        <v>873</v>
      </c>
      <c r="F2410" s="53" t="s">
        <v>888</v>
      </c>
    </row>
    <row r="2411">
      <c r="A2411" s="54">
        <v>45510.0</v>
      </c>
      <c r="B2411" s="55" t="s">
        <v>752</v>
      </c>
      <c r="C2411" s="56" t="s">
        <v>871</v>
      </c>
      <c r="D2411" s="57" t="s">
        <v>872</v>
      </c>
      <c r="E2411" s="55" t="s">
        <v>873</v>
      </c>
      <c r="F2411" s="58" t="s">
        <v>888</v>
      </c>
    </row>
    <row r="2412">
      <c r="A2412" s="59">
        <v>45511.0</v>
      </c>
      <c r="B2412" s="50" t="s">
        <v>753</v>
      </c>
      <c r="C2412" s="51" t="s">
        <v>871</v>
      </c>
      <c r="D2412" s="52" t="s">
        <v>872</v>
      </c>
      <c r="E2412" s="50" t="s">
        <v>873</v>
      </c>
      <c r="F2412" s="53" t="s">
        <v>888</v>
      </c>
    </row>
    <row r="2413">
      <c r="A2413" s="54">
        <v>45512.0</v>
      </c>
      <c r="B2413" s="55" t="s">
        <v>754</v>
      </c>
      <c r="C2413" s="56" t="s">
        <v>871</v>
      </c>
      <c r="D2413" s="57" t="s">
        <v>872</v>
      </c>
      <c r="E2413" s="55" t="s">
        <v>873</v>
      </c>
      <c r="F2413" s="58" t="s">
        <v>888</v>
      </c>
    </row>
    <row r="2414">
      <c r="A2414" s="59">
        <v>45513.0</v>
      </c>
      <c r="B2414" s="50" t="s">
        <v>755</v>
      </c>
      <c r="C2414" s="51" t="s">
        <v>871</v>
      </c>
      <c r="D2414" s="52" t="s">
        <v>872</v>
      </c>
      <c r="E2414" s="50" t="s">
        <v>873</v>
      </c>
      <c r="F2414" s="53" t="s">
        <v>888</v>
      </c>
    </row>
    <row r="2415">
      <c r="A2415" s="54">
        <v>45514.0</v>
      </c>
      <c r="B2415" s="55" t="s">
        <v>756</v>
      </c>
      <c r="C2415" s="56" t="s">
        <v>871</v>
      </c>
      <c r="D2415" s="57" t="s">
        <v>872</v>
      </c>
      <c r="E2415" s="55" t="s">
        <v>873</v>
      </c>
      <c r="F2415" s="58" t="s">
        <v>888</v>
      </c>
    </row>
    <row r="2416">
      <c r="A2416" s="59">
        <v>45515.0</v>
      </c>
      <c r="B2416" s="50" t="s">
        <v>758</v>
      </c>
      <c r="C2416" s="51" t="s">
        <v>871</v>
      </c>
      <c r="D2416" s="52" t="s">
        <v>872</v>
      </c>
      <c r="E2416" s="50" t="s">
        <v>873</v>
      </c>
      <c r="F2416" s="53" t="s">
        <v>888</v>
      </c>
    </row>
    <row r="2417">
      <c r="A2417" s="54">
        <v>45516.0</v>
      </c>
      <c r="B2417" s="55" t="s">
        <v>759</v>
      </c>
      <c r="C2417" s="56" t="s">
        <v>871</v>
      </c>
      <c r="D2417" s="57" t="s">
        <v>872</v>
      </c>
      <c r="E2417" s="55" t="s">
        <v>873</v>
      </c>
      <c r="F2417" s="58" t="s">
        <v>888</v>
      </c>
    </row>
    <row r="2418">
      <c r="A2418" s="59">
        <v>45517.0</v>
      </c>
      <c r="B2418" s="50" t="s">
        <v>760</v>
      </c>
      <c r="C2418" s="51" t="s">
        <v>871</v>
      </c>
      <c r="D2418" s="52" t="s">
        <v>872</v>
      </c>
      <c r="E2418" s="50" t="s">
        <v>873</v>
      </c>
      <c r="F2418" s="53" t="s">
        <v>888</v>
      </c>
    </row>
    <row r="2419">
      <c r="A2419" s="54">
        <v>45518.0</v>
      </c>
      <c r="B2419" s="55" t="s">
        <v>761</v>
      </c>
      <c r="C2419" s="56" t="s">
        <v>871</v>
      </c>
      <c r="D2419" s="57" t="s">
        <v>872</v>
      </c>
      <c r="E2419" s="55" t="s">
        <v>873</v>
      </c>
      <c r="F2419" s="58" t="s">
        <v>888</v>
      </c>
    </row>
    <row r="2420">
      <c r="A2420" s="59">
        <v>45519.0</v>
      </c>
      <c r="B2420" s="50" t="s">
        <v>762</v>
      </c>
      <c r="C2420" s="51" t="s">
        <v>871</v>
      </c>
      <c r="D2420" s="52" t="s">
        <v>872</v>
      </c>
      <c r="E2420" s="50" t="s">
        <v>873</v>
      </c>
      <c r="F2420" s="53" t="s">
        <v>888</v>
      </c>
    </row>
    <row r="2421">
      <c r="A2421" s="54">
        <v>45520.0</v>
      </c>
      <c r="B2421" s="55" t="s">
        <v>763</v>
      </c>
      <c r="C2421" s="56" t="s">
        <v>871</v>
      </c>
      <c r="D2421" s="57" t="s">
        <v>872</v>
      </c>
      <c r="E2421" s="55" t="s">
        <v>873</v>
      </c>
      <c r="F2421" s="58" t="s">
        <v>888</v>
      </c>
    </row>
    <row r="2422">
      <c r="A2422" s="59">
        <v>45521.0</v>
      </c>
      <c r="B2422" s="50" t="s">
        <v>764</v>
      </c>
      <c r="C2422" s="51" t="s">
        <v>871</v>
      </c>
      <c r="D2422" s="52" t="s">
        <v>872</v>
      </c>
      <c r="E2422" s="50" t="s">
        <v>873</v>
      </c>
      <c r="F2422" s="53" t="s">
        <v>888</v>
      </c>
    </row>
    <row r="2423">
      <c r="A2423" s="54">
        <v>45522.0</v>
      </c>
      <c r="B2423" s="55" t="s">
        <v>765</v>
      </c>
      <c r="C2423" s="56" t="s">
        <v>871</v>
      </c>
      <c r="D2423" s="57" t="s">
        <v>872</v>
      </c>
      <c r="E2423" s="55" t="s">
        <v>873</v>
      </c>
      <c r="F2423" s="58" t="s">
        <v>888</v>
      </c>
    </row>
    <row r="2424">
      <c r="A2424" s="59">
        <v>45523.0</v>
      </c>
      <c r="B2424" s="50" t="s">
        <v>743</v>
      </c>
      <c r="C2424" s="51" t="s">
        <v>871</v>
      </c>
      <c r="D2424" s="52" t="s">
        <v>872</v>
      </c>
      <c r="E2424" s="50" t="s">
        <v>873</v>
      </c>
      <c r="F2424" s="53" t="s">
        <v>888</v>
      </c>
    </row>
    <row r="2425">
      <c r="A2425" s="54">
        <v>45524.0</v>
      </c>
      <c r="B2425" s="55" t="s">
        <v>766</v>
      </c>
      <c r="C2425" s="56" t="s">
        <v>871</v>
      </c>
      <c r="D2425" s="57" t="s">
        <v>872</v>
      </c>
      <c r="E2425" s="55" t="s">
        <v>873</v>
      </c>
      <c r="F2425" s="58" t="s">
        <v>888</v>
      </c>
    </row>
    <row r="2426">
      <c r="A2426" s="59">
        <v>45525.0</v>
      </c>
      <c r="B2426" s="50" t="s">
        <v>745</v>
      </c>
      <c r="C2426" s="51" t="s">
        <v>871</v>
      </c>
      <c r="D2426" s="52" t="s">
        <v>872</v>
      </c>
      <c r="E2426" s="50" t="s">
        <v>873</v>
      </c>
      <c r="F2426" s="53" t="s">
        <v>888</v>
      </c>
    </row>
    <row r="2427">
      <c r="A2427" s="54">
        <v>45526.0</v>
      </c>
      <c r="B2427" s="55" t="s">
        <v>767</v>
      </c>
      <c r="C2427" s="56" t="s">
        <v>871</v>
      </c>
      <c r="D2427" s="57" t="s">
        <v>872</v>
      </c>
      <c r="E2427" s="55" t="s">
        <v>873</v>
      </c>
      <c r="F2427" s="58" t="s">
        <v>888</v>
      </c>
    </row>
    <row r="2428">
      <c r="A2428" s="59">
        <v>45527.0</v>
      </c>
      <c r="B2428" s="50" t="s">
        <v>768</v>
      </c>
      <c r="C2428" s="51" t="s">
        <v>871</v>
      </c>
      <c r="D2428" s="52" t="s">
        <v>872</v>
      </c>
      <c r="E2428" s="50" t="s">
        <v>873</v>
      </c>
      <c r="F2428" s="53" t="s">
        <v>888</v>
      </c>
    </row>
    <row r="2429">
      <c r="A2429" s="54">
        <v>45528.0</v>
      </c>
      <c r="B2429" s="55" t="s">
        <v>747</v>
      </c>
      <c r="C2429" s="56" t="s">
        <v>871</v>
      </c>
      <c r="D2429" s="57" t="s">
        <v>872</v>
      </c>
      <c r="E2429" s="55" t="s">
        <v>873</v>
      </c>
      <c r="F2429" s="58" t="s">
        <v>888</v>
      </c>
    </row>
    <row r="2430">
      <c r="A2430" s="59">
        <v>45529.0</v>
      </c>
      <c r="B2430" s="50" t="s">
        <v>769</v>
      </c>
      <c r="C2430" s="51" t="s">
        <v>871</v>
      </c>
      <c r="D2430" s="52" t="s">
        <v>872</v>
      </c>
      <c r="E2430" s="50" t="s">
        <v>873</v>
      </c>
      <c r="F2430" s="53" t="s">
        <v>888</v>
      </c>
    </row>
    <row r="2431">
      <c r="A2431" s="54">
        <v>45530.0</v>
      </c>
      <c r="B2431" s="55" t="s">
        <v>770</v>
      </c>
      <c r="C2431" s="56" t="s">
        <v>871</v>
      </c>
      <c r="D2431" s="57" t="s">
        <v>872</v>
      </c>
      <c r="E2431" s="55" t="s">
        <v>873</v>
      </c>
      <c r="F2431" s="58" t="s">
        <v>888</v>
      </c>
    </row>
    <row r="2432">
      <c r="A2432" s="59">
        <v>45531.0</v>
      </c>
      <c r="B2432" s="50" t="s">
        <v>749</v>
      </c>
      <c r="C2432" s="51" t="s">
        <v>871</v>
      </c>
      <c r="D2432" s="52" t="s">
        <v>872</v>
      </c>
      <c r="E2432" s="50" t="s">
        <v>873</v>
      </c>
      <c r="F2432" s="53" t="s">
        <v>888</v>
      </c>
    </row>
    <row r="2433">
      <c r="A2433" s="54">
        <v>45532.0</v>
      </c>
      <c r="B2433" s="55" t="s">
        <v>771</v>
      </c>
      <c r="C2433" s="56" t="s">
        <v>871</v>
      </c>
      <c r="D2433" s="57" t="s">
        <v>872</v>
      </c>
      <c r="E2433" s="55" t="s">
        <v>873</v>
      </c>
      <c r="F2433" s="58" t="s">
        <v>888</v>
      </c>
    </row>
    <row r="2434">
      <c r="A2434" s="59">
        <v>45533.0</v>
      </c>
      <c r="B2434" s="50" t="s">
        <v>772</v>
      </c>
      <c r="C2434" s="51" t="s">
        <v>871</v>
      </c>
      <c r="D2434" s="52" t="s">
        <v>872</v>
      </c>
      <c r="E2434" s="50" t="s">
        <v>873</v>
      </c>
      <c r="F2434" s="53" t="s">
        <v>888</v>
      </c>
    </row>
    <row r="2435">
      <c r="A2435" s="54">
        <v>45534.0</v>
      </c>
      <c r="B2435" s="55" t="s">
        <v>773</v>
      </c>
      <c r="C2435" s="56" t="s">
        <v>871</v>
      </c>
      <c r="D2435" s="57" t="s">
        <v>872</v>
      </c>
      <c r="E2435" s="55" t="s">
        <v>873</v>
      </c>
      <c r="F2435" s="58" t="s">
        <v>888</v>
      </c>
    </row>
    <row r="2436">
      <c r="A2436" s="59">
        <v>45535.0</v>
      </c>
      <c r="B2436" s="50" t="s">
        <v>774</v>
      </c>
      <c r="C2436" s="51" t="s">
        <v>871</v>
      </c>
      <c r="D2436" s="52" t="s">
        <v>872</v>
      </c>
      <c r="E2436" s="50" t="s">
        <v>873</v>
      </c>
      <c r="F2436" s="53" t="s">
        <v>888</v>
      </c>
    </row>
    <row r="2437">
      <c r="A2437" s="54">
        <v>45536.0</v>
      </c>
      <c r="B2437" s="55" t="s">
        <v>742</v>
      </c>
      <c r="C2437" s="56" t="s">
        <v>874</v>
      </c>
      <c r="D2437" s="57" t="s">
        <v>875</v>
      </c>
      <c r="E2437" s="55" t="s">
        <v>876</v>
      </c>
      <c r="F2437" s="58" t="s">
        <v>888</v>
      </c>
    </row>
    <row r="2438">
      <c r="A2438" s="59">
        <v>45537.0</v>
      </c>
      <c r="B2438" s="50" t="s">
        <v>744</v>
      </c>
      <c r="C2438" s="51" t="s">
        <v>874</v>
      </c>
      <c r="D2438" s="52" t="s">
        <v>875</v>
      </c>
      <c r="E2438" s="50" t="s">
        <v>876</v>
      </c>
      <c r="F2438" s="53" t="s">
        <v>888</v>
      </c>
    </row>
    <row r="2439">
      <c r="A2439" s="54">
        <v>45538.0</v>
      </c>
      <c r="B2439" s="55" t="s">
        <v>746</v>
      </c>
      <c r="C2439" s="56" t="s">
        <v>874</v>
      </c>
      <c r="D2439" s="57" t="s">
        <v>875</v>
      </c>
      <c r="E2439" s="55" t="s">
        <v>876</v>
      </c>
      <c r="F2439" s="58" t="s">
        <v>888</v>
      </c>
    </row>
    <row r="2440">
      <c r="A2440" s="59">
        <v>45539.0</v>
      </c>
      <c r="B2440" s="50" t="s">
        <v>748</v>
      </c>
      <c r="C2440" s="51" t="s">
        <v>874</v>
      </c>
      <c r="D2440" s="52" t="s">
        <v>875</v>
      </c>
      <c r="E2440" s="50" t="s">
        <v>876</v>
      </c>
      <c r="F2440" s="53" t="s">
        <v>888</v>
      </c>
    </row>
    <row r="2441">
      <c r="A2441" s="54">
        <v>45540.0</v>
      </c>
      <c r="B2441" s="55" t="s">
        <v>750</v>
      </c>
      <c r="C2441" s="56" t="s">
        <v>874</v>
      </c>
      <c r="D2441" s="57" t="s">
        <v>875</v>
      </c>
      <c r="E2441" s="55" t="s">
        <v>876</v>
      </c>
      <c r="F2441" s="58" t="s">
        <v>888</v>
      </c>
    </row>
    <row r="2442">
      <c r="A2442" s="59">
        <v>45541.0</v>
      </c>
      <c r="B2442" s="50" t="s">
        <v>752</v>
      </c>
      <c r="C2442" s="51" t="s">
        <v>874</v>
      </c>
      <c r="D2442" s="52" t="s">
        <v>875</v>
      </c>
      <c r="E2442" s="50" t="s">
        <v>876</v>
      </c>
      <c r="F2442" s="53" t="s">
        <v>888</v>
      </c>
    </row>
    <row r="2443">
      <c r="A2443" s="54">
        <v>45542.0</v>
      </c>
      <c r="B2443" s="55" t="s">
        <v>753</v>
      </c>
      <c r="C2443" s="56" t="s">
        <v>874</v>
      </c>
      <c r="D2443" s="57" t="s">
        <v>875</v>
      </c>
      <c r="E2443" s="55" t="s">
        <v>876</v>
      </c>
      <c r="F2443" s="58" t="s">
        <v>888</v>
      </c>
    </row>
    <row r="2444">
      <c r="A2444" s="59">
        <v>45543.0</v>
      </c>
      <c r="B2444" s="50" t="s">
        <v>754</v>
      </c>
      <c r="C2444" s="51" t="s">
        <v>874</v>
      </c>
      <c r="D2444" s="52" t="s">
        <v>875</v>
      </c>
      <c r="E2444" s="50" t="s">
        <v>876</v>
      </c>
      <c r="F2444" s="53" t="s">
        <v>888</v>
      </c>
    </row>
    <row r="2445">
      <c r="A2445" s="54">
        <v>45544.0</v>
      </c>
      <c r="B2445" s="55" t="s">
        <v>755</v>
      </c>
      <c r="C2445" s="56" t="s">
        <v>874</v>
      </c>
      <c r="D2445" s="57" t="s">
        <v>875</v>
      </c>
      <c r="E2445" s="55" t="s">
        <v>876</v>
      </c>
      <c r="F2445" s="58" t="s">
        <v>888</v>
      </c>
    </row>
    <row r="2446">
      <c r="A2446" s="59">
        <v>45545.0</v>
      </c>
      <c r="B2446" s="50" t="s">
        <v>756</v>
      </c>
      <c r="C2446" s="51" t="s">
        <v>874</v>
      </c>
      <c r="D2446" s="52" t="s">
        <v>875</v>
      </c>
      <c r="E2446" s="50" t="s">
        <v>876</v>
      </c>
      <c r="F2446" s="53" t="s">
        <v>888</v>
      </c>
    </row>
    <row r="2447">
      <c r="A2447" s="54">
        <v>45546.0</v>
      </c>
      <c r="B2447" s="55" t="s">
        <v>758</v>
      </c>
      <c r="C2447" s="56" t="s">
        <v>874</v>
      </c>
      <c r="D2447" s="57" t="s">
        <v>875</v>
      </c>
      <c r="E2447" s="55" t="s">
        <v>876</v>
      </c>
      <c r="F2447" s="58" t="s">
        <v>888</v>
      </c>
    </row>
    <row r="2448">
      <c r="A2448" s="59">
        <v>45547.0</v>
      </c>
      <c r="B2448" s="50" t="s">
        <v>759</v>
      </c>
      <c r="C2448" s="51" t="s">
        <v>874</v>
      </c>
      <c r="D2448" s="52" t="s">
        <v>875</v>
      </c>
      <c r="E2448" s="50" t="s">
        <v>876</v>
      </c>
      <c r="F2448" s="53" t="s">
        <v>888</v>
      </c>
    </row>
    <row r="2449">
      <c r="A2449" s="54">
        <v>45548.0</v>
      </c>
      <c r="B2449" s="55" t="s">
        <v>760</v>
      </c>
      <c r="C2449" s="56" t="s">
        <v>874</v>
      </c>
      <c r="D2449" s="57" t="s">
        <v>875</v>
      </c>
      <c r="E2449" s="55" t="s">
        <v>876</v>
      </c>
      <c r="F2449" s="58" t="s">
        <v>888</v>
      </c>
    </row>
    <row r="2450">
      <c r="A2450" s="59">
        <v>45549.0</v>
      </c>
      <c r="B2450" s="50" t="s">
        <v>761</v>
      </c>
      <c r="C2450" s="51" t="s">
        <v>874</v>
      </c>
      <c r="D2450" s="52" t="s">
        <v>875</v>
      </c>
      <c r="E2450" s="50" t="s">
        <v>876</v>
      </c>
      <c r="F2450" s="53" t="s">
        <v>888</v>
      </c>
    </row>
    <row r="2451">
      <c r="A2451" s="54">
        <v>45550.0</v>
      </c>
      <c r="B2451" s="55" t="s">
        <v>762</v>
      </c>
      <c r="C2451" s="56" t="s">
        <v>874</v>
      </c>
      <c r="D2451" s="57" t="s">
        <v>875</v>
      </c>
      <c r="E2451" s="55" t="s">
        <v>876</v>
      </c>
      <c r="F2451" s="58" t="s">
        <v>888</v>
      </c>
    </row>
    <row r="2452">
      <c r="A2452" s="59">
        <v>45551.0</v>
      </c>
      <c r="B2452" s="50" t="s">
        <v>763</v>
      </c>
      <c r="C2452" s="51" t="s">
        <v>874</v>
      </c>
      <c r="D2452" s="52" t="s">
        <v>875</v>
      </c>
      <c r="E2452" s="50" t="s">
        <v>876</v>
      </c>
      <c r="F2452" s="53" t="s">
        <v>888</v>
      </c>
    </row>
    <row r="2453">
      <c r="A2453" s="54">
        <v>45552.0</v>
      </c>
      <c r="B2453" s="55" t="s">
        <v>764</v>
      </c>
      <c r="C2453" s="56" t="s">
        <v>874</v>
      </c>
      <c r="D2453" s="57" t="s">
        <v>875</v>
      </c>
      <c r="E2453" s="55" t="s">
        <v>876</v>
      </c>
      <c r="F2453" s="58" t="s">
        <v>888</v>
      </c>
    </row>
    <row r="2454">
      <c r="A2454" s="59">
        <v>45553.0</v>
      </c>
      <c r="B2454" s="50" t="s">
        <v>765</v>
      </c>
      <c r="C2454" s="51" t="s">
        <v>874</v>
      </c>
      <c r="D2454" s="52" t="s">
        <v>875</v>
      </c>
      <c r="E2454" s="50" t="s">
        <v>876</v>
      </c>
      <c r="F2454" s="53" t="s">
        <v>888</v>
      </c>
    </row>
    <row r="2455">
      <c r="A2455" s="54">
        <v>45554.0</v>
      </c>
      <c r="B2455" s="55" t="s">
        <v>743</v>
      </c>
      <c r="C2455" s="56" t="s">
        <v>874</v>
      </c>
      <c r="D2455" s="57" t="s">
        <v>875</v>
      </c>
      <c r="E2455" s="55" t="s">
        <v>876</v>
      </c>
      <c r="F2455" s="58" t="s">
        <v>888</v>
      </c>
    </row>
    <row r="2456">
      <c r="A2456" s="59">
        <v>45555.0</v>
      </c>
      <c r="B2456" s="50" t="s">
        <v>766</v>
      </c>
      <c r="C2456" s="51" t="s">
        <v>874</v>
      </c>
      <c r="D2456" s="52" t="s">
        <v>875</v>
      </c>
      <c r="E2456" s="50" t="s">
        <v>876</v>
      </c>
      <c r="F2456" s="53" t="s">
        <v>888</v>
      </c>
    </row>
    <row r="2457">
      <c r="A2457" s="54">
        <v>45556.0</v>
      </c>
      <c r="B2457" s="55" t="s">
        <v>745</v>
      </c>
      <c r="C2457" s="56" t="s">
        <v>874</v>
      </c>
      <c r="D2457" s="57" t="s">
        <v>875</v>
      </c>
      <c r="E2457" s="55" t="s">
        <v>876</v>
      </c>
      <c r="F2457" s="58" t="s">
        <v>888</v>
      </c>
    </row>
    <row r="2458">
      <c r="A2458" s="59">
        <v>45557.0</v>
      </c>
      <c r="B2458" s="50" t="s">
        <v>767</v>
      </c>
      <c r="C2458" s="51" t="s">
        <v>874</v>
      </c>
      <c r="D2458" s="52" t="s">
        <v>875</v>
      </c>
      <c r="E2458" s="50" t="s">
        <v>876</v>
      </c>
      <c r="F2458" s="53" t="s">
        <v>888</v>
      </c>
    </row>
    <row r="2459">
      <c r="A2459" s="54">
        <v>45558.0</v>
      </c>
      <c r="B2459" s="55" t="s">
        <v>768</v>
      </c>
      <c r="C2459" s="56" t="s">
        <v>874</v>
      </c>
      <c r="D2459" s="57" t="s">
        <v>875</v>
      </c>
      <c r="E2459" s="55" t="s">
        <v>876</v>
      </c>
      <c r="F2459" s="58" t="s">
        <v>888</v>
      </c>
    </row>
    <row r="2460">
      <c r="A2460" s="59">
        <v>45559.0</v>
      </c>
      <c r="B2460" s="50" t="s">
        <v>747</v>
      </c>
      <c r="C2460" s="51" t="s">
        <v>874</v>
      </c>
      <c r="D2460" s="52" t="s">
        <v>875</v>
      </c>
      <c r="E2460" s="50" t="s">
        <v>876</v>
      </c>
      <c r="F2460" s="53" t="s">
        <v>888</v>
      </c>
    </row>
    <row r="2461">
      <c r="A2461" s="54">
        <v>45560.0</v>
      </c>
      <c r="B2461" s="55" t="s">
        <v>769</v>
      </c>
      <c r="C2461" s="56" t="s">
        <v>874</v>
      </c>
      <c r="D2461" s="57" t="s">
        <v>875</v>
      </c>
      <c r="E2461" s="55" t="s">
        <v>876</v>
      </c>
      <c r="F2461" s="58" t="s">
        <v>888</v>
      </c>
    </row>
    <row r="2462">
      <c r="A2462" s="59">
        <v>45561.0</v>
      </c>
      <c r="B2462" s="50" t="s">
        <v>770</v>
      </c>
      <c r="C2462" s="51" t="s">
        <v>874</v>
      </c>
      <c r="D2462" s="52" t="s">
        <v>875</v>
      </c>
      <c r="E2462" s="50" t="s">
        <v>876</v>
      </c>
      <c r="F2462" s="53" t="s">
        <v>888</v>
      </c>
    </row>
    <row r="2463">
      <c r="A2463" s="54">
        <v>45562.0</v>
      </c>
      <c r="B2463" s="55" t="s">
        <v>749</v>
      </c>
      <c r="C2463" s="56" t="s">
        <v>874</v>
      </c>
      <c r="D2463" s="57" t="s">
        <v>875</v>
      </c>
      <c r="E2463" s="55" t="s">
        <v>876</v>
      </c>
      <c r="F2463" s="58" t="s">
        <v>888</v>
      </c>
    </row>
    <row r="2464">
      <c r="A2464" s="59">
        <v>45563.0</v>
      </c>
      <c r="B2464" s="50" t="s">
        <v>771</v>
      </c>
      <c r="C2464" s="51" t="s">
        <v>874</v>
      </c>
      <c r="D2464" s="52" t="s">
        <v>875</v>
      </c>
      <c r="E2464" s="50" t="s">
        <v>876</v>
      </c>
      <c r="F2464" s="53" t="s">
        <v>888</v>
      </c>
    </row>
    <row r="2465">
      <c r="A2465" s="54">
        <v>45564.0</v>
      </c>
      <c r="B2465" s="55" t="s">
        <v>772</v>
      </c>
      <c r="C2465" s="56" t="s">
        <v>874</v>
      </c>
      <c r="D2465" s="57" t="s">
        <v>875</v>
      </c>
      <c r="E2465" s="55" t="s">
        <v>876</v>
      </c>
      <c r="F2465" s="58" t="s">
        <v>888</v>
      </c>
    </row>
    <row r="2466">
      <c r="A2466" s="59">
        <v>45565.0</v>
      </c>
      <c r="B2466" s="50" t="s">
        <v>773</v>
      </c>
      <c r="C2466" s="51" t="s">
        <v>874</v>
      </c>
      <c r="D2466" s="52" t="s">
        <v>875</v>
      </c>
      <c r="E2466" s="50" t="s">
        <v>876</v>
      </c>
      <c r="F2466" s="53" t="s">
        <v>888</v>
      </c>
    </row>
    <row r="2467">
      <c r="A2467" s="54">
        <v>45566.0</v>
      </c>
      <c r="B2467" s="55" t="s">
        <v>742</v>
      </c>
      <c r="C2467" s="55" t="s">
        <v>756</v>
      </c>
      <c r="D2467" s="57" t="s">
        <v>877</v>
      </c>
      <c r="E2467" s="55" t="s">
        <v>878</v>
      </c>
      <c r="F2467" s="58" t="s">
        <v>888</v>
      </c>
    </row>
    <row r="2468">
      <c r="A2468" s="59">
        <v>45567.0</v>
      </c>
      <c r="B2468" s="50" t="s">
        <v>744</v>
      </c>
      <c r="C2468" s="50" t="s">
        <v>756</v>
      </c>
      <c r="D2468" s="52" t="s">
        <v>877</v>
      </c>
      <c r="E2468" s="50" t="s">
        <v>878</v>
      </c>
      <c r="F2468" s="53" t="s">
        <v>888</v>
      </c>
    </row>
    <row r="2469">
      <c r="A2469" s="54">
        <v>45568.0</v>
      </c>
      <c r="B2469" s="55" t="s">
        <v>746</v>
      </c>
      <c r="C2469" s="55" t="s">
        <v>756</v>
      </c>
      <c r="D2469" s="57" t="s">
        <v>877</v>
      </c>
      <c r="E2469" s="55" t="s">
        <v>878</v>
      </c>
      <c r="F2469" s="58" t="s">
        <v>888</v>
      </c>
    </row>
    <row r="2470">
      <c r="A2470" s="59">
        <v>45569.0</v>
      </c>
      <c r="B2470" s="50" t="s">
        <v>748</v>
      </c>
      <c r="C2470" s="50" t="s">
        <v>756</v>
      </c>
      <c r="D2470" s="52" t="s">
        <v>877</v>
      </c>
      <c r="E2470" s="50" t="s">
        <v>878</v>
      </c>
      <c r="F2470" s="53" t="s">
        <v>888</v>
      </c>
    </row>
    <row r="2471">
      <c r="A2471" s="54">
        <v>45570.0</v>
      </c>
      <c r="B2471" s="55" t="s">
        <v>750</v>
      </c>
      <c r="C2471" s="55" t="s">
        <v>756</v>
      </c>
      <c r="D2471" s="57" t="s">
        <v>877</v>
      </c>
      <c r="E2471" s="55" t="s">
        <v>878</v>
      </c>
      <c r="F2471" s="58" t="s">
        <v>888</v>
      </c>
    </row>
    <row r="2472">
      <c r="A2472" s="59">
        <v>45571.0</v>
      </c>
      <c r="B2472" s="50" t="s">
        <v>752</v>
      </c>
      <c r="C2472" s="50" t="s">
        <v>756</v>
      </c>
      <c r="D2472" s="52" t="s">
        <v>877</v>
      </c>
      <c r="E2472" s="50" t="s">
        <v>878</v>
      </c>
      <c r="F2472" s="53" t="s">
        <v>888</v>
      </c>
    </row>
    <row r="2473">
      <c r="A2473" s="54">
        <v>45572.0</v>
      </c>
      <c r="B2473" s="55" t="s">
        <v>753</v>
      </c>
      <c r="C2473" s="55" t="s">
        <v>756</v>
      </c>
      <c r="D2473" s="57" t="s">
        <v>877</v>
      </c>
      <c r="E2473" s="55" t="s">
        <v>878</v>
      </c>
      <c r="F2473" s="58" t="s">
        <v>888</v>
      </c>
    </row>
    <row r="2474">
      <c r="A2474" s="59">
        <v>45573.0</v>
      </c>
      <c r="B2474" s="50" t="s">
        <v>754</v>
      </c>
      <c r="C2474" s="50" t="s">
        <v>756</v>
      </c>
      <c r="D2474" s="52" t="s">
        <v>877</v>
      </c>
      <c r="E2474" s="50" t="s">
        <v>878</v>
      </c>
      <c r="F2474" s="53" t="s">
        <v>888</v>
      </c>
    </row>
    <row r="2475">
      <c r="A2475" s="54">
        <v>45574.0</v>
      </c>
      <c r="B2475" s="55" t="s">
        <v>755</v>
      </c>
      <c r="C2475" s="55" t="s">
        <v>756</v>
      </c>
      <c r="D2475" s="57" t="s">
        <v>877</v>
      </c>
      <c r="E2475" s="55" t="s">
        <v>878</v>
      </c>
      <c r="F2475" s="58" t="s">
        <v>888</v>
      </c>
    </row>
    <row r="2476">
      <c r="A2476" s="59">
        <v>45575.0</v>
      </c>
      <c r="B2476" s="50" t="s">
        <v>756</v>
      </c>
      <c r="C2476" s="50" t="s">
        <v>756</v>
      </c>
      <c r="D2476" s="52" t="s">
        <v>877</v>
      </c>
      <c r="E2476" s="50" t="s">
        <v>878</v>
      </c>
      <c r="F2476" s="53" t="s">
        <v>888</v>
      </c>
    </row>
    <row r="2477">
      <c r="A2477" s="54">
        <v>45576.0</v>
      </c>
      <c r="B2477" s="55" t="s">
        <v>758</v>
      </c>
      <c r="C2477" s="55" t="s">
        <v>756</v>
      </c>
      <c r="D2477" s="57" t="s">
        <v>877</v>
      </c>
      <c r="E2477" s="55" t="s">
        <v>878</v>
      </c>
      <c r="F2477" s="58" t="s">
        <v>888</v>
      </c>
    </row>
    <row r="2478">
      <c r="A2478" s="59">
        <v>45577.0</v>
      </c>
      <c r="B2478" s="50" t="s">
        <v>759</v>
      </c>
      <c r="C2478" s="50" t="s">
        <v>756</v>
      </c>
      <c r="D2478" s="52" t="s">
        <v>877</v>
      </c>
      <c r="E2478" s="50" t="s">
        <v>878</v>
      </c>
      <c r="F2478" s="53" t="s">
        <v>888</v>
      </c>
    </row>
    <row r="2479">
      <c r="A2479" s="54">
        <v>45578.0</v>
      </c>
      <c r="B2479" s="55" t="s">
        <v>760</v>
      </c>
      <c r="C2479" s="55" t="s">
        <v>756</v>
      </c>
      <c r="D2479" s="57" t="s">
        <v>877</v>
      </c>
      <c r="E2479" s="55" t="s">
        <v>878</v>
      </c>
      <c r="F2479" s="58" t="s">
        <v>888</v>
      </c>
    </row>
    <row r="2480">
      <c r="A2480" s="59">
        <v>45579.0</v>
      </c>
      <c r="B2480" s="50" t="s">
        <v>761</v>
      </c>
      <c r="C2480" s="50" t="s">
        <v>756</v>
      </c>
      <c r="D2480" s="52" t="s">
        <v>877</v>
      </c>
      <c r="E2480" s="50" t="s">
        <v>878</v>
      </c>
      <c r="F2480" s="53" t="s">
        <v>888</v>
      </c>
    </row>
    <row r="2481">
      <c r="A2481" s="54">
        <v>45580.0</v>
      </c>
      <c r="B2481" s="55" t="s">
        <v>762</v>
      </c>
      <c r="C2481" s="55" t="s">
        <v>756</v>
      </c>
      <c r="D2481" s="57" t="s">
        <v>877</v>
      </c>
      <c r="E2481" s="55" t="s">
        <v>878</v>
      </c>
      <c r="F2481" s="58" t="s">
        <v>888</v>
      </c>
    </row>
    <row r="2482">
      <c r="A2482" s="59">
        <v>45581.0</v>
      </c>
      <c r="B2482" s="50" t="s">
        <v>763</v>
      </c>
      <c r="C2482" s="50" t="s">
        <v>756</v>
      </c>
      <c r="D2482" s="52" t="s">
        <v>877</v>
      </c>
      <c r="E2482" s="50" t="s">
        <v>878</v>
      </c>
      <c r="F2482" s="53" t="s">
        <v>888</v>
      </c>
    </row>
    <row r="2483">
      <c r="A2483" s="54">
        <v>45582.0</v>
      </c>
      <c r="B2483" s="55" t="s">
        <v>764</v>
      </c>
      <c r="C2483" s="55" t="s">
        <v>756</v>
      </c>
      <c r="D2483" s="57" t="s">
        <v>877</v>
      </c>
      <c r="E2483" s="55" t="s">
        <v>878</v>
      </c>
      <c r="F2483" s="58" t="s">
        <v>888</v>
      </c>
    </row>
    <row r="2484">
      <c r="A2484" s="59">
        <v>45583.0</v>
      </c>
      <c r="B2484" s="50" t="s">
        <v>765</v>
      </c>
      <c r="C2484" s="50" t="s">
        <v>756</v>
      </c>
      <c r="D2484" s="52" t="s">
        <v>877</v>
      </c>
      <c r="E2484" s="50" t="s">
        <v>878</v>
      </c>
      <c r="F2484" s="53" t="s">
        <v>888</v>
      </c>
    </row>
    <row r="2485">
      <c r="A2485" s="54">
        <v>45584.0</v>
      </c>
      <c r="B2485" s="55" t="s">
        <v>743</v>
      </c>
      <c r="C2485" s="55" t="s">
        <v>756</v>
      </c>
      <c r="D2485" s="57" t="s">
        <v>877</v>
      </c>
      <c r="E2485" s="55" t="s">
        <v>878</v>
      </c>
      <c r="F2485" s="58" t="s">
        <v>888</v>
      </c>
    </row>
    <row r="2486">
      <c r="A2486" s="59">
        <v>45585.0</v>
      </c>
      <c r="B2486" s="50" t="s">
        <v>766</v>
      </c>
      <c r="C2486" s="50" t="s">
        <v>756</v>
      </c>
      <c r="D2486" s="52" t="s">
        <v>877</v>
      </c>
      <c r="E2486" s="50" t="s">
        <v>878</v>
      </c>
      <c r="F2486" s="53" t="s">
        <v>888</v>
      </c>
    </row>
    <row r="2487">
      <c r="A2487" s="54">
        <v>45586.0</v>
      </c>
      <c r="B2487" s="55" t="s">
        <v>745</v>
      </c>
      <c r="C2487" s="55" t="s">
        <v>756</v>
      </c>
      <c r="D2487" s="57" t="s">
        <v>877</v>
      </c>
      <c r="E2487" s="55" t="s">
        <v>878</v>
      </c>
      <c r="F2487" s="58" t="s">
        <v>888</v>
      </c>
    </row>
    <row r="2488">
      <c r="A2488" s="59">
        <v>45587.0</v>
      </c>
      <c r="B2488" s="50" t="s">
        <v>767</v>
      </c>
      <c r="C2488" s="50" t="s">
        <v>756</v>
      </c>
      <c r="D2488" s="52" t="s">
        <v>877</v>
      </c>
      <c r="E2488" s="50" t="s">
        <v>878</v>
      </c>
      <c r="F2488" s="53" t="s">
        <v>888</v>
      </c>
    </row>
    <row r="2489">
      <c r="A2489" s="54">
        <v>45588.0</v>
      </c>
      <c r="B2489" s="55" t="s">
        <v>768</v>
      </c>
      <c r="C2489" s="55" t="s">
        <v>756</v>
      </c>
      <c r="D2489" s="57" t="s">
        <v>877</v>
      </c>
      <c r="E2489" s="55" t="s">
        <v>878</v>
      </c>
      <c r="F2489" s="58" t="s">
        <v>888</v>
      </c>
    </row>
    <row r="2490">
      <c r="A2490" s="59">
        <v>45589.0</v>
      </c>
      <c r="B2490" s="50" t="s">
        <v>747</v>
      </c>
      <c r="C2490" s="50" t="s">
        <v>756</v>
      </c>
      <c r="D2490" s="52" t="s">
        <v>877</v>
      </c>
      <c r="E2490" s="50" t="s">
        <v>878</v>
      </c>
      <c r="F2490" s="53" t="s">
        <v>888</v>
      </c>
    </row>
    <row r="2491">
      <c r="A2491" s="54">
        <v>45590.0</v>
      </c>
      <c r="B2491" s="55" t="s">
        <v>769</v>
      </c>
      <c r="C2491" s="55" t="s">
        <v>756</v>
      </c>
      <c r="D2491" s="57" t="s">
        <v>877</v>
      </c>
      <c r="E2491" s="55" t="s">
        <v>878</v>
      </c>
      <c r="F2491" s="58" t="s">
        <v>888</v>
      </c>
    </row>
    <row r="2492">
      <c r="A2492" s="59">
        <v>45591.0</v>
      </c>
      <c r="B2492" s="50" t="s">
        <v>770</v>
      </c>
      <c r="C2492" s="50" t="s">
        <v>756</v>
      </c>
      <c r="D2492" s="52" t="s">
        <v>877</v>
      </c>
      <c r="E2492" s="50" t="s">
        <v>878</v>
      </c>
      <c r="F2492" s="53" t="s">
        <v>888</v>
      </c>
    </row>
    <row r="2493">
      <c r="A2493" s="54">
        <v>45592.0</v>
      </c>
      <c r="B2493" s="55" t="s">
        <v>749</v>
      </c>
      <c r="C2493" s="55" t="s">
        <v>756</v>
      </c>
      <c r="D2493" s="57" t="s">
        <v>877</v>
      </c>
      <c r="E2493" s="55" t="s">
        <v>878</v>
      </c>
      <c r="F2493" s="58" t="s">
        <v>888</v>
      </c>
    </row>
    <row r="2494">
      <c r="A2494" s="59">
        <v>45593.0</v>
      </c>
      <c r="B2494" s="50" t="s">
        <v>771</v>
      </c>
      <c r="C2494" s="50" t="s">
        <v>756</v>
      </c>
      <c r="D2494" s="52" t="s">
        <v>877</v>
      </c>
      <c r="E2494" s="50" t="s">
        <v>878</v>
      </c>
      <c r="F2494" s="53" t="s">
        <v>888</v>
      </c>
    </row>
    <row r="2495">
      <c r="A2495" s="54">
        <v>45594.0</v>
      </c>
      <c r="B2495" s="55" t="s">
        <v>772</v>
      </c>
      <c r="C2495" s="55" t="s">
        <v>756</v>
      </c>
      <c r="D2495" s="57" t="s">
        <v>877</v>
      </c>
      <c r="E2495" s="55" t="s">
        <v>878</v>
      </c>
      <c r="F2495" s="58" t="s">
        <v>888</v>
      </c>
    </row>
    <row r="2496">
      <c r="A2496" s="59">
        <v>45595.0</v>
      </c>
      <c r="B2496" s="50" t="s">
        <v>773</v>
      </c>
      <c r="C2496" s="50" t="s">
        <v>756</v>
      </c>
      <c r="D2496" s="52" t="s">
        <v>877</v>
      </c>
      <c r="E2496" s="50" t="s">
        <v>878</v>
      </c>
      <c r="F2496" s="53" t="s">
        <v>888</v>
      </c>
    </row>
    <row r="2497">
      <c r="A2497" s="54">
        <v>45596.0</v>
      </c>
      <c r="B2497" s="55" t="s">
        <v>774</v>
      </c>
      <c r="C2497" s="55" t="s">
        <v>756</v>
      </c>
      <c r="D2497" s="57" t="s">
        <v>877</v>
      </c>
      <c r="E2497" s="55" t="s">
        <v>878</v>
      </c>
      <c r="F2497" s="58" t="s">
        <v>888</v>
      </c>
    </row>
    <row r="2498">
      <c r="A2498" s="59">
        <v>45597.0</v>
      </c>
      <c r="B2498" s="50" t="s">
        <v>742</v>
      </c>
      <c r="C2498" s="50" t="s">
        <v>758</v>
      </c>
      <c r="D2498" s="52" t="s">
        <v>879</v>
      </c>
      <c r="E2498" s="50" t="s">
        <v>880</v>
      </c>
      <c r="F2498" s="53" t="s">
        <v>888</v>
      </c>
    </row>
    <row r="2499">
      <c r="A2499" s="54">
        <v>45598.0</v>
      </c>
      <c r="B2499" s="55" t="s">
        <v>744</v>
      </c>
      <c r="C2499" s="55" t="s">
        <v>758</v>
      </c>
      <c r="D2499" s="57" t="s">
        <v>879</v>
      </c>
      <c r="E2499" s="55" t="s">
        <v>880</v>
      </c>
      <c r="F2499" s="58" t="s">
        <v>888</v>
      </c>
    </row>
    <row r="2500">
      <c r="A2500" s="59">
        <v>45599.0</v>
      </c>
      <c r="B2500" s="50" t="s">
        <v>746</v>
      </c>
      <c r="C2500" s="50" t="s">
        <v>758</v>
      </c>
      <c r="D2500" s="52" t="s">
        <v>879</v>
      </c>
      <c r="E2500" s="50" t="s">
        <v>880</v>
      </c>
      <c r="F2500" s="53" t="s">
        <v>888</v>
      </c>
    </row>
    <row r="2501">
      <c r="A2501" s="54">
        <v>45600.0</v>
      </c>
      <c r="B2501" s="55" t="s">
        <v>748</v>
      </c>
      <c r="C2501" s="55" t="s">
        <v>758</v>
      </c>
      <c r="D2501" s="57" t="s">
        <v>879</v>
      </c>
      <c r="E2501" s="55" t="s">
        <v>880</v>
      </c>
      <c r="F2501" s="58" t="s">
        <v>888</v>
      </c>
    </row>
    <row r="2502">
      <c r="A2502" s="59">
        <v>45601.0</v>
      </c>
      <c r="B2502" s="50" t="s">
        <v>750</v>
      </c>
      <c r="C2502" s="50" t="s">
        <v>758</v>
      </c>
      <c r="D2502" s="52" t="s">
        <v>879</v>
      </c>
      <c r="E2502" s="50" t="s">
        <v>880</v>
      </c>
      <c r="F2502" s="53" t="s">
        <v>888</v>
      </c>
    </row>
    <row r="2503">
      <c r="A2503" s="54">
        <v>45602.0</v>
      </c>
      <c r="B2503" s="55" t="s">
        <v>752</v>
      </c>
      <c r="C2503" s="55" t="s">
        <v>758</v>
      </c>
      <c r="D2503" s="57" t="s">
        <v>879</v>
      </c>
      <c r="E2503" s="55" t="s">
        <v>880</v>
      </c>
      <c r="F2503" s="58" t="s">
        <v>888</v>
      </c>
    </row>
    <row r="2504">
      <c r="A2504" s="59">
        <v>45603.0</v>
      </c>
      <c r="B2504" s="50" t="s">
        <v>753</v>
      </c>
      <c r="C2504" s="50" t="s">
        <v>758</v>
      </c>
      <c r="D2504" s="52" t="s">
        <v>879</v>
      </c>
      <c r="E2504" s="50" t="s">
        <v>880</v>
      </c>
      <c r="F2504" s="53" t="s">
        <v>888</v>
      </c>
    </row>
    <row r="2505">
      <c r="A2505" s="54">
        <v>45604.0</v>
      </c>
      <c r="B2505" s="55" t="s">
        <v>754</v>
      </c>
      <c r="C2505" s="55" t="s">
        <v>758</v>
      </c>
      <c r="D2505" s="57" t="s">
        <v>879</v>
      </c>
      <c r="E2505" s="55" t="s">
        <v>880</v>
      </c>
      <c r="F2505" s="58" t="s">
        <v>888</v>
      </c>
    </row>
    <row r="2506">
      <c r="A2506" s="59">
        <v>45605.0</v>
      </c>
      <c r="B2506" s="50" t="s">
        <v>755</v>
      </c>
      <c r="C2506" s="50" t="s">
        <v>758</v>
      </c>
      <c r="D2506" s="52" t="s">
        <v>879</v>
      </c>
      <c r="E2506" s="50" t="s">
        <v>880</v>
      </c>
      <c r="F2506" s="53" t="s">
        <v>888</v>
      </c>
    </row>
    <row r="2507">
      <c r="A2507" s="54">
        <v>45606.0</v>
      </c>
      <c r="B2507" s="55" t="s">
        <v>756</v>
      </c>
      <c r="C2507" s="55" t="s">
        <v>758</v>
      </c>
      <c r="D2507" s="57" t="s">
        <v>879</v>
      </c>
      <c r="E2507" s="55" t="s">
        <v>880</v>
      </c>
      <c r="F2507" s="58" t="s">
        <v>888</v>
      </c>
    </row>
    <row r="2508">
      <c r="A2508" s="59">
        <v>45607.0</v>
      </c>
      <c r="B2508" s="50" t="s">
        <v>758</v>
      </c>
      <c r="C2508" s="50" t="s">
        <v>758</v>
      </c>
      <c r="D2508" s="52" t="s">
        <v>879</v>
      </c>
      <c r="E2508" s="50" t="s">
        <v>880</v>
      </c>
      <c r="F2508" s="53" t="s">
        <v>888</v>
      </c>
    </row>
    <row r="2509">
      <c r="A2509" s="54">
        <v>45608.0</v>
      </c>
      <c r="B2509" s="55" t="s">
        <v>759</v>
      </c>
      <c r="C2509" s="55" t="s">
        <v>758</v>
      </c>
      <c r="D2509" s="57" t="s">
        <v>879</v>
      </c>
      <c r="E2509" s="55" t="s">
        <v>880</v>
      </c>
      <c r="F2509" s="58" t="s">
        <v>888</v>
      </c>
    </row>
    <row r="2510">
      <c r="A2510" s="59">
        <v>45609.0</v>
      </c>
      <c r="B2510" s="50" t="s">
        <v>760</v>
      </c>
      <c r="C2510" s="50" t="s">
        <v>758</v>
      </c>
      <c r="D2510" s="52" t="s">
        <v>879</v>
      </c>
      <c r="E2510" s="50" t="s">
        <v>880</v>
      </c>
      <c r="F2510" s="53" t="s">
        <v>888</v>
      </c>
    </row>
    <row r="2511">
      <c r="A2511" s="54">
        <v>45610.0</v>
      </c>
      <c r="B2511" s="55" t="s">
        <v>761</v>
      </c>
      <c r="C2511" s="55" t="s">
        <v>758</v>
      </c>
      <c r="D2511" s="57" t="s">
        <v>879</v>
      </c>
      <c r="E2511" s="55" t="s">
        <v>880</v>
      </c>
      <c r="F2511" s="58" t="s">
        <v>888</v>
      </c>
    </row>
    <row r="2512">
      <c r="A2512" s="59">
        <v>45611.0</v>
      </c>
      <c r="B2512" s="50" t="s">
        <v>762</v>
      </c>
      <c r="C2512" s="50" t="s">
        <v>758</v>
      </c>
      <c r="D2512" s="52" t="s">
        <v>879</v>
      </c>
      <c r="E2512" s="50" t="s">
        <v>880</v>
      </c>
      <c r="F2512" s="53" t="s">
        <v>888</v>
      </c>
    </row>
    <row r="2513">
      <c r="A2513" s="54">
        <v>45612.0</v>
      </c>
      <c r="B2513" s="55" t="s">
        <v>763</v>
      </c>
      <c r="C2513" s="55" t="s">
        <v>758</v>
      </c>
      <c r="D2513" s="57" t="s">
        <v>879</v>
      </c>
      <c r="E2513" s="55" t="s">
        <v>880</v>
      </c>
      <c r="F2513" s="58" t="s">
        <v>888</v>
      </c>
    </row>
    <row r="2514">
      <c r="A2514" s="59">
        <v>45613.0</v>
      </c>
      <c r="B2514" s="50" t="s">
        <v>764</v>
      </c>
      <c r="C2514" s="50" t="s">
        <v>758</v>
      </c>
      <c r="D2514" s="52" t="s">
        <v>879</v>
      </c>
      <c r="E2514" s="50" t="s">
        <v>880</v>
      </c>
      <c r="F2514" s="53" t="s">
        <v>888</v>
      </c>
    </row>
    <row r="2515">
      <c r="A2515" s="54">
        <v>45614.0</v>
      </c>
      <c r="B2515" s="55" t="s">
        <v>765</v>
      </c>
      <c r="C2515" s="55" t="s">
        <v>758</v>
      </c>
      <c r="D2515" s="57" t="s">
        <v>879</v>
      </c>
      <c r="E2515" s="55" t="s">
        <v>880</v>
      </c>
      <c r="F2515" s="58" t="s">
        <v>888</v>
      </c>
    </row>
    <row r="2516">
      <c r="A2516" s="59">
        <v>45615.0</v>
      </c>
      <c r="B2516" s="50" t="s">
        <v>743</v>
      </c>
      <c r="C2516" s="50" t="s">
        <v>758</v>
      </c>
      <c r="D2516" s="52" t="s">
        <v>879</v>
      </c>
      <c r="E2516" s="50" t="s">
        <v>880</v>
      </c>
      <c r="F2516" s="53" t="s">
        <v>888</v>
      </c>
    </row>
    <row r="2517">
      <c r="A2517" s="54">
        <v>45616.0</v>
      </c>
      <c r="B2517" s="55" t="s">
        <v>766</v>
      </c>
      <c r="C2517" s="55" t="s">
        <v>758</v>
      </c>
      <c r="D2517" s="57" t="s">
        <v>879</v>
      </c>
      <c r="E2517" s="55" t="s">
        <v>880</v>
      </c>
      <c r="F2517" s="58" t="s">
        <v>888</v>
      </c>
    </row>
    <row r="2518">
      <c r="A2518" s="59">
        <v>45617.0</v>
      </c>
      <c r="B2518" s="50" t="s">
        <v>745</v>
      </c>
      <c r="C2518" s="50" t="s">
        <v>758</v>
      </c>
      <c r="D2518" s="52" t="s">
        <v>879</v>
      </c>
      <c r="E2518" s="50" t="s">
        <v>880</v>
      </c>
      <c r="F2518" s="53" t="s">
        <v>888</v>
      </c>
    </row>
    <row r="2519">
      <c r="A2519" s="54">
        <v>45618.0</v>
      </c>
      <c r="B2519" s="55" t="s">
        <v>767</v>
      </c>
      <c r="C2519" s="55" t="s">
        <v>758</v>
      </c>
      <c r="D2519" s="57" t="s">
        <v>879</v>
      </c>
      <c r="E2519" s="55" t="s">
        <v>880</v>
      </c>
      <c r="F2519" s="58" t="s">
        <v>888</v>
      </c>
    </row>
    <row r="2520">
      <c r="A2520" s="59">
        <v>45619.0</v>
      </c>
      <c r="B2520" s="50" t="s">
        <v>768</v>
      </c>
      <c r="C2520" s="50" t="s">
        <v>758</v>
      </c>
      <c r="D2520" s="52" t="s">
        <v>879</v>
      </c>
      <c r="E2520" s="50" t="s">
        <v>880</v>
      </c>
      <c r="F2520" s="53" t="s">
        <v>888</v>
      </c>
    </row>
    <row r="2521">
      <c r="A2521" s="54">
        <v>45620.0</v>
      </c>
      <c r="B2521" s="55" t="s">
        <v>747</v>
      </c>
      <c r="C2521" s="55" t="s">
        <v>758</v>
      </c>
      <c r="D2521" s="57" t="s">
        <v>879</v>
      </c>
      <c r="E2521" s="55" t="s">
        <v>880</v>
      </c>
      <c r="F2521" s="58" t="s">
        <v>888</v>
      </c>
    </row>
    <row r="2522">
      <c r="A2522" s="59">
        <v>45621.0</v>
      </c>
      <c r="B2522" s="50" t="s">
        <v>769</v>
      </c>
      <c r="C2522" s="50" t="s">
        <v>758</v>
      </c>
      <c r="D2522" s="52" t="s">
        <v>879</v>
      </c>
      <c r="E2522" s="50" t="s">
        <v>880</v>
      </c>
      <c r="F2522" s="53" t="s">
        <v>888</v>
      </c>
    </row>
    <row r="2523">
      <c r="A2523" s="54">
        <v>45622.0</v>
      </c>
      <c r="B2523" s="55" t="s">
        <v>770</v>
      </c>
      <c r="C2523" s="55" t="s">
        <v>758</v>
      </c>
      <c r="D2523" s="57" t="s">
        <v>879</v>
      </c>
      <c r="E2523" s="55" t="s">
        <v>880</v>
      </c>
      <c r="F2523" s="58" t="s">
        <v>888</v>
      </c>
    </row>
    <row r="2524">
      <c r="A2524" s="59">
        <v>45623.0</v>
      </c>
      <c r="B2524" s="50" t="s">
        <v>749</v>
      </c>
      <c r="C2524" s="50" t="s">
        <v>758</v>
      </c>
      <c r="D2524" s="52" t="s">
        <v>879</v>
      </c>
      <c r="E2524" s="50" t="s">
        <v>880</v>
      </c>
      <c r="F2524" s="53" t="s">
        <v>888</v>
      </c>
    </row>
    <row r="2525">
      <c r="A2525" s="54">
        <v>45624.0</v>
      </c>
      <c r="B2525" s="55" t="s">
        <v>771</v>
      </c>
      <c r="C2525" s="55" t="s">
        <v>758</v>
      </c>
      <c r="D2525" s="57" t="s">
        <v>879</v>
      </c>
      <c r="E2525" s="55" t="s">
        <v>880</v>
      </c>
      <c r="F2525" s="58" t="s">
        <v>888</v>
      </c>
    </row>
    <row r="2526">
      <c r="A2526" s="59">
        <v>45625.0</v>
      </c>
      <c r="B2526" s="50" t="s">
        <v>772</v>
      </c>
      <c r="C2526" s="50" t="s">
        <v>758</v>
      </c>
      <c r="D2526" s="52" t="s">
        <v>879</v>
      </c>
      <c r="E2526" s="50" t="s">
        <v>880</v>
      </c>
      <c r="F2526" s="53" t="s">
        <v>888</v>
      </c>
    </row>
    <row r="2527">
      <c r="A2527" s="54">
        <v>45626.0</v>
      </c>
      <c r="B2527" s="55" t="s">
        <v>773</v>
      </c>
      <c r="C2527" s="55" t="s">
        <v>758</v>
      </c>
      <c r="D2527" s="57" t="s">
        <v>879</v>
      </c>
      <c r="E2527" s="55" t="s">
        <v>880</v>
      </c>
      <c r="F2527" s="58" t="s">
        <v>888</v>
      </c>
    </row>
    <row r="2528">
      <c r="A2528" s="59">
        <v>45627.0</v>
      </c>
      <c r="B2528" s="50" t="s">
        <v>742</v>
      </c>
      <c r="C2528" s="50" t="s">
        <v>759</v>
      </c>
      <c r="D2528" s="52" t="s">
        <v>881</v>
      </c>
      <c r="E2528" s="50" t="s">
        <v>882</v>
      </c>
      <c r="F2528" s="53" t="s">
        <v>888</v>
      </c>
    </row>
    <row r="2529">
      <c r="A2529" s="54">
        <v>45628.0</v>
      </c>
      <c r="B2529" s="55" t="s">
        <v>744</v>
      </c>
      <c r="C2529" s="55" t="s">
        <v>759</v>
      </c>
      <c r="D2529" s="57" t="s">
        <v>881</v>
      </c>
      <c r="E2529" s="55" t="s">
        <v>882</v>
      </c>
      <c r="F2529" s="58" t="s">
        <v>888</v>
      </c>
    </row>
    <row r="2530">
      <c r="A2530" s="59">
        <v>45629.0</v>
      </c>
      <c r="B2530" s="50" t="s">
        <v>746</v>
      </c>
      <c r="C2530" s="50" t="s">
        <v>759</v>
      </c>
      <c r="D2530" s="52" t="s">
        <v>881</v>
      </c>
      <c r="E2530" s="50" t="s">
        <v>882</v>
      </c>
      <c r="F2530" s="53" t="s">
        <v>888</v>
      </c>
    </row>
    <row r="2531">
      <c r="A2531" s="54">
        <v>45630.0</v>
      </c>
      <c r="B2531" s="55" t="s">
        <v>748</v>
      </c>
      <c r="C2531" s="55" t="s">
        <v>759</v>
      </c>
      <c r="D2531" s="57" t="s">
        <v>881</v>
      </c>
      <c r="E2531" s="55" t="s">
        <v>882</v>
      </c>
      <c r="F2531" s="58" t="s">
        <v>888</v>
      </c>
    </row>
    <row r="2532">
      <c r="A2532" s="59">
        <v>45631.0</v>
      </c>
      <c r="B2532" s="50" t="s">
        <v>750</v>
      </c>
      <c r="C2532" s="50" t="s">
        <v>759</v>
      </c>
      <c r="D2532" s="52" t="s">
        <v>881</v>
      </c>
      <c r="E2532" s="50" t="s">
        <v>882</v>
      </c>
      <c r="F2532" s="53" t="s">
        <v>888</v>
      </c>
    </row>
    <row r="2533">
      <c r="A2533" s="54">
        <v>45632.0</v>
      </c>
      <c r="B2533" s="55" t="s">
        <v>752</v>
      </c>
      <c r="C2533" s="55" t="s">
        <v>759</v>
      </c>
      <c r="D2533" s="57" t="s">
        <v>881</v>
      </c>
      <c r="E2533" s="55" t="s">
        <v>882</v>
      </c>
      <c r="F2533" s="58" t="s">
        <v>888</v>
      </c>
    </row>
    <row r="2534">
      <c r="A2534" s="59">
        <v>45633.0</v>
      </c>
      <c r="B2534" s="50" t="s">
        <v>753</v>
      </c>
      <c r="C2534" s="50" t="s">
        <v>759</v>
      </c>
      <c r="D2534" s="52" t="s">
        <v>881</v>
      </c>
      <c r="E2534" s="50" t="s">
        <v>882</v>
      </c>
      <c r="F2534" s="53" t="s">
        <v>888</v>
      </c>
    </row>
    <row r="2535">
      <c r="A2535" s="54">
        <v>45634.0</v>
      </c>
      <c r="B2535" s="55" t="s">
        <v>754</v>
      </c>
      <c r="C2535" s="55" t="s">
        <v>759</v>
      </c>
      <c r="D2535" s="57" t="s">
        <v>881</v>
      </c>
      <c r="E2535" s="55" t="s">
        <v>882</v>
      </c>
      <c r="F2535" s="58" t="s">
        <v>888</v>
      </c>
    </row>
    <row r="2536">
      <c r="A2536" s="59">
        <v>45635.0</v>
      </c>
      <c r="B2536" s="50" t="s">
        <v>755</v>
      </c>
      <c r="C2536" s="50" t="s">
        <v>759</v>
      </c>
      <c r="D2536" s="52" t="s">
        <v>881</v>
      </c>
      <c r="E2536" s="50" t="s">
        <v>882</v>
      </c>
      <c r="F2536" s="53" t="s">
        <v>888</v>
      </c>
    </row>
    <row r="2537">
      <c r="A2537" s="54">
        <v>45636.0</v>
      </c>
      <c r="B2537" s="55" t="s">
        <v>756</v>
      </c>
      <c r="C2537" s="55" t="s">
        <v>759</v>
      </c>
      <c r="D2537" s="57" t="s">
        <v>881</v>
      </c>
      <c r="E2537" s="55" t="s">
        <v>882</v>
      </c>
      <c r="F2537" s="58" t="s">
        <v>888</v>
      </c>
    </row>
    <row r="2538">
      <c r="A2538" s="59">
        <v>45637.0</v>
      </c>
      <c r="B2538" s="50" t="s">
        <v>758</v>
      </c>
      <c r="C2538" s="50" t="s">
        <v>759</v>
      </c>
      <c r="D2538" s="52" t="s">
        <v>881</v>
      </c>
      <c r="E2538" s="50" t="s">
        <v>882</v>
      </c>
      <c r="F2538" s="53" t="s">
        <v>888</v>
      </c>
    </row>
    <row r="2539">
      <c r="A2539" s="54">
        <v>45638.0</v>
      </c>
      <c r="B2539" s="55" t="s">
        <v>759</v>
      </c>
      <c r="C2539" s="55" t="s">
        <v>759</v>
      </c>
      <c r="D2539" s="57" t="s">
        <v>881</v>
      </c>
      <c r="E2539" s="55" t="s">
        <v>882</v>
      </c>
      <c r="F2539" s="58" t="s">
        <v>888</v>
      </c>
    </row>
    <row r="2540">
      <c r="A2540" s="59">
        <v>45639.0</v>
      </c>
      <c r="B2540" s="50" t="s">
        <v>760</v>
      </c>
      <c r="C2540" s="50" t="s">
        <v>759</v>
      </c>
      <c r="D2540" s="52" t="s">
        <v>881</v>
      </c>
      <c r="E2540" s="50" t="s">
        <v>882</v>
      </c>
      <c r="F2540" s="53" t="s">
        <v>888</v>
      </c>
    </row>
    <row r="2541">
      <c r="A2541" s="54">
        <v>45640.0</v>
      </c>
      <c r="B2541" s="55" t="s">
        <v>761</v>
      </c>
      <c r="C2541" s="55" t="s">
        <v>759</v>
      </c>
      <c r="D2541" s="57" t="s">
        <v>881</v>
      </c>
      <c r="E2541" s="55" t="s">
        <v>882</v>
      </c>
      <c r="F2541" s="58" t="s">
        <v>888</v>
      </c>
    </row>
    <row r="2542">
      <c r="A2542" s="59">
        <v>45641.0</v>
      </c>
      <c r="B2542" s="50" t="s">
        <v>762</v>
      </c>
      <c r="C2542" s="50" t="s">
        <v>759</v>
      </c>
      <c r="D2542" s="52" t="s">
        <v>881</v>
      </c>
      <c r="E2542" s="50" t="s">
        <v>882</v>
      </c>
      <c r="F2542" s="53" t="s">
        <v>888</v>
      </c>
    </row>
    <row r="2543">
      <c r="A2543" s="54">
        <v>45642.0</v>
      </c>
      <c r="B2543" s="55" t="s">
        <v>763</v>
      </c>
      <c r="C2543" s="55" t="s">
        <v>759</v>
      </c>
      <c r="D2543" s="57" t="s">
        <v>881</v>
      </c>
      <c r="E2543" s="55" t="s">
        <v>882</v>
      </c>
      <c r="F2543" s="58" t="s">
        <v>888</v>
      </c>
    </row>
    <row r="2544">
      <c r="A2544" s="59">
        <v>45643.0</v>
      </c>
      <c r="B2544" s="50" t="s">
        <v>764</v>
      </c>
      <c r="C2544" s="50" t="s">
        <v>759</v>
      </c>
      <c r="D2544" s="52" t="s">
        <v>881</v>
      </c>
      <c r="E2544" s="50" t="s">
        <v>882</v>
      </c>
      <c r="F2544" s="53" t="s">
        <v>888</v>
      </c>
    </row>
    <row r="2545">
      <c r="A2545" s="54">
        <v>45644.0</v>
      </c>
      <c r="B2545" s="55" t="s">
        <v>765</v>
      </c>
      <c r="C2545" s="55" t="s">
        <v>759</v>
      </c>
      <c r="D2545" s="57" t="s">
        <v>881</v>
      </c>
      <c r="E2545" s="55" t="s">
        <v>882</v>
      </c>
      <c r="F2545" s="58" t="s">
        <v>888</v>
      </c>
    </row>
    <row r="2546">
      <c r="A2546" s="59">
        <v>45645.0</v>
      </c>
      <c r="B2546" s="50" t="s">
        <v>743</v>
      </c>
      <c r="C2546" s="50" t="s">
        <v>759</v>
      </c>
      <c r="D2546" s="52" t="s">
        <v>881</v>
      </c>
      <c r="E2546" s="50" t="s">
        <v>882</v>
      </c>
      <c r="F2546" s="53" t="s">
        <v>888</v>
      </c>
    </row>
    <row r="2547">
      <c r="A2547" s="54">
        <v>45646.0</v>
      </c>
      <c r="B2547" s="55" t="s">
        <v>766</v>
      </c>
      <c r="C2547" s="55" t="s">
        <v>759</v>
      </c>
      <c r="D2547" s="57" t="s">
        <v>881</v>
      </c>
      <c r="E2547" s="55" t="s">
        <v>882</v>
      </c>
      <c r="F2547" s="58" t="s">
        <v>888</v>
      </c>
    </row>
    <row r="2548">
      <c r="A2548" s="59">
        <v>45647.0</v>
      </c>
      <c r="B2548" s="50" t="s">
        <v>745</v>
      </c>
      <c r="C2548" s="50" t="s">
        <v>759</v>
      </c>
      <c r="D2548" s="52" t="s">
        <v>881</v>
      </c>
      <c r="E2548" s="50" t="s">
        <v>882</v>
      </c>
      <c r="F2548" s="53" t="s">
        <v>888</v>
      </c>
    </row>
    <row r="2549">
      <c r="A2549" s="54">
        <v>45648.0</v>
      </c>
      <c r="B2549" s="55" t="s">
        <v>767</v>
      </c>
      <c r="C2549" s="55" t="s">
        <v>759</v>
      </c>
      <c r="D2549" s="57" t="s">
        <v>881</v>
      </c>
      <c r="E2549" s="55" t="s">
        <v>882</v>
      </c>
      <c r="F2549" s="58" t="s">
        <v>888</v>
      </c>
    </row>
    <row r="2550">
      <c r="A2550" s="59">
        <v>45649.0</v>
      </c>
      <c r="B2550" s="50" t="s">
        <v>768</v>
      </c>
      <c r="C2550" s="50" t="s">
        <v>759</v>
      </c>
      <c r="D2550" s="52" t="s">
        <v>881</v>
      </c>
      <c r="E2550" s="50" t="s">
        <v>882</v>
      </c>
      <c r="F2550" s="53" t="s">
        <v>888</v>
      </c>
    </row>
    <row r="2551">
      <c r="A2551" s="54">
        <v>45650.0</v>
      </c>
      <c r="B2551" s="55" t="s">
        <v>747</v>
      </c>
      <c r="C2551" s="55" t="s">
        <v>759</v>
      </c>
      <c r="D2551" s="57" t="s">
        <v>881</v>
      </c>
      <c r="E2551" s="55" t="s">
        <v>882</v>
      </c>
      <c r="F2551" s="58" t="s">
        <v>888</v>
      </c>
    </row>
    <row r="2552">
      <c r="A2552" s="59">
        <v>45651.0</v>
      </c>
      <c r="B2552" s="50" t="s">
        <v>769</v>
      </c>
      <c r="C2552" s="50" t="s">
        <v>759</v>
      </c>
      <c r="D2552" s="52" t="s">
        <v>881</v>
      </c>
      <c r="E2552" s="50" t="s">
        <v>882</v>
      </c>
      <c r="F2552" s="53" t="s">
        <v>888</v>
      </c>
    </row>
    <row r="2553">
      <c r="A2553" s="54">
        <v>45652.0</v>
      </c>
      <c r="B2553" s="55" t="s">
        <v>770</v>
      </c>
      <c r="C2553" s="55" t="s">
        <v>759</v>
      </c>
      <c r="D2553" s="57" t="s">
        <v>881</v>
      </c>
      <c r="E2553" s="55" t="s">
        <v>882</v>
      </c>
      <c r="F2553" s="58" t="s">
        <v>888</v>
      </c>
    </row>
    <row r="2554">
      <c r="A2554" s="59">
        <v>45653.0</v>
      </c>
      <c r="B2554" s="50" t="s">
        <v>749</v>
      </c>
      <c r="C2554" s="50" t="s">
        <v>759</v>
      </c>
      <c r="D2554" s="52" t="s">
        <v>881</v>
      </c>
      <c r="E2554" s="50" t="s">
        <v>882</v>
      </c>
      <c r="F2554" s="53" t="s">
        <v>888</v>
      </c>
    </row>
    <row r="2555">
      <c r="A2555" s="54">
        <v>45654.0</v>
      </c>
      <c r="B2555" s="55" t="s">
        <v>771</v>
      </c>
      <c r="C2555" s="55" t="s">
        <v>759</v>
      </c>
      <c r="D2555" s="57" t="s">
        <v>881</v>
      </c>
      <c r="E2555" s="55" t="s">
        <v>882</v>
      </c>
      <c r="F2555" s="58" t="s">
        <v>888</v>
      </c>
    </row>
    <row r="2556">
      <c r="A2556" s="59">
        <v>45655.0</v>
      </c>
      <c r="B2556" s="50" t="s">
        <v>772</v>
      </c>
      <c r="C2556" s="50" t="s">
        <v>759</v>
      </c>
      <c r="D2556" s="52" t="s">
        <v>881</v>
      </c>
      <c r="E2556" s="50" t="s">
        <v>882</v>
      </c>
      <c r="F2556" s="53" t="s">
        <v>888</v>
      </c>
    </row>
    <row r="2557">
      <c r="A2557" s="54">
        <v>45656.0</v>
      </c>
      <c r="B2557" s="55" t="s">
        <v>773</v>
      </c>
      <c r="C2557" s="55" t="s">
        <v>759</v>
      </c>
      <c r="D2557" s="57" t="s">
        <v>881</v>
      </c>
      <c r="E2557" s="55" t="s">
        <v>882</v>
      </c>
      <c r="F2557" s="58" t="s">
        <v>888</v>
      </c>
    </row>
    <row r="2558">
      <c r="A2558" s="62">
        <v>45657.0</v>
      </c>
      <c r="B2558" s="63" t="s">
        <v>774</v>
      </c>
      <c r="C2558" s="63" t="s">
        <v>759</v>
      </c>
      <c r="D2558" s="64" t="s">
        <v>881</v>
      </c>
      <c r="E2558" s="63" t="s">
        <v>882</v>
      </c>
      <c r="F2558" s="65" t="s">
        <v>888</v>
      </c>
    </row>
    <row r="2559">
      <c r="A2559" s="23"/>
      <c r="B2559" s="21"/>
      <c r="C2559" s="21"/>
      <c r="E2559" s="21"/>
      <c r="F2559" s="21"/>
    </row>
    <row r="2560">
      <c r="A2560" s="23"/>
      <c r="B2560" s="21"/>
      <c r="C2560" s="21"/>
      <c r="E2560" s="21"/>
      <c r="F2560" s="21"/>
    </row>
    <row r="2561">
      <c r="A2561" s="23"/>
      <c r="B2561" s="21"/>
      <c r="C2561" s="21"/>
      <c r="E2561" s="21"/>
      <c r="F2561" s="21"/>
    </row>
    <row r="2562">
      <c r="A2562" s="23"/>
      <c r="B2562" s="21"/>
      <c r="C2562" s="21"/>
      <c r="E2562" s="21"/>
      <c r="F2562" s="21"/>
    </row>
    <row r="2563">
      <c r="A2563" s="23"/>
      <c r="B2563" s="21"/>
      <c r="C2563" s="21"/>
      <c r="E2563" s="21"/>
      <c r="F2563" s="21"/>
    </row>
    <row r="2564">
      <c r="A2564" s="23"/>
      <c r="B2564" s="21"/>
      <c r="C2564" s="21"/>
      <c r="E2564" s="21"/>
      <c r="F2564" s="21"/>
    </row>
    <row r="2565">
      <c r="A2565" s="23"/>
      <c r="B2565" s="21"/>
      <c r="C2565" s="21"/>
      <c r="E2565" s="21"/>
      <c r="F2565" s="21"/>
    </row>
    <row r="2566">
      <c r="A2566" s="23"/>
      <c r="B2566" s="21"/>
      <c r="C2566" s="21"/>
      <c r="E2566" s="21"/>
      <c r="F2566" s="21"/>
    </row>
    <row r="2567">
      <c r="A2567" s="23"/>
      <c r="B2567" s="21"/>
      <c r="C2567" s="21"/>
      <c r="E2567" s="21"/>
      <c r="F2567" s="21"/>
    </row>
    <row r="2568">
      <c r="A2568" s="23"/>
      <c r="B2568" s="21"/>
      <c r="C2568" s="21"/>
      <c r="E2568" s="21"/>
      <c r="F2568" s="21"/>
    </row>
    <row r="2569">
      <c r="A2569" s="23"/>
      <c r="B2569" s="21"/>
      <c r="C2569" s="21"/>
      <c r="E2569" s="21"/>
      <c r="F2569" s="21"/>
    </row>
    <row r="2570">
      <c r="A2570" s="23"/>
      <c r="B2570" s="21"/>
      <c r="C2570" s="21"/>
      <c r="E2570" s="21"/>
      <c r="F2570" s="21"/>
    </row>
    <row r="2571">
      <c r="A2571" s="23"/>
      <c r="B2571" s="21"/>
      <c r="C2571" s="21"/>
      <c r="E2571" s="21"/>
      <c r="F2571" s="21"/>
    </row>
    <row r="2572">
      <c r="A2572" s="23"/>
      <c r="B2572" s="21"/>
      <c r="C2572" s="21"/>
      <c r="E2572" s="21"/>
      <c r="F2572" s="21"/>
    </row>
    <row r="2573">
      <c r="A2573" s="23"/>
      <c r="B2573" s="21"/>
      <c r="C2573" s="21"/>
      <c r="E2573" s="21"/>
      <c r="F2573" s="21"/>
    </row>
    <row r="2574">
      <c r="A2574" s="23"/>
      <c r="B2574" s="21"/>
      <c r="C2574" s="21"/>
      <c r="E2574" s="21"/>
      <c r="F2574" s="21"/>
    </row>
    <row r="2575">
      <c r="A2575" s="23"/>
      <c r="B2575" s="21"/>
      <c r="C2575" s="21"/>
      <c r="E2575" s="21"/>
      <c r="F2575" s="21"/>
    </row>
    <row r="2576">
      <c r="A2576" s="23"/>
      <c r="B2576" s="21"/>
      <c r="C2576" s="21"/>
      <c r="E2576" s="21"/>
      <c r="F2576" s="21"/>
    </row>
    <row r="2577">
      <c r="A2577" s="23"/>
      <c r="B2577" s="21"/>
      <c r="C2577" s="21"/>
      <c r="E2577" s="21"/>
      <c r="F2577" s="21"/>
    </row>
    <row r="2578">
      <c r="A2578" s="23"/>
      <c r="B2578" s="21"/>
      <c r="C2578" s="21"/>
      <c r="E2578" s="21"/>
      <c r="F2578" s="21"/>
    </row>
    <row r="2579">
      <c r="A2579" s="23"/>
      <c r="B2579" s="21"/>
      <c r="C2579" s="21"/>
      <c r="E2579" s="21"/>
      <c r="F2579" s="21"/>
    </row>
    <row r="2580">
      <c r="A2580" s="23"/>
      <c r="B2580" s="21"/>
      <c r="C2580" s="21"/>
      <c r="E2580" s="21"/>
      <c r="F2580" s="21"/>
    </row>
    <row r="2581">
      <c r="A2581" s="23"/>
      <c r="B2581" s="21"/>
      <c r="C2581" s="21"/>
      <c r="E2581" s="21"/>
      <c r="F2581" s="21"/>
    </row>
    <row r="2582">
      <c r="A2582" s="23"/>
      <c r="B2582" s="21"/>
      <c r="C2582" s="21"/>
      <c r="E2582" s="21"/>
      <c r="F2582" s="21"/>
    </row>
    <row r="2583">
      <c r="A2583" s="23"/>
      <c r="B2583" s="21"/>
      <c r="C2583" s="21"/>
      <c r="E2583" s="21"/>
      <c r="F2583" s="21"/>
    </row>
    <row r="2584">
      <c r="A2584" s="23"/>
      <c r="B2584" s="21"/>
      <c r="C2584" s="21"/>
      <c r="E2584" s="21"/>
      <c r="F2584" s="21"/>
    </row>
    <row r="2585">
      <c r="A2585" s="23"/>
      <c r="B2585" s="21"/>
      <c r="C2585" s="21"/>
      <c r="E2585" s="21"/>
      <c r="F2585" s="21"/>
    </row>
    <row r="2586">
      <c r="A2586" s="23"/>
      <c r="B2586" s="21"/>
      <c r="C2586" s="21"/>
      <c r="E2586" s="21"/>
      <c r="F2586" s="21"/>
    </row>
    <row r="2587">
      <c r="A2587" s="23"/>
      <c r="B2587" s="21"/>
      <c r="C2587" s="21"/>
      <c r="E2587" s="21"/>
      <c r="F2587" s="21"/>
    </row>
    <row r="2588">
      <c r="A2588" s="23"/>
      <c r="B2588" s="21"/>
      <c r="C2588" s="21"/>
      <c r="E2588" s="21"/>
      <c r="F2588" s="21"/>
    </row>
    <row r="2589">
      <c r="A2589" s="23"/>
      <c r="B2589" s="21"/>
      <c r="C2589" s="21"/>
      <c r="E2589" s="21"/>
      <c r="F2589" s="21"/>
    </row>
    <row r="2590">
      <c r="A2590" s="23"/>
      <c r="B2590" s="21"/>
      <c r="C2590" s="21"/>
      <c r="E2590" s="21"/>
      <c r="F2590" s="21"/>
    </row>
    <row r="2591">
      <c r="A2591" s="23"/>
      <c r="B2591" s="21"/>
      <c r="C2591" s="21"/>
      <c r="E2591" s="21"/>
      <c r="F2591" s="21"/>
    </row>
    <row r="2592">
      <c r="A2592" s="23"/>
      <c r="B2592" s="21"/>
      <c r="C2592" s="21"/>
      <c r="E2592" s="21"/>
      <c r="F2592" s="21"/>
    </row>
    <row r="2593">
      <c r="A2593" s="23"/>
      <c r="B2593" s="21"/>
      <c r="C2593" s="21"/>
      <c r="E2593" s="21"/>
      <c r="F2593" s="21"/>
    </row>
    <row r="2594">
      <c r="A2594" s="23"/>
      <c r="B2594" s="21"/>
      <c r="C2594" s="21"/>
      <c r="E2594" s="21"/>
      <c r="F2594" s="21"/>
    </row>
    <row r="2595">
      <c r="A2595" s="23"/>
      <c r="B2595" s="21"/>
      <c r="C2595" s="21"/>
      <c r="E2595" s="21"/>
      <c r="F2595" s="21"/>
    </row>
    <row r="2596">
      <c r="A2596" s="23"/>
      <c r="B2596" s="21"/>
      <c r="C2596" s="21"/>
      <c r="E2596" s="21"/>
      <c r="F2596" s="21"/>
    </row>
    <row r="2597">
      <c r="A2597" s="23"/>
      <c r="B2597" s="21"/>
      <c r="C2597" s="21"/>
      <c r="E2597" s="21"/>
      <c r="F2597" s="21"/>
    </row>
    <row r="2598">
      <c r="A2598" s="23"/>
      <c r="B2598" s="21"/>
      <c r="C2598" s="21"/>
      <c r="E2598" s="21"/>
      <c r="F2598" s="21"/>
    </row>
    <row r="2599">
      <c r="A2599" s="23"/>
      <c r="B2599" s="21"/>
      <c r="C2599" s="21"/>
      <c r="E2599" s="21"/>
      <c r="F2599" s="21"/>
    </row>
    <row r="2600">
      <c r="A2600" s="23"/>
      <c r="B2600" s="21"/>
      <c r="C2600" s="21"/>
      <c r="E2600" s="21"/>
      <c r="F2600" s="21"/>
    </row>
    <row r="2601">
      <c r="A2601" s="23"/>
      <c r="B2601" s="21"/>
      <c r="C2601" s="21"/>
      <c r="E2601" s="21"/>
      <c r="F2601" s="21"/>
    </row>
    <row r="2602">
      <c r="A2602" s="23"/>
      <c r="B2602" s="21"/>
      <c r="C2602" s="21"/>
      <c r="E2602" s="21"/>
      <c r="F2602" s="21"/>
    </row>
    <row r="2603">
      <c r="A2603" s="23"/>
      <c r="B2603" s="21"/>
      <c r="C2603" s="21"/>
      <c r="E2603" s="21"/>
      <c r="F2603" s="21"/>
    </row>
    <row r="2604">
      <c r="A2604" s="23"/>
      <c r="B2604" s="21"/>
      <c r="C2604" s="21"/>
      <c r="E2604" s="21"/>
      <c r="F2604" s="21"/>
    </row>
    <row r="2605">
      <c r="A2605" s="23"/>
      <c r="B2605" s="21"/>
      <c r="C2605" s="21"/>
      <c r="E2605" s="21"/>
      <c r="F2605" s="21"/>
    </row>
    <row r="2606">
      <c r="A2606" s="23"/>
      <c r="B2606" s="21"/>
      <c r="C2606" s="21"/>
      <c r="E2606" s="21"/>
      <c r="F2606" s="21"/>
    </row>
    <row r="2607">
      <c r="A2607" s="23"/>
      <c r="B2607" s="21"/>
      <c r="C2607" s="21"/>
      <c r="E2607" s="21"/>
      <c r="F2607" s="21"/>
    </row>
    <row r="2608">
      <c r="A2608" s="23"/>
      <c r="B2608" s="21"/>
      <c r="C2608" s="21"/>
      <c r="E2608" s="21"/>
      <c r="F2608" s="21"/>
    </row>
    <row r="2609">
      <c r="A2609" s="23"/>
      <c r="B2609" s="21"/>
      <c r="C2609" s="21"/>
      <c r="E2609" s="21"/>
      <c r="F2609" s="21"/>
    </row>
    <row r="2610">
      <c r="A2610" s="23"/>
      <c r="B2610" s="21"/>
      <c r="C2610" s="21"/>
      <c r="E2610" s="21"/>
      <c r="F2610" s="21"/>
    </row>
    <row r="2611">
      <c r="A2611" s="23"/>
      <c r="B2611" s="21"/>
      <c r="C2611" s="21"/>
      <c r="E2611" s="21"/>
      <c r="F2611" s="21"/>
    </row>
    <row r="2612">
      <c r="A2612" s="23"/>
      <c r="B2612" s="21"/>
      <c r="C2612" s="21"/>
      <c r="E2612" s="21"/>
      <c r="F2612" s="21"/>
    </row>
    <row r="2613">
      <c r="A2613" s="23"/>
      <c r="B2613" s="21"/>
      <c r="C2613" s="21"/>
      <c r="E2613" s="21"/>
      <c r="F2613" s="21"/>
    </row>
    <row r="2614">
      <c r="A2614" s="23"/>
      <c r="B2614" s="21"/>
      <c r="C2614" s="21"/>
      <c r="E2614" s="21"/>
      <c r="F2614" s="21"/>
    </row>
    <row r="2615">
      <c r="A2615" s="23"/>
      <c r="B2615" s="21"/>
      <c r="C2615" s="21"/>
      <c r="E2615" s="21"/>
      <c r="F2615" s="21"/>
    </row>
    <row r="2616">
      <c r="A2616" s="23"/>
      <c r="B2616" s="21"/>
      <c r="C2616" s="21"/>
      <c r="E2616" s="21"/>
      <c r="F2616" s="21"/>
    </row>
    <row r="2617">
      <c r="A2617" s="23"/>
      <c r="B2617" s="21"/>
      <c r="C2617" s="21"/>
      <c r="E2617" s="21"/>
      <c r="F2617" s="21"/>
    </row>
    <row r="2618">
      <c r="A2618" s="23"/>
      <c r="B2618" s="21"/>
      <c r="C2618" s="21"/>
      <c r="E2618" s="21"/>
      <c r="F2618" s="21"/>
    </row>
    <row r="2619">
      <c r="A2619" s="23"/>
      <c r="B2619" s="21"/>
      <c r="C2619" s="21"/>
      <c r="E2619" s="21"/>
      <c r="F2619" s="21"/>
    </row>
    <row r="2620">
      <c r="A2620" s="23"/>
      <c r="B2620" s="21"/>
      <c r="C2620" s="21"/>
      <c r="E2620" s="21"/>
      <c r="F2620" s="21"/>
    </row>
    <row r="2621">
      <c r="A2621" s="23"/>
      <c r="B2621" s="21"/>
      <c r="C2621" s="21"/>
      <c r="E2621" s="21"/>
      <c r="F2621" s="21"/>
    </row>
    <row r="2622">
      <c r="A2622" s="23"/>
      <c r="B2622" s="21"/>
      <c r="C2622" s="21"/>
      <c r="E2622" s="21"/>
      <c r="F2622" s="21"/>
    </row>
    <row r="2623">
      <c r="A2623" s="23"/>
      <c r="B2623" s="21"/>
      <c r="C2623" s="21"/>
      <c r="E2623" s="21"/>
      <c r="F2623" s="21"/>
    </row>
    <row r="2624">
      <c r="A2624" s="23"/>
      <c r="B2624" s="21"/>
      <c r="C2624" s="21"/>
      <c r="E2624" s="21"/>
      <c r="F2624" s="21"/>
    </row>
    <row r="2625">
      <c r="A2625" s="23"/>
      <c r="B2625" s="21"/>
      <c r="C2625" s="21"/>
      <c r="E2625" s="21"/>
      <c r="F2625" s="21"/>
    </row>
    <row r="2626">
      <c r="A2626" s="23"/>
      <c r="B2626" s="21"/>
      <c r="C2626" s="21"/>
      <c r="E2626" s="21"/>
      <c r="F2626" s="21"/>
    </row>
    <row r="2627">
      <c r="A2627" s="23"/>
      <c r="B2627" s="21"/>
      <c r="C2627" s="21"/>
      <c r="E2627" s="21"/>
      <c r="F2627" s="21"/>
    </row>
    <row r="2628">
      <c r="A2628" s="23"/>
      <c r="B2628" s="21"/>
      <c r="C2628" s="21"/>
      <c r="E2628" s="21"/>
      <c r="F2628" s="21"/>
    </row>
    <row r="2629">
      <c r="A2629" s="23"/>
      <c r="B2629" s="21"/>
      <c r="C2629" s="21"/>
      <c r="E2629" s="21"/>
      <c r="F2629" s="21"/>
    </row>
    <row r="2630">
      <c r="A2630" s="23"/>
      <c r="B2630" s="21"/>
      <c r="C2630" s="21"/>
      <c r="E2630" s="21"/>
      <c r="F2630" s="21"/>
    </row>
    <row r="2631">
      <c r="A2631" s="23"/>
      <c r="B2631" s="21"/>
      <c r="C2631" s="21"/>
      <c r="E2631" s="21"/>
      <c r="F2631" s="21"/>
    </row>
    <row r="2632">
      <c r="A2632" s="23"/>
      <c r="B2632" s="21"/>
      <c r="C2632" s="21"/>
      <c r="E2632" s="21"/>
      <c r="F2632" s="21"/>
    </row>
    <row r="2633">
      <c r="A2633" s="23"/>
      <c r="B2633" s="21"/>
      <c r="C2633" s="21"/>
      <c r="E2633" s="21"/>
      <c r="F2633" s="21"/>
    </row>
    <row r="2634">
      <c r="A2634" s="23"/>
      <c r="B2634" s="21"/>
      <c r="C2634" s="21"/>
      <c r="E2634" s="21"/>
      <c r="F2634" s="21"/>
    </row>
    <row r="2635">
      <c r="A2635" s="23"/>
      <c r="B2635" s="21"/>
      <c r="C2635" s="21"/>
      <c r="E2635" s="21"/>
      <c r="F2635" s="21"/>
    </row>
    <row r="2636">
      <c r="A2636" s="23"/>
      <c r="B2636" s="21"/>
      <c r="C2636" s="21"/>
      <c r="E2636" s="21"/>
      <c r="F2636" s="21"/>
    </row>
    <row r="2637">
      <c r="A2637" s="23"/>
      <c r="B2637" s="21"/>
      <c r="C2637" s="21"/>
      <c r="E2637" s="21"/>
      <c r="F2637" s="21"/>
    </row>
    <row r="2638">
      <c r="A2638" s="23"/>
      <c r="B2638" s="21"/>
      <c r="C2638" s="21"/>
      <c r="E2638" s="21"/>
      <c r="F2638" s="21"/>
    </row>
    <row r="2639">
      <c r="A2639" s="23"/>
      <c r="B2639" s="21"/>
      <c r="C2639" s="21"/>
      <c r="E2639" s="21"/>
      <c r="F2639" s="21"/>
    </row>
    <row r="2640">
      <c r="A2640" s="23"/>
      <c r="B2640" s="21"/>
      <c r="C2640" s="21"/>
      <c r="E2640" s="21"/>
      <c r="F2640" s="21"/>
    </row>
    <row r="2641">
      <c r="A2641" s="23"/>
      <c r="B2641" s="21"/>
      <c r="C2641" s="21"/>
      <c r="E2641" s="21"/>
      <c r="F2641" s="21"/>
    </row>
    <row r="2642">
      <c r="A2642" s="23"/>
      <c r="B2642" s="21"/>
      <c r="C2642" s="21"/>
      <c r="E2642" s="21"/>
      <c r="F2642" s="21"/>
    </row>
    <row r="2643">
      <c r="A2643" s="23"/>
      <c r="B2643" s="21"/>
      <c r="C2643" s="21"/>
      <c r="E2643" s="21"/>
      <c r="F2643" s="21"/>
    </row>
    <row r="2644">
      <c r="A2644" s="23"/>
      <c r="B2644" s="21"/>
      <c r="C2644" s="21"/>
      <c r="E2644" s="21"/>
      <c r="F2644" s="21"/>
    </row>
    <row r="2645">
      <c r="A2645" s="23"/>
      <c r="B2645" s="21"/>
      <c r="C2645" s="21"/>
      <c r="E2645" s="21"/>
      <c r="F2645" s="21"/>
    </row>
    <row r="2646">
      <c r="A2646" s="23"/>
      <c r="B2646" s="21"/>
      <c r="C2646" s="21"/>
      <c r="E2646" s="21"/>
      <c r="F2646" s="21"/>
    </row>
    <row r="2647">
      <c r="A2647" s="23"/>
      <c r="B2647" s="21"/>
      <c r="C2647" s="21"/>
      <c r="E2647" s="21"/>
      <c r="F2647" s="21"/>
    </row>
    <row r="2648">
      <c r="A2648" s="23"/>
      <c r="B2648" s="21"/>
      <c r="C2648" s="21"/>
      <c r="E2648" s="21"/>
      <c r="F2648" s="21"/>
    </row>
    <row r="2649">
      <c r="A2649" s="23"/>
      <c r="B2649" s="21"/>
      <c r="C2649" s="21"/>
      <c r="E2649" s="21"/>
      <c r="F2649" s="21"/>
    </row>
    <row r="2650">
      <c r="A2650" s="23"/>
      <c r="B2650" s="21"/>
      <c r="C2650" s="21"/>
      <c r="E2650" s="21"/>
      <c r="F2650" s="21"/>
    </row>
    <row r="2651">
      <c r="A2651" s="23"/>
      <c r="B2651" s="21"/>
      <c r="C2651" s="21"/>
      <c r="E2651" s="21"/>
      <c r="F2651" s="21"/>
    </row>
    <row r="2652">
      <c r="A2652" s="23"/>
      <c r="B2652" s="21"/>
      <c r="C2652" s="21"/>
      <c r="E2652" s="21"/>
      <c r="F2652" s="21"/>
    </row>
    <row r="2653">
      <c r="A2653" s="23"/>
      <c r="B2653" s="21"/>
      <c r="C2653" s="21"/>
      <c r="E2653" s="21"/>
      <c r="F2653" s="21"/>
    </row>
    <row r="2654">
      <c r="A2654" s="23"/>
      <c r="B2654" s="21"/>
      <c r="C2654" s="21"/>
      <c r="E2654" s="21"/>
      <c r="F2654" s="21"/>
    </row>
    <row r="2655">
      <c r="A2655" s="23"/>
      <c r="B2655" s="21"/>
      <c r="C2655" s="21"/>
      <c r="E2655" s="21"/>
      <c r="F2655" s="21"/>
    </row>
    <row r="2656">
      <c r="A2656" s="23"/>
      <c r="B2656" s="21"/>
      <c r="C2656" s="21"/>
      <c r="E2656" s="21"/>
      <c r="F2656" s="21"/>
    </row>
    <row r="2657">
      <c r="A2657" s="23"/>
      <c r="B2657" s="21"/>
      <c r="C2657" s="21"/>
      <c r="E2657" s="21"/>
      <c r="F2657" s="21"/>
    </row>
    <row r="2658">
      <c r="A2658" s="23"/>
      <c r="B2658" s="21"/>
      <c r="C2658" s="21"/>
      <c r="E2658" s="21"/>
      <c r="F2658" s="21"/>
    </row>
    <row r="2659">
      <c r="A2659" s="23"/>
      <c r="B2659" s="21"/>
      <c r="C2659" s="21"/>
      <c r="E2659" s="21"/>
      <c r="F2659" s="21"/>
    </row>
    <row r="2660">
      <c r="A2660" s="23"/>
      <c r="B2660" s="21"/>
      <c r="C2660" s="21"/>
      <c r="E2660" s="21"/>
      <c r="F2660" s="21"/>
    </row>
    <row r="2661">
      <c r="A2661" s="23"/>
      <c r="B2661" s="21"/>
      <c r="C2661" s="21"/>
      <c r="E2661" s="21"/>
      <c r="F2661" s="21"/>
    </row>
    <row r="2662">
      <c r="A2662" s="23"/>
      <c r="B2662" s="21"/>
      <c r="C2662" s="21"/>
      <c r="E2662" s="21"/>
      <c r="F2662" s="21"/>
    </row>
    <row r="2663">
      <c r="A2663" s="23"/>
      <c r="B2663" s="21"/>
      <c r="C2663" s="21"/>
      <c r="E2663" s="21"/>
      <c r="F2663" s="21"/>
    </row>
    <row r="2664">
      <c r="A2664" s="23"/>
      <c r="B2664" s="21"/>
      <c r="C2664" s="21"/>
      <c r="E2664" s="21"/>
      <c r="F2664" s="21"/>
    </row>
    <row r="2665">
      <c r="A2665" s="23"/>
      <c r="B2665" s="21"/>
      <c r="C2665" s="21"/>
      <c r="E2665" s="21"/>
      <c r="F2665" s="21"/>
    </row>
    <row r="2666">
      <c r="A2666" s="23"/>
      <c r="B2666" s="21"/>
      <c r="C2666" s="21"/>
      <c r="E2666" s="21"/>
      <c r="F2666" s="21"/>
    </row>
    <row r="2667">
      <c r="A2667" s="23"/>
      <c r="B2667" s="21"/>
      <c r="C2667" s="21"/>
      <c r="E2667" s="21"/>
      <c r="F2667" s="21"/>
    </row>
    <row r="2668">
      <c r="A2668" s="23"/>
      <c r="B2668" s="21"/>
      <c r="C2668" s="21"/>
      <c r="E2668" s="21"/>
      <c r="F2668" s="21"/>
    </row>
    <row r="2669">
      <c r="A2669" s="23"/>
      <c r="B2669" s="21"/>
      <c r="C2669" s="21"/>
      <c r="E2669" s="21"/>
      <c r="F2669" s="21"/>
    </row>
    <row r="2670">
      <c r="A2670" s="23"/>
      <c r="B2670" s="21"/>
      <c r="C2670" s="21"/>
      <c r="E2670" s="21"/>
      <c r="F2670" s="21"/>
    </row>
    <row r="2671">
      <c r="A2671" s="23"/>
      <c r="B2671" s="21"/>
      <c r="C2671" s="21"/>
      <c r="E2671" s="21"/>
      <c r="F2671" s="21"/>
    </row>
    <row r="2672">
      <c r="A2672" s="23"/>
      <c r="B2672" s="21"/>
      <c r="C2672" s="21"/>
      <c r="E2672" s="21"/>
      <c r="F2672" s="21"/>
    </row>
    <row r="2673">
      <c r="A2673" s="23"/>
      <c r="B2673" s="21"/>
      <c r="C2673" s="21"/>
      <c r="E2673" s="21"/>
      <c r="F2673" s="21"/>
    </row>
    <row r="2674">
      <c r="A2674" s="23"/>
      <c r="B2674" s="21"/>
      <c r="C2674" s="21"/>
      <c r="E2674" s="21"/>
      <c r="F2674" s="21"/>
    </row>
    <row r="2675">
      <c r="A2675" s="23"/>
      <c r="B2675" s="21"/>
      <c r="C2675" s="21"/>
      <c r="E2675" s="21"/>
      <c r="F2675" s="21"/>
    </row>
    <row r="2676">
      <c r="A2676" s="23"/>
      <c r="B2676" s="21"/>
      <c r="C2676" s="21"/>
      <c r="E2676" s="21"/>
      <c r="F2676" s="21"/>
    </row>
    <row r="2677">
      <c r="A2677" s="23"/>
      <c r="B2677" s="21"/>
      <c r="C2677" s="21"/>
      <c r="E2677" s="21"/>
      <c r="F2677" s="21"/>
    </row>
    <row r="2678">
      <c r="A2678" s="23"/>
      <c r="B2678" s="21"/>
      <c r="C2678" s="21"/>
      <c r="E2678" s="21"/>
      <c r="F2678" s="21"/>
    </row>
    <row r="2679">
      <c r="A2679" s="23"/>
      <c r="B2679" s="21"/>
      <c r="C2679" s="21"/>
      <c r="E2679" s="21"/>
      <c r="F2679" s="21"/>
    </row>
    <row r="2680">
      <c r="A2680" s="23"/>
      <c r="B2680" s="21"/>
      <c r="C2680" s="21"/>
      <c r="E2680" s="21"/>
      <c r="F2680" s="21"/>
    </row>
    <row r="2681">
      <c r="A2681" s="23"/>
      <c r="B2681" s="21"/>
      <c r="C2681" s="21"/>
      <c r="E2681" s="21"/>
      <c r="F2681" s="21"/>
    </row>
    <row r="2682">
      <c r="A2682" s="23"/>
      <c r="B2682" s="21"/>
      <c r="C2682" s="21"/>
      <c r="E2682" s="21"/>
      <c r="F2682" s="21"/>
    </row>
    <row r="2683">
      <c r="A2683" s="23"/>
      <c r="B2683" s="21"/>
      <c r="C2683" s="21"/>
      <c r="E2683" s="21"/>
      <c r="F2683" s="21"/>
    </row>
    <row r="2684">
      <c r="A2684" s="23"/>
      <c r="B2684" s="21"/>
      <c r="C2684" s="21"/>
      <c r="E2684" s="21"/>
      <c r="F2684" s="21"/>
    </row>
    <row r="2685">
      <c r="A2685" s="23"/>
      <c r="B2685" s="21"/>
      <c r="C2685" s="21"/>
      <c r="E2685" s="21"/>
      <c r="F2685" s="21"/>
    </row>
    <row r="2686">
      <c r="A2686" s="23"/>
      <c r="B2686" s="21"/>
      <c r="C2686" s="21"/>
      <c r="E2686" s="21"/>
      <c r="F2686" s="21"/>
    </row>
    <row r="2687">
      <c r="A2687" s="23"/>
      <c r="B2687" s="21"/>
      <c r="C2687" s="21"/>
      <c r="E2687" s="21"/>
      <c r="F2687" s="21"/>
    </row>
    <row r="2688">
      <c r="A2688" s="23"/>
      <c r="B2688" s="21"/>
      <c r="C2688" s="21"/>
      <c r="E2688" s="21"/>
      <c r="F2688" s="21"/>
    </row>
    <row r="2689">
      <c r="A2689" s="23"/>
      <c r="B2689" s="21"/>
      <c r="C2689" s="21"/>
      <c r="E2689" s="21"/>
      <c r="F2689" s="21"/>
    </row>
    <row r="2690">
      <c r="A2690" s="23"/>
      <c r="B2690" s="21"/>
      <c r="C2690" s="21"/>
      <c r="E2690" s="21"/>
      <c r="F2690" s="21"/>
    </row>
    <row r="2691">
      <c r="A2691" s="23"/>
      <c r="B2691" s="21"/>
      <c r="C2691" s="21"/>
      <c r="E2691" s="21"/>
      <c r="F2691" s="21"/>
    </row>
    <row r="2692">
      <c r="A2692" s="23"/>
      <c r="B2692" s="21"/>
      <c r="C2692" s="21"/>
      <c r="E2692" s="21"/>
      <c r="F2692" s="21"/>
    </row>
    <row r="2693">
      <c r="A2693" s="23"/>
      <c r="B2693" s="21"/>
      <c r="C2693" s="21"/>
      <c r="E2693" s="21"/>
      <c r="F2693" s="21"/>
    </row>
    <row r="2694">
      <c r="A2694" s="23"/>
      <c r="B2694" s="21"/>
      <c r="C2694" s="21"/>
      <c r="E2694" s="21"/>
      <c r="F2694" s="21"/>
    </row>
    <row r="2695">
      <c r="A2695" s="23"/>
      <c r="B2695" s="21"/>
      <c r="C2695" s="21"/>
      <c r="E2695" s="21"/>
      <c r="F2695" s="21"/>
    </row>
    <row r="2696">
      <c r="A2696" s="23"/>
      <c r="B2696" s="21"/>
      <c r="C2696" s="21"/>
      <c r="E2696" s="21"/>
      <c r="F2696" s="21"/>
    </row>
    <row r="2697">
      <c r="A2697" s="23"/>
      <c r="B2697" s="21"/>
      <c r="C2697" s="21"/>
      <c r="E2697" s="21"/>
      <c r="F2697" s="21"/>
    </row>
    <row r="2698">
      <c r="A2698" s="23"/>
      <c r="B2698" s="21"/>
      <c r="C2698" s="21"/>
      <c r="E2698" s="21"/>
      <c r="F2698" s="21"/>
    </row>
    <row r="2699">
      <c r="A2699" s="23"/>
      <c r="B2699" s="21"/>
      <c r="C2699" s="21"/>
      <c r="E2699" s="21"/>
      <c r="F2699" s="21"/>
    </row>
    <row r="2700">
      <c r="A2700" s="23"/>
      <c r="B2700" s="21"/>
      <c r="C2700" s="21"/>
      <c r="E2700" s="21"/>
      <c r="F2700" s="21"/>
    </row>
    <row r="2701">
      <c r="A2701" s="23"/>
      <c r="B2701" s="21"/>
      <c r="C2701" s="21"/>
      <c r="E2701" s="21"/>
      <c r="F2701" s="21"/>
    </row>
    <row r="2702">
      <c r="A2702" s="23"/>
      <c r="B2702" s="21"/>
      <c r="C2702" s="21"/>
      <c r="E2702" s="21"/>
      <c r="F2702" s="21"/>
    </row>
    <row r="2703">
      <c r="A2703" s="23"/>
      <c r="B2703" s="21"/>
      <c r="C2703" s="21"/>
      <c r="E2703" s="21"/>
      <c r="F2703" s="21"/>
    </row>
    <row r="2704">
      <c r="A2704" s="23"/>
      <c r="B2704" s="21"/>
      <c r="C2704" s="21"/>
      <c r="E2704" s="21"/>
      <c r="F2704" s="21"/>
    </row>
    <row r="2705">
      <c r="A2705" s="23"/>
      <c r="B2705" s="21"/>
      <c r="C2705" s="21"/>
      <c r="E2705" s="21"/>
      <c r="F2705" s="21"/>
    </row>
    <row r="2706">
      <c r="A2706" s="23"/>
      <c r="B2706" s="21"/>
      <c r="C2706" s="21"/>
      <c r="E2706" s="21"/>
      <c r="F2706" s="21"/>
    </row>
    <row r="2707">
      <c r="A2707" s="23"/>
      <c r="B2707" s="21"/>
      <c r="C2707" s="21"/>
      <c r="E2707" s="21"/>
      <c r="F2707" s="21"/>
    </row>
    <row r="2708">
      <c r="A2708" s="23"/>
      <c r="B2708" s="21"/>
      <c r="C2708" s="21"/>
      <c r="E2708" s="21"/>
      <c r="F2708" s="21"/>
    </row>
    <row r="2709">
      <c r="A2709" s="23"/>
      <c r="B2709" s="21"/>
      <c r="C2709" s="21"/>
      <c r="E2709" s="21"/>
      <c r="F2709" s="21"/>
    </row>
    <row r="2710">
      <c r="A2710" s="23"/>
      <c r="B2710" s="21"/>
      <c r="C2710" s="21"/>
      <c r="E2710" s="21"/>
      <c r="F2710" s="21"/>
    </row>
    <row r="2711">
      <c r="A2711" s="23"/>
      <c r="B2711" s="21"/>
      <c r="C2711" s="21"/>
      <c r="E2711" s="21"/>
      <c r="F2711" s="21"/>
    </row>
    <row r="2712">
      <c r="A2712" s="23"/>
      <c r="B2712" s="21"/>
      <c r="C2712" s="21"/>
      <c r="E2712" s="21"/>
      <c r="F2712" s="21"/>
    </row>
    <row r="2713">
      <c r="A2713" s="23"/>
      <c r="B2713" s="21"/>
      <c r="C2713" s="21"/>
      <c r="E2713" s="21"/>
      <c r="F2713" s="21"/>
    </row>
    <row r="2714">
      <c r="A2714" s="23"/>
      <c r="B2714" s="21"/>
      <c r="C2714" s="21"/>
      <c r="E2714" s="21"/>
      <c r="F2714" s="21"/>
    </row>
    <row r="2715">
      <c r="A2715" s="23"/>
      <c r="B2715" s="21"/>
      <c r="C2715" s="21"/>
      <c r="E2715" s="21"/>
      <c r="F2715" s="21"/>
    </row>
    <row r="2716">
      <c r="A2716" s="23"/>
      <c r="B2716" s="21"/>
      <c r="C2716" s="21"/>
      <c r="E2716" s="21"/>
      <c r="F2716" s="21"/>
    </row>
    <row r="2717">
      <c r="A2717" s="23"/>
      <c r="B2717" s="21"/>
      <c r="C2717" s="21"/>
      <c r="E2717" s="21"/>
      <c r="F2717" s="21"/>
    </row>
    <row r="2718">
      <c r="A2718" s="23"/>
      <c r="B2718" s="21"/>
      <c r="C2718" s="21"/>
      <c r="E2718" s="21"/>
      <c r="F2718" s="21"/>
    </row>
    <row r="2719">
      <c r="A2719" s="23"/>
      <c r="B2719" s="21"/>
      <c r="C2719" s="21"/>
      <c r="E2719" s="21"/>
      <c r="F2719" s="21"/>
    </row>
    <row r="2720">
      <c r="A2720" s="23"/>
      <c r="B2720" s="21"/>
      <c r="C2720" s="21"/>
      <c r="E2720" s="21"/>
      <c r="F2720" s="21"/>
    </row>
    <row r="2721">
      <c r="A2721" s="23"/>
      <c r="B2721" s="21"/>
      <c r="C2721" s="21"/>
      <c r="E2721" s="21"/>
      <c r="F2721" s="21"/>
    </row>
    <row r="2722">
      <c r="A2722" s="23"/>
      <c r="B2722" s="21"/>
      <c r="C2722" s="21"/>
      <c r="E2722" s="21"/>
      <c r="F2722" s="21"/>
    </row>
    <row r="2723">
      <c r="A2723" s="23"/>
      <c r="B2723" s="21"/>
      <c r="C2723" s="21"/>
      <c r="E2723" s="21"/>
      <c r="F2723" s="21"/>
    </row>
    <row r="2724">
      <c r="A2724" s="23"/>
      <c r="B2724" s="21"/>
      <c r="C2724" s="21"/>
      <c r="E2724" s="21"/>
      <c r="F2724" s="21"/>
    </row>
    <row r="2725">
      <c r="A2725" s="23"/>
      <c r="B2725" s="21"/>
      <c r="C2725" s="21"/>
      <c r="E2725" s="21"/>
      <c r="F2725" s="21"/>
    </row>
    <row r="2726">
      <c r="A2726" s="23"/>
      <c r="B2726" s="21"/>
      <c r="C2726" s="21"/>
      <c r="E2726" s="21"/>
      <c r="F2726" s="21"/>
    </row>
    <row r="2727">
      <c r="A2727" s="23"/>
      <c r="B2727" s="21"/>
      <c r="C2727" s="21"/>
      <c r="E2727" s="21"/>
      <c r="F2727" s="21"/>
    </row>
    <row r="2728">
      <c r="A2728" s="23"/>
      <c r="B2728" s="21"/>
      <c r="C2728" s="21"/>
      <c r="E2728" s="21"/>
      <c r="F2728" s="21"/>
    </row>
    <row r="2729">
      <c r="A2729" s="23"/>
      <c r="B2729" s="21"/>
      <c r="C2729" s="21"/>
      <c r="E2729" s="21"/>
      <c r="F2729" s="21"/>
    </row>
    <row r="2730">
      <c r="A2730" s="23"/>
      <c r="B2730" s="21"/>
      <c r="C2730" s="21"/>
      <c r="E2730" s="21"/>
      <c r="F2730" s="21"/>
    </row>
    <row r="2731">
      <c r="A2731" s="23"/>
      <c r="B2731" s="21"/>
      <c r="C2731" s="21"/>
      <c r="E2731" s="21"/>
      <c r="F2731" s="21"/>
    </row>
    <row r="2732">
      <c r="A2732" s="23"/>
      <c r="B2732" s="21"/>
      <c r="C2732" s="21"/>
      <c r="E2732" s="21"/>
      <c r="F2732" s="21"/>
    </row>
    <row r="2733">
      <c r="A2733" s="23"/>
      <c r="B2733" s="21"/>
      <c r="C2733" s="21"/>
      <c r="E2733" s="21"/>
      <c r="F2733" s="21"/>
    </row>
    <row r="2734">
      <c r="A2734" s="23"/>
      <c r="B2734" s="21"/>
      <c r="C2734" s="21"/>
      <c r="E2734" s="21"/>
      <c r="F2734" s="21"/>
    </row>
    <row r="2735">
      <c r="A2735" s="23"/>
      <c r="B2735" s="21"/>
      <c r="C2735" s="21"/>
      <c r="E2735" s="21"/>
      <c r="F2735" s="21"/>
    </row>
    <row r="2736">
      <c r="A2736" s="23"/>
      <c r="B2736" s="21"/>
      <c r="C2736" s="21"/>
      <c r="E2736" s="21"/>
      <c r="F2736" s="21"/>
    </row>
    <row r="2737">
      <c r="A2737" s="23"/>
      <c r="B2737" s="21"/>
      <c r="C2737" s="21"/>
      <c r="E2737" s="21"/>
      <c r="F2737" s="21"/>
    </row>
    <row r="2738">
      <c r="A2738" s="23"/>
      <c r="B2738" s="21"/>
      <c r="C2738" s="21"/>
      <c r="E2738" s="21"/>
      <c r="F2738" s="21"/>
    </row>
    <row r="2739">
      <c r="A2739" s="23"/>
      <c r="B2739" s="21"/>
      <c r="C2739" s="21"/>
      <c r="E2739" s="21"/>
      <c r="F2739" s="21"/>
    </row>
    <row r="2740">
      <c r="A2740" s="23"/>
      <c r="B2740" s="21"/>
      <c r="C2740" s="21"/>
      <c r="E2740" s="21"/>
      <c r="F2740" s="21"/>
    </row>
    <row r="2741">
      <c r="A2741" s="23"/>
      <c r="B2741" s="21"/>
      <c r="C2741" s="21"/>
      <c r="E2741" s="21"/>
      <c r="F2741" s="21"/>
    </row>
    <row r="2742">
      <c r="A2742" s="23"/>
      <c r="B2742" s="21"/>
      <c r="C2742" s="21"/>
      <c r="E2742" s="21"/>
      <c r="F2742" s="21"/>
    </row>
    <row r="2743">
      <c r="A2743" s="23"/>
      <c r="B2743" s="21"/>
      <c r="C2743" s="21"/>
      <c r="E2743" s="21"/>
      <c r="F2743" s="21"/>
    </row>
    <row r="2744">
      <c r="A2744" s="23"/>
      <c r="B2744" s="21"/>
      <c r="C2744" s="21"/>
      <c r="E2744" s="21"/>
      <c r="F2744" s="21"/>
    </row>
    <row r="2745">
      <c r="A2745" s="23"/>
      <c r="B2745" s="21"/>
      <c r="C2745" s="21"/>
      <c r="E2745" s="21"/>
      <c r="F2745" s="21"/>
    </row>
    <row r="2746">
      <c r="A2746" s="23"/>
      <c r="B2746" s="21"/>
      <c r="C2746" s="21"/>
      <c r="E2746" s="21"/>
      <c r="F2746" s="21"/>
    </row>
    <row r="2747">
      <c r="A2747" s="23"/>
      <c r="B2747" s="21"/>
      <c r="C2747" s="21"/>
      <c r="E2747" s="21"/>
      <c r="F2747" s="21"/>
    </row>
    <row r="2748">
      <c r="A2748" s="23"/>
      <c r="B2748" s="21"/>
      <c r="C2748" s="21"/>
      <c r="E2748" s="21"/>
      <c r="F2748" s="21"/>
    </row>
    <row r="2749">
      <c r="A2749" s="23"/>
      <c r="B2749" s="21"/>
      <c r="C2749" s="21"/>
      <c r="E2749" s="21"/>
      <c r="F2749" s="21"/>
    </row>
    <row r="2750">
      <c r="A2750" s="23"/>
      <c r="B2750" s="21"/>
      <c r="C2750" s="21"/>
      <c r="E2750" s="21"/>
      <c r="F2750" s="21"/>
    </row>
    <row r="2751">
      <c r="A2751" s="23"/>
      <c r="B2751" s="21"/>
      <c r="C2751" s="21"/>
      <c r="E2751" s="21"/>
      <c r="F2751" s="21"/>
    </row>
    <row r="2752">
      <c r="A2752" s="23"/>
      <c r="B2752" s="21"/>
      <c r="C2752" s="21"/>
      <c r="E2752" s="21"/>
      <c r="F2752" s="21"/>
    </row>
    <row r="2753">
      <c r="A2753" s="23"/>
      <c r="B2753" s="21"/>
      <c r="C2753" s="21"/>
      <c r="E2753" s="21"/>
      <c r="F2753" s="21"/>
    </row>
    <row r="2754">
      <c r="A2754" s="23"/>
      <c r="B2754" s="21"/>
      <c r="C2754" s="21"/>
      <c r="E2754" s="21"/>
      <c r="F2754" s="21"/>
    </row>
    <row r="2755">
      <c r="A2755" s="23"/>
      <c r="B2755" s="21"/>
      <c r="C2755" s="21"/>
      <c r="E2755" s="21"/>
      <c r="F2755" s="21"/>
    </row>
    <row r="2756">
      <c r="A2756" s="23"/>
      <c r="B2756" s="21"/>
      <c r="C2756" s="21"/>
      <c r="E2756" s="21"/>
      <c r="F2756" s="21"/>
    </row>
    <row r="2757">
      <c r="A2757" s="23"/>
      <c r="B2757" s="21"/>
      <c r="C2757" s="21"/>
      <c r="E2757" s="21"/>
      <c r="F2757" s="21"/>
    </row>
    <row r="2758">
      <c r="A2758" s="23"/>
      <c r="B2758" s="21"/>
      <c r="C2758" s="21"/>
      <c r="E2758" s="21"/>
      <c r="F2758" s="21"/>
    </row>
    <row r="2759">
      <c r="A2759" s="23"/>
      <c r="B2759" s="21"/>
      <c r="C2759" s="21"/>
      <c r="E2759" s="21"/>
      <c r="F2759" s="21"/>
    </row>
    <row r="2760">
      <c r="A2760" s="23"/>
      <c r="B2760" s="21"/>
      <c r="C2760" s="21"/>
      <c r="E2760" s="21"/>
      <c r="F2760" s="21"/>
    </row>
    <row r="2761">
      <c r="A2761" s="23"/>
      <c r="B2761" s="21"/>
      <c r="C2761" s="21"/>
      <c r="E2761" s="21"/>
      <c r="F2761" s="21"/>
    </row>
    <row r="2762">
      <c r="A2762" s="23"/>
      <c r="B2762" s="21"/>
      <c r="C2762" s="21"/>
      <c r="E2762" s="21"/>
      <c r="F2762" s="21"/>
    </row>
    <row r="2763">
      <c r="A2763" s="23"/>
      <c r="B2763" s="21"/>
      <c r="C2763" s="21"/>
      <c r="E2763" s="21"/>
      <c r="F2763" s="21"/>
    </row>
    <row r="2764">
      <c r="A2764" s="23"/>
      <c r="B2764" s="21"/>
      <c r="C2764" s="21"/>
      <c r="E2764" s="21"/>
      <c r="F2764" s="21"/>
    </row>
    <row r="2765">
      <c r="A2765" s="23"/>
      <c r="B2765" s="21"/>
      <c r="C2765" s="21"/>
      <c r="E2765" s="21"/>
      <c r="F2765" s="21"/>
    </row>
    <row r="2766">
      <c r="A2766" s="23"/>
      <c r="B2766" s="21"/>
      <c r="C2766" s="21"/>
      <c r="E2766" s="21"/>
      <c r="F2766" s="21"/>
    </row>
    <row r="2767">
      <c r="A2767" s="23"/>
      <c r="B2767" s="21"/>
      <c r="C2767" s="21"/>
      <c r="E2767" s="21"/>
      <c r="F2767" s="21"/>
    </row>
    <row r="2768">
      <c r="A2768" s="23"/>
      <c r="B2768" s="21"/>
      <c r="C2768" s="21"/>
      <c r="E2768" s="21"/>
      <c r="F2768" s="21"/>
    </row>
    <row r="2769">
      <c r="A2769" s="23"/>
      <c r="B2769" s="21"/>
      <c r="C2769" s="21"/>
      <c r="E2769" s="21"/>
      <c r="F2769" s="21"/>
    </row>
    <row r="2770">
      <c r="A2770" s="23"/>
      <c r="B2770" s="21"/>
      <c r="C2770" s="21"/>
      <c r="E2770" s="21"/>
      <c r="F2770" s="21"/>
    </row>
    <row r="2771">
      <c r="A2771" s="23"/>
      <c r="B2771" s="21"/>
      <c r="C2771" s="21"/>
      <c r="E2771" s="21"/>
      <c r="F2771" s="21"/>
    </row>
    <row r="2772">
      <c r="A2772" s="23"/>
      <c r="B2772" s="21"/>
      <c r="C2772" s="21"/>
      <c r="E2772" s="21"/>
      <c r="F2772" s="21"/>
    </row>
    <row r="2773">
      <c r="A2773" s="23"/>
      <c r="B2773" s="21"/>
      <c r="C2773" s="21"/>
      <c r="E2773" s="21"/>
      <c r="F2773" s="21"/>
    </row>
    <row r="2774">
      <c r="A2774" s="23"/>
      <c r="B2774" s="21"/>
      <c r="C2774" s="21"/>
      <c r="E2774" s="21"/>
      <c r="F2774" s="21"/>
    </row>
    <row r="2775">
      <c r="A2775" s="23"/>
      <c r="B2775" s="21"/>
      <c r="C2775" s="21"/>
      <c r="E2775" s="21"/>
      <c r="F2775" s="21"/>
    </row>
    <row r="2776">
      <c r="A2776" s="23"/>
      <c r="B2776" s="21"/>
      <c r="C2776" s="21"/>
      <c r="E2776" s="21"/>
      <c r="F2776" s="21"/>
    </row>
    <row r="2777">
      <c r="A2777" s="23"/>
      <c r="B2777" s="21"/>
      <c r="C2777" s="21"/>
      <c r="E2777" s="21"/>
      <c r="F2777" s="21"/>
    </row>
    <row r="2778">
      <c r="A2778" s="23"/>
      <c r="B2778" s="21"/>
      <c r="C2778" s="21"/>
      <c r="E2778" s="21"/>
      <c r="F2778" s="21"/>
    </row>
    <row r="2779">
      <c r="A2779" s="23"/>
      <c r="B2779" s="21"/>
      <c r="C2779" s="21"/>
      <c r="E2779" s="21"/>
      <c r="F2779" s="21"/>
    </row>
    <row r="2780">
      <c r="A2780" s="23"/>
      <c r="B2780" s="21"/>
      <c r="C2780" s="21"/>
      <c r="E2780" s="21"/>
      <c r="F2780" s="21"/>
    </row>
    <row r="2781">
      <c r="A2781" s="23"/>
      <c r="B2781" s="21"/>
      <c r="C2781" s="21"/>
      <c r="E2781" s="21"/>
      <c r="F2781" s="21"/>
    </row>
    <row r="2782">
      <c r="A2782" s="23"/>
      <c r="B2782" s="21"/>
      <c r="C2782" s="21"/>
      <c r="E2782" s="21"/>
      <c r="F2782" s="21"/>
    </row>
    <row r="2783">
      <c r="A2783" s="23"/>
      <c r="B2783" s="21"/>
      <c r="C2783" s="21"/>
      <c r="E2783" s="21"/>
      <c r="F2783" s="21"/>
    </row>
    <row r="2784">
      <c r="A2784" s="23"/>
      <c r="B2784" s="21"/>
      <c r="C2784" s="21"/>
      <c r="E2784" s="21"/>
      <c r="F2784" s="21"/>
    </row>
    <row r="2785">
      <c r="A2785" s="23"/>
      <c r="B2785" s="21"/>
      <c r="C2785" s="21"/>
      <c r="E2785" s="21"/>
      <c r="F2785" s="21"/>
    </row>
    <row r="2786">
      <c r="A2786" s="23"/>
      <c r="B2786" s="21"/>
      <c r="C2786" s="21"/>
      <c r="E2786" s="21"/>
      <c r="F2786" s="21"/>
    </row>
    <row r="2787">
      <c r="A2787" s="23"/>
      <c r="B2787" s="21"/>
      <c r="C2787" s="21"/>
      <c r="E2787" s="21"/>
      <c r="F2787" s="21"/>
    </row>
    <row r="2788">
      <c r="A2788" s="23"/>
      <c r="B2788" s="21"/>
      <c r="C2788" s="21"/>
      <c r="E2788" s="21"/>
      <c r="F2788" s="21"/>
    </row>
    <row r="2789">
      <c r="A2789" s="23"/>
      <c r="B2789" s="21"/>
      <c r="C2789" s="21"/>
      <c r="E2789" s="21"/>
      <c r="F2789" s="21"/>
    </row>
    <row r="2790">
      <c r="A2790" s="23"/>
      <c r="B2790" s="21"/>
      <c r="C2790" s="21"/>
      <c r="E2790" s="21"/>
      <c r="F2790" s="21"/>
    </row>
    <row r="2791">
      <c r="A2791" s="23"/>
      <c r="B2791" s="21"/>
      <c r="C2791" s="21"/>
      <c r="E2791" s="21"/>
      <c r="F2791" s="21"/>
    </row>
    <row r="2792">
      <c r="A2792" s="23"/>
      <c r="B2792" s="21"/>
      <c r="C2792" s="21"/>
      <c r="E2792" s="21"/>
      <c r="F2792" s="21"/>
    </row>
    <row r="2793">
      <c r="A2793" s="23"/>
      <c r="B2793" s="21"/>
      <c r="C2793" s="21"/>
      <c r="E2793" s="21"/>
      <c r="F2793" s="21"/>
    </row>
    <row r="2794">
      <c r="A2794" s="23"/>
      <c r="B2794" s="21"/>
      <c r="C2794" s="21"/>
      <c r="E2794" s="21"/>
      <c r="F2794" s="21"/>
    </row>
    <row r="2795">
      <c r="A2795" s="23"/>
      <c r="B2795" s="21"/>
      <c r="C2795" s="21"/>
      <c r="E2795" s="21"/>
      <c r="F2795" s="21"/>
    </row>
    <row r="2796">
      <c r="A2796" s="23"/>
      <c r="B2796" s="21"/>
      <c r="C2796" s="21"/>
      <c r="E2796" s="21"/>
      <c r="F2796" s="21"/>
    </row>
    <row r="2797">
      <c r="A2797" s="23"/>
      <c r="B2797" s="21"/>
      <c r="C2797" s="21"/>
      <c r="E2797" s="21"/>
      <c r="F2797" s="21"/>
    </row>
    <row r="2798">
      <c r="A2798" s="23"/>
      <c r="B2798" s="21"/>
      <c r="C2798" s="21"/>
      <c r="E2798" s="21"/>
      <c r="F2798" s="21"/>
    </row>
    <row r="2799">
      <c r="A2799" s="23"/>
      <c r="B2799" s="21"/>
      <c r="C2799" s="21"/>
      <c r="E2799" s="21"/>
      <c r="F2799" s="21"/>
    </row>
    <row r="2800">
      <c r="A2800" s="23"/>
      <c r="B2800" s="21"/>
      <c r="C2800" s="21"/>
      <c r="E2800" s="21"/>
      <c r="F2800" s="21"/>
    </row>
    <row r="2801">
      <c r="A2801" s="23"/>
      <c r="B2801" s="21"/>
      <c r="C2801" s="21"/>
      <c r="E2801" s="21"/>
      <c r="F2801" s="21"/>
    </row>
    <row r="2802">
      <c r="A2802" s="23"/>
      <c r="B2802" s="21"/>
      <c r="C2802" s="21"/>
      <c r="E2802" s="21"/>
      <c r="F2802" s="21"/>
    </row>
    <row r="2803">
      <c r="A2803" s="23"/>
      <c r="B2803" s="21"/>
      <c r="C2803" s="21"/>
      <c r="E2803" s="21"/>
      <c r="F2803" s="21"/>
    </row>
    <row r="2804">
      <c r="A2804" s="23"/>
      <c r="B2804" s="21"/>
      <c r="C2804" s="21"/>
      <c r="E2804" s="21"/>
      <c r="F2804" s="21"/>
    </row>
    <row r="2805">
      <c r="A2805" s="23"/>
      <c r="B2805" s="21"/>
      <c r="C2805" s="21"/>
      <c r="E2805" s="21"/>
      <c r="F2805" s="21"/>
    </row>
    <row r="2806">
      <c r="A2806" s="23"/>
      <c r="B2806" s="21"/>
      <c r="C2806" s="21"/>
      <c r="E2806" s="21"/>
      <c r="F2806" s="21"/>
    </row>
    <row r="2807">
      <c r="A2807" s="23"/>
      <c r="B2807" s="21"/>
      <c r="C2807" s="21"/>
      <c r="E2807" s="21"/>
      <c r="F2807" s="21"/>
    </row>
    <row r="2808">
      <c r="A2808" s="23"/>
      <c r="B2808" s="21"/>
      <c r="C2808" s="21"/>
      <c r="E2808" s="21"/>
      <c r="F2808" s="21"/>
    </row>
    <row r="2809">
      <c r="A2809" s="23"/>
      <c r="B2809" s="21"/>
      <c r="C2809" s="21"/>
      <c r="E2809" s="21"/>
      <c r="F2809" s="21"/>
    </row>
    <row r="2810">
      <c r="A2810" s="23"/>
      <c r="B2810" s="21"/>
      <c r="C2810" s="21"/>
      <c r="E2810" s="21"/>
      <c r="F2810" s="21"/>
    </row>
    <row r="2811">
      <c r="A2811" s="23"/>
      <c r="B2811" s="21"/>
      <c r="C2811" s="21"/>
      <c r="E2811" s="21"/>
      <c r="F2811" s="21"/>
    </row>
    <row r="2812">
      <c r="A2812" s="23"/>
      <c r="B2812" s="21"/>
      <c r="C2812" s="21"/>
      <c r="E2812" s="21"/>
      <c r="F2812" s="21"/>
    </row>
    <row r="2813">
      <c r="A2813" s="23"/>
      <c r="B2813" s="21"/>
      <c r="C2813" s="21"/>
      <c r="E2813" s="21"/>
      <c r="F2813" s="21"/>
    </row>
    <row r="2814">
      <c r="A2814" s="23"/>
      <c r="B2814" s="21"/>
      <c r="C2814" s="21"/>
      <c r="E2814" s="21"/>
      <c r="F2814" s="21"/>
    </row>
    <row r="2815">
      <c r="A2815" s="23"/>
      <c r="B2815" s="21"/>
      <c r="C2815" s="21"/>
      <c r="E2815" s="21"/>
      <c r="F2815" s="21"/>
    </row>
    <row r="2816">
      <c r="A2816" s="23"/>
      <c r="B2816" s="21"/>
      <c r="C2816" s="21"/>
      <c r="E2816" s="21"/>
      <c r="F2816" s="21"/>
    </row>
    <row r="2817">
      <c r="A2817" s="23"/>
      <c r="B2817" s="21"/>
      <c r="C2817" s="21"/>
      <c r="E2817" s="21"/>
      <c r="F2817" s="21"/>
    </row>
    <row r="2818">
      <c r="A2818" s="23"/>
      <c r="B2818" s="21"/>
      <c r="C2818" s="21"/>
      <c r="E2818" s="21"/>
      <c r="F2818" s="21"/>
    </row>
    <row r="2819">
      <c r="A2819" s="23"/>
      <c r="B2819" s="21"/>
      <c r="C2819" s="21"/>
      <c r="E2819" s="21"/>
      <c r="F2819" s="21"/>
    </row>
    <row r="2820">
      <c r="A2820" s="23"/>
      <c r="B2820" s="21"/>
      <c r="C2820" s="21"/>
      <c r="E2820" s="21"/>
      <c r="F2820" s="21"/>
    </row>
    <row r="2821">
      <c r="A2821" s="23"/>
      <c r="B2821" s="21"/>
      <c r="C2821" s="21"/>
      <c r="E2821" s="21"/>
      <c r="F2821" s="21"/>
    </row>
    <row r="2822">
      <c r="A2822" s="23"/>
      <c r="B2822" s="21"/>
      <c r="C2822" s="21"/>
      <c r="E2822" s="21"/>
      <c r="F2822" s="21"/>
    </row>
    <row r="2823">
      <c r="A2823" s="23"/>
      <c r="B2823" s="21"/>
      <c r="C2823" s="21"/>
      <c r="E2823" s="21"/>
      <c r="F2823" s="21"/>
    </row>
    <row r="2824">
      <c r="A2824" s="23"/>
      <c r="B2824" s="21"/>
      <c r="C2824" s="21"/>
      <c r="E2824" s="21"/>
      <c r="F2824" s="21"/>
    </row>
    <row r="2825">
      <c r="A2825" s="23"/>
      <c r="B2825" s="21"/>
      <c r="C2825" s="21"/>
      <c r="E2825" s="21"/>
      <c r="F2825" s="21"/>
    </row>
    <row r="2826">
      <c r="A2826" s="23"/>
      <c r="B2826" s="21"/>
      <c r="C2826" s="21"/>
      <c r="E2826" s="21"/>
      <c r="F2826" s="21"/>
    </row>
    <row r="2827">
      <c r="A2827" s="23"/>
      <c r="B2827" s="21"/>
      <c r="C2827" s="21"/>
      <c r="E2827" s="21"/>
      <c r="F2827" s="21"/>
    </row>
    <row r="2828">
      <c r="A2828" s="23"/>
      <c r="B2828" s="21"/>
      <c r="C2828" s="21"/>
      <c r="E2828" s="21"/>
      <c r="F2828" s="21"/>
    </row>
    <row r="2829">
      <c r="A2829" s="23"/>
      <c r="B2829" s="21"/>
      <c r="C2829" s="21"/>
      <c r="E2829" s="21"/>
      <c r="F2829" s="21"/>
    </row>
    <row r="2830">
      <c r="A2830" s="23"/>
      <c r="B2830" s="21"/>
      <c r="C2830" s="21"/>
      <c r="E2830" s="21"/>
      <c r="F2830" s="21"/>
    </row>
    <row r="2831">
      <c r="A2831" s="23"/>
      <c r="B2831" s="21"/>
      <c r="C2831" s="21"/>
      <c r="E2831" s="21"/>
      <c r="F2831" s="21"/>
    </row>
    <row r="2832">
      <c r="A2832" s="23"/>
      <c r="B2832" s="21"/>
      <c r="C2832" s="21"/>
      <c r="E2832" s="21"/>
      <c r="F2832" s="21"/>
    </row>
    <row r="2833">
      <c r="A2833" s="23"/>
      <c r="B2833" s="21"/>
      <c r="C2833" s="21"/>
      <c r="E2833" s="21"/>
      <c r="F2833" s="21"/>
    </row>
    <row r="2834">
      <c r="A2834" s="23"/>
      <c r="B2834" s="21"/>
      <c r="C2834" s="21"/>
      <c r="E2834" s="21"/>
      <c r="F2834" s="21"/>
    </row>
    <row r="2835">
      <c r="A2835" s="23"/>
      <c r="B2835" s="21"/>
      <c r="C2835" s="21"/>
      <c r="E2835" s="21"/>
      <c r="F2835" s="21"/>
    </row>
    <row r="2836">
      <c r="A2836" s="23"/>
      <c r="B2836" s="21"/>
      <c r="C2836" s="21"/>
      <c r="E2836" s="21"/>
      <c r="F2836" s="21"/>
    </row>
    <row r="2837">
      <c r="A2837" s="23"/>
      <c r="B2837" s="21"/>
      <c r="C2837" s="21"/>
      <c r="E2837" s="21"/>
      <c r="F2837" s="21"/>
    </row>
    <row r="2838">
      <c r="A2838" s="23"/>
      <c r="B2838" s="21"/>
      <c r="C2838" s="21"/>
      <c r="E2838" s="21"/>
      <c r="F2838" s="21"/>
    </row>
    <row r="2839">
      <c r="A2839" s="23"/>
      <c r="B2839" s="21"/>
      <c r="C2839" s="21"/>
      <c r="E2839" s="21"/>
      <c r="F2839" s="21"/>
    </row>
    <row r="2840">
      <c r="A2840" s="23"/>
      <c r="B2840" s="21"/>
      <c r="C2840" s="21"/>
      <c r="E2840" s="21"/>
      <c r="F2840" s="21"/>
    </row>
    <row r="2841">
      <c r="A2841" s="23"/>
      <c r="B2841" s="21"/>
      <c r="C2841" s="21"/>
      <c r="E2841" s="21"/>
      <c r="F2841" s="21"/>
    </row>
    <row r="2842">
      <c r="A2842" s="23"/>
      <c r="B2842" s="21"/>
      <c r="C2842" s="21"/>
      <c r="E2842" s="21"/>
      <c r="F2842" s="21"/>
    </row>
    <row r="2843">
      <c r="A2843" s="23"/>
      <c r="B2843" s="21"/>
      <c r="C2843" s="21"/>
      <c r="E2843" s="21"/>
      <c r="F2843" s="21"/>
    </row>
    <row r="2844">
      <c r="A2844" s="23"/>
      <c r="B2844" s="21"/>
      <c r="C2844" s="21"/>
      <c r="E2844" s="21"/>
      <c r="F2844" s="21"/>
    </row>
    <row r="2845">
      <c r="A2845" s="23"/>
      <c r="B2845" s="21"/>
      <c r="C2845" s="21"/>
      <c r="E2845" s="21"/>
      <c r="F2845" s="21"/>
    </row>
    <row r="2846">
      <c r="A2846" s="23"/>
      <c r="B2846" s="21"/>
      <c r="C2846" s="21"/>
      <c r="E2846" s="21"/>
      <c r="F2846" s="21"/>
    </row>
    <row r="2847">
      <c r="A2847" s="23"/>
      <c r="B2847" s="21"/>
      <c r="C2847" s="21"/>
      <c r="E2847" s="21"/>
      <c r="F2847" s="21"/>
    </row>
    <row r="2848">
      <c r="A2848" s="23"/>
      <c r="B2848" s="21"/>
      <c r="C2848" s="21"/>
      <c r="E2848" s="21"/>
      <c r="F2848" s="21"/>
    </row>
    <row r="2849">
      <c r="A2849" s="23"/>
      <c r="B2849" s="21"/>
      <c r="C2849" s="21"/>
      <c r="E2849" s="21"/>
      <c r="F2849" s="21"/>
    </row>
    <row r="2850">
      <c r="A2850" s="23"/>
      <c r="B2850" s="21"/>
      <c r="C2850" s="21"/>
      <c r="E2850" s="21"/>
      <c r="F2850" s="21"/>
    </row>
    <row r="2851">
      <c r="A2851" s="23"/>
      <c r="B2851" s="21"/>
      <c r="C2851" s="21"/>
      <c r="E2851" s="21"/>
      <c r="F2851" s="21"/>
    </row>
    <row r="2852">
      <c r="A2852" s="23"/>
      <c r="B2852" s="21"/>
      <c r="C2852" s="21"/>
      <c r="E2852" s="21"/>
      <c r="F2852" s="21"/>
    </row>
    <row r="2853">
      <c r="A2853" s="23"/>
      <c r="B2853" s="21"/>
      <c r="C2853" s="21"/>
      <c r="E2853" s="21"/>
      <c r="F2853" s="21"/>
    </row>
    <row r="2854">
      <c r="A2854" s="23"/>
      <c r="B2854" s="21"/>
      <c r="C2854" s="21"/>
      <c r="E2854" s="21"/>
      <c r="F2854" s="21"/>
    </row>
    <row r="2855">
      <c r="A2855" s="23"/>
      <c r="B2855" s="21"/>
      <c r="C2855" s="21"/>
      <c r="E2855" s="21"/>
      <c r="F2855" s="21"/>
    </row>
    <row r="2856">
      <c r="A2856" s="23"/>
      <c r="B2856" s="21"/>
      <c r="C2856" s="21"/>
      <c r="E2856" s="21"/>
      <c r="F2856" s="21"/>
    </row>
    <row r="2857">
      <c r="A2857" s="23"/>
      <c r="B2857" s="21"/>
      <c r="C2857" s="21"/>
      <c r="E2857" s="21"/>
      <c r="F2857" s="21"/>
    </row>
    <row r="2858">
      <c r="A2858" s="23"/>
      <c r="B2858" s="21"/>
      <c r="C2858" s="21"/>
      <c r="E2858" s="21"/>
      <c r="F2858" s="21"/>
    </row>
    <row r="2859">
      <c r="A2859" s="23"/>
      <c r="B2859" s="21"/>
      <c r="C2859" s="21"/>
      <c r="E2859" s="21"/>
      <c r="F2859" s="21"/>
    </row>
    <row r="2860">
      <c r="A2860" s="23"/>
      <c r="B2860" s="21"/>
      <c r="C2860" s="21"/>
      <c r="E2860" s="21"/>
      <c r="F2860" s="21"/>
    </row>
    <row r="2861">
      <c r="A2861" s="23"/>
      <c r="B2861" s="21"/>
      <c r="C2861" s="21"/>
      <c r="E2861" s="21"/>
      <c r="F2861" s="21"/>
    </row>
    <row r="2862">
      <c r="A2862" s="23"/>
      <c r="B2862" s="21"/>
      <c r="C2862" s="21"/>
      <c r="E2862" s="21"/>
      <c r="F2862" s="21"/>
    </row>
    <row r="2863">
      <c r="A2863" s="23"/>
      <c r="B2863" s="21"/>
      <c r="C2863" s="21"/>
      <c r="E2863" s="21"/>
      <c r="F2863" s="21"/>
    </row>
    <row r="2864">
      <c r="A2864" s="23"/>
      <c r="B2864" s="21"/>
      <c r="C2864" s="21"/>
      <c r="E2864" s="21"/>
      <c r="F2864" s="21"/>
    </row>
    <row r="2865">
      <c r="A2865" s="23"/>
      <c r="B2865" s="21"/>
      <c r="C2865" s="21"/>
      <c r="E2865" s="21"/>
      <c r="F2865" s="21"/>
    </row>
    <row r="2866">
      <c r="A2866" s="23"/>
      <c r="B2866" s="21"/>
      <c r="C2866" s="21"/>
      <c r="E2866" s="21"/>
      <c r="F2866" s="21"/>
    </row>
    <row r="2867">
      <c r="A2867" s="23"/>
      <c r="B2867" s="21"/>
      <c r="C2867" s="21"/>
      <c r="E2867" s="21"/>
      <c r="F2867" s="21"/>
    </row>
    <row r="2868">
      <c r="A2868" s="23"/>
      <c r="B2868" s="21"/>
      <c r="C2868" s="21"/>
      <c r="E2868" s="21"/>
      <c r="F2868" s="21"/>
    </row>
    <row r="2869">
      <c r="A2869" s="23"/>
      <c r="B2869" s="21"/>
      <c r="C2869" s="21"/>
      <c r="E2869" s="21"/>
      <c r="F2869" s="21"/>
    </row>
    <row r="2870">
      <c r="A2870" s="23"/>
      <c r="B2870" s="21"/>
      <c r="C2870" s="21"/>
      <c r="E2870" s="21"/>
      <c r="F2870" s="21"/>
    </row>
    <row r="2871">
      <c r="A2871" s="23"/>
      <c r="B2871" s="21"/>
      <c r="C2871" s="21"/>
      <c r="E2871" s="21"/>
      <c r="F2871" s="21"/>
    </row>
    <row r="2872">
      <c r="A2872" s="23"/>
      <c r="B2872" s="21"/>
      <c r="C2872" s="21"/>
      <c r="E2872" s="21"/>
      <c r="F2872" s="21"/>
    </row>
    <row r="2873">
      <c r="A2873" s="23"/>
      <c r="B2873" s="21"/>
      <c r="C2873" s="21"/>
      <c r="E2873" s="21"/>
      <c r="F2873" s="21"/>
    </row>
    <row r="2874">
      <c r="A2874" s="23"/>
      <c r="B2874" s="21"/>
      <c r="C2874" s="21"/>
      <c r="E2874" s="21"/>
      <c r="F2874" s="21"/>
    </row>
    <row r="2875">
      <c r="A2875" s="23"/>
      <c r="B2875" s="21"/>
      <c r="C2875" s="21"/>
      <c r="E2875" s="21"/>
      <c r="F2875" s="21"/>
    </row>
    <row r="2876">
      <c r="A2876" s="23"/>
      <c r="B2876" s="21"/>
      <c r="C2876" s="21"/>
      <c r="E2876" s="21"/>
      <c r="F2876" s="21"/>
    </row>
    <row r="2877">
      <c r="A2877" s="23"/>
      <c r="B2877" s="21"/>
      <c r="C2877" s="21"/>
      <c r="E2877" s="21"/>
      <c r="F2877" s="21"/>
    </row>
    <row r="2878">
      <c r="A2878" s="23"/>
      <c r="B2878" s="21"/>
      <c r="C2878" s="21"/>
      <c r="E2878" s="21"/>
      <c r="F2878" s="21"/>
    </row>
    <row r="2879">
      <c r="A2879" s="23"/>
      <c r="B2879" s="21"/>
      <c r="C2879" s="21"/>
      <c r="E2879" s="21"/>
      <c r="F2879" s="21"/>
    </row>
    <row r="2880">
      <c r="A2880" s="23"/>
      <c r="B2880" s="21"/>
      <c r="C2880" s="21"/>
      <c r="E2880" s="21"/>
      <c r="F2880" s="21"/>
    </row>
    <row r="2881">
      <c r="A2881" s="23"/>
      <c r="B2881" s="21"/>
      <c r="C2881" s="21"/>
      <c r="E2881" s="21"/>
      <c r="F2881" s="21"/>
    </row>
    <row r="2882">
      <c r="A2882" s="23"/>
      <c r="B2882" s="21"/>
      <c r="C2882" s="21"/>
      <c r="E2882" s="21"/>
      <c r="F2882" s="21"/>
    </row>
    <row r="2883">
      <c r="A2883" s="23"/>
      <c r="B2883" s="21"/>
      <c r="C2883" s="21"/>
      <c r="E2883" s="21"/>
      <c r="F2883" s="21"/>
    </row>
    <row r="2884">
      <c r="A2884" s="23"/>
      <c r="B2884" s="21"/>
      <c r="C2884" s="21"/>
      <c r="E2884" s="21"/>
      <c r="F2884" s="21"/>
    </row>
    <row r="2885">
      <c r="A2885" s="23"/>
      <c r="B2885" s="21"/>
      <c r="C2885" s="21"/>
      <c r="E2885" s="21"/>
      <c r="F2885" s="21"/>
    </row>
    <row r="2886">
      <c r="A2886" s="23"/>
      <c r="B2886" s="21"/>
      <c r="C2886" s="21"/>
      <c r="E2886" s="21"/>
      <c r="F2886" s="21"/>
    </row>
    <row r="2887">
      <c r="A2887" s="23"/>
      <c r="B2887" s="21"/>
      <c r="C2887" s="21"/>
      <c r="E2887" s="21"/>
      <c r="F2887" s="21"/>
    </row>
    <row r="2888">
      <c r="A2888" s="23"/>
      <c r="B2888" s="21"/>
      <c r="C2888" s="21"/>
      <c r="E2888" s="21"/>
      <c r="F2888" s="21"/>
    </row>
    <row r="2889">
      <c r="A2889" s="23"/>
      <c r="B2889" s="21"/>
      <c r="C2889" s="21"/>
      <c r="E2889" s="21"/>
      <c r="F2889" s="21"/>
    </row>
    <row r="2890">
      <c r="A2890" s="23"/>
      <c r="B2890" s="21"/>
      <c r="C2890" s="21"/>
      <c r="E2890" s="21"/>
      <c r="F2890" s="21"/>
    </row>
    <row r="2891">
      <c r="A2891" s="23"/>
      <c r="B2891" s="21"/>
      <c r="C2891" s="21"/>
      <c r="E2891" s="21"/>
      <c r="F2891" s="21"/>
    </row>
    <row r="2892">
      <c r="A2892" s="23"/>
      <c r="B2892" s="21"/>
      <c r="C2892" s="21"/>
      <c r="E2892" s="21"/>
      <c r="F2892" s="21"/>
    </row>
    <row r="2893">
      <c r="A2893" s="23"/>
      <c r="B2893" s="21"/>
      <c r="C2893" s="21"/>
      <c r="E2893" s="21"/>
      <c r="F2893" s="21"/>
    </row>
    <row r="2894">
      <c r="A2894" s="23"/>
      <c r="B2894" s="21"/>
      <c r="C2894" s="21"/>
      <c r="E2894" s="21"/>
      <c r="F2894" s="21"/>
    </row>
    <row r="2895">
      <c r="A2895" s="23"/>
      <c r="B2895" s="21"/>
      <c r="C2895" s="21"/>
      <c r="E2895" s="21"/>
      <c r="F2895" s="21"/>
    </row>
    <row r="2896">
      <c r="A2896" s="23"/>
      <c r="B2896" s="21"/>
      <c r="C2896" s="21"/>
      <c r="E2896" s="21"/>
      <c r="F2896" s="21"/>
    </row>
    <row r="2897">
      <c r="A2897" s="23"/>
      <c r="B2897" s="21"/>
      <c r="C2897" s="21"/>
      <c r="E2897" s="21"/>
      <c r="F2897" s="21"/>
    </row>
    <row r="2898">
      <c r="A2898" s="23"/>
      <c r="B2898" s="21"/>
      <c r="C2898" s="21"/>
      <c r="E2898" s="21"/>
      <c r="F2898" s="21"/>
    </row>
    <row r="2899">
      <c r="A2899" s="23"/>
      <c r="B2899" s="21"/>
      <c r="C2899" s="21"/>
      <c r="E2899" s="21"/>
      <c r="F2899" s="21"/>
    </row>
    <row r="2900">
      <c r="A2900" s="23"/>
      <c r="B2900" s="21"/>
      <c r="C2900" s="21"/>
      <c r="E2900" s="21"/>
      <c r="F2900" s="21"/>
    </row>
    <row r="2901">
      <c r="A2901" s="23"/>
      <c r="B2901" s="21"/>
      <c r="C2901" s="21"/>
      <c r="E2901" s="21"/>
      <c r="F2901" s="21"/>
    </row>
    <row r="2902">
      <c r="A2902" s="23"/>
      <c r="B2902" s="21"/>
      <c r="C2902" s="21"/>
      <c r="E2902" s="21"/>
      <c r="F2902" s="21"/>
    </row>
    <row r="2903">
      <c r="A2903" s="23"/>
      <c r="B2903" s="21"/>
      <c r="C2903" s="21"/>
      <c r="E2903" s="21"/>
      <c r="F2903" s="21"/>
    </row>
    <row r="2904">
      <c r="A2904" s="23"/>
      <c r="B2904" s="21"/>
      <c r="C2904" s="21"/>
      <c r="E2904" s="21"/>
      <c r="F2904" s="21"/>
    </row>
    <row r="2905">
      <c r="A2905" s="23"/>
      <c r="B2905" s="21"/>
      <c r="C2905" s="21"/>
      <c r="E2905" s="21"/>
      <c r="F2905" s="21"/>
    </row>
    <row r="2906">
      <c r="A2906" s="23"/>
      <c r="B2906" s="21"/>
      <c r="C2906" s="21"/>
      <c r="E2906" s="21"/>
      <c r="F2906" s="21"/>
    </row>
    <row r="2907">
      <c r="A2907" s="23"/>
      <c r="B2907" s="21"/>
      <c r="C2907" s="21"/>
      <c r="E2907" s="21"/>
      <c r="F2907" s="21"/>
    </row>
    <row r="2908">
      <c r="A2908" s="23"/>
      <c r="B2908" s="21"/>
      <c r="C2908" s="21"/>
      <c r="E2908" s="21"/>
      <c r="F2908" s="21"/>
    </row>
    <row r="2909">
      <c r="A2909" s="23"/>
      <c r="B2909" s="21"/>
      <c r="C2909" s="21"/>
      <c r="E2909" s="21"/>
      <c r="F2909" s="21"/>
    </row>
    <row r="2910">
      <c r="A2910" s="23"/>
      <c r="B2910" s="21"/>
      <c r="C2910" s="21"/>
      <c r="E2910" s="21"/>
      <c r="F2910" s="21"/>
    </row>
    <row r="2911">
      <c r="A2911" s="23"/>
      <c r="B2911" s="21"/>
      <c r="C2911" s="21"/>
      <c r="E2911" s="21"/>
      <c r="F2911" s="21"/>
    </row>
    <row r="2912">
      <c r="A2912" s="23"/>
      <c r="B2912" s="21"/>
      <c r="C2912" s="21"/>
      <c r="E2912" s="21"/>
      <c r="F2912" s="21"/>
    </row>
    <row r="2913">
      <c r="A2913" s="23"/>
      <c r="B2913" s="21"/>
      <c r="C2913" s="21"/>
      <c r="E2913" s="21"/>
      <c r="F2913" s="21"/>
    </row>
    <row r="2914">
      <c r="A2914" s="23"/>
      <c r="B2914" s="21"/>
      <c r="C2914" s="21"/>
      <c r="E2914" s="21"/>
      <c r="F2914" s="21"/>
    </row>
    <row r="2915">
      <c r="A2915" s="23"/>
      <c r="B2915" s="21"/>
      <c r="C2915" s="21"/>
      <c r="E2915" s="21"/>
      <c r="F2915" s="21"/>
    </row>
    <row r="2916">
      <c r="A2916" s="23"/>
      <c r="B2916" s="21"/>
      <c r="C2916" s="21"/>
      <c r="E2916" s="21"/>
      <c r="F2916" s="21"/>
    </row>
    <row r="2917">
      <c r="A2917" s="23"/>
      <c r="B2917" s="21"/>
      <c r="C2917" s="21"/>
      <c r="E2917" s="21"/>
      <c r="F2917" s="21"/>
    </row>
    <row r="2918">
      <c r="A2918" s="23"/>
      <c r="B2918" s="21"/>
      <c r="C2918" s="21"/>
      <c r="E2918" s="21"/>
      <c r="F2918" s="21"/>
    </row>
    <row r="2919">
      <c r="A2919" s="23"/>
      <c r="B2919" s="21"/>
      <c r="C2919" s="21"/>
      <c r="E2919" s="21"/>
      <c r="F2919" s="21"/>
    </row>
    <row r="2920">
      <c r="A2920" s="23"/>
      <c r="B2920" s="21"/>
      <c r="C2920" s="21"/>
      <c r="E2920" s="21"/>
      <c r="F2920" s="21"/>
    </row>
    <row r="2921">
      <c r="A2921" s="23"/>
      <c r="B2921" s="21"/>
      <c r="C2921" s="21"/>
      <c r="E2921" s="21"/>
      <c r="F2921" s="21"/>
    </row>
    <row r="2922">
      <c r="A2922" s="23"/>
      <c r="B2922" s="21"/>
      <c r="C2922" s="21"/>
      <c r="E2922" s="21"/>
      <c r="F2922" s="21"/>
    </row>
    <row r="2923">
      <c r="A2923" s="23"/>
      <c r="B2923" s="21"/>
      <c r="C2923" s="21"/>
      <c r="E2923" s="21"/>
      <c r="F2923" s="21"/>
    </row>
    <row r="2924">
      <c r="A2924" s="23"/>
      <c r="B2924" s="21"/>
      <c r="C2924" s="21"/>
      <c r="E2924" s="21"/>
      <c r="F2924" s="21"/>
    </row>
    <row r="2925">
      <c r="A2925" s="23"/>
      <c r="B2925" s="21"/>
      <c r="C2925" s="21"/>
      <c r="E2925" s="21"/>
      <c r="F2925" s="21"/>
    </row>
    <row r="2926">
      <c r="A2926" s="23"/>
      <c r="B2926" s="21"/>
      <c r="C2926" s="21"/>
      <c r="E2926" s="21"/>
      <c r="F2926" s="21"/>
    </row>
    <row r="2927">
      <c r="A2927" s="23"/>
      <c r="B2927" s="21"/>
      <c r="C2927" s="21"/>
      <c r="E2927" s="21"/>
      <c r="F2927" s="21"/>
    </row>
    <row r="2928">
      <c r="A2928" s="23"/>
      <c r="B2928" s="21"/>
      <c r="C2928" s="21"/>
      <c r="E2928" s="21"/>
      <c r="F2928" s="21"/>
    </row>
    <row r="2929">
      <c r="A2929" s="23"/>
      <c r="B2929" s="21"/>
      <c r="C2929" s="21"/>
      <c r="E2929" s="21"/>
      <c r="F2929" s="21"/>
    </row>
    <row r="2930">
      <c r="A2930" s="23"/>
      <c r="B2930" s="21"/>
      <c r="C2930" s="21"/>
      <c r="E2930" s="21"/>
      <c r="F2930" s="21"/>
    </row>
    <row r="2931">
      <c r="A2931" s="23"/>
      <c r="B2931" s="21"/>
      <c r="C2931" s="21"/>
      <c r="E2931" s="21"/>
      <c r="F2931" s="21"/>
    </row>
    <row r="2932">
      <c r="A2932" s="23"/>
      <c r="B2932" s="21"/>
      <c r="C2932" s="21"/>
      <c r="E2932" s="21"/>
      <c r="F2932" s="21"/>
    </row>
    <row r="2933">
      <c r="A2933" s="23"/>
      <c r="B2933" s="21"/>
      <c r="C2933" s="21"/>
      <c r="E2933" s="21"/>
      <c r="F2933" s="21"/>
    </row>
    <row r="2934">
      <c r="A2934" s="23"/>
      <c r="B2934" s="21"/>
      <c r="C2934" s="21"/>
      <c r="E2934" s="21"/>
      <c r="F2934" s="21"/>
    </row>
    <row r="2935">
      <c r="A2935" s="23"/>
      <c r="B2935" s="21"/>
      <c r="C2935" s="21"/>
      <c r="E2935" s="21"/>
      <c r="F2935" s="21"/>
    </row>
    <row r="2936">
      <c r="A2936" s="23"/>
      <c r="B2936" s="21"/>
      <c r="C2936" s="21"/>
      <c r="E2936" s="21"/>
      <c r="F2936" s="21"/>
    </row>
    <row r="2937">
      <c r="A2937" s="23"/>
      <c r="B2937" s="21"/>
      <c r="C2937" s="21"/>
      <c r="E2937" s="21"/>
      <c r="F2937" s="21"/>
    </row>
    <row r="2938">
      <c r="A2938" s="23"/>
      <c r="B2938" s="21"/>
      <c r="C2938" s="21"/>
      <c r="E2938" s="21"/>
      <c r="F2938" s="21"/>
    </row>
    <row r="2939">
      <c r="A2939" s="23"/>
      <c r="B2939" s="21"/>
      <c r="C2939" s="21"/>
      <c r="E2939" s="21"/>
      <c r="F2939" s="21"/>
    </row>
    <row r="2940">
      <c r="A2940" s="23"/>
      <c r="B2940" s="21"/>
      <c r="C2940" s="21"/>
      <c r="E2940" s="21"/>
      <c r="F2940" s="21"/>
    </row>
    <row r="2941">
      <c r="A2941" s="23"/>
      <c r="B2941" s="21"/>
      <c r="C2941" s="21"/>
      <c r="E2941" s="21"/>
      <c r="F2941" s="21"/>
    </row>
    <row r="2942">
      <c r="A2942" s="23"/>
      <c r="B2942" s="21"/>
      <c r="C2942" s="21"/>
      <c r="E2942" s="21"/>
      <c r="F2942" s="21"/>
    </row>
    <row r="2943">
      <c r="A2943" s="23"/>
      <c r="B2943" s="21"/>
      <c r="C2943" s="21"/>
      <c r="E2943" s="21"/>
      <c r="F2943" s="21"/>
    </row>
    <row r="2944">
      <c r="A2944" s="23"/>
      <c r="B2944" s="21"/>
      <c r="C2944" s="21"/>
      <c r="E2944" s="21"/>
      <c r="F2944" s="21"/>
    </row>
    <row r="2945">
      <c r="A2945" s="23"/>
      <c r="B2945" s="21"/>
      <c r="C2945" s="21"/>
      <c r="E2945" s="21"/>
      <c r="F2945" s="21"/>
    </row>
    <row r="2946">
      <c r="A2946" s="23"/>
      <c r="B2946" s="21"/>
      <c r="C2946" s="21"/>
      <c r="E2946" s="21"/>
      <c r="F2946" s="21"/>
    </row>
    <row r="2947">
      <c r="A2947" s="23"/>
      <c r="B2947" s="21"/>
      <c r="C2947" s="21"/>
      <c r="E2947" s="21"/>
      <c r="F2947" s="21"/>
    </row>
    <row r="2948">
      <c r="A2948" s="23"/>
      <c r="B2948" s="21"/>
      <c r="C2948" s="21"/>
      <c r="E2948" s="21"/>
      <c r="F2948" s="21"/>
    </row>
    <row r="2949">
      <c r="A2949" s="23"/>
      <c r="B2949" s="21"/>
      <c r="C2949" s="21"/>
      <c r="E2949" s="21"/>
      <c r="F2949" s="21"/>
    </row>
    <row r="2950">
      <c r="A2950" s="23"/>
      <c r="B2950" s="21"/>
      <c r="C2950" s="21"/>
      <c r="E2950" s="21"/>
      <c r="F2950" s="21"/>
    </row>
    <row r="2951">
      <c r="A2951" s="23"/>
      <c r="B2951" s="21"/>
      <c r="C2951" s="21"/>
      <c r="E2951" s="21"/>
      <c r="F2951" s="21"/>
    </row>
    <row r="2952">
      <c r="A2952" s="23"/>
      <c r="B2952" s="21"/>
      <c r="C2952" s="21"/>
      <c r="E2952" s="21"/>
      <c r="F2952" s="21"/>
    </row>
    <row r="2953">
      <c r="A2953" s="23"/>
      <c r="B2953" s="21"/>
      <c r="C2953" s="21"/>
      <c r="E2953" s="21"/>
      <c r="F2953" s="21"/>
    </row>
    <row r="2954">
      <c r="A2954" s="23"/>
      <c r="B2954" s="21"/>
      <c r="C2954" s="21"/>
      <c r="E2954" s="21"/>
      <c r="F2954" s="21"/>
    </row>
    <row r="2955">
      <c r="A2955" s="23"/>
      <c r="B2955" s="21"/>
      <c r="C2955" s="21"/>
      <c r="E2955" s="21"/>
      <c r="F2955" s="21"/>
    </row>
    <row r="2956">
      <c r="A2956" s="23"/>
      <c r="B2956" s="21"/>
      <c r="C2956" s="21"/>
      <c r="E2956" s="21"/>
      <c r="F2956" s="21"/>
    </row>
    <row r="2957">
      <c r="A2957" s="23"/>
      <c r="B2957" s="21"/>
      <c r="C2957" s="21"/>
      <c r="E2957" s="21"/>
      <c r="F2957" s="21"/>
    </row>
    <row r="2958">
      <c r="A2958" s="23"/>
      <c r="B2958" s="21"/>
      <c r="C2958" s="21"/>
      <c r="E2958" s="21"/>
      <c r="F2958" s="21"/>
    </row>
    <row r="2959">
      <c r="A2959" s="23"/>
      <c r="B2959" s="21"/>
      <c r="C2959" s="21"/>
      <c r="E2959" s="21"/>
      <c r="F2959" s="21"/>
    </row>
    <row r="2960">
      <c r="A2960" s="23"/>
      <c r="B2960" s="21"/>
      <c r="C2960" s="21"/>
      <c r="E2960" s="21"/>
      <c r="F2960" s="21"/>
    </row>
    <row r="2961">
      <c r="A2961" s="23"/>
      <c r="B2961" s="21"/>
      <c r="C2961" s="21"/>
      <c r="E2961" s="21"/>
      <c r="F2961" s="21"/>
    </row>
    <row r="2962">
      <c r="A2962" s="23"/>
      <c r="B2962" s="21"/>
      <c r="C2962" s="21"/>
      <c r="E2962" s="21"/>
      <c r="F2962" s="21"/>
    </row>
    <row r="2963">
      <c r="A2963" s="23"/>
      <c r="B2963" s="21"/>
      <c r="C2963" s="21"/>
      <c r="E2963" s="21"/>
      <c r="F2963" s="21"/>
    </row>
    <row r="2964">
      <c r="A2964" s="23"/>
      <c r="B2964" s="21"/>
      <c r="C2964" s="21"/>
      <c r="E2964" s="21"/>
      <c r="F2964" s="21"/>
    </row>
    <row r="2965">
      <c r="A2965" s="23"/>
      <c r="B2965" s="21"/>
      <c r="C2965" s="21"/>
      <c r="E2965" s="21"/>
      <c r="F2965" s="21"/>
    </row>
    <row r="2966">
      <c r="A2966" s="23"/>
      <c r="B2966" s="21"/>
      <c r="C2966" s="21"/>
      <c r="E2966" s="21"/>
      <c r="F2966" s="21"/>
    </row>
    <row r="2967">
      <c r="A2967" s="23"/>
      <c r="B2967" s="21"/>
      <c r="C2967" s="21"/>
      <c r="E2967" s="21"/>
      <c r="F2967" s="21"/>
    </row>
    <row r="2968">
      <c r="A2968" s="23"/>
      <c r="B2968" s="21"/>
      <c r="C2968" s="21"/>
      <c r="E2968" s="21"/>
      <c r="F2968" s="21"/>
    </row>
    <row r="2969">
      <c r="A2969" s="23"/>
      <c r="B2969" s="21"/>
      <c r="C2969" s="21"/>
      <c r="E2969" s="21"/>
      <c r="F2969" s="21"/>
    </row>
    <row r="2970">
      <c r="A2970" s="23"/>
      <c r="B2970" s="21"/>
      <c r="C2970" s="21"/>
      <c r="E2970" s="21"/>
      <c r="F2970" s="21"/>
    </row>
    <row r="2971">
      <c r="A2971" s="23"/>
      <c r="B2971" s="21"/>
      <c r="C2971" s="21"/>
      <c r="E2971" s="21"/>
      <c r="F2971" s="21"/>
    </row>
    <row r="2972">
      <c r="A2972" s="23"/>
      <c r="B2972" s="21"/>
      <c r="C2972" s="21"/>
      <c r="E2972" s="21"/>
      <c r="F2972" s="21"/>
    </row>
    <row r="2973">
      <c r="A2973" s="23"/>
      <c r="B2973" s="21"/>
      <c r="C2973" s="21"/>
      <c r="E2973" s="21"/>
      <c r="F2973" s="21"/>
    </row>
    <row r="2974">
      <c r="A2974" s="23"/>
      <c r="B2974" s="21"/>
      <c r="C2974" s="21"/>
      <c r="E2974" s="21"/>
      <c r="F2974" s="21"/>
    </row>
    <row r="2975">
      <c r="A2975" s="23"/>
      <c r="B2975" s="21"/>
      <c r="C2975" s="21"/>
      <c r="E2975" s="21"/>
      <c r="F2975" s="21"/>
    </row>
    <row r="2976">
      <c r="A2976" s="23"/>
      <c r="B2976" s="21"/>
      <c r="C2976" s="21"/>
      <c r="E2976" s="21"/>
      <c r="F2976" s="21"/>
    </row>
    <row r="2977">
      <c r="A2977" s="23"/>
      <c r="B2977" s="21"/>
      <c r="C2977" s="21"/>
      <c r="E2977" s="21"/>
      <c r="F2977" s="21"/>
    </row>
    <row r="2978">
      <c r="A2978" s="23"/>
      <c r="B2978" s="21"/>
      <c r="C2978" s="21"/>
      <c r="E2978" s="21"/>
      <c r="F2978" s="21"/>
    </row>
    <row r="2979">
      <c r="A2979" s="23"/>
      <c r="B2979" s="21"/>
      <c r="C2979" s="21"/>
      <c r="E2979" s="21"/>
      <c r="F2979" s="21"/>
    </row>
    <row r="2980">
      <c r="A2980" s="23"/>
      <c r="B2980" s="21"/>
      <c r="C2980" s="21"/>
      <c r="E2980" s="21"/>
      <c r="F2980" s="21"/>
    </row>
    <row r="2981">
      <c r="A2981" s="23"/>
      <c r="B2981" s="21"/>
      <c r="C2981" s="21"/>
      <c r="E2981" s="21"/>
      <c r="F2981" s="21"/>
    </row>
    <row r="2982">
      <c r="A2982" s="23"/>
      <c r="B2982" s="21"/>
      <c r="C2982" s="21"/>
      <c r="E2982" s="21"/>
      <c r="F2982" s="21"/>
    </row>
    <row r="2983">
      <c r="A2983" s="23"/>
      <c r="B2983" s="21"/>
      <c r="C2983" s="21"/>
      <c r="E2983" s="21"/>
      <c r="F2983" s="21"/>
    </row>
    <row r="2984">
      <c r="A2984" s="23"/>
      <c r="B2984" s="21"/>
      <c r="C2984" s="21"/>
      <c r="E2984" s="21"/>
      <c r="F2984" s="21"/>
    </row>
    <row r="2985">
      <c r="A2985" s="23"/>
      <c r="B2985" s="21"/>
      <c r="C2985" s="21"/>
      <c r="E2985" s="21"/>
      <c r="F2985" s="21"/>
    </row>
    <row r="2986">
      <c r="A2986" s="23"/>
      <c r="B2986" s="21"/>
      <c r="C2986" s="21"/>
      <c r="E2986" s="21"/>
      <c r="F2986" s="21"/>
    </row>
    <row r="2987">
      <c r="A2987" s="23"/>
      <c r="B2987" s="21"/>
      <c r="C2987" s="21"/>
      <c r="E2987" s="21"/>
      <c r="F2987" s="21"/>
    </row>
    <row r="2988">
      <c r="A2988" s="23"/>
      <c r="B2988" s="21"/>
      <c r="C2988" s="21"/>
      <c r="E2988" s="21"/>
      <c r="F2988" s="21"/>
    </row>
    <row r="2989">
      <c r="A2989" s="23"/>
      <c r="B2989" s="21"/>
      <c r="C2989" s="21"/>
      <c r="E2989" s="21"/>
      <c r="F2989" s="21"/>
    </row>
    <row r="2990">
      <c r="A2990" s="23"/>
      <c r="B2990" s="21"/>
      <c r="C2990" s="21"/>
      <c r="E2990" s="21"/>
      <c r="F2990" s="21"/>
    </row>
    <row r="2991">
      <c r="A2991" s="23"/>
      <c r="B2991" s="21"/>
      <c r="C2991" s="21"/>
      <c r="E2991" s="21"/>
      <c r="F2991" s="21"/>
    </row>
    <row r="2992">
      <c r="A2992" s="23"/>
      <c r="B2992" s="21"/>
      <c r="C2992" s="21"/>
      <c r="E2992" s="21"/>
      <c r="F2992" s="21"/>
    </row>
    <row r="2993">
      <c r="A2993" s="23"/>
      <c r="B2993" s="21"/>
      <c r="C2993" s="21"/>
      <c r="E2993" s="21"/>
      <c r="F2993" s="21"/>
    </row>
    <row r="2994">
      <c r="A2994" s="23"/>
      <c r="B2994" s="21"/>
      <c r="C2994" s="21"/>
      <c r="E2994" s="21"/>
      <c r="F2994" s="21"/>
    </row>
    <row r="2995">
      <c r="A2995" s="23"/>
      <c r="B2995" s="21"/>
      <c r="C2995" s="21"/>
      <c r="E2995" s="21"/>
      <c r="F2995" s="21"/>
    </row>
    <row r="2996">
      <c r="A2996" s="23"/>
      <c r="B2996" s="21"/>
      <c r="C2996" s="21"/>
      <c r="E2996" s="21"/>
      <c r="F2996" s="21"/>
    </row>
    <row r="2997">
      <c r="A2997" s="23"/>
      <c r="B2997" s="21"/>
      <c r="C2997" s="21"/>
      <c r="E2997" s="21"/>
      <c r="F2997" s="21"/>
    </row>
    <row r="2998">
      <c r="A2998" s="23"/>
      <c r="B2998" s="21"/>
      <c r="C2998" s="21"/>
      <c r="E2998" s="21"/>
      <c r="F2998" s="21"/>
    </row>
    <row r="2999">
      <c r="A2999" s="23"/>
      <c r="B2999" s="21"/>
      <c r="C2999" s="21"/>
      <c r="E2999" s="21"/>
      <c r="F2999" s="21"/>
    </row>
    <row r="3000">
      <c r="A3000" s="23"/>
      <c r="B3000" s="21"/>
      <c r="C3000" s="21"/>
      <c r="E3000" s="21"/>
      <c r="F3000" s="21"/>
    </row>
  </sheetData>
  <dataValidations>
    <dataValidation type="custom" allowBlank="1" showDropDown="1" sqref="A2:A2558">
      <formula1>OR(NOT(ISERROR(DATEVALUE(A2))), AND(ISNUMBER(A2), LEFT(CELL("format", A2))="D"))</formula1>
    </dataValidation>
    <dataValidation allowBlank="1" showDropDown="1" sqref="B2:C2558 F2:F2558"/>
  </dataValidations>
  <drawing r:id="rId1"/>
  <tableParts count="1">
    <tablePart r:id="rId3"/>
  </tableParts>
</worksheet>
</file>