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Dados iniciais de cargas" sheetId="1" r:id="rId4"/>
    <sheet state="visible" name="2 - Dados condutores áreas" sheetId="2" r:id="rId5"/>
    <sheet state="visible" name="DISJUNTOR" sheetId="3" r:id="rId6"/>
    <sheet state="visible" name="3 - Dados condutores QGF-áreas " sheetId="4" r:id="rId7"/>
    <sheet state="visible" name="ITEM 4- CHAVES DE PARTIDA" sheetId="5" r:id="rId8"/>
    <sheet state="visible" name="Transformador" sheetId="6" r:id="rId9"/>
    <sheet state="visible" name="5 - Tabela curto circuito" sheetId="7" r:id="rId10"/>
    <sheet state="visible" name="6 - Banco de capacitores" sheetId="8" r:id="rId11"/>
    <sheet state="visible" name="7 - Luminotécnica" sheetId="9" r:id="rId12"/>
    <sheet state="visible" name="Somatória" sheetId="10" r:id="rId13"/>
  </sheets>
  <definedNames>
    <definedName localSheetId="6" name="Pb">'5 - Tabela curto circuito'!$D$5</definedName>
    <definedName localSheetId="6" name="Zps">'5 - Tabela curto circuito'!$D$12</definedName>
    <definedName localSheetId="6" name="Ibbt">'5 - Tabela curto circuito'!$D$9</definedName>
    <definedName localSheetId="6" name="Vbbt">'5 - Tabela curto circuito'!$D$8</definedName>
    <definedName localSheetId="6" name="Ib">'5 - Tabela curto circuito'!$D$7</definedName>
    <definedName localSheetId="6" name="Zb">'5 - Tabela curto circuito'!$D$6</definedName>
    <definedName localSheetId="6" name="Z0s">'5 - Tabela curto circuito'!$D$15</definedName>
    <definedName localSheetId="6" name="Vb">'5 - Tabela curto circuito'!$D$4</definedName>
  </definedNames>
  <calcPr/>
</workbook>
</file>

<file path=xl/sharedStrings.xml><?xml version="1.0" encoding="utf-8"?>
<sst xmlns="http://schemas.openxmlformats.org/spreadsheetml/2006/main" count="696" uniqueCount="312">
  <si>
    <t>Setor</t>
  </si>
  <si>
    <t>Carga</t>
  </si>
  <si>
    <t>Modelo</t>
  </si>
  <si>
    <t>Pot. mecânica (cv)</t>
  </si>
  <si>
    <t>FP</t>
  </si>
  <si>
    <t>Rendimento</t>
  </si>
  <si>
    <t>P (kW)</t>
  </si>
  <si>
    <t>Q (kVAr)</t>
  </si>
  <si>
    <t>S (kVA)</t>
  </si>
  <si>
    <t>Corrente (A) 220V</t>
  </si>
  <si>
    <t>Corrente (A) 380V</t>
  </si>
  <si>
    <t>Carcaça</t>
  </si>
  <si>
    <t>Motor 1</t>
  </si>
  <si>
    <t>W22 IR3 Premium</t>
  </si>
  <si>
    <t>200L</t>
  </si>
  <si>
    <t>Motor 2</t>
  </si>
  <si>
    <t>250S/M</t>
  </si>
  <si>
    <t>Motor 3</t>
  </si>
  <si>
    <t>180M</t>
  </si>
  <si>
    <t>Motor 4</t>
  </si>
  <si>
    <t>280S/M</t>
  </si>
  <si>
    <t>Motor 5</t>
  </si>
  <si>
    <t>160M</t>
  </si>
  <si>
    <t>Motor 6</t>
  </si>
  <si>
    <t>225S/M</t>
  </si>
  <si>
    <t>Motor 7</t>
  </si>
  <si>
    <t>Auxiliar 1</t>
  </si>
  <si>
    <t>-</t>
  </si>
  <si>
    <t>Auxiliar 2</t>
  </si>
  <si>
    <t>Aquecimento 1</t>
  </si>
  <si>
    <t>Aquecimento 2</t>
  </si>
  <si>
    <t>Aquecimento 3</t>
  </si>
  <si>
    <t>Potência mecânica (cv)</t>
  </si>
  <si>
    <t>Potência aparente (kVA)</t>
  </si>
  <si>
    <t>FCA</t>
  </si>
  <si>
    <t>FCT</t>
  </si>
  <si>
    <t>CORRENTE</t>
  </si>
  <si>
    <t>CORRENTE CORRIGIDA</t>
  </si>
  <si>
    <t>Cabo mm² - Ampacidade</t>
  </si>
  <si>
    <t>Cabo mm² - queda de tensão</t>
  </si>
  <si>
    <t>Cabo mm² - seção mínima</t>
  </si>
  <si>
    <t>Cabo mm² - escolhido</t>
  </si>
  <si>
    <t>Disjuntor (curva / kA)</t>
  </si>
  <si>
    <t>circitos</t>
  </si>
  <si>
    <t>100 A CVS100F D</t>
  </si>
  <si>
    <t>250 A CVS250F D</t>
  </si>
  <si>
    <t>63 A CVS100F D</t>
  </si>
  <si>
    <t>250 A NSX250F D</t>
  </si>
  <si>
    <t>40 A CVS100F D</t>
  </si>
  <si>
    <t>160 A CVS250F D</t>
  </si>
  <si>
    <t>Iluminação 1</t>
  </si>
  <si>
    <t>125 A CVS160N C</t>
  </si>
  <si>
    <t>Iluminação 2</t>
  </si>
  <si>
    <t>63 A CVS100F C</t>
  </si>
  <si>
    <t>64 A CVS100F C</t>
  </si>
  <si>
    <t>65 A CVS100F C</t>
  </si>
  <si>
    <t>Dados usados</t>
  </si>
  <si>
    <t>Temp máxima = 45° C</t>
  </si>
  <si>
    <t>FCT = 0,87</t>
  </si>
  <si>
    <t>FCA = 0,8 e 1</t>
  </si>
  <si>
    <t>Corrente Corrigida (A)</t>
  </si>
  <si>
    <t>Curva do Disjuntor</t>
  </si>
  <si>
    <t>Disjuntor (A)</t>
  </si>
  <si>
    <t>Modelo Siemens</t>
  </si>
  <si>
    <t>Link para Catálogo/Página de Compra</t>
  </si>
  <si>
    <t>D</t>
  </si>
  <si>
    <t>3VM1110</t>
  </si>
  <si>
    <r>
      <rPr>
        <color rgb="FF1155CC"/>
        <u/>
      </rPr>
      <t>Siemens Brasil</t>
    </r>
  </si>
  <si>
    <t>3VM1250</t>
  </si>
  <si>
    <r>
      <rPr>
        <color rgb="FF1155CC"/>
        <u/>
      </rPr>
      <t>Siemens Brasil</t>
    </r>
  </si>
  <si>
    <t>5SL6350-7MB</t>
  </si>
  <si>
    <r>
      <rPr>
        <color rgb="FF1155CC"/>
        <u/>
      </rPr>
      <t>Dimensional</t>
    </r>
  </si>
  <si>
    <r>
      <rPr>
        <color rgb="FF1155CC"/>
        <u/>
      </rPr>
      <t>Siemens Brasil</t>
    </r>
  </si>
  <si>
    <r>
      <rPr>
        <color rgb="FF1155CC"/>
        <u/>
      </rPr>
      <t>Dimensional</t>
    </r>
  </si>
  <si>
    <t>3VM1150</t>
  </si>
  <si>
    <r>
      <rPr>
        <color rgb="FF1155CC"/>
        <u/>
      </rPr>
      <t>Siemens Brasil</t>
    </r>
  </si>
  <si>
    <r>
      <rPr>
        <color rgb="FF1155CC"/>
        <u/>
      </rPr>
      <t>Dimensional</t>
    </r>
  </si>
  <si>
    <t>Auxiliar</t>
  </si>
  <si>
    <t>C</t>
  </si>
  <si>
    <t>3VM1200</t>
  </si>
  <si>
    <r>
      <rPr>
        <color rgb="FF1155CC"/>
        <u/>
      </rPr>
      <t>Siemens Brasil</t>
    </r>
  </si>
  <si>
    <r>
      <rPr>
        <color rgb="FF1155CC"/>
        <u/>
      </rPr>
      <t>Siemens Brasil</t>
    </r>
  </si>
  <si>
    <r>
      <rPr>
        <color rgb="FF1155CC"/>
        <u/>
      </rPr>
      <t>Dimensional</t>
    </r>
  </si>
  <si>
    <t>5SL1370-7MB</t>
  </si>
  <si>
    <r>
      <rPr>
        <color rgb="FF1155CC"/>
        <u/>
      </rPr>
      <t>Dimensional</t>
    </r>
  </si>
  <si>
    <t>5SL1380-7MB</t>
  </si>
  <si>
    <r>
      <rPr>
        <color rgb="FF1155CC"/>
        <u/>
      </rPr>
      <t>Simecol</t>
    </r>
  </si>
  <si>
    <t>Potência ativa (kW)</t>
  </si>
  <si>
    <t>Potência reativa (kVAr)</t>
  </si>
  <si>
    <t>Corrente Total (A) 380V</t>
  </si>
  <si>
    <t>I corrigida</t>
  </si>
  <si>
    <t xml:space="preserve">Disjuntor </t>
  </si>
  <si>
    <t>600 A – Curva C – 25 kA</t>
  </si>
  <si>
    <t>Siemens Sentron 3VA2 600 C 25</t>
  </si>
  <si>
    <t>200 A – Curva C – 25 kA</t>
  </si>
  <si>
    <t>Siemens Sentron 3VA2 200 C 25</t>
  </si>
  <si>
    <t>500 A – Curva C – 25 kA</t>
  </si>
  <si>
    <t>Siemens Sentron 3VA2 500 C 25</t>
  </si>
  <si>
    <t>Total</t>
  </si>
  <si>
    <t>ITEM 4 DO TRABALHO - ESPECIFICARPARTIDA DO MAIOR E MENOR MOTOR</t>
  </si>
  <si>
    <r>
      <rPr>
        <rFont val="Arial"/>
        <b/>
        <color rgb="FFFF0000"/>
      </rPr>
      <t xml:space="preserve"> MENOR - </t>
    </r>
    <r>
      <rPr>
        <rFont val="Arial"/>
        <color rgb="FFFF0000"/>
      </rPr>
      <t>Motor 5 – 20 cv</t>
    </r>
    <r>
      <rPr>
        <rFont val="Arial"/>
        <color theme="1"/>
      </rPr>
      <t xml:space="preserve">
Tipo de partida indicado: Partida Direta 
Justificativa técnica: A corrente nominal é baixa (20,85 A em 380V), o que permite o uso de partida direta sem risco de sobrecarga na rede. A carcaça 160M indica motor de porte pequeno.
Modelo: CONTATOR CWM32-00-30D33 32A 380V 50/60Hz</t>
    </r>
  </si>
  <si>
    <t>Item</t>
  </si>
  <si>
    <t>Especificação</t>
  </si>
  <si>
    <t>https://www.weg.net/catalog/weg/BR/pt/Automa%C3%A7%C3%A3o-e-Controle-Industrial/Controls/Partida-e-Prote%C3%A7%C3%A3o-de-Motores/Contatores/Pot%C3%AAncia/Contatores-CWM/CONTATOR-CWM32-00-30D33-32A-380V-50-60Hz/p/10045500</t>
  </si>
  <si>
    <t>CWM32-00-30D33</t>
  </si>
  <si>
    <t>Corrente nominal</t>
  </si>
  <si>
    <t>32 A (AC-3, 380 V)</t>
  </si>
  <si>
    <t>Tensão de operação</t>
  </si>
  <si>
    <t>Até 690 V CA</t>
  </si>
  <si>
    <t>Tensão da bobina (comando)</t>
  </si>
  <si>
    <t>380 V CA (50/60 Hz)</t>
  </si>
  <si>
    <t>Número de polos</t>
  </si>
  <si>
    <t>3 polos principais (3NA)</t>
  </si>
  <si>
    <t>Contatos auxiliares</t>
  </si>
  <si>
    <t>0 NA + 0 NF (modelo "00") — pode-se acoplar bloco auxiliar se necessário</t>
  </si>
  <si>
    <t>Categoria de utilização</t>
  </si>
  <si>
    <t>AC-3 (partida de motores)</t>
  </si>
  <si>
    <t>Potência máxima</t>
  </si>
  <si>
    <t>Até 15 kW (20 cv) em 380 V</t>
  </si>
  <si>
    <t>Fixação</t>
  </si>
  <si>
    <t>Trilho DIN ou parafuso</t>
  </si>
  <si>
    <t>Grau de proteção</t>
  </si>
  <si>
    <t>IP20 (carcaça padrão, sem tampa)</t>
  </si>
  <si>
    <t>Temperatura ambiente</t>
  </si>
  <si>
    <t>-5 ºC a +60 ºC</t>
  </si>
  <si>
    <t>Normas atendidas</t>
  </si>
  <si>
    <t>IEC 60947 / UL / CSA</t>
  </si>
  <si>
    <t>Dimensões aproximadas</t>
  </si>
  <si>
    <t>45 x 83 x 86 mm (L x A x P)</t>
  </si>
  <si>
    <r>
      <rPr>
        <rFont val="Arial"/>
        <b/>
        <color rgb="FFFF0000"/>
      </rPr>
      <t>MAIOR</t>
    </r>
    <r>
      <rPr>
        <rFont val="Arial"/>
        <color rgb="FFFF0000"/>
      </rPr>
      <t xml:space="preserve"> - Motor 4 – 150 cv</t>
    </r>
    <r>
      <rPr>
        <rFont val="Arial"/>
        <color theme="1"/>
      </rPr>
      <t xml:space="preserve">
Tipo de partida indicado: Soft Starter (ou Estrela-Triângulo como alternativa)
Justificativa técnica: A corrente nominal é alta (198,39 A em 380V), o que torna a partida direta inadequada devido ao alto pico de corrente (&gt;1000 A). O uso de soft starter permite uma partida suave, reduzindo picos de corrente e protegendo componentes elétricos e mecânicos.
Modelo sugerido (exemplo WEG):
SSW07 2200TQ
Tensão de alimentação: 380 V
Corrente nominal: até 220 A
Recursos: rampa de aceleração/desaceleração, bypass interno</t>
    </r>
  </si>
  <si>
    <t>https://www.weg.net/catalog/weg/BR/pt/Automa%C3%A7%C3%A3o-e-Controle-Industrial/Drives/Soft-Starters/Uso-geral/Soft-Starter-SSW07/SOFT-STARTER-SSW070200T5SZ-200A-220-575V/p/10233131</t>
  </si>
  <si>
    <t>SSW070200T5SZ</t>
  </si>
  <si>
    <t>200 A</t>
  </si>
  <si>
    <t>Tensão de alimentação</t>
  </si>
  <si>
    <t>220 a 575 V (trifásico)</t>
  </si>
  <si>
    <t>Frequência</t>
  </si>
  <si>
    <t>50/60 Hz</t>
  </si>
  <si>
    <t>Potência nominal</t>
  </si>
  <si>
    <t>Até 150 cv (110 kW em 380 V)</t>
  </si>
  <si>
    <t>Tensão de controle</t>
  </si>
  <si>
    <t>100–240 V CA</t>
  </si>
  <si>
    <t>Bypass interno</t>
  </si>
  <si>
    <t>Sim (contator interno embutido para regime permanente após a partida)</t>
  </si>
  <si>
    <t>Funções adicionais</t>
  </si>
  <si>
    <t>Rampa de aceleração/desaceleração, proteção contra sobrecarga, subcorrente, subtensão, falha de fase, frenagem eletrônica</t>
  </si>
  <si>
    <t>Interface</t>
  </si>
  <si>
    <t>Teclado frontal (com display LCD), comunicação RS-232/RS-485 opcional</t>
  </si>
  <si>
    <t>Tipo de proteção</t>
  </si>
  <si>
    <t>IP20 (gabinete aberto)</t>
  </si>
  <si>
    <t>Montagem</t>
  </si>
  <si>
    <t>Em painel (vertical)</t>
  </si>
  <si>
    <t>Aplicações típicas</t>
  </si>
  <si>
    <t>Bombas, ventiladores, compressores, transportadores, centrífugas</t>
  </si>
  <si>
    <t>IEC 60947-4-2 / UL 508C / CSA C22.2 No. 14</t>
  </si>
  <si>
    <t xml:space="preserve">Dimensionamento do Transformador </t>
  </si>
  <si>
    <t>Tensão de Entrada TF  =</t>
  </si>
  <si>
    <t>V</t>
  </si>
  <si>
    <t>Tensão de Saída TF  =</t>
  </si>
  <si>
    <t>Fator de demanda =</t>
  </si>
  <si>
    <t>Potência Aparente Minima do TF  =</t>
  </si>
  <si>
    <t>KVA</t>
  </si>
  <si>
    <t>Potência Aparente Escolhida TF  =</t>
  </si>
  <si>
    <t>Dados do Transformador</t>
  </si>
  <si>
    <t>Potência Aparente</t>
  </si>
  <si>
    <t xml:space="preserve">Perda Total </t>
  </si>
  <si>
    <t>KW</t>
  </si>
  <si>
    <t>Impedância</t>
  </si>
  <si>
    <t>%</t>
  </si>
  <si>
    <r>
      <rPr>
        <rFont val="Times New Roman"/>
        <b/>
        <color theme="1"/>
        <sz val="11.0"/>
      </rPr>
      <t xml:space="preserve">Transformador escolhido: </t>
    </r>
    <r>
      <rPr>
        <rFont val="Times New Roman"/>
        <color theme="1"/>
        <sz val="11.0"/>
      </rPr>
      <t>Transformador Óleo 750.0kVA 13.8/0.38kV CST ONAN</t>
    </r>
  </si>
  <si>
    <t>*Link p/ Folha de Dados</t>
  </si>
  <si>
    <t>Etapas</t>
  </si>
  <si>
    <t>Valor</t>
  </si>
  <si>
    <t>Unidade</t>
  </si>
  <si>
    <t>Observação</t>
  </si>
  <si>
    <t>Fórmula utilizada</t>
  </si>
  <si>
    <t>FÓRMULAS</t>
  </si>
  <si>
    <t>DADOS INICIAIS</t>
  </si>
  <si>
    <t>VALORES BASE</t>
  </si>
  <si>
    <t>Tensão base - MT - VB</t>
  </si>
  <si>
    <t>13,8 kV</t>
  </si>
  <si>
    <t>Potência base</t>
  </si>
  <si>
    <t>VA</t>
  </si>
  <si>
    <t>100 MVA</t>
  </si>
  <si>
    <t>Impedância base - Zb</t>
  </si>
  <si>
    <t>Ohms</t>
  </si>
  <si>
    <t>Corrente base - Ib</t>
  </si>
  <si>
    <t>A</t>
  </si>
  <si>
    <t>4,18 kA</t>
  </si>
  <si>
    <t>tensão base - BT - Vbbt</t>
  </si>
  <si>
    <t>Corrente base - Ibbt</t>
  </si>
  <si>
    <t>151,93kA</t>
  </si>
  <si>
    <t>PONTO DE ENTREGA</t>
  </si>
  <si>
    <t>IMPEDÂNCIA</t>
  </si>
  <si>
    <t>Seq positiva - Zps</t>
  </si>
  <si>
    <t>PU NA BASE DE 100MVA e 13,8kV</t>
  </si>
  <si>
    <t>Rps</t>
  </si>
  <si>
    <t>Xps</t>
  </si>
  <si>
    <t>Seq zero - Zps</t>
  </si>
  <si>
    <t>Rp0</t>
  </si>
  <si>
    <t>Xp0</t>
  </si>
  <si>
    <t xml:space="preserve">CURTO CIRCUITO </t>
  </si>
  <si>
    <t>TRIFÁSICO</t>
  </si>
  <si>
    <t>Ics</t>
  </si>
  <si>
    <t>A (cartesiano)</t>
  </si>
  <si>
    <t>Módulo de Ics</t>
  </si>
  <si>
    <t>KA</t>
  </si>
  <si>
    <t>Fase de Ics</t>
  </si>
  <si>
    <t>Graus</t>
  </si>
  <si>
    <t>MONOFÁSICO</t>
  </si>
  <si>
    <t>Zeq até este ponto (até lado de alta do trafo)</t>
  </si>
  <si>
    <t>Icft</t>
  </si>
  <si>
    <t>Módulo de Icft</t>
  </si>
  <si>
    <t>Fase de Icft</t>
  </si>
  <si>
    <t>POTÊNCIA CURTO CIRCUITO</t>
  </si>
  <si>
    <t>Pcc</t>
  </si>
  <si>
    <t>MVA</t>
  </si>
  <si>
    <t>ASSIMÉTRICO</t>
  </si>
  <si>
    <t xml:space="preserve">relação X/R </t>
  </si>
  <si>
    <t>Fator de assimetria</t>
  </si>
  <si>
    <t>corrente de curto circuito assimétrico - Ics</t>
  </si>
  <si>
    <t>Impulso da corrente de curto circuito</t>
  </si>
  <si>
    <t>Tau</t>
  </si>
  <si>
    <t>SECUNDÁRIO DO TRANSFORMADOR</t>
  </si>
  <si>
    <t>Pot nominal do trafo</t>
  </si>
  <si>
    <t>kVA</t>
  </si>
  <si>
    <t>750 Kva</t>
  </si>
  <si>
    <t>Perdas cobre</t>
  </si>
  <si>
    <t>W</t>
  </si>
  <si>
    <t>15,7kW</t>
  </si>
  <si>
    <t>Res. percentual Rpt</t>
  </si>
  <si>
    <t>Res. pu Rut</t>
  </si>
  <si>
    <t>pu</t>
  </si>
  <si>
    <t>na base de 100 MVA</t>
  </si>
  <si>
    <t>Imp. percentual Zpt</t>
  </si>
  <si>
    <t>0,05% - dado de placa</t>
  </si>
  <si>
    <t>Imp. p.u. Zut</t>
  </si>
  <si>
    <t>Reatância pu Xut</t>
  </si>
  <si>
    <t>Imp. Dotrafo</t>
  </si>
  <si>
    <t>2,1 + j6,32 pu</t>
  </si>
  <si>
    <t>zeq até o ponto - APENAS SEQ POSITIVA</t>
  </si>
  <si>
    <t>Zeq até este ponto - Lado de BT</t>
  </si>
  <si>
    <t>QGF</t>
  </si>
  <si>
    <t>Lc</t>
  </si>
  <si>
    <t>M</t>
  </si>
  <si>
    <t>Comprimento dos cabos</t>
  </si>
  <si>
    <t>Nc</t>
  </si>
  <si>
    <t>Condutores por fase</t>
  </si>
  <si>
    <t>Sc</t>
  </si>
  <si>
    <t>mm²</t>
  </si>
  <si>
    <t>Seção dos condutores</t>
  </si>
  <si>
    <t>Sequência positiva</t>
  </si>
  <si>
    <t>R_Cabo</t>
  </si>
  <si>
    <t>mOhms/m</t>
  </si>
  <si>
    <t>Tabelado</t>
  </si>
  <si>
    <t>R_CaboPos_ohm</t>
  </si>
  <si>
    <t>R_CaboPos_pu</t>
  </si>
  <si>
    <t>X_Cabo</t>
  </si>
  <si>
    <t>X_CaboPos_ohm</t>
  </si>
  <si>
    <t>X_CaboPos_pu</t>
  </si>
  <si>
    <t>Z_CaboPos_pu</t>
  </si>
  <si>
    <t>Sequência zero</t>
  </si>
  <si>
    <t>BARRAMENTO 1</t>
  </si>
  <si>
    <t>m</t>
  </si>
  <si>
    <t>mOhms/km</t>
  </si>
  <si>
    <t>Zeq até este ponto - CCM</t>
  </si>
  <si>
    <t>BARRAMENTO 2</t>
  </si>
  <si>
    <t>relação X/R CCM</t>
  </si>
  <si>
    <t>BARRAMENTO 3</t>
  </si>
  <si>
    <t>FP Atual</t>
  </si>
  <si>
    <t>Angulo Atual</t>
  </si>
  <si>
    <t>Potencia ativa</t>
  </si>
  <si>
    <t>Correção Necessária?</t>
  </si>
  <si>
    <t>FP desejado</t>
  </si>
  <si>
    <t>Qcorr (kVAr)</t>
  </si>
  <si>
    <t>Banco Comercial (kVAr)</t>
  </si>
  <si>
    <t>Novo FP</t>
  </si>
  <si>
    <t>Nova S (kVA)</t>
  </si>
  <si>
    <t>Nova Corrente (A) 220V</t>
  </si>
  <si>
    <t>Nova Corrente (A) 380V</t>
  </si>
  <si>
    <t>Sim</t>
  </si>
  <si>
    <t>Banco de 35 kVAr</t>
  </si>
  <si>
    <t>Banco de 15 kVAr</t>
  </si>
  <si>
    <t>Não</t>
  </si>
  <si>
    <t>Sistema completo</t>
  </si>
  <si>
    <t>SIm</t>
  </si>
  <si>
    <t>Banco de 25 kVAr</t>
  </si>
  <si>
    <t>DADOS</t>
  </si>
  <si>
    <t>CÁLCULOS</t>
  </si>
  <si>
    <t>VALOR</t>
  </si>
  <si>
    <t>FÓRMULA</t>
  </si>
  <si>
    <r>
      <rPr>
        <rFont val="Arial"/>
        <b/>
        <color theme="1"/>
      </rPr>
      <t>Medida:</t>
    </r>
    <r>
      <rPr>
        <rFont val="Arial"/>
        <color theme="1"/>
      </rPr>
      <t xml:space="preserve"> 20 x 15m</t>
    </r>
  </si>
  <si>
    <t>Iluminância requerida</t>
  </si>
  <si>
    <r>
      <rPr>
        <rFont val="Arial"/>
        <b/>
        <color theme="1"/>
      </rPr>
      <t>Atividade:</t>
    </r>
    <r>
      <rPr>
        <rFont val="Arial"/>
        <color theme="1"/>
      </rPr>
      <t xml:space="preserve"> escritório comum</t>
    </r>
  </si>
  <si>
    <t>Fator K</t>
  </si>
  <si>
    <r>
      <rPr>
        <rFont val="Arial"/>
        <b/>
        <color theme="1"/>
      </rPr>
      <t xml:space="preserve">Teto claro, paredes brancas e pisos escuros </t>
    </r>
    <r>
      <rPr>
        <rFont val="Arial"/>
        <b val="0"/>
        <color theme="1"/>
      </rPr>
      <t>= 571</t>
    </r>
  </si>
  <si>
    <t>&lt;- usado 551</t>
  </si>
  <si>
    <t>Fator de utilização</t>
  </si>
  <si>
    <r>
      <rPr>
        <rFont val="Arial"/>
        <b/>
        <color theme="1"/>
      </rPr>
      <t>Lâmpadas</t>
    </r>
    <r>
      <rPr>
        <rFont val="Arial"/>
        <color theme="1"/>
      </rPr>
      <t xml:space="preserve"> de 4x32W fluorescentes</t>
    </r>
  </si>
  <si>
    <t>Fator de manutenção</t>
  </si>
  <si>
    <r>
      <rPr>
        <rFont val="Arial"/>
        <b/>
        <color theme="1"/>
      </rPr>
      <t>Fluxo Luminoso/Lâmpada:</t>
    </r>
    <r>
      <rPr>
        <rFont val="Arial"/>
        <color theme="1"/>
      </rPr>
      <t xml:space="preserve"> 2.400 lúmens</t>
    </r>
  </si>
  <si>
    <t>Altura útil (hm)</t>
  </si>
  <si>
    <r>
      <rPr>
        <rFont val="Arial"/>
        <b/>
        <color theme="1"/>
      </rPr>
      <t>Fluxo Total por Luminária:</t>
    </r>
    <r>
      <rPr>
        <rFont val="Arial"/>
        <color theme="1"/>
      </rPr>
      <t xml:space="preserve"> 4 × 2.400 = 9.600 lúmens</t>
    </r>
  </si>
  <si>
    <t>Φ</t>
  </si>
  <si>
    <t>hm=3,5-0,9-0,8</t>
  </si>
  <si>
    <t>Nº luminarias</t>
  </si>
  <si>
    <t>K=LC/HM(L+C)</t>
  </si>
  <si>
    <t>MANUAL OSRAM ↓↓ (usado 551 para k=5)</t>
  </si>
  <si>
    <t>FAT MANUT ↓↓</t>
  </si>
  <si>
    <t>Potência Ativa (kW)</t>
  </si>
  <si>
    <t>Potência Reativa (kVAr)</t>
  </si>
  <si>
    <t>Potência Aparente (kVA)</t>
  </si>
  <si>
    <t>Corrente Total (A) 220V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</si>
</sst>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0.00000"/>
    <numFmt numFmtId="166" formatCode="0.000000000000"/>
    <numFmt numFmtId="167" formatCode="0.00000000000000"/>
    <numFmt numFmtId="168" formatCode="0.000"/>
  </numFmts>
  <fonts count="26">
    <font>
      <sz val="10.0"/>
      <color rgb="FF000000"/>
      <name val="Arial"/>
      <scheme val="minor"/>
    </font>
    <font>
      <b/>
      <sz val="14.0"/>
      <color rgb="FFFFFFFF"/>
      <name val="Arial"/>
    </font>
    <font>
      <sz val="11.0"/>
      <color rgb="FF000000"/>
      <name val="Calibri"/>
    </font>
    <font>
      <sz val="14.0"/>
      <color rgb="FF333333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000000"/>
      <name val="Arial"/>
    </font>
    <font>
      <b/>
      <sz val="11.0"/>
      <color rgb="FF000000"/>
      <name val="Calibri"/>
    </font>
    <font>
      <u/>
      <color rgb="FF0000FF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u/>
      <sz val="11.0"/>
      <color rgb="FF0000FF"/>
      <name val="Calibri"/>
    </font>
    <font>
      <b/>
      <sz val="15.0"/>
      <color rgb="FFFFFFFF"/>
      <name val="Calibri"/>
    </font>
    <font>
      <b/>
      <sz val="11.0"/>
      <color theme="1"/>
      <name val="Calibri"/>
    </font>
    <font>
      <sz val="11.0"/>
      <color rgb="FFFFFFFF"/>
      <name val="Calibri"/>
    </font>
    <font>
      <b/>
      <i/>
      <sz val="15.0"/>
      <color rgb="FFFFFFFF"/>
      <name val="Calibri"/>
    </font>
    <font>
      <b/>
      <sz val="11.0"/>
      <color rgb="FFFFFFFF"/>
      <name val="Calibri"/>
    </font>
    <font>
      <b/>
      <sz val="13.0"/>
      <color rgb="FF000000"/>
      <name val="Calibri"/>
    </font>
    <font>
      <b/>
      <sz val="13.0"/>
      <color rgb="FFFFFFFF"/>
      <name val="Calibri"/>
    </font>
    <font>
      <sz val="11.0"/>
      <color rgb="FF006100"/>
      <name val="Calibri"/>
    </font>
    <font>
      <b/>
      <color rgb="FFFFFFFF"/>
      <name val="Arial"/>
      <scheme val="minor"/>
    </font>
    <font>
      <b/>
      <sz val="14.0"/>
      <color rgb="FF333333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498DB"/>
        <bgColor rgb="FF3498DB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45F06"/>
        <bgColor rgb="FFB45F06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E6F7FF"/>
        <bgColor rgb="FFE6F7FF"/>
      </patternFill>
    </fill>
  </fills>
  <borders count="21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right style="thin">
        <color rgb="FFDDDDDD"/>
      </right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shrinkToFit="0" vertical="bottom" wrapText="0"/>
    </xf>
    <xf borderId="3" fillId="3" fontId="3" numFmtId="0" xfId="0" applyAlignment="1" applyBorder="1" applyFill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4" fillId="3" fontId="3" numFmtId="2" xfId="0" applyAlignment="1" applyBorder="1" applyFont="1" applyNumberFormat="1">
      <alignment horizontal="center" readingOrder="0" shrinkToFit="0" wrapText="0"/>
    </xf>
    <xf borderId="3" fillId="4" fontId="3" numFmtId="0" xfId="0" applyAlignment="1" applyBorder="1" applyFill="1" applyFont="1">
      <alignment horizontal="center" readingOrder="0" shrinkToFit="0" wrapText="0"/>
    </xf>
    <xf borderId="4" fillId="4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3" fontId="3" numFmtId="1" xfId="0" applyAlignment="1" applyBorder="1" applyFont="1" applyNumberFormat="1">
      <alignment horizontal="center" readingOrder="0"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shrinkToFit="0" wrapText="0"/>
    </xf>
    <xf borderId="5" fillId="3" fontId="3" numFmtId="2" xfId="0" applyAlignment="1" applyBorder="1" applyFont="1" applyNumberFormat="1">
      <alignment horizontal="center" readingOrder="0" shrinkToFit="0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5" numFmtId="0" xfId="0" applyBorder="1" applyFont="1"/>
    <xf borderId="5" fillId="4" fontId="3" numFmtId="0" xfId="0" applyAlignment="1" applyBorder="1" applyFont="1">
      <alignment horizontal="center" readingOrder="0" shrinkToFit="0" wrapText="0"/>
    </xf>
    <xf borderId="5" fillId="4" fontId="3" numFmtId="2" xfId="0" applyAlignment="1" applyBorder="1" applyFont="1" applyNumberFormat="1">
      <alignment horizontal="center" readingOrder="0" shrinkToFit="0" wrapText="0"/>
    </xf>
    <xf borderId="8" fillId="0" fontId="5" numFmtId="0" xfId="0" applyBorder="1" applyFont="1"/>
    <xf borderId="5" fillId="0" fontId="3" numFmtId="0" xfId="0" applyAlignment="1" applyBorder="1" applyFont="1">
      <alignment horizontal="center" readingOrder="0" shrinkToFit="0" wrapText="0"/>
    </xf>
    <xf borderId="5" fillId="0" fontId="3" numFmtId="2" xfId="0" applyAlignment="1" applyBorder="1" applyFont="1" applyNumberFormat="1">
      <alignment horizontal="center" readingOrder="0" shrinkToFit="0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4" fontId="3" numFmtId="1" xfId="0" applyAlignment="1" applyBorder="1" applyFont="1" applyNumberFormat="1">
      <alignment horizontal="center" readingOrder="0" shrinkToFit="0" wrapText="0"/>
    </xf>
    <xf borderId="5" fillId="0" fontId="3" numFmtId="1" xfId="0" applyAlignment="1" applyBorder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5" fillId="0" fontId="7" numFmtId="0" xfId="0" applyBorder="1" applyFont="1"/>
    <xf borderId="5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shrinkToFit="0" wrapText="0"/>
    </xf>
    <xf borderId="9" fillId="0" fontId="9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center" readingOrder="0" shrinkToFit="0" wrapText="0"/>
    </xf>
    <xf borderId="10" fillId="0" fontId="9" numFmtId="2" xfId="0" applyAlignment="1" applyBorder="1" applyFont="1" applyNumberFormat="1">
      <alignment horizontal="center" shrinkToFit="0" wrapText="0"/>
    </xf>
    <xf borderId="10" fillId="0" fontId="9" numFmtId="2" xfId="0" applyAlignment="1" applyBorder="1" applyFont="1" applyNumberFormat="1">
      <alignment horizontal="center" readingOrder="0" shrinkToFit="0" wrapText="0"/>
    </xf>
    <xf borderId="10" fillId="0" fontId="9" numFmtId="0" xfId="0" applyAlignment="1" applyBorder="1" applyFont="1">
      <alignment horizontal="center" readingOrder="0" shrinkToFit="0" wrapText="0"/>
    </xf>
    <xf borderId="10" fillId="0" fontId="9" numFmtId="0" xfId="0" applyAlignment="1" applyBorder="1" applyFont="1">
      <alignment horizontal="center" shrinkToFit="0" wrapText="0"/>
    </xf>
    <xf borderId="5" fillId="0" fontId="7" numFmtId="0" xfId="0" applyAlignment="1" applyBorder="1" applyFont="1">
      <alignment horizontal="left" readingOrder="0"/>
    </xf>
    <xf borderId="5" fillId="0" fontId="10" numFmtId="0" xfId="0" applyAlignment="1" applyBorder="1" applyFont="1">
      <alignment readingOrder="0" shrinkToFit="0" vertical="bottom" wrapText="0"/>
    </xf>
    <xf borderId="5" fillId="0" fontId="2" numFmtId="2" xfId="0" applyAlignment="1" applyBorder="1" applyFont="1" applyNumberFormat="1">
      <alignment horizontal="center" shrinkToFit="0" vertical="bottom" wrapText="0"/>
    </xf>
    <xf borderId="5" fillId="0" fontId="2" numFmtId="2" xfId="0" applyAlignment="1" applyBorder="1" applyFont="1" applyNumberForma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11" fillId="2" fontId="1" numFmtId="0" xfId="0" applyAlignment="1" applyBorder="1" applyFont="1">
      <alignment horizontal="center" readingOrder="0"/>
    </xf>
    <xf borderId="12" fillId="0" fontId="5" numFmtId="0" xfId="0" applyBorder="1" applyFont="1"/>
    <xf borderId="5" fillId="5" fontId="12" numFmtId="0" xfId="0" applyAlignment="1" applyBorder="1" applyFill="1" applyFont="1">
      <alignment horizontal="right" shrinkToFit="0" wrapText="1"/>
    </xf>
    <xf borderId="5" fillId="6" fontId="13" numFmtId="0" xfId="0" applyAlignment="1" applyBorder="1" applyFill="1" applyFont="1">
      <alignment horizontal="left" readingOrder="0"/>
    </xf>
    <xf borderId="5" fillId="6" fontId="13" numFmtId="0" xfId="0" applyAlignment="1" applyBorder="1" applyFont="1">
      <alignment horizontal="left"/>
    </xf>
    <xf borderId="0" fillId="0" fontId="13" numFmtId="0" xfId="0" applyAlignment="1" applyFont="1">
      <alignment vertical="center"/>
    </xf>
    <xf borderId="5" fillId="6" fontId="13" numFmtId="2" xfId="0" applyAlignment="1" applyBorder="1" applyFont="1" applyNumberFormat="1">
      <alignment horizontal="left" readingOrder="0"/>
    </xf>
    <xf borderId="5" fillId="6" fontId="13" numFmtId="2" xfId="0" applyAlignment="1" applyBorder="1" applyFont="1" applyNumberFormat="1">
      <alignment horizontal="left"/>
    </xf>
    <xf borderId="0" fillId="0" fontId="14" numFmtId="9" xfId="0" applyFont="1" applyNumberFormat="1"/>
    <xf borderId="5" fillId="5" fontId="12" numFmtId="0" xfId="0" applyAlignment="1" applyBorder="1" applyFont="1">
      <alignment horizontal="right" readingOrder="0" shrinkToFit="0" wrapText="1"/>
    </xf>
    <xf borderId="5" fillId="7" fontId="12" numFmtId="0" xfId="0" applyAlignment="1" applyBorder="1" applyFill="1" applyFont="1">
      <alignment horizontal="right" shrinkToFit="0" wrapText="1"/>
    </xf>
    <xf borderId="5" fillId="7" fontId="12" numFmtId="0" xfId="0" applyAlignment="1" applyBorder="1" applyFont="1">
      <alignment horizontal="right" readingOrder="0" shrinkToFit="0" wrapText="1"/>
    </xf>
    <xf borderId="5" fillId="6" fontId="13" numFmtId="164" xfId="0" applyAlignment="1" applyBorder="1" applyFont="1" applyNumberFormat="1">
      <alignment horizontal="left" readingOrder="0"/>
    </xf>
    <xf borderId="13" fillId="6" fontId="12" numFmtId="0" xfId="0" applyAlignment="1" applyBorder="1" applyFont="1">
      <alignment horizontal="right" shrinkToFit="0" wrapText="1"/>
    </xf>
    <xf borderId="14" fillId="3" fontId="13" numFmtId="2" xfId="0" applyAlignment="1" applyBorder="1" applyFont="1" applyNumberFormat="1">
      <alignment horizontal="left" readingOrder="0" shrinkToFit="0" vertical="bottom" wrapText="1"/>
    </xf>
    <xf borderId="15" fillId="0" fontId="5" numFmtId="0" xfId="0" applyBorder="1" applyFont="1"/>
    <xf borderId="0" fillId="0" fontId="14" numFmtId="0" xfId="0" applyFont="1"/>
    <xf borderId="13" fillId="6" fontId="14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4" numFmtId="0" xfId="0" applyAlignment="1" applyFont="1">
      <alignment horizontal="left"/>
    </xf>
    <xf borderId="5" fillId="8" fontId="14" numFmtId="0" xfId="0" applyAlignment="1" applyBorder="1" applyFill="1" applyFont="1">
      <alignment horizontal="left"/>
    </xf>
    <xf borderId="5" fillId="8" fontId="16" numFmtId="0" xfId="0" applyAlignment="1" applyBorder="1" applyFont="1">
      <alignment horizontal="center" readingOrder="0" shrinkToFit="0" vertical="center" wrapText="1"/>
    </xf>
    <xf borderId="16" fillId="9" fontId="17" numFmtId="0" xfId="0" applyAlignment="1" applyBorder="1" applyFill="1" applyFont="1">
      <alignment horizontal="left" shrinkToFit="0" wrapText="1"/>
    </xf>
    <xf borderId="5" fillId="8" fontId="18" numFmtId="0" xfId="0" applyAlignment="1" applyBorder="1" applyFont="1">
      <alignment horizontal="left" readingOrder="0"/>
    </xf>
    <xf borderId="0" fillId="0" fontId="18" numFmtId="0" xfId="0" applyAlignment="1" applyFont="1">
      <alignment horizontal="left"/>
    </xf>
    <xf borderId="0" fillId="10" fontId="19" numFmtId="0" xfId="0" applyAlignment="1" applyFill="1" applyFont="1">
      <alignment horizontal="center" readingOrder="0" shrinkToFit="0" vertical="center" wrapText="1"/>
    </xf>
    <xf borderId="16" fillId="11" fontId="10" numFmtId="0" xfId="0" applyAlignment="1" applyBorder="1" applyFill="1" applyFont="1">
      <alignment horizontal="center" shrinkToFit="0" vertical="center" wrapText="1"/>
    </xf>
    <xf borderId="5" fillId="8" fontId="18" numFmtId="0" xfId="0" applyAlignment="1" applyBorder="1" applyFont="1">
      <alignment horizontal="left"/>
    </xf>
    <xf borderId="11" fillId="11" fontId="10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5" fillId="0" fontId="17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horizontal="center" shrinkToFit="0" vertical="center" wrapText="1"/>
    </xf>
    <xf borderId="0" fillId="12" fontId="19" numFmtId="0" xfId="0" applyAlignment="1" applyFill="1" applyFont="1">
      <alignment horizontal="center" readingOrder="0" shrinkToFit="0" vertical="center" wrapText="1"/>
    </xf>
    <xf borderId="5" fillId="11" fontId="10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10" fillId="0" fontId="5" numFmtId="0" xfId="0" applyBorder="1" applyFont="1"/>
    <xf borderId="0" fillId="12" fontId="20" numFmtId="0" xfId="0" applyAlignment="1" applyFont="1">
      <alignment horizontal="center" readingOrder="0" shrinkToFit="0" vertical="center" wrapText="1"/>
    </xf>
    <xf borderId="11" fillId="13" fontId="21" numFmtId="0" xfId="0" applyAlignment="1" applyBorder="1" applyFill="1" applyFont="1">
      <alignment horizontal="center" shrinkToFit="0" vertical="center" wrapText="1"/>
    </xf>
    <xf borderId="5" fillId="3" fontId="14" numFmtId="2" xfId="0" applyAlignment="1" applyBorder="1" applyFont="1" applyNumberFormat="1">
      <alignment horizontal="center" shrinkToFit="0" vertical="center" wrapText="1"/>
    </xf>
    <xf borderId="5" fillId="14" fontId="22" numFmtId="0" xfId="0" applyAlignment="1" applyBorder="1" applyFill="1" applyFont="1">
      <alignment horizontal="center" shrinkToFit="0" vertical="center" wrapText="1"/>
    </xf>
    <xf borderId="5" fillId="6" fontId="14" numFmtId="0" xfId="0" applyAlignment="1" applyBorder="1" applyFont="1">
      <alignment horizontal="center" shrinkToFit="0" vertical="center" wrapText="1"/>
    </xf>
    <xf borderId="0" fillId="15" fontId="14" numFmtId="0" xfId="0" applyAlignment="1" applyFill="1" applyFont="1">
      <alignment horizontal="left"/>
    </xf>
    <xf borderId="0" fillId="15" fontId="19" numFmtId="0" xfId="0" applyAlignment="1" applyFont="1">
      <alignment horizontal="center" readingOrder="0" shrinkToFit="0" vertical="center" wrapText="1"/>
    </xf>
    <xf borderId="5" fillId="13" fontId="21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0" fontId="2" numFmtId="10" xfId="0" applyAlignment="1" applyBorder="1" applyFont="1" applyNumberFormat="1">
      <alignment horizontal="center" shrinkToFit="0" vertical="center" wrapText="1"/>
    </xf>
    <xf borderId="11" fillId="15" fontId="22" numFmtId="0" xfId="0" applyAlignment="1" applyBorder="1" applyFont="1">
      <alignment horizontal="center" shrinkToFit="0" vertical="center" wrapText="1"/>
    </xf>
    <xf borderId="5" fillId="3" fontId="14" numFmtId="2" xfId="0" applyAlignment="1" applyBorder="1" applyFont="1" applyNumberFormat="1">
      <alignment horizontal="center" readingOrder="0" shrinkToFit="0" vertical="center" wrapText="1"/>
    </xf>
    <xf borderId="0" fillId="16" fontId="14" numFmtId="0" xfId="0" applyAlignment="1" applyFill="1" applyFont="1">
      <alignment horizontal="left"/>
    </xf>
    <xf borderId="0" fillId="16" fontId="19" numFmtId="0" xfId="0" applyAlignment="1" applyFont="1">
      <alignment horizontal="center" readingOrder="0" shrinkToFit="0" vertical="center" wrapText="1"/>
    </xf>
    <xf borderId="11" fillId="17" fontId="17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left" vertical="center"/>
    </xf>
    <xf borderId="11" fillId="16" fontId="22" numFmtId="0" xfId="0" applyAlignment="1" applyBorder="1" applyFont="1">
      <alignment horizontal="center" shrinkToFit="0" vertical="center" wrapText="1"/>
    </xf>
    <xf borderId="0" fillId="18" fontId="14" numFmtId="0" xfId="0" applyAlignment="1" applyFill="1" applyFont="1">
      <alignment horizontal="left"/>
    </xf>
    <xf borderId="0" fillId="18" fontId="19" numFmtId="0" xfId="0" applyAlignment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11" fillId="18" fontId="22" numFmtId="0" xfId="0" applyAlignment="1" applyBorder="1" applyFont="1">
      <alignment horizontal="center" shrinkToFit="0" vertical="center" wrapText="1"/>
    </xf>
    <xf borderId="0" fillId="19" fontId="14" numFmtId="0" xfId="0" applyAlignment="1" applyFill="1" applyFont="1">
      <alignment horizontal="left"/>
    </xf>
    <xf borderId="0" fillId="19" fontId="19" numFmtId="0" xfId="0" applyAlignment="1" applyFont="1">
      <alignment horizontal="center" readingOrder="0" shrinkToFit="0" vertical="center" wrapText="1"/>
    </xf>
    <xf borderId="11" fillId="19" fontId="22" numFmtId="0" xfId="0" applyAlignment="1" applyBorder="1" applyFont="1">
      <alignment horizontal="center" shrinkToFit="0" vertical="center" wrapText="1"/>
    </xf>
    <xf borderId="5" fillId="3" fontId="14" numFmtId="165" xfId="0" applyAlignment="1" applyBorder="1" applyFont="1" applyNumberFormat="1">
      <alignment horizontal="center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0" fillId="20" fontId="14" numFmtId="0" xfId="0" applyAlignment="1" applyFill="1" applyFont="1">
      <alignment horizontal="left"/>
    </xf>
    <xf borderId="0" fillId="20" fontId="19" numFmtId="0" xfId="0" applyAlignment="1" applyFont="1">
      <alignment horizontal="center" readingOrder="0" shrinkToFit="0" vertical="center" wrapText="1"/>
    </xf>
    <xf borderId="5" fillId="3" fontId="17" numFmtId="0" xfId="0" applyAlignment="1" applyBorder="1" applyFont="1">
      <alignment horizontal="center" shrinkToFit="0" vertical="center" wrapText="1"/>
    </xf>
    <xf borderId="11" fillId="20" fontId="22" numFmtId="0" xfId="0" applyAlignment="1" applyBorder="1" applyFont="1">
      <alignment horizontal="center" shrinkToFit="0" vertical="center" wrapText="1"/>
    </xf>
    <xf borderId="5" fillId="6" fontId="23" numFmtId="0" xfId="0" applyAlignment="1" applyBorder="1" applyFont="1">
      <alignment horizontal="center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left" shrinkToFit="0" wrapText="1"/>
    </xf>
    <xf borderId="0" fillId="0" fontId="14" numFmtId="0" xfId="0" applyAlignment="1" applyFont="1">
      <alignment horizontal="left" shrinkToFit="0" wrapText="1"/>
    </xf>
    <xf borderId="5" fillId="4" fontId="3" numFmtId="168" xfId="0" applyAlignment="1" applyBorder="1" applyFont="1" applyNumberFormat="1">
      <alignment horizontal="center" readingOrder="0" shrinkToFit="0" wrapText="0"/>
    </xf>
    <xf borderId="5" fillId="21" fontId="24" numFmtId="0" xfId="0" applyAlignment="1" applyBorder="1" applyFill="1" applyFont="1">
      <alignment horizontal="center" readingOrder="0"/>
    </xf>
    <xf borderId="5" fillId="5" fontId="7" numFmtId="0" xfId="0" applyAlignment="1" applyBorder="1" applyFont="1">
      <alignment readingOrder="0"/>
    </xf>
    <xf borderId="5" fillId="5" fontId="7" numFmtId="0" xfId="0" applyAlignment="1" applyBorder="1" applyFont="1">
      <alignment horizontal="center" readingOrder="0"/>
    </xf>
    <xf borderId="5" fillId="22" fontId="7" numFmtId="0" xfId="0" applyAlignment="1" applyBorder="1" applyFill="1" applyFont="1">
      <alignment readingOrder="0"/>
    </xf>
    <xf borderId="5" fillId="5" fontId="6" numFmtId="0" xfId="0" applyAlignment="1" applyBorder="1" applyFont="1">
      <alignment readingOrder="0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2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vertical="bottom"/>
    </xf>
    <xf borderId="3" fillId="4" fontId="3" numFmtId="0" xfId="0" applyAlignment="1" applyBorder="1" applyFont="1">
      <alignment horizontal="center" vertical="bottom"/>
    </xf>
    <xf borderId="3" fillId="23" fontId="25" numFmtId="0" xfId="0" applyAlignment="1" applyBorder="1" applyFill="1" applyFont="1">
      <alignment horizontal="center" vertical="bottom"/>
    </xf>
    <xf borderId="4" fillId="23" fontId="25" numFmtId="2" xfId="0" applyAlignment="1" applyBorder="1" applyFont="1" applyNumberFormat="1">
      <alignment horizontal="center" vertical="bottom"/>
    </xf>
    <xf borderId="4" fillId="23" fontId="25" numFmtId="168" xfId="0" applyAlignment="1" applyBorder="1" applyFont="1" applyNumberFormat="1">
      <alignment horizontal="center" vertical="bottom"/>
    </xf>
    <xf borderId="4" fillId="23" fontId="25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Relationship Id="rId3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7.png"/><Relationship Id="rId3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2019300</xdr:colOff>
      <xdr:row>44</xdr:row>
      <xdr:rowOff>28575</xdr:rowOff>
    </xdr:from>
    <xdr:ext cx="5000625" cy="25908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2114550</xdr:colOff>
      <xdr:row>43</xdr:row>
      <xdr:rowOff>57150</xdr:rowOff>
    </xdr:from>
    <xdr:ext cx="3343275" cy="23241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33</xdr:row>
      <xdr:rowOff>66675</xdr:rowOff>
    </xdr:from>
    <xdr:ext cx="3257550" cy="15430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34</xdr:row>
      <xdr:rowOff>180975</xdr:rowOff>
    </xdr:from>
    <xdr:ext cx="1752600" cy="923925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1038225</xdr:colOff>
      <xdr:row>14</xdr:row>
      <xdr:rowOff>161925</xdr:rowOff>
    </xdr:from>
    <xdr:ext cx="6886575" cy="4924425"/>
    <xdr:pic>
      <xdr:nvPicPr>
        <xdr:cNvPr id="0" name="image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</xdr:rowOff>
    </xdr:from>
    <xdr:ext cx="7648575" cy="5476875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466725</xdr:colOff>
      <xdr:row>0</xdr:row>
      <xdr:rowOff>0</xdr:rowOff>
    </xdr:from>
    <xdr:ext cx="9915525" cy="77914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285750</xdr:colOff>
      <xdr:row>61</xdr:row>
      <xdr:rowOff>152400</xdr:rowOff>
    </xdr:from>
    <xdr:ext cx="4867275" cy="3714750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514350</xdr:colOff>
      <xdr:row>76</xdr:row>
      <xdr:rowOff>95250</xdr:rowOff>
    </xdr:from>
    <xdr:ext cx="4876800" cy="6372225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0</xdr:row>
      <xdr:rowOff>0</xdr:rowOff>
    </xdr:from>
    <xdr:ext cx="5648325" cy="4238625"/>
    <xdr:pic>
      <xdr:nvPicPr>
        <xdr:cNvPr id="0" name="image1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</xdr:row>
      <xdr:rowOff>171450</xdr:rowOff>
    </xdr:from>
    <xdr:ext cx="3990975" cy="2057400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12</xdr:row>
      <xdr:rowOff>47625</xdr:rowOff>
    </xdr:from>
    <xdr:ext cx="4953000" cy="1771650"/>
    <xdr:pic>
      <xdr:nvPicPr>
        <xdr:cNvPr id="0" name="image9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mensional.com.br/disjuntorminitripolar70a127220vcac5ka5sl13707siemens/p" TargetMode="External"/><Relationship Id="rId10" Type="http://schemas.openxmlformats.org/officeDocument/2006/relationships/hyperlink" Target="https://www.dimensional.com.br/disjuntor-mini-tripolar-50a-220-380vca-curva-c-6ka-5sl63507mb-siemens/p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simecol.com.br/disjuntor-tripolar-80a-curva-c-5sl1380-7mb-siemens/p/19239" TargetMode="External"/><Relationship Id="rId1" Type="http://schemas.openxmlformats.org/officeDocument/2006/relationships/hyperlink" Target="https://www.siemens.com/br/pt/produtos/energia/produtos-baixa-tensao/disjuntores-caixa-moldada/disjuntores-3vm.html" TargetMode="External"/><Relationship Id="rId2" Type="http://schemas.openxmlformats.org/officeDocument/2006/relationships/hyperlink" Target="https://www.siemens.com/br/pt/produtos/energia/produtos-baixa-tensao/disjuntores-caixa-moldada/disjuntores-3vm.html" TargetMode="External"/><Relationship Id="rId3" Type="http://schemas.openxmlformats.org/officeDocument/2006/relationships/hyperlink" Target="https://www.dimensional.com.br/disjuntor-mini-tripolar-50a-220-380vca-curva-c-6ka-5sl63507mb-siemens/p" TargetMode="External"/><Relationship Id="rId4" Type="http://schemas.openxmlformats.org/officeDocument/2006/relationships/hyperlink" Target="https://www.siemens.com/br/pt/produtos/energia/produtos-baixa-tensao/disjuntores-caixa-moldada/disjuntores-3vm.html" TargetMode="External"/><Relationship Id="rId9" Type="http://schemas.openxmlformats.org/officeDocument/2006/relationships/hyperlink" Target="https://www.siemens.com/br/pt/produtos/energia/produtos-baixa-tensao/disjuntores-caixa-moldada/disjuntores-3vm.html" TargetMode="External"/><Relationship Id="rId5" Type="http://schemas.openxmlformats.org/officeDocument/2006/relationships/hyperlink" Target="https://www.dimensional.com.br/disjuntor-mini-tripolar-50a-220-380vca-curva-c-6ka-5sl63507mb-siemens/p" TargetMode="External"/><Relationship Id="rId6" Type="http://schemas.openxmlformats.org/officeDocument/2006/relationships/hyperlink" Target="https://www.siemens.com/br/pt/produtos/energia/produtos-baixa-tensao/disjuntores-caixa-moldada/disjuntores-3vm.html" TargetMode="External"/><Relationship Id="rId7" Type="http://schemas.openxmlformats.org/officeDocument/2006/relationships/hyperlink" Target="https://www.dimensional.com.br/disjuntor-mini-tripolar-50a-220-380vca-curva-c-6ka-5sl63507mb-siemens/p" TargetMode="External"/><Relationship Id="rId8" Type="http://schemas.openxmlformats.org/officeDocument/2006/relationships/hyperlink" Target="https://www.siemens.com/br/pt/produtos/energia/produtos-baixa-tensao/disjuntores-caixa-moldada/disjuntores-3vm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g.net/catalog/weg/BR/pt/Automa%C3%A7%C3%A3o-e-Controle-Industrial/Controls/Partida-e-Prote%C3%A7%C3%A3o-de-Motores/Contatores/Pot%C3%AAncia/Contatores-CWM/CONTATOR-CWM32-00-30D33-32A-380V-50-60Hz/p/10045500" TargetMode="External"/><Relationship Id="rId2" Type="http://schemas.openxmlformats.org/officeDocument/2006/relationships/hyperlink" Target="https://www.weg.net/catalog/weg/BR/pt/Automa%C3%A7%C3%A3o-e-Controle-Industrial/Drives/Soft-Starters/Uso-geral/Soft-Starter-SSW07/SOFT-STARTER-SSW070200T5SZ-200A-220-575V/p/10233131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atON5W57ItJuXxTeBW88b_dN48C8XFKK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0"/>
    <col customWidth="1" min="2" max="2" width="16.63"/>
    <col customWidth="1" min="3" max="3" width="21.88"/>
    <col customWidth="1" min="4" max="4" width="21.5"/>
    <col customWidth="1" min="6" max="6" width="14.5"/>
    <col customWidth="1" min="9" max="9" width="9.13"/>
    <col customWidth="1" min="10" max="11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>
      <c r="A2" s="4">
        <v>1.0</v>
      </c>
      <c r="B2" s="5" t="s">
        <v>12</v>
      </c>
      <c r="C2" s="5" t="s">
        <v>13</v>
      </c>
      <c r="D2" s="5">
        <v>50.0</v>
      </c>
      <c r="E2" s="5">
        <v>0.87</v>
      </c>
      <c r="F2" s="5">
        <v>0.93</v>
      </c>
      <c r="G2" s="6">
        <f t="shared" ref="G2:G8" si="1">(D2*0.7355)/F2</f>
        <v>39.54301075</v>
      </c>
      <c r="H2" s="6">
        <f t="shared" ref="H2:H13" si="2">SQRT(I2^2-G2^2)</f>
        <v>22.41005692</v>
      </c>
      <c r="I2" s="6">
        <f t="shared" ref="I2:I13" si="3">G2/E2</f>
        <v>45.4517365</v>
      </c>
      <c r="J2" s="5">
        <v>119.36</v>
      </c>
      <c r="K2" s="6">
        <f t="shared" ref="K2:K13" si="4">(G2*1000)/(1.732*380*E2)</f>
        <v>69.05879497</v>
      </c>
      <c r="L2" s="5" t="s">
        <v>14</v>
      </c>
      <c r="M2" s="3"/>
    </row>
    <row r="3">
      <c r="A3" s="7">
        <v>1.0</v>
      </c>
      <c r="B3" s="8" t="s">
        <v>15</v>
      </c>
      <c r="C3" s="8" t="s">
        <v>13</v>
      </c>
      <c r="D3" s="8">
        <v>125.0</v>
      </c>
      <c r="E3" s="8">
        <v>0.88</v>
      </c>
      <c r="F3" s="8">
        <v>0.945</v>
      </c>
      <c r="G3" s="6">
        <f t="shared" si="1"/>
        <v>97.28835979</v>
      </c>
      <c r="H3" s="6">
        <f t="shared" si="2"/>
        <v>52.51069387</v>
      </c>
      <c r="I3" s="6">
        <f t="shared" si="3"/>
        <v>110.5549543</v>
      </c>
      <c r="J3" s="5">
        <v>290.33</v>
      </c>
      <c r="K3" s="6">
        <f t="shared" si="4"/>
        <v>167.9758027</v>
      </c>
      <c r="L3" s="8" t="s">
        <v>16</v>
      </c>
      <c r="M3" s="3"/>
    </row>
    <row r="4">
      <c r="A4" s="9">
        <v>1.0</v>
      </c>
      <c r="B4" s="10" t="s">
        <v>17</v>
      </c>
      <c r="C4" s="10" t="s">
        <v>13</v>
      </c>
      <c r="D4" s="10">
        <v>30.0</v>
      </c>
      <c r="E4" s="10">
        <v>0.87</v>
      </c>
      <c r="F4" s="10">
        <v>0.92</v>
      </c>
      <c r="G4" s="6">
        <f t="shared" si="1"/>
        <v>23.98369565</v>
      </c>
      <c r="H4" s="6">
        <f t="shared" si="2"/>
        <v>13.5921867</v>
      </c>
      <c r="I4" s="6">
        <f t="shared" si="3"/>
        <v>27.56746627</v>
      </c>
      <c r="J4" s="5">
        <v>72.4</v>
      </c>
      <c r="K4" s="6">
        <f t="shared" si="4"/>
        <v>41.88566043</v>
      </c>
      <c r="L4" s="10" t="s">
        <v>18</v>
      </c>
      <c r="M4" s="3"/>
    </row>
    <row r="5">
      <c r="A5" s="7">
        <v>1.0</v>
      </c>
      <c r="B5" s="8" t="s">
        <v>19</v>
      </c>
      <c r="C5" s="8" t="s">
        <v>13</v>
      </c>
      <c r="D5" s="8">
        <v>150.0</v>
      </c>
      <c r="E5" s="8">
        <v>0.89</v>
      </c>
      <c r="F5" s="8">
        <v>0.95</v>
      </c>
      <c r="G5" s="6">
        <f t="shared" si="1"/>
        <v>116.1315789</v>
      </c>
      <c r="H5" s="6">
        <f t="shared" si="2"/>
        <v>59.49597265</v>
      </c>
      <c r="I5" s="6">
        <f t="shared" si="3"/>
        <v>130.4849202</v>
      </c>
      <c r="J5" s="5">
        <v>342.67</v>
      </c>
      <c r="K5" s="6">
        <f t="shared" si="4"/>
        <v>198.2571414</v>
      </c>
      <c r="L5" s="8" t="s">
        <v>20</v>
      </c>
      <c r="M5" s="3"/>
    </row>
    <row r="6">
      <c r="A6" s="9">
        <v>2.0</v>
      </c>
      <c r="B6" s="10" t="s">
        <v>21</v>
      </c>
      <c r="C6" s="10" t="s">
        <v>13</v>
      </c>
      <c r="D6" s="10">
        <v>20.0</v>
      </c>
      <c r="E6" s="10">
        <v>0.86</v>
      </c>
      <c r="F6" s="10">
        <v>0.91</v>
      </c>
      <c r="G6" s="6">
        <f t="shared" si="1"/>
        <v>16.16483516</v>
      </c>
      <c r="H6" s="6">
        <f t="shared" si="2"/>
        <v>9.591649915</v>
      </c>
      <c r="I6" s="6">
        <f t="shared" si="3"/>
        <v>18.79631996</v>
      </c>
      <c r="J6" s="5">
        <v>49.36</v>
      </c>
      <c r="K6" s="6">
        <f t="shared" si="4"/>
        <v>28.55889139</v>
      </c>
      <c r="L6" s="10" t="s">
        <v>22</v>
      </c>
      <c r="M6" s="3"/>
    </row>
    <row r="7">
      <c r="A7" s="7">
        <v>2.0</v>
      </c>
      <c r="B7" s="8" t="s">
        <v>23</v>
      </c>
      <c r="C7" s="8" t="s">
        <v>13</v>
      </c>
      <c r="D7" s="8">
        <v>75.0</v>
      </c>
      <c r="E7" s="8">
        <v>0.88</v>
      </c>
      <c r="F7" s="8">
        <v>0.935</v>
      </c>
      <c r="G7" s="6">
        <f t="shared" si="1"/>
        <v>58.9973262</v>
      </c>
      <c r="H7" s="6">
        <f t="shared" si="2"/>
        <v>31.84338334</v>
      </c>
      <c r="I7" s="6">
        <f t="shared" si="3"/>
        <v>67.04241614</v>
      </c>
      <c r="J7" s="5">
        <v>176.06</v>
      </c>
      <c r="K7" s="6">
        <f t="shared" si="4"/>
        <v>101.8634012</v>
      </c>
      <c r="L7" s="8" t="s">
        <v>24</v>
      </c>
      <c r="M7" s="3"/>
    </row>
    <row r="8">
      <c r="A8" s="9">
        <v>2.0</v>
      </c>
      <c r="B8" s="10" t="s">
        <v>25</v>
      </c>
      <c r="C8" s="10" t="s">
        <v>13</v>
      </c>
      <c r="D8" s="10">
        <v>30.0</v>
      </c>
      <c r="E8" s="10">
        <v>0.87</v>
      </c>
      <c r="F8" s="10">
        <v>0.92</v>
      </c>
      <c r="G8" s="6">
        <f t="shared" si="1"/>
        <v>23.98369565</v>
      </c>
      <c r="H8" s="6">
        <f t="shared" si="2"/>
        <v>13.5921867</v>
      </c>
      <c r="I8" s="6">
        <f t="shared" si="3"/>
        <v>27.56746627</v>
      </c>
      <c r="J8" s="5">
        <v>72.4</v>
      </c>
      <c r="K8" s="6">
        <f t="shared" si="4"/>
        <v>41.88566043</v>
      </c>
      <c r="L8" s="10" t="s">
        <v>18</v>
      </c>
      <c r="M8" s="3"/>
    </row>
    <row r="9">
      <c r="A9" s="7">
        <v>3.0</v>
      </c>
      <c r="B9" s="8" t="s">
        <v>26</v>
      </c>
      <c r="C9" s="8" t="s">
        <v>27</v>
      </c>
      <c r="D9" s="8" t="s">
        <v>27</v>
      </c>
      <c r="E9" s="8">
        <v>0.92</v>
      </c>
      <c r="F9" s="8" t="s">
        <v>27</v>
      </c>
      <c r="G9" s="8">
        <v>75.0</v>
      </c>
      <c r="H9" s="6">
        <f t="shared" si="2"/>
        <v>31.94986621</v>
      </c>
      <c r="I9" s="6">
        <f t="shared" si="3"/>
        <v>81.52173913</v>
      </c>
      <c r="J9" s="5">
        <v>213.94</v>
      </c>
      <c r="K9" s="6">
        <f t="shared" si="4"/>
        <v>123.8631019</v>
      </c>
      <c r="L9" s="8" t="s">
        <v>27</v>
      </c>
      <c r="M9" s="3"/>
    </row>
    <row r="10">
      <c r="A10" s="9">
        <v>3.0</v>
      </c>
      <c r="B10" s="10" t="s">
        <v>28</v>
      </c>
      <c r="C10" s="10" t="s">
        <v>27</v>
      </c>
      <c r="D10" s="10" t="s">
        <v>27</v>
      </c>
      <c r="E10" s="10">
        <v>0.92</v>
      </c>
      <c r="F10" s="10" t="s">
        <v>27</v>
      </c>
      <c r="G10" s="10">
        <v>75.0</v>
      </c>
      <c r="H10" s="6">
        <f t="shared" si="2"/>
        <v>31.94986621</v>
      </c>
      <c r="I10" s="6">
        <f t="shared" si="3"/>
        <v>81.52173913</v>
      </c>
      <c r="J10" s="5">
        <v>213.94</v>
      </c>
      <c r="K10" s="6">
        <f t="shared" si="4"/>
        <v>123.8631019</v>
      </c>
      <c r="L10" s="10" t="s">
        <v>27</v>
      </c>
      <c r="M10" s="3"/>
    </row>
    <row r="11">
      <c r="A11" s="7">
        <v>3.0</v>
      </c>
      <c r="B11" s="8" t="s">
        <v>29</v>
      </c>
      <c r="C11" s="8" t="s">
        <v>27</v>
      </c>
      <c r="D11" s="8" t="s">
        <v>27</v>
      </c>
      <c r="E11" s="8">
        <v>1.0</v>
      </c>
      <c r="F11" s="8" t="s">
        <v>27</v>
      </c>
      <c r="G11" s="8">
        <v>30.0</v>
      </c>
      <c r="H11" s="11">
        <f t="shared" si="2"/>
        <v>0</v>
      </c>
      <c r="I11" s="11">
        <f t="shared" si="3"/>
        <v>30</v>
      </c>
      <c r="J11" s="5">
        <v>78.73</v>
      </c>
      <c r="K11" s="6">
        <f t="shared" si="4"/>
        <v>45.58162149</v>
      </c>
      <c r="L11" s="8" t="s">
        <v>27</v>
      </c>
      <c r="M11" s="3"/>
    </row>
    <row r="12">
      <c r="A12" s="9">
        <v>3.0</v>
      </c>
      <c r="B12" s="10" t="s">
        <v>30</v>
      </c>
      <c r="C12" s="10" t="s">
        <v>27</v>
      </c>
      <c r="D12" s="10" t="s">
        <v>27</v>
      </c>
      <c r="E12" s="10">
        <v>1.0</v>
      </c>
      <c r="F12" s="10" t="s">
        <v>27</v>
      </c>
      <c r="G12" s="10">
        <v>25.0</v>
      </c>
      <c r="H12" s="11">
        <f t="shared" si="2"/>
        <v>0</v>
      </c>
      <c r="I12" s="11">
        <f t="shared" si="3"/>
        <v>25</v>
      </c>
      <c r="J12" s="5">
        <v>65.61</v>
      </c>
      <c r="K12" s="6">
        <f t="shared" si="4"/>
        <v>37.98468458</v>
      </c>
      <c r="L12" s="10" t="s">
        <v>27</v>
      </c>
      <c r="M12" s="3"/>
    </row>
    <row r="13">
      <c r="A13" s="7">
        <v>3.0</v>
      </c>
      <c r="B13" s="8" t="s">
        <v>31</v>
      </c>
      <c r="C13" s="8" t="s">
        <v>27</v>
      </c>
      <c r="D13" s="8" t="s">
        <v>27</v>
      </c>
      <c r="E13" s="8">
        <v>1.0</v>
      </c>
      <c r="F13" s="8" t="s">
        <v>27</v>
      </c>
      <c r="G13" s="8">
        <v>40.0</v>
      </c>
      <c r="H13" s="11">
        <f t="shared" si="2"/>
        <v>0</v>
      </c>
      <c r="I13" s="11">
        <f t="shared" si="3"/>
        <v>40</v>
      </c>
      <c r="J13" s="5">
        <v>104.97</v>
      </c>
      <c r="K13" s="6">
        <f t="shared" si="4"/>
        <v>60.77549532</v>
      </c>
      <c r="L13" s="8" t="s">
        <v>27</v>
      </c>
      <c r="M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>
      <c r="G16" s="3"/>
      <c r="H16" s="3"/>
      <c r="I16" s="3"/>
      <c r="J16" s="3"/>
      <c r="K16" s="3"/>
      <c r="L16" s="3"/>
      <c r="M16" s="3"/>
    </row>
    <row r="21">
      <c r="B21" s="12"/>
    </row>
    <row r="22">
      <c r="B22" s="13"/>
    </row>
    <row r="23">
      <c r="B23" s="12"/>
    </row>
    <row r="24">
      <c r="B24" s="12"/>
    </row>
    <row r="25">
      <c r="B25" s="13"/>
    </row>
    <row r="26">
      <c r="B26" s="12"/>
    </row>
    <row r="27">
      <c r="B27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28.38"/>
    <col customWidth="1" min="3" max="3" width="27.13"/>
    <col customWidth="1" min="4" max="4" width="28.0"/>
    <col customWidth="1" min="5" max="5" width="15.75"/>
    <col customWidth="1" min="6" max="7" width="26.75"/>
  </cols>
  <sheetData>
    <row r="1">
      <c r="A1" s="138" t="s">
        <v>0</v>
      </c>
      <c r="B1" s="139" t="s">
        <v>308</v>
      </c>
      <c r="C1" s="139" t="s">
        <v>309</v>
      </c>
      <c r="D1" s="139" t="s">
        <v>310</v>
      </c>
      <c r="E1" s="139" t="s">
        <v>4</v>
      </c>
      <c r="F1" s="139" t="s">
        <v>311</v>
      </c>
      <c r="G1" s="139" t="s">
        <v>89</v>
      </c>
    </row>
    <row r="2">
      <c r="A2" s="140">
        <v>1.0</v>
      </c>
      <c r="B2" s="141">
        <f>SUM('1 - Dados iniciais de cargas'!G2:G5)</f>
        <v>276.9466451</v>
      </c>
      <c r="C2" s="141">
        <f>SUM('1 - Dados iniciais de cargas'!H2:H5)</f>
        <v>148.0089101</v>
      </c>
      <c r="D2" s="141">
        <f>SUM('1 - Dados iniciais de cargas'!I2:I5)</f>
        <v>314.0590772</v>
      </c>
      <c r="E2" s="141">
        <f t="shared" ref="E2:E5" si="1">B2/D2</f>
        <v>0.8818297741</v>
      </c>
      <c r="F2" s="142">
        <f>SUM('1 - Dados iniciais de cargas'!J2:J5)</f>
        <v>824.76</v>
      </c>
      <c r="G2" s="141">
        <f>SUM('1 - Dados iniciais de cargas'!K2:K5)</f>
        <v>477.1773995</v>
      </c>
    </row>
    <row r="3">
      <c r="A3" s="143">
        <v>2.0</v>
      </c>
      <c r="B3" s="141">
        <f>SUM('1 - Dados iniciais de cargas'!G6:G8)</f>
        <v>99.14585702</v>
      </c>
      <c r="C3" s="141">
        <f>SUM('1 - Dados iniciais de cargas'!H6:H8)</f>
        <v>55.02721996</v>
      </c>
      <c r="D3" s="141">
        <f>SUM('1 - Dados iniciais de cargas'!I6:I8)</f>
        <v>113.4062024</v>
      </c>
      <c r="E3" s="141">
        <f t="shared" si="1"/>
        <v>0.8742542732</v>
      </c>
      <c r="F3" s="142">
        <f>SUM('1 - Dados iniciais de cargas'!J6:J8)</f>
        <v>297.82</v>
      </c>
      <c r="G3" s="141">
        <f>SUM('1 - Dados iniciais de cargas'!K6:K8)</f>
        <v>172.307953</v>
      </c>
    </row>
    <row r="4">
      <c r="A4" s="140">
        <v>3.0</v>
      </c>
      <c r="B4" s="142">
        <f>SUM('1 - Dados iniciais de cargas'!G9:G13)</f>
        <v>245</v>
      </c>
      <c r="C4" s="141">
        <f>SUM('1 - Dados iniciais de cargas'!H9:H13)</f>
        <v>63.89973242</v>
      </c>
      <c r="D4" s="141">
        <f>SUM('1 - Dados iniciais de cargas'!I9:I13)</f>
        <v>258.0434783</v>
      </c>
      <c r="E4" s="141">
        <f t="shared" si="1"/>
        <v>0.949452401</v>
      </c>
      <c r="F4" s="142">
        <f>SUM('1 - Dados iniciais de cargas'!J9:J13)</f>
        <v>677.19</v>
      </c>
      <c r="G4" s="141">
        <f>SUM('1 - Dados iniciais de cargas'!K9:K13)</f>
        <v>392.0680051</v>
      </c>
    </row>
    <row r="5">
      <c r="A5" s="144" t="s">
        <v>98</v>
      </c>
      <c r="B5" s="145">
        <f t="shared" ref="B5:D5" si="2">SUM(B2:B4)</f>
        <v>621.0925022</v>
      </c>
      <c r="C5" s="145">
        <f t="shared" si="2"/>
        <v>266.9358625</v>
      </c>
      <c r="D5" s="145">
        <f t="shared" si="2"/>
        <v>685.5087579</v>
      </c>
      <c r="E5" s="146">
        <f t="shared" si="1"/>
        <v>0.9060314621</v>
      </c>
      <c r="F5" s="147">
        <f t="shared" ref="F5:G5" si="3">SUM(F2:F4)</f>
        <v>1799.77</v>
      </c>
      <c r="G5" s="147">
        <f t="shared" si="3"/>
        <v>1041.553358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25"/>
    <col customWidth="1" min="2" max="2" width="16.5"/>
    <col customWidth="1" min="3" max="3" width="26.75"/>
    <col customWidth="1" min="4" max="4" width="27.63"/>
    <col customWidth="1" min="5" max="5" width="9.75"/>
    <col customWidth="1" min="6" max="6" width="9.63"/>
    <col customWidth="1" min="7" max="7" width="14.13"/>
    <col customWidth="1" min="8" max="8" width="28.13"/>
    <col customWidth="1" min="9" max="9" width="28.38"/>
    <col customWidth="1" min="10" max="10" width="32.88"/>
    <col customWidth="1" min="11" max="11" width="29.88"/>
    <col customWidth="1" min="12" max="12" width="25.38"/>
    <col customWidth="1" min="13" max="13" width="24.63"/>
    <col customWidth="1" min="14" max="14" width="17.0"/>
    <col customWidth="1" min="16" max="16" width="19.38"/>
    <col customWidth="1" min="17" max="17" width="25.38"/>
    <col customWidth="1" min="18" max="18" width="18.63"/>
    <col customWidth="1" min="19" max="19" width="16.0"/>
    <col customWidth="1" min="20" max="20" width="11.13"/>
    <col customWidth="1" min="21" max="21" width="14.13"/>
    <col customWidth="1" min="22" max="22" width="31.13"/>
    <col customWidth="1" min="24" max="24" width="31.13"/>
  </cols>
  <sheetData>
    <row r="1">
      <c r="A1" s="14" t="s">
        <v>0</v>
      </c>
      <c r="B1" s="14" t="s">
        <v>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4" t="s">
        <v>39</v>
      </c>
      <c r="K1" s="14" t="s">
        <v>40</v>
      </c>
      <c r="L1" s="14" t="s">
        <v>41</v>
      </c>
      <c r="M1" s="14" t="s">
        <v>42</v>
      </c>
      <c r="N1" s="14" t="s">
        <v>43</v>
      </c>
    </row>
    <row r="2">
      <c r="A2" s="15">
        <v>1.0</v>
      </c>
      <c r="B2" s="16" t="s">
        <v>12</v>
      </c>
      <c r="C2" s="16">
        <v>50.0</v>
      </c>
      <c r="D2" s="17">
        <f>'1 - Dados iniciais de cargas'!I2</f>
        <v>45.4517365</v>
      </c>
      <c r="E2" s="16">
        <v>0.8</v>
      </c>
      <c r="F2" s="16">
        <v>0.87</v>
      </c>
      <c r="G2" s="17">
        <f>'1 - Dados iniciais de cargas'!K2</f>
        <v>69.05879497</v>
      </c>
      <c r="H2" s="16">
        <f t="shared" ref="H2:H13" si="1">G2/(E2*F2)</f>
        <v>99.22240657</v>
      </c>
      <c r="I2" s="16">
        <v>25.0</v>
      </c>
      <c r="J2" s="17">
        <f t="shared" ref="J2:J13" si="2">(SQRT(3)*0.0225*10*G2)/(380*0.04)</f>
        <v>1.770592228</v>
      </c>
      <c r="K2" s="16">
        <v>4.0</v>
      </c>
      <c r="L2" s="16">
        <f t="shared" ref="L2:L13" si="3">I2</f>
        <v>25</v>
      </c>
      <c r="M2" s="16" t="s">
        <v>44</v>
      </c>
      <c r="N2" s="18">
        <v>1.0</v>
      </c>
    </row>
    <row r="3">
      <c r="A3" s="19"/>
      <c r="B3" s="20" t="s">
        <v>15</v>
      </c>
      <c r="C3" s="20">
        <v>125.0</v>
      </c>
      <c r="D3" s="21">
        <f>'1 - Dados iniciais de cargas'!I3</f>
        <v>110.5549543</v>
      </c>
      <c r="E3" s="20">
        <v>0.8</v>
      </c>
      <c r="F3" s="20">
        <v>0.87</v>
      </c>
      <c r="G3" s="21">
        <f>'1 - Dados iniciais de cargas'!K3</f>
        <v>167.9758027</v>
      </c>
      <c r="H3" s="20">
        <f t="shared" si="1"/>
        <v>241.3445441</v>
      </c>
      <c r="I3" s="20">
        <v>95.0</v>
      </c>
      <c r="J3" s="21">
        <f t="shared" si="2"/>
        <v>4.306716484</v>
      </c>
      <c r="K3" s="20">
        <v>4.0</v>
      </c>
      <c r="L3" s="20">
        <f t="shared" si="3"/>
        <v>95</v>
      </c>
      <c r="M3" s="20" t="s">
        <v>45</v>
      </c>
      <c r="N3" s="22"/>
    </row>
    <row r="4">
      <c r="A4" s="19"/>
      <c r="B4" s="23" t="s">
        <v>17</v>
      </c>
      <c r="C4" s="23">
        <v>30.0</v>
      </c>
      <c r="D4" s="24">
        <f>'1 - Dados iniciais de cargas'!I4</f>
        <v>27.56746627</v>
      </c>
      <c r="E4" s="23">
        <v>0.8</v>
      </c>
      <c r="F4" s="23">
        <v>0.87</v>
      </c>
      <c r="G4" s="24">
        <f>'1 - Dados iniciais de cargas'!K4</f>
        <v>41.88566043</v>
      </c>
      <c r="H4" s="23">
        <f t="shared" si="1"/>
        <v>60.18054659</v>
      </c>
      <c r="I4" s="23">
        <v>10.0</v>
      </c>
      <c r="J4" s="24">
        <f t="shared" si="2"/>
        <v>1.073902677</v>
      </c>
      <c r="K4" s="23">
        <v>4.0</v>
      </c>
      <c r="L4" s="23">
        <f t="shared" si="3"/>
        <v>10</v>
      </c>
      <c r="M4" s="23" t="s">
        <v>46</v>
      </c>
      <c r="N4" s="18">
        <v>2.0</v>
      </c>
    </row>
    <row r="5">
      <c r="A5" s="22"/>
      <c r="B5" s="20" t="s">
        <v>19</v>
      </c>
      <c r="C5" s="20">
        <v>150.0</v>
      </c>
      <c r="D5" s="21">
        <f>'1 - Dados iniciais de cargas'!I5</f>
        <v>130.4849202</v>
      </c>
      <c r="E5" s="20">
        <v>0.8</v>
      </c>
      <c r="F5" s="20">
        <v>0.87</v>
      </c>
      <c r="G5" s="21">
        <f>'1 - Dados iniciais de cargas'!K5</f>
        <v>198.2571414</v>
      </c>
      <c r="H5" s="20">
        <f t="shared" si="1"/>
        <v>284.8522146</v>
      </c>
      <c r="I5" s="20">
        <v>120.0</v>
      </c>
      <c r="J5" s="21">
        <f t="shared" si="2"/>
        <v>5.083097001</v>
      </c>
      <c r="K5" s="20">
        <v>4.0</v>
      </c>
      <c r="L5" s="20">
        <f t="shared" si="3"/>
        <v>120</v>
      </c>
      <c r="M5" s="20" t="s">
        <v>47</v>
      </c>
      <c r="N5" s="22"/>
    </row>
    <row r="6">
      <c r="A6" s="15">
        <v>2.0</v>
      </c>
      <c r="B6" s="23" t="s">
        <v>21</v>
      </c>
      <c r="C6" s="23">
        <v>20.0</v>
      </c>
      <c r="D6" s="24">
        <f>'1 - Dados iniciais de cargas'!I6</f>
        <v>18.79631996</v>
      </c>
      <c r="E6" s="23">
        <v>0.8</v>
      </c>
      <c r="F6" s="23">
        <v>0.87</v>
      </c>
      <c r="G6" s="24">
        <f>'1 - Dados iniciais de cargas'!K6</f>
        <v>28.55889139</v>
      </c>
      <c r="H6" s="23">
        <f t="shared" si="1"/>
        <v>41.03288993</v>
      </c>
      <c r="I6" s="23">
        <v>6.0</v>
      </c>
      <c r="J6" s="24">
        <f t="shared" si="2"/>
        <v>0.7322188456</v>
      </c>
      <c r="K6" s="23">
        <v>4.0</v>
      </c>
      <c r="L6" s="23">
        <f t="shared" si="3"/>
        <v>6</v>
      </c>
      <c r="M6" s="23" t="s">
        <v>48</v>
      </c>
      <c r="N6" s="18">
        <v>3.0</v>
      </c>
    </row>
    <row r="7">
      <c r="A7" s="19"/>
      <c r="B7" s="20" t="s">
        <v>23</v>
      </c>
      <c r="C7" s="20">
        <v>75.0</v>
      </c>
      <c r="D7" s="21">
        <f>'1 - Dados iniciais de cargas'!I7</f>
        <v>67.04241614</v>
      </c>
      <c r="E7" s="20">
        <v>0.8</v>
      </c>
      <c r="F7" s="20">
        <v>0.87</v>
      </c>
      <c r="G7" s="21">
        <f>'1 - Dados iniciais de cargas'!K7</f>
        <v>101.8634012</v>
      </c>
      <c r="H7" s="20">
        <f t="shared" si="1"/>
        <v>146.3554615</v>
      </c>
      <c r="I7" s="20">
        <v>50.0</v>
      </c>
      <c r="J7" s="21">
        <f t="shared" si="2"/>
        <v>2.611666574</v>
      </c>
      <c r="K7" s="20">
        <v>4.0</v>
      </c>
      <c r="L7" s="20">
        <f t="shared" si="3"/>
        <v>50</v>
      </c>
      <c r="M7" s="20" t="s">
        <v>49</v>
      </c>
      <c r="N7" s="22"/>
    </row>
    <row r="8">
      <c r="A8" s="22"/>
      <c r="B8" s="23" t="s">
        <v>25</v>
      </c>
      <c r="C8" s="23">
        <v>30.0</v>
      </c>
      <c r="D8" s="24">
        <f>'1 - Dados iniciais de cargas'!I8</f>
        <v>27.56746627</v>
      </c>
      <c r="E8" s="23">
        <v>1.0</v>
      </c>
      <c r="F8" s="23">
        <v>0.87</v>
      </c>
      <c r="G8" s="24">
        <f>'1 - Dados iniciais de cargas'!K8</f>
        <v>41.88566043</v>
      </c>
      <c r="H8" s="23">
        <f t="shared" si="1"/>
        <v>48.14443727</v>
      </c>
      <c r="I8" s="23">
        <v>10.0</v>
      </c>
      <c r="J8" s="24">
        <f t="shared" si="2"/>
        <v>1.073902677</v>
      </c>
      <c r="K8" s="23">
        <v>4.0</v>
      </c>
      <c r="L8" s="23">
        <f t="shared" si="3"/>
        <v>10</v>
      </c>
      <c r="M8" s="23" t="s">
        <v>46</v>
      </c>
      <c r="N8" s="25">
        <v>4.0</v>
      </c>
    </row>
    <row r="9">
      <c r="A9" s="15">
        <v>3.0</v>
      </c>
      <c r="B9" s="20" t="s">
        <v>50</v>
      </c>
      <c r="C9" s="20" t="s">
        <v>27</v>
      </c>
      <c r="D9" s="21">
        <f>'1 - Dados iniciais de cargas'!I9</f>
        <v>81.52173913</v>
      </c>
      <c r="E9" s="20">
        <v>0.8</v>
      </c>
      <c r="F9" s="20">
        <v>0.87</v>
      </c>
      <c r="G9" s="21">
        <f>'1 - Dados iniciais de cargas'!K9</f>
        <v>123.8631019</v>
      </c>
      <c r="H9" s="20">
        <f t="shared" si="1"/>
        <v>177.9642268</v>
      </c>
      <c r="I9" s="20">
        <v>70.0</v>
      </c>
      <c r="J9" s="21">
        <f t="shared" si="2"/>
        <v>3.175714919</v>
      </c>
      <c r="K9" s="20">
        <v>2.5</v>
      </c>
      <c r="L9" s="20">
        <f t="shared" si="3"/>
        <v>70</v>
      </c>
      <c r="M9" s="21" t="s">
        <v>51</v>
      </c>
      <c r="N9" s="18">
        <v>5.0</v>
      </c>
    </row>
    <row r="10">
      <c r="A10" s="19"/>
      <c r="B10" s="23" t="s">
        <v>52</v>
      </c>
      <c r="C10" s="23" t="s">
        <v>27</v>
      </c>
      <c r="D10" s="24">
        <f>'1 - Dados iniciais de cargas'!I10</f>
        <v>81.52173913</v>
      </c>
      <c r="E10" s="23">
        <v>0.8</v>
      </c>
      <c r="F10" s="23">
        <v>0.87</v>
      </c>
      <c r="G10" s="24">
        <f>'1 - Dados iniciais de cargas'!K10</f>
        <v>123.8631019</v>
      </c>
      <c r="H10" s="23">
        <f t="shared" si="1"/>
        <v>177.9642268</v>
      </c>
      <c r="I10" s="23">
        <v>70.0</v>
      </c>
      <c r="J10" s="24">
        <f t="shared" si="2"/>
        <v>3.175714919</v>
      </c>
      <c r="K10" s="23">
        <v>2.5</v>
      </c>
      <c r="L10" s="23">
        <f t="shared" si="3"/>
        <v>70</v>
      </c>
      <c r="M10" s="24" t="s">
        <v>51</v>
      </c>
      <c r="N10" s="22"/>
    </row>
    <row r="11">
      <c r="A11" s="19"/>
      <c r="B11" s="20" t="s">
        <v>29</v>
      </c>
      <c r="C11" s="20" t="s">
        <v>27</v>
      </c>
      <c r="D11" s="26">
        <f>'1 - Dados iniciais de cargas'!I11</f>
        <v>30</v>
      </c>
      <c r="E11" s="20">
        <v>0.8</v>
      </c>
      <c r="F11" s="20">
        <v>0.87</v>
      </c>
      <c r="G11" s="21">
        <f>'1 - Dados iniciais de cargas'!K11</f>
        <v>45.58162149</v>
      </c>
      <c r="H11" s="20">
        <f t="shared" si="1"/>
        <v>65.49083547</v>
      </c>
      <c r="I11" s="20">
        <v>10.0</v>
      </c>
      <c r="J11" s="26">
        <f t="shared" si="2"/>
        <v>1.16866309</v>
      </c>
      <c r="K11" s="20">
        <v>4.0</v>
      </c>
      <c r="L11" s="20">
        <f t="shared" si="3"/>
        <v>10</v>
      </c>
      <c r="M11" s="21" t="s">
        <v>53</v>
      </c>
      <c r="N11" s="18">
        <v>6.0</v>
      </c>
    </row>
    <row r="12">
      <c r="A12" s="19"/>
      <c r="B12" s="23" t="s">
        <v>30</v>
      </c>
      <c r="C12" s="23" t="s">
        <v>27</v>
      </c>
      <c r="D12" s="27">
        <f>'1 - Dados iniciais de cargas'!I12</f>
        <v>25</v>
      </c>
      <c r="E12" s="23">
        <v>0.8</v>
      </c>
      <c r="F12" s="23">
        <v>0.87</v>
      </c>
      <c r="G12" s="24">
        <f>'1 - Dados iniciais de cargas'!K12</f>
        <v>37.98468458</v>
      </c>
      <c r="H12" s="23">
        <f t="shared" si="1"/>
        <v>54.57569623</v>
      </c>
      <c r="I12" s="23">
        <v>10.0</v>
      </c>
      <c r="J12" s="27">
        <f t="shared" si="2"/>
        <v>0.9738859085</v>
      </c>
      <c r="K12" s="23">
        <v>4.0</v>
      </c>
      <c r="L12" s="23">
        <f t="shared" si="3"/>
        <v>10</v>
      </c>
      <c r="M12" s="24" t="s">
        <v>54</v>
      </c>
      <c r="N12" s="22"/>
    </row>
    <row r="13">
      <c r="A13" s="22"/>
      <c r="B13" s="20" t="s">
        <v>31</v>
      </c>
      <c r="C13" s="20" t="s">
        <v>27</v>
      </c>
      <c r="D13" s="26">
        <f>'1 - Dados iniciais de cargas'!I13</f>
        <v>40</v>
      </c>
      <c r="E13" s="20">
        <v>1.0</v>
      </c>
      <c r="F13" s="20">
        <v>0.87</v>
      </c>
      <c r="G13" s="21">
        <f>'1 - Dados iniciais de cargas'!K13</f>
        <v>60.77549532</v>
      </c>
      <c r="H13" s="20">
        <f t="shared" si="1"/>
        <v>69.85689117</v>
      </c>
      <c r="I13" s="20">
        <v>16.0</v>
      </c>
      <c r="J13" s="26">
        <f t="shared" si="2"/>
        <v>1.558217454</v>
      </c>
      <c r="K13" s="20">
        <v>4.0</v>
      </c>
      <c r="L13" s="20">
        <f t="shared" si="3"/>
        <v>16</v>
      </c>
      <c r="M13" s="21" t="s">
        <v>55</v>
      </c>
      <c r="N13" s="25">
        <v>7.0</v>
      </c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B15" s="3"/>
      <c r="C15" s="3"/>
      <c r="D15" s="3"/>
      <c r="E15" s="3"/>
      <c r="F15" s="3"/>
      <c r="G15" s="3"/>
      <c r="H15" s="3"/>
      <c r="J15" s="3"/>
      <c r="K15" s="3"/>
      <c r="L15" s="3"/>
    </row>
    <row r="16">
      <c r="B16" s="3"/>
      <c r="D16" s="3"/>
      <c r="E16" s="3"/>
      <c r="F16" s="3"/>
      <c r="G16" s="3"/>
      <c r="H16" s="3"/>
      <c r="J16" s="3"/>
      <c r="K16" s="3"/>
      <c r="L16" s="3"/>
    </row>
    <row r="17">
      <c r="B17" s="3"/>
      <c r="C17" s="14" t="s">
        <v>56</v>
      </c>
      <c r="D17" s="3"/>
      <c r="E17" s="3"/>
      <c r="F17" s="3"/>
      <c r="G17" s="3"/>
      <c r="H17" s="3"/>
      <c r="K17" s="3"/>
      <c r="L17" s="3"/>
    </row>
    <row r="18">
      <c r="B18" s="3"/>
      <c r="C18" s="16" t="s">
        <v>57</v>
      </c>
      <c r="D18" s="3"/>
      <c r="E18" s="3"/>
      <c r="F18" s="3"/>
      <c r="G18" s="3"/>
      <c r="H18" s="3"/>
      <c r="J18" s="3"/>
      <c r="K18" s="3"/>
      <c r="L18" s="3"/>
      <c r="P18" s="28"/>
      <c r="Q18" s="28"/>
      <c r="R18" s="28"/>
      <c r="S18" s="28"/>
      <c r="T18" s="28"/>
      <c r="U18" s="28"/>
    </row>
    <row r="19">
      <c r="B19" s="3"/>
      <c r="C19" s="20" t="s">
        <v>58</v>
      </c>
      <c r="D19" s="3"/>
      <c r="E19" s="3"/>
      <c r="F19" s="3"/>
      <c r="G19" s="3"/>
      <c r="H19" s="3"/>
      <c r="J19" s="3"/>
      <c r="K19" s="3"/>
      <c r="L19" s="3"/>
      <c r="P19" s="29"/>
      <c r="Q19" s="29"/>
      <c r="R19" s="29"/>
      <c r="S19" s="29"/>
      <c r="T19" s="29"/>
      <c r="U19" s="30"/>
    </row>
    <row r="20">
      <c r="B20" s="3"/>
      <c r="C20" s="23" t="s">
        <v>59</v>
      </c>
      <c r="D20" s="3"/>
      <c r="E20" s="3"/>
      <c r="F20" s="3"/>
      <c r="G20" s="3"/>
      <c r="H20" s="3"/>
      <c r="J20" s="3"/>
      <c r="K20" s="3"/>
      <c r="L20" s="3"/>
      <c r="P20" s="29"/>
      <c r="Q20" s="29"/>
      <c r="R20" s="29"/>
      <c r="S20" s="29"/>
      <c r="T20" s="29"/>
      <c r="U20" s="30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P21" s="29"/>
      <c r="Q21" s="29"/>
      <c r="R21" s="29"/>
      <c r="S21" s="29"/>
      <c r="T21" s="29"/>
      <c r="U21" s="30"/>
    </row>
    <row r="22">
      <c r="L22" s="31"/>
      <c r="P22" s="29"/>
      <c r="Q22" s="29"/>
      <c r="R22" s="29"/>
      <c r="S22" s="29"/>
      <c r="T22" s="29"/>
      <c r="U22" s="30"/>
    </row>
    <row r="23">
      <c r="P23" s="29"/>
      <c r="Q23" s="29"/>
      <c r="R23" s="29"/>
      <c r="S23" s="29"/>
      <c r="T23" s="29"/>
      <c r="U23" s="30"/>
    </row>
    <row r="24">
      <c r="P24" s="29"/>
      <c r="Q24" s="29"/>
      <c r="R24" s="29"/>
      <c r="S24" s="29"/>
      <c r="T24" s="29"/>
      <c r="U24" s="30"/>
    </row>
    <row r="25">
      <c r="P25" s="29"/>
      <c r="Q25" s="29"/>
      <c r="R25" s="29"/>
      <c r="S25" s="29"/>
      <c r="T25" s="29"/>
      <c r="U25" s="30"/>
    </row>
    <row r="26">
      <c r="P26" s="29"/>
      <c r="Q26" s="29"/>
      <c r="R26" s="29"/>
      <c r="S26" s="29"/>
      <c r="T26" s="29"/>
      <c r="U26" s="30"/>
    </row>
    <row r="27">
      <c r="P27" s="29"/>
      <c r="Q27" s="29"/>
      <c r="R27" s="29"/>
      <c r="S27" s="29"/>
      <c r="T27" s="29"/>
      <c r="U27" s="30"/>
    </row>
    <row r="28">
      <c r="P28" s="29"/>
      <c r="Q28" s="29"/>
      <c r="R28" s="29"/>
      <c r="S28" s="29"/>
      <c r="T28" s="29"/>
      <c r="U28" s="30"/>
    </row>
    <row r="29">
      <c r="P29" s="29"/>
      <c r="Q29" s="29"/>
      <c r="R29" s="29"/>
      <c r="S29" s="29"/>
      <c r="T29" s="29"/>
      <c r="U29" s="30"/>
    </row>
    <row r="30">
      <c r="P30" s="29"/>
      <c r="Q30" s="29"/>
      <c r="R30" s="29"/>
      <c r="S30" s="29"/>
      <c r="T30" s="29"/>
      <c r="U30" s="30"/>
    </row>
    <row r="33">
      <c r="U33" s="28"/>
      <c r="W33" s="28"/>
      <c r="X33" s="28"/>
      <c r="Y33" s="28"/>
    </row>
  </sheetData>
  <mergeCells count="8">
    <mergeCell ref="A2:A5"/>
    <mergeCell ref="N2:N3"/>
    <mergeCell ref="N4:N5"/>
    <mergeCell ref="A6:A8"/>
    <mergeCell ref="N6:N7"/>
    <mergeCell ref="A9:A13"/>
    <mergeCell ref="N9:N10"/>
    <mergeCell ref="N11:N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8" max="8" width="31.13"/>
  </cols>
  <sheetData>
    <row r="2">
      <c r="B2" s="32" t="s">
        <v>0</v>
      </c>
      <c r="C2" s="32" t="s">
        <v>1</v>
      </c>
      <c r="D2" s="32" t="s">
        <v>60</v>
      </c>
      <c r="E2" s="32" t="s">
        <v>61</v>
      </c>
      <c r="F2" s="32" t="s">
        <v>62</v>
      </c>
      <c r="G2" s="32" t="s">
        <v>63</v>
      </c>
      <c r="H2" s="32" t="s">
        <v>64</v>
      </c>
    </row>
    <row r="3">
      <c r="B3" s="33">
        <v>1.0</v>
      </c>
      <c r="C3" s="33" t="s">
        <v>12</v>
      </c>
      <c r="D3" s="33">
        <v>99.22</v>
      </c>
      <c r="E3" s="33" t="s">
        <v>65</v>
      </c>
      <c r="F3" s="33">
        <v>100.0</v>
      </c>
      <c r="G3" s="34" t="s">
        <v>66</v>
      </c>
      <c r="H3" s="35" t="s">
        <v>67</v>
      </c>
    </row>
    <row r="4">
      <c r="B4" s="33">
        <v>1.0</v>
      </c>
      <c r="C4" s="33" t="s">
        <v>15</v>
      </c>
      <c r="D4" s="33">
        <v>241.34</v>
      </c>
      <c r="E4" s="33" t="s">
        <v>65</v>
      </c>
      <c r="F4" s="33">
        <v>250.0</v>
      </c>
      <c r="G4" s="34" t="s">
        <v>68</v>
      </c>
      <c r="H4" s="35" t="s">
        <v>69</v>
      </c>
    </row>
    <row r="5">
      <c r="B5" s="33">
        <v>1.0</v>
      </c>
      <c r="C5" s="33" t="s">
        <v>17</v>
      </c>
      <c r="D5" s="33">
        <v>48.14</v>
      </c>
      <c r="E5" s="33" t="s">
        <v>65</v>
      </c>
      <c r="F5" s="33">
        <v>50.0</v>
      </c>
      <c r="G5" s="34" t="s">
        <v>70</v>
      </c>
      <c r="H5" s="35" t="s">
        <v>71</v>
      </c>
    </row>
    <row r="6">
      <c r="B6" s="33">
        <v>1.0</v>
      </c>
      <c r="C6" s="33" t="s">
        <v>19</v>
      </c>
      <c r="D6" s="33">
        <v>243.83</v>
      </c>
      <c r="E6" s="33" t="s">
        <v>65</v>
      </c>
      <c r="F6" s="33">
        <v>250.0</v>
      </c>
      <c r="G6" s="34" t="s">
        <v>68</v>
      </c>
      <c r="H6" s="35" t="s">
        <v>72</v>
      </c>
    </row>
    <row r="7">
      <c r="B7" s="33">
        <v>2.0</v>
      </c>
      <c r="C7" s="33" t="s">
        <v>21</v>
      </c>
      <c r="D7" s="33">
        <v>41.03</v>
      </c>
      <c r="E7" s="33" t="s">
        <v>65</v>
      </c>
      <c r="F7" s="33">
        <v>50.0</v>
      </c>
      <c r="G7" s="34" t="s">
        <v>70</v>
      </c>
      <c r="H7" s="35" t="s">
        <v>73</v>
      </c>
    </row>
    <row r="8">
      <c r="B8" s="33">
        <v>2.0</v>
      </c>
      <c r="C8" s="33" t="s">
        <v>23</v>
      </c>
      <c r="D8" s="33">
        <v>146.35</v>
      </c>
      <c r="E8" s="33" t="s">
        <v>65</v>
      </c>
      <c r="F8" s="33">
        <v>150.0</v>
      </c>
      <c r="G8" s="34" t="s">
        <v>74</v>
      </c>
      <c r="H8" s="35" t="s">
        <v>75</v>
      </c>
    </row>
    <row r="9">
      <c r="B9" s="33">
        <v>2.0</v>
      </c>
      <c r="C9" s="33" t="s">
        <v>25</v>
      </c>
      <c r="D9" s="33">
        <v>48.14</v>
      </c>
      <c r="E9" s="33" t="s">
        <v>65</v>
      </c>
      <c r="F9" s="33">
        <v>50.0</v>
      </c>
      <c r="G9" s="34" t="s">
        <v>70</v>
      </c>
      <c r="H9" s="35" t="s">
        <v>76</v>
      </c>
    </row>
    <row r="10">
      <c r="B10" s="33">
        <v>3.0</v>
      </c>
      <c r="C10" s="33" t="s">
        <v>77</v>
      </c>
      <c r="D10" s="33">
        <v>177.08</v>
      </c>
      <c r="E10" s="33" t="s">
        <v>78</v>
      </c>
      <c r="F10" s="33">
        <v>200.0</v>
      </c>
      <c r="G10" s="34" t="s">
        <v>79</v>
      </c>
      <c r="H10" s="35" t="s">
        <v>80</v>
      </c>
    </row>
    <row r="11">
      <c r="B11" s="33">
        <v>3.0</v>
      </c>
      <c r="C11" s="33" t="s">
        <v>77</v>
      </c>
      <c r="D11" s="33">
        <v>177.08</v>
      </c>
      <c r="E11" s="33" t="s">
        <v>78</v>
      </c>
      <c r="F11" s="33">
        <v>200.0</v>
      </c>
      <c r="G11" s="34" t="s">
        <v>79</v>
      </c>
      <c r="H11" s="35" t="s">
        <v>81</v>
      </c>
    </row>
    <row r="12">
      <c r="B12" s="33">
        <v>3.0</v>
      </c>
      <c r="C12" s="33" t="s">
        <v>29</v>
      </c>
      <c r="D12" s="33">
        <v>45.8</v>
      </c>
      <c r="E12" s="33" t="s">
        <v>78</v>
      </c>
      <c r="F12" s="33">
        <v>50.0</v>
      </c>
      <c r="G12" s="34" t="s">
        <v>70</v>
      </c>
      <c r="H12" s="35" t="s">
        <v>82</v>
      </c>
    </row>
    <row r="13">
      <c r="B13" s="33">
        <v>3.0</v>
      </c>
      <c r="C13" s="33" t="s">
        <v>30</v>
      </c>
      <c r="D13" s="33">
        <v>64.58</v>
      </c>
      <c r="E13" s="33" t="s">
        <v>78</v>
      </c>
      <c r="F13" s="33">
        <v>70.0</v>
      </c>
      <c r="G13" s="34" t="s">
        <v>83</v>
      </c>
      <c r="H13" s="35" t="s">
        <v>84</v>
      </c>
    </row>
    <row r="14">
      <c r="B14" s="33">
        <v>3.0</v>
      </c>
      <c r="C14" s="33" t="s">
        <v>31</v>
      </c>
      <c r="D14" s="33">
        <v>69.86</v>
      </c>
      <c r="E14" s="33" t="s">
        <v>78</v>
      </c>
      <c r="F14" s="33">
        <v>80.0</v>
      </c>
      <c r="G14" s="34" t="s">
        <v>85</v>
      </c>
      <c r="H14" s="35" t="s">
        <v>86</v>
      </c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38"/>
    <col customWidth="1" min="3" max="3" width="21.38"/>
    <col customWidth="1" min="4" max="5" width="22.63"/>
    <col customWidth="1" min="6" max="6" width="23.25"/>
    <col customWidth="1" min="7" max="7" width="4.88"/>
    <col customWidth="1" min="8" max="8" width="23.25"/>
    <col customWidth="1" min="9" max="9" width="20.38"/>
    <col customWidth="1" min="10" max="10" width="23.0"/>
    <col customWidth="1" min="11" max="11" width="27.0"/>
    <col customWidth="1" min="12" max="12" width="24.5"/>
    <col customWidth="1" min="13" max="13" width="20.63"/>
    <col customWidth="1" min="14" max="14" width="30.25"/>
  </cols>
  <sheetData>
    <row r="1">
      <c r="A1" s="36" t="s">
        <v>0</v>
      </c>
      <c r="B1" s="37" t="s">
        <v>87</v>
      </c>
      <c r="C1" s="37" t="s">
        <v>88</v>
      </c>
      <c r="D1" s="37" t="s">
        <v>33</v>
      </c>
      <c r="E1" s="37" t="s">
        <v>89</v>
      </c>
      <c r="F1" s="37" t="s">
        <v>90</v>
      </c>
      <c r="G1" s="37" t="s">
        <v>4</v>
      </c>
      <c r="H1" s="37" t="s">
        <v>34</v>
      </c>
      <c r="I1" s="37" t="s">
        <v>35</v>
      </c>
      <c r="J1" s="37" t="s">
        <v>38</v>
      </c>
      <c r="K1" s="37" t="s">
        <v>39</v>
      </c>
      <c r="L1" s="36" t="s">
        <v>40</v>
      </c>
      <c r="M1" s="37" t="s">
        <v>41</v>
      </c>
      <c r="N1" s="38" t="s">
        <v>91</v>
      </c>
      <c r="O1" s="38" t="s">
        <v>91</v>
      </c>
    </row>
    <row r="2">
      <c r="A2" s="39">
        <v>1.0</v>
      </c>
      <c r="B2" s="40">
        <f>SUM('1 - Dados iniciais de cargas'!G2:G5)</f>
        <v>276.9466451</v>
      </c>
      <c r="C2" s="40">
        <f>SUM('1 - Dados iniciais de cargas'!H2:H5)</f>
        <v>148.0089101</v>
      </c>
      <c r="D2" s="40">
        <f>SUM('1 - Dados iniciais de cargas'!H2:H5)</f>
        <v>148.0089101</v>
      </c>
      <c r="E2" s="40">
        <f>SUM('1 - Dados iniciais de cargas'!K2:K5)</f>
        <v>477.1773995</v>
      </c>
      <c r="F2" s="41">
        <f t="shared" ref="F2:F4" si="1">E2/I2</f>
        <v>548.4797695</v>
      </c>
      <c r="G2" s="42">
        <v>0.88</v>
      </c>
      <c r="H2" s="42">
        <v>1.0</v>
      </c>
      <c r="I2" s="42">
        <v>0.87</v>
      </c>
      <c r="J2" s="42">
        <v>300.0</v>
      </c>
      <c r="K2" s="43">
        <f t="shared" ref="K2:K4" si="2">(SQRT(3)*0.0225*10*E2)/(380*0.04)</f>
        <v>12.23430839</v>
      </c>
      <c r="L2" s="34">
        <v>10.0</v>
      </c>
      <c r="M2" s="42">
        <v>300.0</v>
      </c>
      <c r="N2" s="44" t="s">
        <v>92</v>
      </c>
      <c r="O2" s="44" t="s">
        <v>93</v>
      </c>
    </row>
    <row r="3">
      <c r="A3" s="39">
        <v>2.0</v>
      </c>
      <c r="B3" s="40">
        <f>SUM('1 - Dados iniciais de cargas'!G6:G8)</f>
        <v>99.14585702</v>
      </c>
      <c r="C3" s="40">
        <f>SUM('1 - Dados iniciais de cargas'!H6:H8)</f>
        <v>55.02721996</v>
      </c>
      <c r="D3" s="40">
        <f>SUM('1 - Dados iniciais de cargas'!H6:H8)</f>
        <v>55.02721996</v>
      </c>
      <c r="E3" s="40">
        <f>SUM('1 - Dados iniciais de cargas'!K6:K8)</f>
        <v>172.307953</v>
      </c>
      <c r="F3" s="41">
        <f t="shared" si="1"/>
        <v>198.0551184</v>
      </c>
      <c r="G3" s="42">
        <v>0.87</v>
      </c>
      <c r="H3" s="42">
        <v>1.0</v>
      </c>
      <c r="I3" s="42">
        <v>0.87</v>
      </c>
      <c r="J3" s="42">
        <v>70.0</v>
      </c>
      <c r="K3" s="43">
        <f t="shared" si="2"/>
        <v>4.417788097</v>
      </c>
      <c r="L3" s="34">
        <v>10.0</v>
      </c>
      <c r="M3" s="42">
        <v>70.0</v>
      </c>
      <c r="N3" s="44" t="s">
        <v>94</v>
      </c>
      <c r="O3" s="44" t="s">
        <v>95</v>
      </c>
    </row>
    <row r="4">
      <c r="A4" s="39">
        <v>3.0</v>
      </c>
      <c r="B4" s="43">
        <f>SUM('1 - Dados iniciais de cargas'!G9:G13)</f>
        <v>245</v>
      </c>
      <c r="C4" s="40">
        <f>SUM('1 - Dados iniciais de cargas'!H9:H13)</f>
        <v>63.89973242</v>
      </c>
      <c r="D4" s="40">
        <f>SUM('1 - Dados iniciais de cargas'!H9:H13)</f>
        <v>63.89973242</v>
      </c>
      <c r="E4" s="40">
        <f>SUM('1 - Dados iniciais de cargas'!K9:K13)</f>
        <v>392.0680051</v>
      </c>
      <c r="F4" s="41">
        <f t="shared" si="1"/>
        <v>450.6528795</v>
      </c>
      <c r="G4" s="42">
        <v>0.95</v>
      </c>
      <c r="H4" s="42">
        <v>1.0</v>
      </c>
      <c r="I4" s="42">
        <v>0.87</v>
      </c>
      <c r="J4" s="42">
        <v>240.0</v>
      </c>
      <c r="K4" s="43">
        <f t="shared" si="2"/>
        <v>10.05219629</v>
      </c>
      <c r="L4" s="34">
        <v>10.0</v>
      </c>
      <c r="M4" s="42">
        <v>240.0</v>
      </c>
      <c r="N4" s="44" t="s">
        <v>96</v>
      </c>
      <c r="O4" s="44" t="s">
        <v>97</v>
      </c>
    </row>
    <row r="5">
      <c r="A5" s="45" t="s">
        <v>98</v>
      </c>
      <c r="B5" s="46">
        <f t="shared" ref="B5:F5" si="3">SUM(B2:B4)</f>
        <v>621.0925022</v>
      </c>
      <c r="C5" s="46">
        <f t="shared" si="3"/>
        <v>266.9358625</v>
      </c>
      <c r="D5" s="46">
        <f t="shared" si="3"/>
        <v>266.9358625</v>
      </c>
      <c r="E5" s="46">
        <f t="shared" si="3"/>
        <v>1041.553358</v>
      </c>
      <c r="F5" s="47">
        <f t="shared" si="3"/>
        <v>1197.187767</v>
      </c>
      <c r="G5" s="48">
        <v>0.91</v>
      </c>
      <c r="H5" s="49"/>
      <c r="I5" s="50"/>
      <c r="J5" s="50"/>
      <c r="K5" s="50"/>
      <c r="L5" s="50"/>
      <c r="M5" s="50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55.63"/>
  </cols>
  <sheetData>
    <row r="1">
      <c r="A1" s="51" t="s">
        <v>99</v>
      </c>
      <c r="B1" s="3"/>
      <c r="C1" s="3"/>
    </row>
    <row r="2">
      <c r="B2" s="30" t="s">
        <v>100</v>
      </c>
    </row>
    <row r="3">
      <c r="B3" s="32" t="s">
        <v>101</v>
      </c>
      <c r="C3" s="32" t="s">
        <v>102</v>
      </c>
      <c r="D3" s="52" t="s">
        <v>103</v>
      </c>
    </row>
    <row r="4">
      <c r="B4" s="34" t="s">
        <v>2</v>
      </c>
      <c r="C4" s="34" t="s">
        <v>104</v>
      </c>
    </row>
    <row r="5">
      <c r="B5" s="34" t="s">
        <v>105</v>
      </c>
      <c r="C5" s="34" t="s">
        <v>106</v>
      </c>
    </row>
    <row r="6">
      <c r="B6" s="34" t="s">
        <v>107</v>
      </c>
      <c r="C6" s="34" t="s">
        <v>108</v>
      </c>
    </row>
    <row r="7">
      <c r="B7" s="34" t="s">
        <v>109</v>
      </c>
      <c r="C7" s="34" t="s">
        <v>110</v>
      </c>
    </row>
    <row r="8">
      <c r="B8" s="34" t="s">
        <v>111</v>
      </c>
      <c r="C8" s="34" t="s">
        <v>112</v>
      </c>
    </row>
    <row r="9">
      <c r="B9" s="34" t="s">
        <v>113</v>
      </c>
      <c r="C9" s="34" t="s">
        <v>114</v>
      </c>
    </row>
    <row r="10">
      <c r="B10" s="34" t="s">
        <v>115</v>
      </c>
      <c r="C10" s="34" t="s">
        <v>116</v>
      </c>
    </row>
    <row r="11">
      <c r="B11" s="34" t="s">
        <v>117</v>
      </c>
      <c r="C11" s="34" t="s">
        <v>118</v>
      </c>
    </row>
    <row r="12">
      <c r="B12" s="34" t="s">
        <v>119</v>
      </c>
      <c r="C12" s="34" t="s">
        <v>120</v>
      </c>
    </row>
    <row r="13">
      <c r="B13" s="34" t="s">
        <v>121</v>
      </c>
      <c r="C13" s="34" t="s">
        <v>122</v>
      </c>
    </row>
    <row r="14">
      <c r="B14" s="34" t="s">
        <v>123</v>
      </c>
      <c r="C14" s="34" t="s">
        <v>124</v>
      </c>
    </row>
    <row r="15">
      <c r="B15" s="34" t="s">
        <v>125</v>
      </c>
      <c r="C15" s="34" t="s">
        <v>126</v>
      </c>
    </row>
    <row r="16">
      <c r="B16" s="34" t="s">
        <v>127</v>
      </c>
      <c r="C16" s="34" t="s">
        <v>128</v>
      </c>
    </row>
    <row r="18">
      <c r="B18" s="30" t="s">
        <v>129</v>
      </c>
    </row>
    <row r="19">
      <c r="B19" s="32" t="s">
        <v>101</v>
      </c>
      <c r="C19" s="32" t="s">
        <v>102</v>
      </c>
      <c r="D19" s="52" t="s">
        <v>130</v>
      </c>
    </row>
    <row r="20">
      <c r="B20" s="34" t="s">
        <v>2</v>
      </c>
      <c r="C20" s="34" t="s">
        <v>131</v>
      </c>
    </row>
    <row r="21">
      <c r="B21" s="34" t="s">
        <v>105</v>
      </c>
      <c r="C21" s="34" t="s">
        <v>132</v>
      </c>
    </row>
    <row r="22">
      <c r="B22" s="34" t="s">
        <v>133</v>
      </c>
      <c r="C22" s="34" t="s">
        <v>134</v>
      </c>
    </row>
    <row r="23">
      <c r="B23" s="34" t="s">
        <v>135</v>
      </c>
      <c r="C23" s="34" t="s">
        <v>136</v>
      </c>
    </row>
    <row r="24">
      <c r="B24" s="34" t="s">
        <v>137</v>
      </c>
      <c r="C24" s="34" t="s">
        <v>138</v>
      </c>
    </row>
    <row r="25">
      <c r="B25" s="34" t="s">
        <v>139</v>
      </c>
      <c r="C25" s="34" t="s">
        <v>140</v>
      </c>
    </row>
    <row r="26">
      <c r="B26" s="34" t="s">
        <v>141</v>
      </c>
      <c r="C26" s="34" t="s">
        <v>142</v>
      </c>
    </row>
    <row r="27">
      <c r="B27" s="34" t="s">
        <v>143</v>
      </c>
      <c r="C27" s="34" t="s">
        <v>144</v>
      </c>
    </row>
    <row r="28">
      <c r="B28" s="34" t="s">
        <v>145</v>
      </c>
      <c r="C28" s="34" t="s">
        <v>146</v>
      </c>
    </row>
    <row r="29">
      <c r="B29" s="34" t="s">
        <v>147</v>
      </c>
      <c r="C29" s="34" t="s">
        <v>148</v>
      </c>
    </row>
    <row r="30">
      <c r="B30" s="34" t="s">
        <v>149</v>
      </c>
      <c r="C30" s="34" t="s">
        <v>150</v>
      </c>
    </row>
    <row r="31">
      <c r="B31" s="34" t="s">
        <v>151</v>
      </c>
      <c r="C31" s="34" t="s">
        <v>152</v>
      </c>
    </row>
    <row r="32">
      <c r="B32" s="34" t="s">
        <v>125</v>
      </c>
      <c r="C32" s="34" t="s">
        <v>153</v>
      </c>
    </row>
  </sheetData>
  <hyperlinks>
    <hyperlink r:id="rId1" ref="D3"/>
    <hyperlink r:id="rId2" ref="D19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33.5"/>
    <col customWidth="1" min="3" max="3" width="19.88"/>
    <col customWidth="1" min="4" max="4" width="16.63"/>
    <col customWidth="1" min="5" max="7" width="7.63"/>
    <col customWidth="1" min="8" max="8" width="10.25"/>
    <col customWidth="1" min="9" max="9" width="14.63"/>
    <col customWidth="1" min="10" max="10" width="18.88"/>
    <col customWidth="1" min="11" max="13" width="7.63"/>
  </cols>
  <sheetData>
    <row r="3">
      <c r="B3" s="53" t="s">
        <v>154</v>
      </c>
      <c r="C3" s="54"/>
      <c r="D3" s="54"/>
    </row>
    <row r="4" ht="15.0" customHeight="1">
      <c r="B4" s="55" t="s">
        <v>155</v>
      </c>
      <c r="C4" s="56">
        <v>13800.0</v>
      </c>
      <c r="D4" s="57" t="s">
        <v>156</v>
      </c>
      <c r="K4" s="58"/>
    </row>
    <row r="5">
      <c r="B5" s="55" t="s">
        <v>157</v>
      </c>
      <c r="C5" s="56">
        <v>380.0</v>
      </c>
      <c r="D5" s="57" t="s">
        <v>156</v>
      </c>
    </row>
    <row r="6" ht="15.0" customHeight="1">
      <c r="B6" s="55" t="s">
        <v>158</v>
      </c>
      <c r="C6" s="59">
        <v>0.9</v>
      </c>
      <c r="D6" s="60" t="s">
        <v>27</v>
      </c>
    </row>
    <row r="7" ht="15.0" customHeight="1">
      <c r="B7" s="55" t="s">
        <v>159</v>
      </c>
      <c r="C7" s="60">
        <f>((SQRT(3)*'Somatória'!G5*C5)/1000)*C6</f>
        <v>616.9759803</v>
      </c>
      <c r="D7" s="60" t="s">
        <v>160</v>
      </c>
      <c r="G7" s="61"/>
    </row>
    <row r="8" ht="15.0" customHeight="1">
      <c r="B8" s="62" t="s">
        <v>161</v>
      </c>
      <c r="C8" s="59">
        <v>750.0</v>
      </c>
      <c r="D8" s="60" t="s">
        <v>160</v>
      </c>
    </row>
    <row r="9">
      <c r="B9" s="53" t="s">
        <v>162</v>
      </c>
      <c r="C9" s="54"/>
      <c r="D9" s="54"/>
    </row>
    <row r="10" ht="15.0" customHeight="1">
      <c r="B10" s="63" t="s">
        <v>163</v>
      </c>
      <c r="C10" s="57">
        <v>750.0</v>
      </c>
      <c r="D10" s="57" t="s">
        <v>160</v>
      </c>
    </row>
    <row r="11">
      <c r="B11" s="64" t="s">
        <v>164</v>
      </c>
      <c r="C11" s="65">
        <v>45853.0</v>
      </c>
      <c r="D11" s="57" t="s">
        <v>165</v>
      </c>
    </row>
    <row r="12">
      <c r="B12" s="63" t="s">
        <v>166</v>
      </c>
      <c r="C12" s="59">
        <v>5.0</v>
      </c>
      <c r="D12" s="60" t="s">
        <v>167</v>
      </c>
    </row>
    <row r="14">
      <c r="A14" s="66"/>
      <c r="B14" s="67" t="s">
        <v>168</v>
      </c>
      <c r="C14" s="68"/>
      <c r="D14" s="68"/>
      <c r="E14" s="68"/>
      <c r="F14" s="68"/>
      <c r="G14" s="68"/>
    </row>
    <row r="15">
      <c r="A15" s="69"/>
      <c r="B15" s="69"/>
      <c r="C15" s="69"/>
      <c r="D15" s="69"/>
      <c r="E15" s="69"/>
      <c r="F15" s="69"/>
      <c r="G15" s="69"/>
    </row>
    <row r="16">
      <c r="B16" s="70"/>
    </row>
    <row r="17">
      <c r="B17" s="71" t="s">
        <v>169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B3:D3"/>
    <mergeCell ref="B9:D9"/>
    <mergeCell ref="B14:G14"/>
  </mergeCells>
  <hyperlinks>
    <hyperlink r:id="rId1" ref="B17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11.38"/>
    <col customWidth="1" min="2" max="2" width="2.5"/>
    <col customWidth="1" min="3" max="3" width="23.5"/>
    <col customWidth="1" min="4" max="4" width="32.75"/>
    <col customWidth="1" min="5" max="5" width="14.88"/>
    <col customWidth="1" min="6" max="6" width="23.25"/>
    <col customWidth="1" hidden="1" min="7" max="7" width="8.13"/>
    <col customWidth="1" min="8" max="8" width="53.25"/>
    <col customWidth="1" min="9" max="28" width="7.63"/>
  </cols>
  <sheetData>
    <row r="1" ht="20.25" customHeight="1">
      <c r="A1" s="72"/>
      <c r="B1" s="73"/>
      <c r="C1" s="74" t="s">
        <v>170</v>
      </c>
      <c r="D1" s="74" t="s">
        <v>171</v>
      </c>
      <c r="E1" s="74" t="s">
        <v>172</v>
      </c>
      <c r="F1" s="74" t="s">
        <v>173</v>
      </c>
      <c r="G1" s="75" t="s">
        <v>174</v>
      </c>
      <c r="H1" s="76" t="s">
        <v>175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>
      <c r="A2" s="77"/>
      <c r="B2" s="78"/>
      <c r="C2" s="78" t="s">
        <v>176</v>
      </c>
      <c r="G2" s="79"/>
      <c r="H2" s="80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</row>
    <row r="3">
      <c r="A3" s="77"/>
      <c r="B3" s="78"/>
      <c r="C3" s="81" t="s">
        <v>177</v>
      </c>
      <c r="D3" s="54"/>
      <c r="E3" s="54"/>
      <c r="F3" s="54"/>
      <c r="G3" s="82"/>
      <c r="H3" s="80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</row>
    <row r="4">
      <c r="A4" s="72"/>
      <c r="B4" s="78"/>
      <c r="C4" s="83" t="s">
        <v>178</v>
      </c>
      <c r="D4" s="84">
        <v>13800.0</v>
      </c>
      <c r="E4" s="85" t="s">
        <v>156</v>
      </c>
      <c r="F4" s="85" t="s">
        <v>179</v>
      </c>
      <c r="G4" s="85"/>
      <c r="H4" s="80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>
      <c r="A5" s="72"/>
      <c r="B5" s="78"/>
      <c r="C5" s="83" t="s">
        <v>180</v>
      </c>
      <c r="D5" s="84">
        <v>1.0E8</v>
      </c>
      <c r="E5" s="85" t="s">
        <v>181</v>
      </c>
      <c r="F5" s="85" t="s">
        <v>182</v>
      </c>
      <c r="G5" s="85"/>
      <c r="H5" s="80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</row>
    <row r="6" ht="15.0" customHeight="1">
      <c r="A6" s="72"/>
      <c r="B6" s="78"/>
      <c r="C6" s="83" t="s">
        <v>183</v>
      </c>
      <c r="D6" s="86">
        <f>('5 - Tabela curto circuito'!Vb^2)/'5 - Tabela curto circuito'!Pb</f>
        <v>1.9044</v>
      </c>
      <c r="E6" s="85" t="s">
        <v>184</v>
      </c>
      <c r="F6" s="85"/>
      <c r="G6" s="85" t="str">
        <f t="shared" ref="G6:G7" si="1">FORMULATEXT(D6)</f>
        <v>=('5 - Tabela curto circuito'!Vb^2)/'5 - Tabela curto circuito'!Pb</v>
      </c>
      <c r="H6" s="80" t="str">
        <f t="shared" ref="H6:H7" si="2">FORMULATEXT(D6)</f>
        <v>=('5 - Tabela curto circuito'!Vb^2)/'5 - Tabela curto circuito'!Pb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</row>
    <row r="7" ht="15.0" customHeight="1">
      <c r="A7" s="72"/>
      <c r="B7" s="78"/>
      <c r="C7" s="83" t="s">
        <v>185</v>
      </c>
      <c r="D7" s="86">
        <f>'5 - Tabela curto circuito'!Pb/(SQRT(3)*'5 - Tabela curto circuito'!Vb)</f>
        <v>4183.697603</v>
      </c>
      <c r="E7" s="85" t="s">
        <v>186</v>
      </c>
      <c r="F7" s="85" t="s">
        <v>187</v>
      </c>
      <c r="G7" s="85" t="str">
        <f t="shared" si="1"/>
        <v>='5 - Tabela curto circuito'!Pb/(SQRT(3)*'5 - Tabela curto circuito'!Vb)</v>
      </c>
      <c r="H7" s="80" t="str">
        <f t="shared" si="2"/>
        <v>='5 - Tabela curto circuito'!Pb/(SQRT(3)*'5 - Tabela curto circuito'!Vb)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</row>
    <row r="8" ht="16.5" customHeight="1">
      <c r="A8" s="72"/>
      <c r="B8" s="78"/>
      <c r="C8" s="83" t="s">
        <v>188</v>
      </c>
      <c r="D8" s="86">
        <v>380.0</v>
      </c>
      <c r="E8" s="85" t="s">
        <v>156</v>
      </c>
      <c r="F8" s="85"/>
      <c r="G8" s="85"/>
      <c r="H8" s="80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</row>
    <row r="9" ht="16.5" customHeight="1">
      <c r="A9" s="72"/>
      <c r="B9" s="78"/>
      <c r="C9" s="83" t="s">
        <v>189</v>
      </c>
      <c r="D9" s="86">
        <f>'5 - Tabela curto circuito'!Pb/(SQRT(3)*'5 - Tabela curto circuito'!Vbbt)</f>
        <v>151934.2814</v>
      </c>
      <c r="E9" s="85" t="s">
        <v>186</v>
      </c>
      <c r="F9" s="85" t="s">
        <v>190</v>
      </c>
      <c r="G9" s="85" t="str">
        <f>FORMULATEXT(D9)</f>
        <v>='5 - Tabela curto circuito'!Pb/(SQRT(3)*'5 - Tabela curto circuito'!Vbbt)</v>
      </c>
      <c r="H9" s="80" t="str">
        <f>FORMULATEXT(D9)</f>
        <v>='5 - Tabela curto circuito'!Pb/(SQRT(3)*'5 - Tabela curto circuito'!Vbbt)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</row>
    <row r="10">
      <c r="A10" s="72"/>
      <c r="B10" s="87"/>
      <c r="C10" s="87" t="s">
        <v>191</v>
      </c>
      <c r="G10" s="88"/>
      <c r="H10" s="80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</row>
    <row r="11" ht="15.75" customHeight="1">
      <c r="A11" s="72"/>
      <c r="B11" s="87"/>
      <c r="C11" s="81" t="s">
        <v>192</v>
      </c>
      <c r="D11" s="54"/>
      <c r="E11" s="54"/>
      <c r="F11" s="54"/>
      <c r="G11" s="82"/>
      <c r="H11" s="80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</row>
    <row r="12" ht="15.0" customHeight="1">
      <c r="A12" s="72"/>
      <c r="B12" s="87"/>
      <c r="C12" s="83" t="s">
        <v>193</v>
      </c>
      <c r="D12" s="86" t="str">
        <f>COMPLEX(D13,D14,"j")</f>
        <v>0,1+0,5j</v>
      </c>
      <c r="E12" s="89" t="s">
        <v>194</v>
      </c>
      <c r="F12" s="90"/>
      <c r="G12" s="85" t="str">
        <f>FORMULATEXT(D12)</f>
        <v>=COMPLEX(D13;D14;"j")</v>
      </c>
      <c r="H12" s="80" t="str">
        <f>FORMULATEXT(D12)</f>
        <v>=COMPLEX(D13;D14;"j")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</row>
    <row r="13">
      <c r="A13" s="72"/>
      <c r="B13" s="87"/>
      <c r="C13" s="83" t="s">
        <v>195</v>
      </c>
      <c r="D13" s="86">
        <v>0.1</v>
      </c>
      <c r="E13" s="91"/>
      <c r="F13" s="92"/>
      <c r="G13" s="85"/>
      <c r="H13" s="80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</row>
    <row r="14">
      <c r="A14" s="72"/>
      <c r="B14" s="87"/>
      <c r="C14" s="83" t="s">
        <v>196</v>
      </c>
      <c r="D14" s="86">
        <v>0.5</v>
      </c>
      <c r="E14" s="93"/>
      <c r="F14" s="94"/>
      <c r="G14" s="85"/>
      <c r="H14" s="80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</row>
    <row r="15" ht="15.0" customHeight="1">
      <c r="A15" s="72"/>
      <c r="B15" s="87"/>
      <c r="C15" s="83" t="s">
        <v>197</v>
      </c>
      <c r="D15" s="86" t="str">
        <f>COMPLEX(D16,D17,"j")</f>
        <v>0,2+0,8j</v>
      </c>
      <c r="E15" s="89" t="s">
        <v>194</v>
      </c>
      <c r="F15" s="90"/>
      <c r="G15" s="85" t="str">
        <f>FORMULATEXT(D15)</f>
        <v>=COMPLEX(D14;D15;"j")</v>
      </c>
      <c r="H15" s="80" t="str">
        <f>FORMULATEXT(D15)</f>
        <v>=COMPLEX(D16;D17;"j")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</row>
    <row r="16">
      <c r="A16" s="72"/>
      <c r="B16" s="87"/>
      <c r="C16" s="83" t="s">
        <v>198</v>
      </c>
      <c r="D16" s="86">
        <v>0.2</v>
      </c>
      <c r="E16" s="91"/>
      <c r="F16" s="92"/>
      <c r="G16" s="85"/>
      <c r="H16" s="80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>
      <c r="A17" s="72"/>
      <c r="B17" s="87"/>
      <c r="C17" s="83" t="s">
        <v>199</v>
      </c>
      <c r="D17" s="86">
        <v>0.8</v>
      </c>
      <c r="E17" s="93"/>
      <c r="F17" s="94"/>
      <c r="G17" s="85"/>
      <c r="H17" s="80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</row>
    <row r="18">
      <c r="A18" s="72"/>
      <c r="B18" s="87"/>
      <c r="C18" s="95" t="s">
        <v>200</v>
      </c>
      <c r="H18" s="80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</row>
    <row r="19">
      <c r="A19" s="72"/>
      <c r="B19" s="87"/>
      <c r="C19" s="96" t="s">
        <v>201</v>
      </c>
      <c r="D19" s="54"/>
      <c r="E19" s="54"/>
      <c r="F19" s="54"/>
      <c r="G19" s="82"/>
      <c r="H19" s="80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>
      <c r="A20" s="72"/>
      <c r="B20" s="87"/>
      <c r="C20" s="83" t="s">
        <v>202</v>
      </c>
      <c r="D20" s="97" t="str">
        <f>IMDIV('5 - Tabela curto circuito'!Ib,D12)</f>
        <v>1609,11446262438-8045,57231312188j</v>
      </c>
      <c r="E20" s="85" t="s">
        <v>203</v>
      </c>
      <c r="F20" s="86"/>
      <c r="G20" s="85" t="str">
        <f t="shared" ref="G20:G22" si="3">FORMULATEXT(D20)</f>
        <v>=IMDIV('5 - Tabela curto circuito'!Ib;D12)</v>
      </c>
      <c r="H20" s="80" t="str">
        <f t="shared" ref="H20:H22" si="4">FORMULATEXT(D20)</f>
        <v>=IMDIV('5 - Tabela curto circuito'!Ib;D12)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</row>
    <row r="21" ht="15.0" customHeight="1">
      <c r="A21" s="72"/>
      <c r="B21" s="87"/>
      <c r="C21" s="83" t="s">
        <v>204</v>
      </c>
      <c r="D21" s="97">
        <f>IMABS(D20)/1000</f>
        <v>8.204906045</v>
      </c>
      <c r="E21" s="85" t="s">
        <v>205</v>
      </c>
      <c r="F21" s="86"/>
      <c r="G21" s="85" t="str">
        <f t="shared" si="3"/>
        <v>=IMABS(D21)/1000</v>
      </c>
      <c r="H21" s="80" t="str">
        <f t="shared" si="4"/>
        <v>=IMABS(D20)/1000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</row>
    <row r="22" ht="15.0" customHeight="1">
      <c r="A22" s="72"/>
      <c r="B22" s="87"/>
      <c r="C22" s="83" t="s">
        <v>206</v>
      </c>
      <c r="D22" s="97">
        <f>DEGREES(IMARGUMENT(D20))</f>
        <v>-78.69006753</v>
      </c>
      <c r="E22" s="85" t="s">
        <v>207</v>
      </c>
      <c r="F22" s="86"/>
      <c r="G22" s="85" t="str">
        <f t="shared" si="3"/>
        <v>=DEGREES(IMARGUMENT(D21))</v>
      </c>
      <c r="H22" s="80" t="str">
        <f t="shared" si="4"/>
        <v>=DEGREES(IMARGUMENT(D20))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</row>
    <row r="23" ht="15.75" customHeight="1">
      <c r="A23" s="72"/>
      <c r="B23" s="87"/>
      <c r="C23" s="96" t="s">
        <v>208</v>
      </c>
      <c r="D23" s="54"/>
      <c r="E23" s="54"/>
      <c r="F23" s="54"/>
      <c r="G23" s="82"/>
      <c r="H23" s="80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</row>
    <row r="24" ht="30.0" customHeight="1">
      <c r="A24" s="72"/>
      <c r="B24" s="87"/>
      <c r="C24" s="83" t="s">
        <v>209</v>
      </c>
      <c r="D24" s="86" t="str">
        <f>IMSUM('5 - Tabela curto circuito'!Zps,'5 - Tabela curto circuito'!Zps,'5 - Tabela curto circuito'!Z0s)</f>
        <v>0,4+1,8j</v>
      </c>
      <c r="E24" s="83"/>
      <c r="F24" s="83"/>
      <c r="G24" s="85" t="str">
        <f t="shared" ref="G24:G27" si="5">FORMULATEXT(D24)</f>
        <v>=IMSUM('5 - Tabela curto circuito'!Zps;'5 - Tabela curto circuito'!Zps;'5 - Tabela curto circuito'!Z0s)</v>
      </c>
      <c r="H24" s="80" t="str">
        <f t="shared" ref="H24:H27" si="6">FORMULATEXT(D24)</f>
        <v>=IMSUM('5 - Tabela curto circuito'!Zps;'5 - Tabela curto circuito'!Zps;'5 - Tabela curto circuito'!Z0s)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</row>
    <row r="25" ht="15.75" customHeight="1">
      <c r="A25" s="72"/>
      <c r="B25" s="87"/>
      <c r="C25" s="83" t="s">
        <v>210</v>
      </c>
      <c r="D25" s="97" t="str">
        <f>IMDIV(3*'5 - Tabela curto circuito'!Ib,D24)</f>
        <v>1476,59915393766-6644,69619271948j</v>
      </c>
      <c r="E25" s="85" t="s">
        <v>203</v>
      </c>
      <c r="F25" s="86"/>
      <c r="G25" s="85" t="str">
        <f t="shared" si="5"/>
        <v>=IMDIV(3*'5 - Tabela curto circuito'!Ib;D24)</v>
      </c>
      <c r="H25" s="80" t="str">
        <f t="shared" si="6"/>
        <v>=IMDIV(3*'5 - Tabela curto circuito'!Ib;D24)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</row>
    <row r="26" ht="15.0" customHeight="1">
      <c r="A26" s="72"/>
      <c r="B26" s="87"/>
      <c r="C26" s="83" t="s">
        <v>211</v>
      </c>
      <c r="D26" s="97">
        <f>IMABS(D25)/1000</f>
        <v>6.806785773</v>
      </c>
      <c r="E26" s="85" t="s">
        <v>205</v>
      </c>
      <c r="F26" s="86"/>
      <c r="G26" s="85" t="str">
        <f t="shared" si="5"/>
        <v>=IMABS(D25)/1000</v>
      </c>
      <c r="H26" s="80" t="str">
        <f t="shared" si="6"/>
        <v>=IMABS(D25)/1000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</row>
    <row r="27" ht="15.0" customHeight="1">
      <c r="A27" s="72"/>
      <c r="B27" s="87"/>
      <c r="C27" s="83" t="s">
        <v>212</v>
      </c>
      <c r="D27" s="97">
        <f>DEGREES(IMARGUMENT(D25))</f>
        <v>-77.47119229</v>
      </c>
      <c r="E27" s="85" t="s">
        <v>207</v>
      </c>
      <c r="F27" s="86"/>
      <c r="G27" s="85" t="str">
        <f t="shared" si="5"/>
        <v>=DEGREES(IMARGUMENT(D26))</v>
      </c>
      <c r="H27" s="80" t="str">
        <f t="shared" si="6"/>
        <v>=DEGREES(IMARGUMENT(D25))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</row>
    <row r="28" ht="15.75" customHeight="1">
      <c r="A28" s="72"/>
      <c r="B28" s="87"/>
      <c r="C28" s="96" t="s">
        <v>213</v>
      </c>
      <c r="D28" s="54"/>
      <c r="E28" s="54"/>
      <c r="F28" s="54"/>
      <c r="G28" s="82"/>
      <c r="H28" s="80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ht="15.0" customHeight="1">
      <c r="A29" s="72"/>
      <c r="B29" s="87"/>
      <c r="C29" s="83" t="s">
        <v>214</v>
      </c>
      <c r="D29" s="97">
        <f>(SQRT(3)*'5 - Tabela curto circuito'!Vb*D21)/1000000</f>
        <v>0.1961161351</v>
      </c>
      <c r="E29" s="85" t="s">
        <v>215</v>
      </c>
      <c r="F29" s="83"/>
      <c r="G29" s="85" t="str">
        <f>FORMULATEXT(D29)</f>
        <v>=(SQRT(3)*'5 - Tabela curto circuito'!Vb*D21)/1000000</v>
      </c>
      <c r="H29" s="80" t="str">
        <f>FORMULATEXT(D29)</f>
        <v>=(SQRT(3)*'5 - Tabela curto circuito'!Vb*D21)/1000000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</row>
    <row r="30" ht="15.75" customHeight="1">
      <c r="A30" s="72"/>
      <c r="B30" s="87"/>
      <c r="C30" s="96" t="s">
        <v>216</v>
      </c>
      <c r="D30" s="54"/>
      <c r="E30" s="54"/>
      <c r="F30" s="54"/>
      <c r="G30" s="82"/>
      <c r="H30" s="80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ht="15.75" customHeight="1">
      <c r="A31" s="72"/>
      <c r="B31" s="87"/>
      <c r="C31" s="83" t="s">
        <v>217</v>
      </c>
      <c r="D31" s="97">
        <f>IMAGINARY(D20)/(IMREAL(D20))</f>
        <v>-5</v>
      </c>
      <c r="E31" s="85"/>
      <c r="F31" s="85"/>
      <c r="G31" s="98"/>
      <c r="H31" s="80" t="str">
        <f t="shared" ref="H31:H35" si="7">FORMULATEXT(D31)</f>
        <v>=IMAGINARY(D20)/(IMREAL(D20))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ht="15.75" customHeight="1">
      <c r="A32" s="72"/>
      <c r="B32" s="87"/>
      <c r="C32" s="83" t="s">
        <v>218</v>
      </c>
      <c r="D32" s="86">
        <f>SQRT(1+2*EXP(-2*0.00416/D35))</f>
        <v>2.178335431</v>
      </c>
      <c r="E32" s="85"/>
      <c r="F32" s="85"/>
      <c r="G32" s="98"/>
      <c r="H32" s="80" t="str">
        <f t="shared" si="7"/>
        <v>=SQRT(1+2*EXP(-2*0,00416/D35))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ht="15.75" customHeight="1">
      <c r="A33" s="72"/>
      <c r="B33" s="87"/>
      <c r="C33" s="83" t="s">
        <v>219</v>
      </c>
      <c r="D33" s="97">
        <f>D32*D21</f>
        <v>17.87303755</v>
      </c>
      <c r="E33" s="85"/>
      <c r="F33" s="99"/>
      <c r="G33" s="98"/>
      <c r="H33" s="80" t="str">
        <f t="shared" si="7"/>
        <v>=D32*D21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ht="15.75" customHeight="1">
      <c r="A34" s="72"/>
      <c r="B34" s="87"/>
      <c r="C34" s="83" t="s">
        <v>220</v>
      </c>
      <c r="D34" s="97">
        <f>D33*SQRT(2)</f>
        <v>25.2762921</v>
      </c>
      <c r="E34" s="85"/>
      <c r="F34" s="99"/>
      <c r="G34" s="98"/>
      <c r="H34" s="80" t="str">
        <f t="shared" si="7"/>
        <v>=D33*SQRT(2)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ht="15.75" customHeight="1">
      <c r="A35" s="72"/>
      <c r="B35" s="87"/>
      <c r="C35" s="83" t="s">
        <v>221</v>
      </c>
      <c r="D35" s="86">
        <f>IMAGINARY(D20)/(PI()*2*60*IMREAL(D20))</f>
        <v>-0.01326291192</v>
      </c>
      <c r="E35" s="85"/>
      <c r="F35" s="85"/>
      <c r="G35" s="98"/>
      <c r="H35" s="80" t="str">
        <f t="shared" si="7"/>
        <v>=IMAGINARY(D20)/(PI()*2*60*IMREAL(D20))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>
      <c r="A36" s="72"/>
      <c r="B36" s="100"/>
      <c r="C36" s="101" t="s">
        <v>222</v>
      </c>
      <c r="G36" s="102"/>
      <c r="H36" s="80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ht="15.75" customHeight="1">
      <c r="A37" s="72"/>
      <c r="B37" s="100"/>
      <c r="C37" s="81" t="s">
        <v>192</v>
      </c>
      <c r="D37" s="54"/>
      <c r="E37" s="54"/>
      <c r="F37" s="54"/>
      <c r="G37" s="82"/>
      <c r="H37" s="80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ht="15.75" customHeight="1">
      <c r="A38" s="72"/>
      <c r="B38" s="100"/>
      <c r="C38" s="83" t="s">
        <v>223</v>
      </c>
      <c r="D38" s="103">
        <v>750.0</v>
      </c>
      <c r="E38" s="104" t="s">
        <v>224</v>
      </c>
      <c r="F38" s="105" t="s">
        <v>225</v>
      </c>
      <c r="G38" s="85"/>
      <c r="H38" s="80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ht="15.75" customHeight="1">
      <c r="A39" s="72"/>
      <c r="B39" s="100"/>
      <c r="C39" s="83" t="s">
        <v>226</v>
      </c>
      <c r="D39" s="106">
        <v>15700.0</v>
      </c>
      <c r="E39" s="104" t="s">
        <v>227</v>
      </c>
      <c r="F39" s="105" t="s">
        <v>228</v>
      </c>
      <c r="G39" s="85"/>
      <c r="H39" s="80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ht="15.0" customHeight="1">
      <c r="A40" s="72"/>
      <c r="B40" s="100"/>
      <c r="C40" s="83" t="s">
        <v>229</v>
      </c>
      <c r="D40" s="103">
        <f>D39/(10*D38)</f>
        <v>2.093333333</v>
      </c>
      <c r="E40" s="104" t="s">
        <v>167</v>
      </c>
      <c r="F40" s="107"/>
      <c r="G40" s="85" t="str">
        <f t="shared" ref="G40:G42" si="8">FORMULATEXT(D40)</f>
        <v>=D39/(10*D38)</v>
      </c>
      <c r="H40" s="80" t="str">
        <f t="shared" ref="H40:H42" si="9">FORMULATEXT(D40)</f>
        <v>=D42/(10*D41)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ht="15.75" customHeight="1">
      <c r="A41" s="72"/>
      <c r="B41" s="100"/>
      <c r="C41" s="83" t="s">
        <v>230</v>
      </c>
      <c r="D41" s="103">
        <f>D40/100</f>
        <v>0.02093333333</v>
      </c>
      <c r="E41" s="104" t="s">
        <v>231</v>
      </c>
      <c r="F41" s="107" t="s">
        <v>232</v>
      </c>
      <c r="G41" s="85" t="str">
        <f t="shared" si="8"/>
        <v>=D40/100</v>
      </c>
      <c r="H41" s="80" t="str">
        <f t="shared" si="9"/>
        <v>=D43/100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ht="15.75" customHeight="1">
      <c r="A42" s="72"/>
      <c r="B42" s="100"/>
      <c r="C42" s="83" t="s">
        <v>230</v>
      </c>
      <c r="D42" s="103">
        <f>D40/1</f>
        <v>2.093333333</v>
      </c>
      <c r="E42" s="104" t="s">
        <v>231</v>
      </c>
      <c r="F42" s="107" t="s">
        <v>232</v>
      </c>
      <c r="G42" s="85" t="str">
        <f t="shared" si="8"/>
        <v>=D40/1</v>
      </c>
      <c r="H42" s="80" t="str">
        <f t="shared" si="9"/>
        <v>=D43/1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ht="15.75" customHeight="1">
      <c r="A43" s="72"/>
      <c r="B43" s="100"/>
      <c r="C43" s="83" t="s">
        <v>233</v>
      </c>
      <c r="D43" s="106">
        <v>0.05</v>
      </c>
      <c r="E43" s="104" t="s">
        <v>231</v>
      </c>
      <c r="F43" s="105" t="s">
        <v>234</v>
      </c>
      <c r="G43" s="85"/>
      <c r="H43" s="80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ht="15.0" customHeight="1">
      <c r="A44" s="72"/>
      <c r="B44" s="100"/>
      <c r="C44" s="83" t="s">
        <v>235</v>
      </c>
      <c r="D44" s="103">
        <f>D43*'5 - Tabela curto circuito'!Pb/(D38*1000)</f>
        <v>6.666666667</v>
      </c>
      <c r="E44" s="104" t="s">
        <v>231</v>
      </c>
      <c r="F44" s="107" t="s">
        <v>232</v>
      </c>
      <c r="G44" s="85" t="str">
        <f t="shared" ref="G44:G46" si="10">FORMULATEXT(D44)</f>
        <v>=D43*'5 - Tabela curto circuito'!Pb/(D38*1000)</v>
      </c>
      <c r="H44" s="80" t="str">
        <f t="shared" ref="H44:H46" si="11">FORMULATEXT(D44)</f>
        <v>=D43*'5 - Tabela curto circuito'!Pb/(D38*1000)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ht="15.0" customHeight="1">
      <c r="A45" s="72"/>
      <c r="B45" s="100"/>
      <c r="C45" s="83" t="s">
        <v>236</v>
      </c>
      <c r="D45" s="103">
        <f>SQRT(D44^2-D42^2)</f>
        <v>6.329486551</v>
      </c>
      <c r="E45" s="104" t="s">
        <v>231</v>
      </c>
      <c r="F45" s="107" t="s">
        <v>232</v>
      </c>
      <c r="G45" s="85" t="str">
        <f t="shared" si="10"/>
        <v>=SQRT(D48^2-D46^2)</v>
      </c>
      <c r="H45" s="80" t="str">
        <f t="shared" si="11"/>
        <v>=SQRT(D47^2-D45^2)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ht="15.0" customHeight="1">
      <c r="A46" s="72"/>
      <c r="B46" s="100"/>
      <c r="C46" s="83" t="s">
        <v>237</v>
      </c>
      <c r="D46" s="103" t="str">
        <f>COMPLEX(D42,D45,"j")</f>
        <v>2,09333333333333+6,3294865510561j</v>
      </c>
      <c r="E46" s="104" t="s">
        <v>231</v>
      </c>
      <c r="F46" s="105" t="s">
        <v>238</v>
      </c>
      <c r="G46" s="85" t="str">
        <f t="shared" si="10"/>
        <v>=COMPLEX(D46;D49;"j")</v>
      </c>
      <c r="H46" s="80" t="str">
        <f t="shared" si="11"/>
        <v>=COMPLEX(D45;D48;"j")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>
      <c r="A47" s="72"/>
      <c r="B47" s="100"/>
      <c r="C47" s="108" t="s">
        <v>200</v>
      </c>
      <c r="D47" s="54"/>
      <c r="E47" s="54"/>
      <c r="F47" s="54"/>
      <c r="G47" s="82"/>
      <c r="H47" s="80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ht="15.75" customHeight="1">
      <c r="A48" s="72"/>
      <c r="B48" s="100"/>
      <c r="C48" s="96" t="s">
        <v>201</v>
      </c>
      <c r="D48" s="54"/>
      <c r="E48" s="54"/>
      <c r="F48" s="54"/>
      <c r="G48" s="82"/>
      <c r="H48" s="80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ht="15.75" customHeight="1">
      <c r="A49" s="72"/>
      <c r="B49" s="100"/>
      <c r="C49" s="83" t="s">
        <v>239</v>
      </c>
      <c r="D49" s="86" t="str">
        <f>IMSUM(D46,'5 - Tabela curto circuito'!Zps)</f>
        <v>2,19333333333333+6,8294865510561j</v>
      </c>
      <c r="E49" s="85"/>
      <c r="F49" s="85"/>
      <c r="G49" s="85" t="str">
        <f t="shared" ref="G49:G52" si="12">FORMULATEXT(D49)</f>
        <v>=IMSUM(D46;'5 - Tabela curto circuito'!Zps)</v>
      </c>
      <c r="H49" s="80" t="str">
        <f t="shared" ref="H49:H52" si="13">FORMULATEXT(D49)</f>
        <v>=IMSUM(D46;'5 - Tabela curto circuito'!Zps)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ht="15.75" customHeight="1">
      <c r="A50" s="72"/>
      <c r="B50" s="100"/>
      <c r="C50" s="83" t="s">
        <v>202</v>
      </c>
      <c r="D50" s="86" t="str">
        <f>IMDIV('5 - Tabela curto circuito'!Ibbt,D49)</f>
        <v>6476,68998139711-20166,7783236982j</v>
      </c>
      <c r="E50" s="85" t="s">
        <v>203</v>
      </c>
      <c r="F50" s="86"/>
      <c r="G50" s="85" t="str">
        <f t="shared" si="12"/>
        <v>=IMDIV('5 - Tabela curto circuito'!Ibbt;D49)</v>
      </c>
      <c r="H50" s="80" t="str">
        <f t="shared" si="13"/>
        <v>=IMDIV('5 - Tabela curto circuito'!Ibbt;D49)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</row>
    <row r="51" ht="15.0" customHeight="1">
      <c r="A51" s="72"/>
      <c r="B51" s="100"/>
      <c r="C51" s="83" t="s">
        <v>204</v>
      </c>
      <c r="D51" s="86">
        <f>IMABS(D50)/1000</f>
        <v>21.18127619</v>
      </c>
      <c r="E51" s="85" t="s">
        <v>205</v>
      </c>
      <c r="F51" s="86"/>
      <c r="G51" s="85" t="str">
        <f t="shared" si="12"/>
        <v>=IMABS(D54)/1000</v>
      </c>
      <c r="H51" s="80" t="str">
        <f t="shared" si="13"/>
        <v>=IMABS(D53)/1000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</row>
    <row r="52" ht="15.0" customHeight="1">
      <c r="A52" s="72"/>
      <c r="B52" s="100"/>
      <c r="C52" s="83" t="s">
        <v>206</v>
      </c>
      <c r="D52" s="86">
        <f>DEGREES(IMARGUMENT(D50))</f>
        <v>-72.19524606</v>
      </c>
      <c r="E52" s="85" t="s">
        <v>207</v>
      </c>
      <c r="F52" s="86"/>
      <c r="G52" s="85" t="str">
        <f t="shared" si="12"/>
        <v>=DEGREES(IMARGUMENT(D54))</v>
      </c>
      <c r="H52" s="80" t="str">
        <f t="shared" si="13"/>
        <v>=DEGREES(IMARGUMENT(D53))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</row>
    <row r="53" ht="15.75" customHeight="1">
      <c r="A53" s="72"/>
      <c r="B53" s="100"/>
      <c r="C53" s="96" t="s">
        <v>208</v>
      </c>
      <c r="D53" s="54"/>
      <c r="E53" s="54"/>
      <c r="F53" s="54"/>
      <c r="G53" s="82"/>
      <c r="H53" s="80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</row>
    <row r="54" ht="30.0" customHeight="1">
      <c r="A54" s="72"/>
      <c r="B54" s="100"/>
      <c r="C54" s="83" t="s">
        <v>240</v>
      </c>
      <c r="D54" s="86" t="str">
        <f>IMSUM('5 - Tabela curto circuito'!Zps,'5 - Tabela curto circuito'!Zps,'5 - Tabela curto circuito'!Z0s,D46,D46,D46)</f>
        <v>6,67999999999999+20,7884596531683j</v>
      </c>
      <c r="E54" s="83"/>
      <c r="F54" s="83"/>
      <c r="G54" s="85" t="str">
        <f t="shared" ref="G54:G57" si="14">FORMULATEXT(D54)</f>
        <v>=IMSUM('5 - Tabela curto circuito'!Zps;'5 - Tabela curto circuito'!Zps;'5 - Tabela curto circuito'!Z0s;D46;D46;D46)</v>
      </c>
      <c r="H54" s="80" t="str">
        <f t="shared" ref="H54:H57" si="15">FORMULATEXT(D54)</f>
        <v>=IMSUM('5 - Tabela curto circuito'!Zps;'5 - Tabela curto circuito'!Zps;'5 - Tabela curto circuito'!Z0s;D46;D46;D46)</v>
      </c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</row>
    <row r="55" ht="30.0" customHeight="1">
      <c r="A55" s="72"/>
      <c r="B55" s="100"/>
      <c r="C55" s="83" t="s">
        <v>210</v>
      </c>
      <c r="D55" s="86" t="str">
        <f>IMDIV(3*'5 - Tabela curto circuito'!Ibbt,D54)</f>
        <v>6386,06343045064-19873,715863248j</v>
      </c>
      <c r="E55" s="85" t="s">
        <v>203</v>
      </c>
      <c r="F55" s="86"/>
      <c r="G55" s="85" t="str">
        <f t="shared" si="14"/>
        <v>=IMDIV(3*'5 - Tabela curto circuito'!Ibbt;D54)</v>
      </c>
      <c r="H55" s="80" t="str">
        <f t="shared" si="15"/>
        <v>=IMDIV(3*'5 - Tabela curto circuito'!Ibbt;D54)</v>
      </c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</row>
    <row r="56" ht="15.0" customHeight="1">
      <c r="A56" s="72"/>
      <c r="B56" s="100"/>
      <c r="C56" s="83" t="s">
        <v>211</v>
      </c>
      <c r="D56" s="86">
        <f>IMABS(D55)/1000</f>
        <v>20.87453924</v>
      </c>
      <c r="E56" s="85" t="s">
        <v>205</v>
      </c>
      <c r="F56" s="86"/>
      <c r="G56" s="85" t="str">
        <f t="shared" si="14"/>
        <v>=IMABS(D59)/1000</v>
      </c>
      <c r="H56" s="80" t="str">
        <f t="shared" si="15"/>
        <v>=IMABS(D58)/1000</v>
      </c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</row>
    <row r="57" ht="15.0" customHeight="1">
      <c r="A57" s="72"/>
      <c r="B57" s="100"/>
      <c r="C57" s="83" t="s">
        <v>212</v>
      </c>
      <c r="D57" s="86">
        <f>DEGREES(IMARGUMENT(D55))</f>
        <v>-72.18611953</v>
      </c>
      <c r="E57" s="85" t="s">
        <v>207</v>
      </c>
      <c r="F57" s="86"/>
      <c r="G57" s="85" t="str">
        <f t="shared" si="14"/>
        <v>=DEGREES(IMARGUMENT(D59))</v>
      </c>
      <c r="H57" s="80" t="str">
        <f t="shared" si="15"/>
        <v>=DEGREES(IMARGUMENT(D58))</v>
      </c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</row>
    <row r="58" ht="15.75" customHeight="1">
      <c r="A58" s="72"/>
      <c r="B58" s="100"/>
      <c r="C58" s="96" t="s">
        <v>216</v>
      </c>
      <c r="D58" s="54"/>
      <c r="E58" s="54"/>
      <c r="F58" s="54"/>
      <c r="G58" s="82"/>
      <c r="H58" s="80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</row>
    <row r="59" ht="15.75" customHeight="1">
      <c r="A59" s="72"/>
      <c r="B59" s="100"/>
      <c r="C59" s="83" t="s">
        <v>217</v>
      </c>
      <c r="D59" s="97">
        <f>IMAGINARY(D49)/IMREAL(D49)</f>
        <v>3.113747668</v>
      </c>
      <c r="E59" s="85"/>
      <c r="F59" s="85"/>
      <c r="G59" s="98"/>
      <c r="H59" s="80" t="str">
        <f t="shared" ref="H59:H63" si="16">FORMULATEXT(D59)</f>
        <v>=IMAGINARY(D52)/IMREAL(D52)</v>
      </c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</row>
    <row r="60" ht="15.75" customHeight="1">
      <c r="A60" s="72"/>
      <c r="B60" s="100"/>
      <c r="C60" s="83" t="s">
        <v>218</v>
      </c>
      <c r="D60" s="109">
        <f>SQRT(1+2*EXP(-2*0.00416/D63))</f>
        <v>1.315441651</v>
      </c>
      <c r="E60" s="85"/>
      <c r="F60" s="85"/>
      <c r="G60" s="98"/>
      <c r="H60" s="80" t="str">
        <f t="shared" si="16"/>
        <v>=SQRT(1+2*EXP(-2*0,00416/D63))</v>
      </c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</row>
    <row r="61" ht="15.75" customHeight="1">
      <c r="A61" s="72"/>
      <c r="B61" s="100"/>
      <c r="C61" s="83" t="s">
        <v>219</v>
      </c>
      <c r="D61" s="97">
        <f>D60*D51</f>
        <v>27.86273293</v>
      </c>
      <c r="E61" s="85"/>
      <c r="F61" s="99"/>
      <c r="G61" s="98"/>
      <c r="H61" s="80" t="str">
        <f t="shared" si="16"/>
        <v>=D60*D51</v>
      </c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</row>
    <row r="62" ht="15.75" customHeight="1">
      <c r="A62" s="72"/>
      <c r="B62" s="100"/>
      <c r="C62" s="83" t="s">
        <v>220</v>
      </c>
      <c r="D62" s="97">
        <f>D61*SQRT(2)</f>
        <v>39.4038548</v>
      </c>
      <c r="E62" s="85"/>
      <c r="F62" s="99"/>
      <c r="G62" s="98"/>
      <c r="H62" s="80" t="str">
        <f t="shared" si="16"/>
        <v>=D61*SQRT(2)</v>
      </c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</row>
    <row r="63" ht="15.75" customHeight="1">
      <c r="A63" s="72"/>
      <c r="B63" s="100"/>
      <c r="C63" s="83" t="s">
        <v>221</v>
      </c>
      <c r="D63" s="86">
        <f>IMAGINARY(D49)/(PI()*2*60*IMREAL(D49))</f>
        <v>0.008259472214</v>
      </c>
      <c r="E63" s="85"/>
      <c r="F63" s="85"/>
      <c r="G63" s="98"/>
      <c r="H63" s="80" t="str">
        <f t="shared" si="16"/>
        <v>=IMAGINARY(D49)/(PI()*2*60*IMREAL(D49))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</row>
    <row r="64">
      <c r="A64" s="72"/>
      <c r="B64" s="110"/>
      <c r="C64" s="111" t="s">
        <v>241</v>
      </c>
      <c r="G64" s="88"/>
      <c r="H64" s="80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</row>
    <row r="65" ht="15.75" customHeight="1">
      <c r="A65" s="72"/>
      <c r="B65" s="110"/>
      <c r="C65" s="81" t="s">
        <v>192</v>
      </c>
      <c r="D65" s="54"/>
      <c r="E65" s="54"/>
      <c r="F65" s="54"/>
      <c r="G65" s="82"/>
      <c r="H65" s="80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</row>
    <row r="66" ht="15.75" customHeight="1">
      <c r="A66" s="72"/>
      <c r="B66" s="110"/>
      <c r="C66" s="83" t="s">
        <v>242</v>
      </c>
      <c r="D66" s="86">
        <v>10.0</v>
      </c>
      <c r="E66" s="85" t="s">
        <v>243</v>
      </c>
      <c r="F66" s="85" t="s">
        <v>244</v>
      </c>
      <c r="G66" s="85"/>
      <c r="H66" s="80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</row>
    <row r="67" ht="15.75" customHeight="1">
      <c r="A67" s="72"/>
      <c r="B67" s="110"/>
      <c r="C67" s="83" t="s">
        <v>245</v>
      </c>
      <c r="D67" s="84">
        <v>4.0</v>
      </c>
      <c r="E67" s="85"/>
      <c r="F67" s="85" t="s">
        <v>246</v>
      </c>
      <c r="G67" s="85"/>
      <c r="H67" s="80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</row>
    <row r="68" ht="15.75" customHeight="1">
      <c r="A68" s="72"/>
      <c r="B68" s="110"/>
      <c r="C68" s="83" t="s">
        <v>247</v>
      </c>
      <c r="D68" s="86">
        <v>240.0</v>
      </c>
      <c r="E68" s="85" t="s">
        <v>248</v>
      </c>
      <c r="F68" s="85" t="s">
        <v>249</v>
      </c>
      <c r="G68" s="85"/>
      <c r="H68" s="80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</row>
    <row r="69" ht="15.75" customHeight="1">
      <c r="A69" s="72"/>
      <c r="B69" s="110"/>
      <c r="C69" s="112" t="s">
        <v>250</v>
      </c>
      <c r="D69" s="54"/>
      <c r="E69" s="54"/>
      <c r="F69" s="54"/>
      <c r="G69" s="82"/>
      <c r="H69" s="80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</row>
    <row r="70" ht="15.75" customHeight="1">
      <c r="A70" s="72"/>
      <c r="B70" s="110"/>
      <c r="C70" s="83" t="s">
        <v>251</v>
      </c>
      <c r="D70" s="84">
        <v>0.099</v>
      </c>
      <c r="E70" s="85" t="s">
        <v>252</v>
      </c>
      <c r="F70" s="85" t="s">
        <v>253</v>
      </c>
      <c r="G70" s="85"/>
      <c r="H70" s="80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</row>
    <row r="71" ht="15.0" customHeight="1">
      <c r="A71" s="72"/>
      <c r="B71" s="110"/>
      <c r="C71" s="83" t="s">
        <v>254</v>
      </c>
      <c r="D71" s="86">
        <f>D70*$D$66/(1000*$D$67)</f>
        <v>0.0002475</v>
      </c>
      <c r="E71" s="85" t="s">
        <v>184</v>
      </c>
      <c r="F71" s="85"/>
      <c r="G71" s="85" t="str">
        <f t="shared" ref="G71:G72" si="17">FORMULATEXT(D71)</f>
        <v>=D72*$D$68/(1000*$D$69)</v>
      </c>
      <c r="H71" s="80" t="str">
        <f t="shared" ref="H71:H72" si="18">FORMULATEXT(D71)</f>
        <v>=D76*$D$72/(1000*$D$73)</v>
      </c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</row>
    <row r="72" ht="15.0" customHeight="1">
      <c r="A72" s="72"/>
      <c r="B72" s="110"/>
      <c r="C72" s="83" t="s">
        <v>255</v>
      </c>
      <c r="D72" s="86">
        <f>D71/('5 - Tabela curto circuito'!Vbbt^2/'5 - Tabela curto circuito'!Pb)</f>
        <v>0.171398892</v>
      </c>
      <c r="E72" s="85" t="s">
        <v>231</v>
      </c>
      <c r="F72" s="85"/>
      <c r="G72" s="85" t="str">
        <f t="shared" si="17"/>
        <v>=D71/('5 - Tabela curto circuito'!Vbbt^2/'5 - Tabela curto circuito'!Pb)</v>
      </c>
      <c r="H72" s="80" t="str">
        <f t="shared" si="18"/>
        <v>=D71/('5 - Tabela curto circuito'!Vbbt^2/'5 - Tabela curto circuito'!Pb)</v>
      </c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</row>
    <row r="73" ht="15.75" customHeight="1">
      <c r="A73" s="72"/>
      <c r="B73" s="110"/>
      <c r="C73" s="83" t="s">
        <v>256</v>
      </c>
      <c r="D73" s="84">
        <v>0.077</v>
      </c>
      <c r="E73" s="85" t="s">
        <v>252</v>
      </c>
      <c r="F73" s="85" t="s">
        <v>253</v>
      </c>
      <c r="G73" s="85"/>
      <c r="H73" s="80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</row>
    <row r="74" ht="15.0" customHeight="1">
      <c r="A74" s="72"/>
      <c r="B74" s="110"/>
      <c r="C74" s="83" t="s">
        <v>257</v>
      </c>
      <c r="D74" s="86">
        <f>D73*$D$66/(1000*$D$67)</f>
        <v>0.0001925</v>
      </c>
      <c r="E74" s="85" t="s">
        <v>184</v>
      </c>
      <c r="F74" s="85"/>
      <c r="G74" s="85" t="str">
        <f>FORMULATEXT(D74)</f>
        <v>=D75*$D$68/(1000*$D$69)</v>
      </c>
      <c r="H74" s="80" t="str">
        <f t="shared" ref="H74:H76" si="19">FORMULATEXT(D74)</f>
        <v>=D79*$D$72/(1000*$D$73)</v>
      </c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</row>
    <row r="75" ht="15.75" customHeight="1">
      <c r="A75" s="72"/>
      <c r="B75" s="110"/>
      <c r="C75" s="83" t="s">
        <v>258</v>
      </c>
      <c r="D75" s="86">
        <f>D74/('5 - Tabela curto circuito'!Vbbt^2/'5 - Tabela curto circuito'!Pb)</f>
        <v>0.1333102493</v>
      </c>
      <c r="E75" s="85" t="s">
        <v>231</v>
      </c>
      <c r="F75" s="85"/>
      <c r="G75" s="85"/>
      <c r="H75" s="80" t="str">
        <f t="shared" si="19"/>
        <v>=D74/('5 - Tabela curto circuito'!Vbbt^2/'5 - Tabela curto circuito'!Pb)</v>
      </c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</row>
    <row r="76" ht="30.0" customHeight="1">
      <c r="A76" s="113"/>
      <c r="B76" s="110"/>
      <c r="C76" s="83" t="s">
        <v>259</v>
      </c>
      <c r="D76" s="86" t="str">
        <f>COMPLEX(D72,D75,"j")</f>
        <v>0,171398891966759+0,133310249307479j</v>
      </c>
      <c r="E76" s="85" t="s">
        <v>231</v>
      </c>
      <c r="F76" s="85"/>
      <c r="G76" s="85" t="str">
        <f>FORMULATEXT(D76)</f>
        <v>=COMPLEX(D79;D82;"j")</v>
      </c>
      <c r="H76" s="80" t="str">
        <f t="shared" si="19"/>
        <v>=COMPLEX(D78;D81;"j")</v>
      </c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</row>
    <row r="77" ht="15.75" customHeight="1">
      <c r="A77" s="72"/>
      <c r="B77" s="110"/>
      <c r="C77" s="112" t="s">
        <v>260</v>
      </c>
      <c r="D77" s="54"/>
      <c r="E77" s="54"/>
      <c r="F77" s="54"/>
      <c r="G77" s="82"/>
      <c r="H77" s="80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</row>
    <row r="78" ht="15.75" customHeight="1">
      <c r="A78" s="72"/>
      <c r="B78" s="110"/>
      <c r="C78" s="83" t="s">
        <v>251</v>
      </c>
      <c r="D78" s="84">
        <v>0.248</v>
      </c>
      <c r="E78" s="85" t="s">
        <v>252</v>
      </c>
      <c r="F78" s="85" t="s">
        <v>253</v>
      </c>
      <c r="G78" s="85"/>
      <c r="H78" s="80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</row>
    <row r="79" ht="15.0" customHeight="1">
      <c r="A79" s="72"/>
      <c r="B79" s="110"/>
      <c r="C79" s="83" t="s">
        <v>254</v>
      </c>
      <c r="D79" s="86">
        <f>D78*$D$66/(1000*$D$67)</f>
        <v>0.00062</v>
      </c>
      <c r="E79" s="85" t="s">
        <v>184</v>
      </c>
      <c r="F79" s="85"/>
      <c r="G79" s="85" t="str">
        <f t="shared" ref="G79:G80" si="20">FORMULATEXT(D79)</f>
        <v>=D80*$D$68/(1000*$D$69)</v>
      </c>
      <c r="H79" s="80" t="str">
        <f t="shared" ref="H79:H80" si="21">FORMULATEXT(D79)</f>
        <v>=D84*$D$72/(1000*$D$73)</v>
      </c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</row>
    <row r="80" ht="15.75" customHeight="1">
      <c r="A80" s="72"/>
      <c r="B80" s="110"/>
      <c r="C80" s="83" t="s">
        <v>255</v>
      </c>
      <c r="D80" s="86">
        <f>D79/('5 - Tabela curto circuito'!Vbbt^2/'5 - Tabela curto circuito'!Pb)</f>
        <v>0.4293628809</v>
      </c>
      <c r="E80" s="85" t="s">
        <v>231</v>
      </c>
      <c r="F80" s="85"/>
      <c r="G80" s="85" t="str">
        <f t="shared" si="20"/>
        <v>=D79/('5 - Tabela curto circuito'!Vbbt^2/'5 - Tabela curto circuito'!Pb)</v>
      </c>
      <c r="H80" s="80" t="str">
        <f t="shared" si="21"/>
        <v>=D79/('5 - Tabela curto circuito'!Vbbt^2/'5 - Tabela curto circuito'!Pb)</v>
      </c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</row>
    <row r="81" ht="15.75" customHeight="1">
      <c r="A81" s="72"/>
      <c r="B81" s="110"/>
      <c r="C81" s="83" t="s">
        <v>256</v>
      </c>
      <c r="D81" s="84">
        <v>2.01</v>
      </c>
      <c r="E81" s="85" t="s">
        <v>252</v>
      </c>
      <c r="F81" s="85" t="s">
        <v>253</v>
      </c>
      <c r="G81" s="85"/>
      <c r="H81" s="80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</row>
    <row r="82" ht="15.0" customHeight="1">
      <c r="A82" s="72"/>
      <c r="B82" s="110"/>
      <c r="C82" s="83" t="s">
        <v>257</v>
      </c>
      <c r="D82" s="86">
        <f>D81*$D$66/(1000*$D$67)</f>
        <v>0.005025</v>
      </c>
      <c r="E82" s="85" t="s">
        <v>184</v>
      </c>
      <c r="F82" s="85"/>
      <c r="G82" s="85" t="str">
        <f t="shared" ref="G82:G84" si="22">FORMULATEXT(D82)</f>
        <v>=D83*$D$68/(1000*$D$69)</v>
      </c>
      <c r="H82" s="80" t="str">
        <f t="shared" ref="H82:H84" si="23">FORMULATEXT(D82)</f>
        <v>=D87*$D$72/(1000*$D$73)</v>
      </c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</row>
    <row r="83" ht="15.0" customHeight="1">
      <c r="A83" s="72"/>
      <c r="B83" s="110"/>
      <c r="C83" s="83" t="s">
        <v>258</v>
      </c>
      <c r="D83" s="86">
        <f>D82/('5 - Tabela curto circuito'!Vbbt^2/'5 - Tabela curto circuito'!Pb)</f>
        <v>3.479916898</v>
      </c>
      <c r="E83" s="85" t="s">
        <v>231</v>
      </c>
      <c r="F83" s="85"/>
      <c r="G83" s="85" t="str">
        <f t="shared" si="22"/>
        <v>=D82/('5 - Tabela curto circuito'!Vbbt^2/'5 - Tabela curto circuito'!Pb)</v>
      </c>
      <c r="H83" s="80" t="str">
        <f t="shared" si="23"/>
        <v>=D82/('5 - Tabela curto circuito'!Vbbt^2/'5 - Tabela curto circuito'!Pb)</v>
      </c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ht="30.0" customHeight="1">
      <c r="A84" s="72"/>
      <c r="B84" s="110"/>
      <c r="C84" s="83" t="s">
        <v>259</v>
      </c>
      <c r="D84" s="86" t="str">
        <f>COMPLEX(D80,D83,"j")</f>
        <v>0,429362880886427+3,47991689750692j</v>
      </c>
      <c r="E84" s="85" t="s">
        <v>231</v>
      </c>
      <c r="F84" s="85"/>
      <c r="G84" s="85" t="str">
        <f t="shared" si="22"/>
        <v>=COMPLEX(D87;D90;"j")</v>
      </c>
      <c r="H84" s="80" t="str">
        <f t="shared" si="23"/>
        <v>=COMPLEX(D86;D89;"j")</v>
      </c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>
      <c r="A85" s="72"/>
      <c r="B85" s="110"/>
      <c r="C85" s="114" t="s">
        <v>200</v>
      </c>
      <c r="D85" s="54"/>
      <c r="E85" s="54"/>
      <c r="F85" s="54"/>
      <c r="G85" s="82"/>
      <c r="H85" s="80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ht="15.0" customHeight="1">
      <c r="A86" s="72"/>
      <c r="B86" s="110"/>
      <c r="C86" s="96" t="s">
        <v>201</v>
      </c>
      <c r="D86" s="54"/>
      <c r="E86" s="54"/>
      <c r="F86" s="54"/>
      <c r="G86" s="82"/>
      <c r="H86" s="80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ht="30.0" customHeight="1">
      <c r="A87" s="72"/>
      <c r="B87" s="110"/>
      <c r="C87" s="83" t="s">
        <v>239</v>
      </c>
      <c r="D87" s="86" t="str">
        <f>IMSUM(D76,D46,'5 - Tabela curto circuito'!Zps)</f>
        <v>2,36473222530009+6,96279680036358j</v>
      </c>
      <c r="E87" s="85"/>
      <c r="F87" s="85"/>
      <c r="G87" s="85" t="str">
        <f t="shared" ref="G87:G90" si="24">FORMULATEXT(D87)</f>
        <v>=IMSUM(D76;D46;'5 - Tabela curto circuito'!Zps)</v>
      </c>
      <c r="H87" s="80" t="str">
        <f t="shared" ref="H87:H90" si="25">FORMULATEXT(D87)</f>
        <v>=IMSUM(D76;D46;'5 - Tabela curto circuito'!Zps)</v>
      </c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ht="15.75" customHeight="1">
      <c r="A88" s="72"/>
      <c r="B88" s="110"/>
      <c r="C88" s="83" t="s">
        <v>202</v>
      </c>
      <c r="D88" s="86" t="str">
        <f>IMDIV('5 - Tabela curto circuito'!Ibbt,D87)</f>
        <v>6644,4848309311-19564,2437760581j</v>
      </c>
      <c r="E88" s="85" t="s">
        <v>203</v>
      </c>
      <c r="F88" s="86"/>
      <c r="G88" s="85" t="str">
        <f t="shared" si="24"/>
        <v>=IMDIV('5 - Tabela curto circuito'!Ibbt;D87)</v>
      </c>
      <c r="H88" s="80" t="str">
        <f t="shared" si="25"/>
        <v>=IMDIV('5 - Tabela curto circuito'!Ibbt;D87)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ht="15.0" customHeight="1">
      <c r="A89" s="72"/>
      <c r="B89" s="110"/>
      <c r="C89" s="83" t="s">
        <v>204</v>
      </c>
      <c r="D89" s="97">
        <f>IMABS(D88)/1000</f>
        <v>20.66177178</v>
      </c>
      <c r="E89" s="85" t="s">
        <v>205</v>
      </c>
      <c r="F89" s="86"/>
      <c r="G89" s="85" t="str">
        <f t="shared" si="24"/>
        <v>=IMABS(D95)/1000</v>
      </c>
      <c r="H89" s="80" t="str">
        <f t="shared" si="25"/>
        <v>=IMABS(D94)/1000</v>
      </c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ht="15.0" customHeight="1">
      <c r="A90" s="72"/>
      <c r="B90" s="110"/>
      <c r="C90" s="83" t="s">
        <v>206</v>
      </c>
      <c r="D90" s="97">
        <f>DEGREES(IMARGUMENT(D88))</f>
        <v>-71.24128485</v>
      </c>
      <c r="E90" s="85" t="s">
        <v>207</v>
      </c>
      <c r="F90" s="86"/>
      <c r="G90" s="85" t="str">
        <f t="shared" si="24"/>
        <v>=DEGREES(IMARGUMENT(D95))</v>
      </c>
      <c r="H90" s="80" t="str">
        <f t="shared" si="25"/>
        <v>=DEGREES(IMARGUMENT(D94))</v>
      </c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ht="15.0" customHeight="1">
      <c r="A91" s="72"/>
      <c r="B91" s="110"/>
      <c r="C91" s="96" t="s">
        <v>208</v>
      </c>
      <c r="D91" s="54"/>
      <c r="E91" s="54"/>
      <c r="F91" s="54"/>
      <c r="G91" s="82"/>
      <c r="H91" s="80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ht="30.0" customHeight="1">
      <c r="A92" s="72"/>
      <c r="B92" s="110"/>
      <c r="C92" s="83" t="s">
        <v>240</v>
      </c>
      <c r="D92" s="86" t="str">
        <f>IMSUM(D87,D87,D46,'5 - Tabela curto circuito'!Z0s)</f>
        <v>7,02279778393351+21,0550801517833j</v>
      </c>
      <c r="E92" s="83"/>
      <c r="F92" s="85"/>
      <c r="G92" s="85" t="str">
        <f t="shared" ref="G92:G95" si="26">FORMULATEXT(D92)</f>
        <v>=IMSUM(D87;D87;D46;'5 - Tabela curto circuito'!Z0s)</v>
      </c>
      <c r="H92" s="80" t="str">
        <f t="shared" ref="H92:H95" si="27">FORMULATEXT(D92)</f>
        <v>=IMSUM(D87;D87;D46;'5 - Tabela curto circuito'!Z0s)</v>
      </c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ht="30.0" customHeight="1">
      <c r="A93" s="72"/>
      <c r="B93" s="110"/>
      <c r="C93" s="83" t="s">
        <v>210</v>
      </c>
      <c r="D93" s="86" t="str">
        <f>IMDIV(3*'5 - Tabela curto circuito'!Ibbt,D92)</f>
        <v>6497,71966667073-19480,8411967321j</v>
      </c>
      <c r="E93" s="85" t="s">
        <v>203</v>
      </c>
      <c r="F93" s="86"/>
      <c r="G93" s="85" t="str">
        <f t="shared" si="26"/>
        <v>=IMDIV(3*'5 - Tabela curto circuito'!Ibbt;D92)</v>
      </c>
      <c r="H93" s="80" t="str">
        <f t="shared" si="27"/>
        <v>=IMDIV(3*'5 - Tabela curto circuito'!Ibbt;D92)</v>
      </c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ht="15.0" customHeight="1">
      <c r="A94" s="72"/>
      <c r="B94" s="110"/>
      <c r="C94" s="83" t="s">
        <v>211</v>
      </c>
      <c r="D94" s="97">
        <f>IMABS(D93)/1000</f>
        <v>20.53590842</v>
      </c>
      <c r="E94" s="85" t="s">
        <v>186</v>
      </c>
      <c r="F94" s="86"/>
      <c r="G94" s="85" t="str">
        <f t="shared" si="26"/>
        <v>=IMABS(D100)/1000</v>
      </c>
      <c r="H94" s="80" t="str">
        <f t="shared" si="27"/>
        <v>=IMABS(D99)/1000</v>
      </c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ht="15.0" customHeight="1">
      <c r="A95" s="72"/>
      <c r="B95" s="110"/>
      <c r="C95" s="83" t="s">
        <v>212</v>
      </c>
      <c r="D95" s="97">
        <f>DEGREES(IMARGUMENT(D93))</f>
        <v>-71.55418337</v>
      </c>
      <c r="E95" s="85" t="s">
        <v>207</v>
      </c>
      <c r="F95" s="86"/>
      <c r="G95" s="85" t="str">
        <f t="shared" si="26"/>
        <v>=DEGREES(IMARGUMENT(D100))</v>
      </c>
      <c r="H95" s="80" t="str">
        <f t="shared" si="27"/>
        <v>=DEGREES(IMARGUMENT(D99))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ht="15.75" customHeight="1">
      <c r="A96" s="72"/>
      <c r="B96" s="110"/>
      <c r="C96" s="96" t="s">
        <v>216</v>
      </c>
      <c r="D96" s="54"/>
      <c r="E96" s="54"/>
      <c r="F96" s="54"/>
      <c r="G96" s="82"/>
      <c r="H96" s="80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ht="15.75" customHeight="1">
      <c r="A97" s="72"/>
      <c r="B97" s="110"/>
      <c r="C97" s="83" t="s">
        <v>217</v>
      </c>
      <c r="D97" s="97">
        <f>IMAGINARY(D87)/IMREAL(D87)</f>
        <v>2.944433507</v>
      </c>
      <c r="E97" s="85"/>
      <c r="F97" s="85"/>
      <c r="G97" s="98"/>
      <c r="H97" s="80" t="str">
        <f t="shared" ref="H97:H101" si="28">FORMULATEXT(D97)</f>
        <v>=IMAGINARY(D93)/IMREAL(D93)</v>
      </c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ht="15.75" customHeight="1">
      <c r="A98" s="72"/>
      <c r="B98" s="110"/>
      <c r="C98" s="83" t="s">
        <v>218</v>
      </c>
      <c r="D98" s="109">
        <f>SQRT(1+2*EXP(-2*0.00416/D101))</f>
        <v>1.299723594</v>
      </c>
      <c r="E98" s="85"/>
      <c r="F98" s="85"/>
      <c r="G98" s="98"/>
      <c r="H98" s="80" t="str">
        <f t="shared" si="28"/>
        <v>=SQRT(1+2*EXP(-2*0,00416/D101))</v>
      </c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ht="15.75" customHeight="1">
      <c r="A99" s="72"/>
      <c r="B99" s="110"/>
      <c r="C99" s="83" t="s">
        <v>219</v>
      </c>
      <c r="D99" s="97">
        <f>D98*D89</f>
        <v>26.85459228</v>
      </c>
      <c r="E99" s="85"/>
      <c r="F99" s="99"/>
      <c r="G99" s="98"/>
      <c r="H99" s="80" t="str">
        <f t="shared" si="28"/>
        <v>=D98*D89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ht="15.75" customHeight="1">
      <c r="A100" s="72"/>
      <c r="B100" s="110"/>
      <c r="C100" s="83" t="s">
        <v>220</v>
      </c>
      <c r="D100" s="97">
        <f>D99*SQRT(2)</f>
        <v>37.97812862</v>
      </c>
      <c r="E100" s="85"/>
      <c r="F100" s="99"/>
      <c r="G100" s="98"/>
      <c r="H100" s="80" t="str">
        <f t="shared" si="28"/>
        <v>=D99*SQRT(2)</v>
      </c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ht="15.75" customHeight="1">
      <c r="A101" s="72"/>
      <c r="B101" s="110"/>
      <c r="C101" s="83" t="s">
        <v>221</v>
      </c>
      <c r="D101" s="86">
        <f>IMAGINARY(D87)/(PI()*2*60*IMREAL(D87))</f>
        <v>0.007810352455</v>
      </c>
      <c r="E101" s="85"/>
      <c r="F101" s="85"/>
      <c r="G101" s="98"/>
      <c r="H101" s="80" t="str">
        <f t="shared" si="28"/>
        <v>=IMAGINARY(D87)/(PI()*2*60*IMREAL(D87))</v>
      </c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>
      <c r="A102" s="72"/>
      <c r="B102" s="115"/>
      <c r="C102" s="116" t="s">
        <v>261</v>
      </c>
      <c r="G102" s="88"/>
      <c r="H102" s="80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ht="15.75" customHeight="1">
      <c r="A103" s="72"/>
      <c r="B103" s="115"/>
      <c r="C103" s="81" t="s">
        <v>192</v>
      </c>
      <c r="D103" s="54"/>
      <c r="E103" s="54"/>
      <c r="F103" s="54"/>
      <c r="G103" s="82"/>
      <c r="H103" s="80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ht="15.75" customHeight="1">
      <c r="A104" s="72"/>
      <c r="B104" s="115"/>
      <c r="C104" s="83" t="s">
        <v>242</v>
      </c>
      <c r="D104" s="86">
        <v>25.0</v>
      </c>
      <c r="E104" s="85" t="s">
        <v>262</v>
      </c>
      <c r="F104" s="85" t="s">
        <v>244</v>
      </c>
      <c r="G104" s="85"/>
      <c r="H104" s="80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ht="15.0" customHeight="1">
      <c r="A105" s="72"/>
      <c r="B105" s="115"/>
      <c r="C105" s="83" t="s">
        <v>245</v>
      </c>
      <c r="D105" s="86">
        <v>1.0</v>
      </c>
      <c r="E105" s="85"/>
      <c r="F105" s="85" t="s">
        <v>246</v>
      </c>
      <c r="G105" s="85"/>
      <c r="H105" s="80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ht="15.75" customHeight="1">
      <c r="A106" s="72"/>
      <c r="B106" s="115"/>
      <c r="C106" s="83" t="s">
        <v>247</v>
      </c>
      <c r="D106" s="84">
        <v>300.0</v>
      </c>
      <c r="E106" s="85" t="s">
        <v>248</v>
      </c>
      <c r="F106" s="85" t="s">
        <v>249</v>
      </c>
      <c r="G106" s="85"/>
      <c r="H106" s="80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ht="15.75" customHeight="1">
      <c r="A107" s="72"/>
      <c r="B107" s="115"/>
      <c r="C107" s="112" t="s">
        <v>250</v>
      </c>
      <c r="D107" s="54"/>
      <c r="E107" s="54"/>
      <c r="F107" s="54"/>
      <c r="G107" s="82"/>
      <c r="H107" s="80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ht="15.75" customHeight="1">
      <c r="A108" s="72"/>
      <c r="B108" s="115"/>
      <c r="C108" s="83" t="s">
        <v>251</v>
      </c>
      <c r="D108" s="84">
        <v>0.081</v>
      </c>
      <c r="E108" s="117" t="s">
        <v>263</v>
      </c>
      <c r="F108" s="85" t="s">
        <v>253</v>
      </c>
      <c r="G108" s="85"/>
      <c r="H108" s="80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ht="15.0" customHeight="1">
      <c r="A109" s="72"/>
      <c r="B109" s="115"/>
      <c r="C109" s="83" t="s">
        <v>254</v>
      </c>
      <c r="D109" s="86">
        <f>D108*$D$104/(1000/$D$105)</f>
        <v>0.002025</v>
      </c>
      <c r="E109" s="85" t="s">
        <v>184</v>
      </c>
      <c r="F109" s="85"/>
      <c r="G109" s="85" t="str">
        <f t="shared" ref="G109:G110" si="29">FORMULATEXT(D109)</f>
        <v>=D112*$D$108/(1000/$D$109)</v>
      </c>
      <c r="H109" s="80" t="str">
        <f t="shared" ref="H109:H110" si="30">FORMULATEXT(D109)</f>
        <v>=D117*$D$113/(1000/$D$114)</v>
      </c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ht="15.0" customHeight="1">
      <c r="A110" s="72"/>
      <c r="B110" s="115"/>
      <c r="C110" s="83" t="s">
        <v>255</v>
      </c>
      <c r="D110" s="86">
        <f>D109/('5 - Tabela curto circuito'!Vbbt^2/'5 - Tabela curto circuito'!Pb)</f>
        <v>1.402354571</v>
      </c>
      <c r="E110" s="85" t="s">
        <v>231</v>
      </c>
      <c r="F110" s="85"/>
      <c r="G110" s="85" t="str">
        <f t="shared" si="29"/>
        <v>=D109/('5 - Tabela curto circuito'!Vbbt^2/'5 - Tabela curto circuito'!Pb)</v>
      </c>
      <c r="H110" s="80" t="str">
        <f t="shared" si="30"/>
        <v>=D109/('5 - Tabela curto circuito'!Vbbt^2/'5 - Tabela curto circuito'!Pb)</v>
      </c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ht="15.0" customHeight="1">
      <c r="A111" s="72"/>
      <c r="B111" s="115"/>
      <c r="C111" s="83" t="s">
        <v>256</v>
      </c>
      <c r="D111" s="84">
        <v>0.077</v>
      </c>
      <c r="E111" s="85" t="s">
        <v>252</v>
      </c>
      <c r="F111" s="85" t="s">
        <v>253</v>
      </c>
      <c r="G111" s="85"/>
      <c r="H111" s="80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ht="15.0" customHeight="1">
      <c r="A112" s="72"/>
      <c r="B112" s="115"/>
      <c r="C112" s="83" t="s">
        <v>257</v>
      </c>
      <c r="D112" s="86">
        <f>D111*$D$104/(1000*$D$105)</f>
        <v>0.001925</v>
      </c>
      <c r="E112" s="85" t="s">
        <v>184</v>
      </c>
      <c r="F112" s="85"/>
      <c r="G112" s="85" t="str">
        <f>FORMULATEXT(D112)</f>
        <v>=D115*$D$108/(1000*$D$109)</v>
      </c>
      <c r="H112" s="80" t="str">
        <f t="shared" ref="H112:H114" si="31">FORMULATEXT(D112)</f>
        <v>=D120*$D$113/(1000*$D$114)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ht="15.75" customHeight="1">
      <c r="A113" s="72"/>
      <c r="B113" s="115"/>
      <c r="C113" s="83" t="s">
        <v>258</v>
      </c>
      <c r="D113" s="86">
        <f>D112/('5 - Tabela curto circuito'!Vbbt^2/'5 - Tabela curto circuito'!Pb)</f>
        <v>1.333102493</v>
      </c>
      <c r="E113" s="85" t="s">
        <v>231</v>
      </c>
      <c r="F113" s="85"/>
      <c r="G113" s="85"/>
      <c r="H113" s="80" t="str">
        <f t="shared" si="31"/>
        <v>=D112/('5 - Tabela curto circuito'!Vbbt^2/'5 - Tabela curto circuito'!Pb)</v>
      </c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ht="30.0" customHeight="1">
      <c r="A114" s="72"/>
      <c r="B114" s="115"/>
      <c r="C114" s="83" t="s">
        <v>259</v>
      </c>
      <c r="D114" s="86" t="str">
        <f>COMPLEX(D110,D113,"j")</f>
        <v>1,40235457063712+1,33310249307479j</v>
      </c>
      <c r="E114" s="85" t="s">
        <v>231</v>
      </c>
      <c r="F114" s="85"/>
      <c r="G114" s="85" t="str">
        <f>FORMULATEXT(D114)</f>
        <v>=COMPLEX(D120;D123;"j")</v>
      </c>
      <c r="H114" s="80" t="str">
        <f t="shared" si="31"/>
        <v>=COMPLEX(D119;D122;"j")</v>
      </c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ht="15.75" customHeight="1">
      <c r="A115" s="72"/>
      <c r="B115" s="115"/>
      <c r="C115" s="112" t="s">
        <v>260</v>
      </c>
      <c r="D115" s="54"/>
      <c r="E115" s="54"/>
      <c r="F115" s="54"/>
      <c r="G115" s="82"/>
      <c r="H115" s="80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ht="15.75" customHeight="1">
      <c r="A116" s="72"/>
      <c r="B116" s="115"/>
      <c r="C116" s="83" t="s">
        <v>251</v>
      </c>
      <c r="D116" s="84">
        <v>0.229</v>
      </c>
      <c r="E116" s="85" t="s">
        <v>252</v>
      </c>
      <c r="F116" s="85" t="s">
        <v>253</v>
      </c>
      <c r="G116" s="85"/>
      <c r="H116" s="80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ht="15.0" customHeight="1">
      <c r="A117" s="72"/>
      <c r="B117" s="115"/>
      <c r="C117" s="83" t="s">
        <v>254</v>
      </c>
      <c r="D117" s="86">
        <f>D116*$D$104/(1000*$D$105)</f>
        <v>0.005725</v>
      </c>
      <c r="E117" s="85" t="s">
        <v>184</v>
      </c>
      <c r="F117" s="85"/>
      <c r="G117" s="85" t="str">
        <f t="shared" ref="G117:G118" si="32">FORMULATEXT(D117)</f>
        <v>=D120*$D$108/(1000*$D$109)</v>
      </c>
      <c r="H117" s="80" t="str">
        <f t="shared" ref="H117:H122" si="33">FORMULATEXT(D117)</f>
        <v>=D125*$D$113/(1000*$D$114)</v>
      </c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ht="15.0" customHeight="1">
      <c r="A118" s="72"/>
      <c r="B118" s="115"/>
      <c r="C118" s="83" t="s">
        <v>255</v>
      </c>
      <c r="D118" s="86">
        <f>D117/('5 - Tabela curto circuito'!Vbbt^2/'5 - Tabela curto circuito'!Pb)</f>
        <v>3.96468144</v>
      </c>
      <c r="E118" s="85" t="s">
        <v>231</v>
      </c>
      <c r="F118" s="85"/>
      <c r="G118" s="85" t="str">
        <f t="shared" si="32"/>
        <v>=D117/('5 - Tabela curto circuito'!Vbbt^2/'5 - Tabela curto circuito'!Pb)</v>
      </c>
      <c r="H118" s="80" t="str">
        <f t="shared" si="33"/>
        <v>=D117/('5 - Tabela curto circuito'!Vbbt^2/'5 - Tabela curto circuito'!Pb)</v>
      </c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  <row r="119" ht="15.75" customHeight="1">
      <c r="A119" s="72"/>
      <c r="B119" s="115"/>
      <c r="C119" s="83" t="s">
        <v>256</v>
      </c>
      <c r="D119" s="84">
        <v>1.987</v>
      </c>
      <c r="E119" s="85" t="s">
        <v>252</v>
      </c>
      <c r="F119" s="85" t="s">
        <v>253</v>
      </c>
      <c r="G119" s="85"/>
      <c r="H119" s="80" t="str">
        <f t="shared" si="33"/>
        <v>#N/A</v>
      </c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</row>
    <row r="120" ht="15.0" customHeight="1">
      <c r="A120" s="72"/>
      <c r="B120" s="115"/>
      <c r="C120" s="83" t="s">
        <v>257</v>
      </c>
      <c r="D120" s="86">
        <f>D119*$D$104/(1000*$D$105)</f>
        <v>0.049675</v>
      </c>
      <c r="E120" s="85" t="s">
        <v>184</v>
      </c>
      <c r="F120" s="85"/>
      <c r="G120" s="85" t="str">
        <f t="shared" ref="G120:G122" si="34">FORMULATEXT(D120)</f>
        <v>=D123*$D$108/(1000*$D$109)</v>
      </c>
      <c r="H120" s="80" t="str">
        <f t="shared" si="33"/>
        <v>=D128*$D$113/(1000*$D$114)</v>
      </c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</row>
    <row r="121" ht="15.0" customHeight="1">
      <c r="A121" s="72"/>
      <c r="B121" s="115"/>
      <c r="C121" s="83" t="s">
        <v>258</v>
      </c>
      <c r="D121" s="86">
        <f>D120/('5 - Tabela curto circuito'!Vbbt^2/'5 - Tabela curto circuito'!Pb)</f>
        <v>34.40096953</v>
      </c>
      <c r="E121" s="85" t="s">
        <v>231</v>
      </c>
      <c r="F121" s="85"/>
      <c r="G121" s="85" t="str">
        <f t="shared" si="34"/>
        <v>=D120/('5 - Tabela curto circuito'!Vbbt^2/'5 - Tabela curto circuito'!Pb)</v>
      </c>
      <c r="H121" s="80" t="str">
        <f t="shared" si="33"/>
        <v>=D120/('5 - Tabela curto circuito'!Vbbt^2/'5 - Tabela curto circuito'!Pb)</v>
      </c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</row>
    <row r="122" ht="30.0" customHeight="1">
      <c r="A122" s="72"/>
      <c r="B122" s="115"/>
      <c r="C122" s="83" t="s">
        <v>259</v>
      </c>
      <c r="D122" s="86" t="str">
        <f>COMPLEX(D118,D121,"j")</f>
        <v>3,96468144044321+34,4009695290859j</v>
      </c>
      <c r="E122" s="85" t="s">
        <v>231</v>
      </c>
      <c r="F122" s="85"/>
      <c r="G122" s="85" t="str">
        <f t="shared" si="34"/>
        <v>=COMPLEX(D128;D131;"j")</v>
      </c>
      <c r="H122" s="80" t="str">
        <f t="shared" si="33"/>
        <v>=COMPLEX(D127;D130;"j")</v>
      </c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</row>
    <row r="123" ht="15.75" customHeight="1">
      <c r="A123" s="72"/>
      <c r="B123" s="115"/>
      <c r="C123" s="118" t="s">
        <v>200</v>
      </c>
      <c r="D123" s="54"/>
      <c r="E123" s="54"/>
      <c r="F123" s="54"/>
      <c r="G123" s="82"/>
      <c r="H123" s="80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</row>
    <row r="124" ht="15.75" customHeight="1">
      <c r="A124" s="72"/>
      <c r="B124" s="115"/>
      <c r="C124" s="96" t="s">
        <v>201</v>
      </c>
      <c r="D124" s="54"/>
      <c r="E124" s="54"/>
      <c r="F124" s="54"/>
      <c r="G124" s="82"/>
      <c r="H124" s="80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</row>
    <row r="125" ht="30.0" customHeight="1">
      <c r="A125" s="72"/>
      <c r="B125" s="115"/>
      <c r="C125" s="83" t="s">
        <v>239</v>
      </c>
      <c r="D125" s="86" t="str">
        <f>IMSUM(D114,$D$87)</f>
        <v>3,76708679593721+8,29589929343837j</v>
      </c>
      <c r="E125" s="85"/>
      <c r="F125" s="85"/>
      <c r="G125" s="85" t="str">
        <f t="shared" ref="G125:G128" si="35">FORMULATEXT(D125)</f>
        <v>=IMSUM(D124;$D$94)</v>
      </c>
      <c r="H125" s="80" t="str">
        <f t="shared" ref="H125:H139" si="36">FORMULATEXT(D125)</f>
        <v>=IMSUM(D123;$D$93)</v>
      </c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</row>
    <row r="126" ht="30.0" customHeight="1">
      <c r="A126" s="72"/>
      <c r="B126" s="115"/>
      <c r="C126" s="83" t="s">
        <v>202</v>
      </c>
      <c r="D126" s="86" t="str">
        <f>IMDIV('5 - Tabela curto circuito'!Ibbt,D125)</f>
        <v>6894,70802509018-15183,5639931358j</v>
      </c>
      <c r="E126" s="85" t="s">
        <v>203</v>
      </c>
      <c r="F126" s="86"/>
      <c r="G126" s="85" t="str">
        <f t="shared" si="35"/>
        <v>=IMDIV('5 - Tabela curto circuito'!Ibbt;D125)</v>
      </c>
      <c r="H126" s="80" t="str">
        <f t="shared" si="36"/>
        <v>=IMDIV('5 - Tabela curto circuito'!Ibbt;D125)</v>
      </c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</row>
    <row r="127" ht="15.0" customHeight="1">
      <c r="A127" s="72"/>
      <c r="B127" s="115"/>
      <c r="C127" s="83" t="s">
        <v>204</v>
      </c>
      <c r="D127" s="97">
        <f>IMABS(D126)/1000</f>
        <v>16.67565934</v>
      </c>
      <c r="E127" s="85" t="s">
        <v>205</v>
      </c>
      <c r="F127" s="86"/>
      <c r="G127" s="85" t="str">
        <f t="shared" si="35"/>
        <v>=IMABS(D136)/1000</v>
      </c>
      <c r="H127" s="80" t="str">
        <f t="shared" si="36"/>
        <v>=IMABS(D135)/1000</v>
      </c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</row>
    <row r="128" ht="15.0" customHeight="1">
      <c r="A128" s="72"/>
      <c r="B128" s="115"/>
      <c r="C128" s="83" t="s">
        <v>206</v>
      </c>
      <c r="D128" s="97">
        <f>DEGREES(IMARGUMENT(D126))</f>
        <v>-65.57766533</v>
      </c>
      <c r="E128" s="85" t="s">
        <v>207</v>
      </c>
      <c r="F128" s="86"/>
      <c r="G128" s="85" t="str">
        <f t="shared" si="35"/>
        <v>=DEGREES(IMARGUMENT(D136))</v>
      </c>
      <c r="H128" s="80" t="str">
        <f t="shared" si="36"/>
        <v>=DEGREES(IMARGUMENT(D135))</v>
      </c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</row>
    <row r="129" ht="15.75" customHeight="1">
      <c r="A129" s="72"/>
      <c r="B129" s="115"/>
      <c r="C129" s="96" t="s">
        <v>208</v>
      </c>
      <c r="D129" s="54"/>
      <c r="E129" s="54"/>
      <c r="F129" s="54"/>
      <c r="G129" s="82"/>
      <c r="H129" s="80" t="str">
        <f t="shared" si="36"/>
        <v>#N/A</v>
      </c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</row>
    <row r="130" ht="30.0" customHeight="1">
      <c r="A130" s="72"/>
      <c r="B130" s="115"/>
      <c r="C130" s="83" t="s">
        <v>264</v>
      </c>
      <c r="D130" s="86" t="str">
        <f>IMSUM(D122,$D$87,$D$87,$D$84,$D$46,'5 - Tabela curto circuito'!Z0s)</f>
        <v>11,4168421052631+58,9359665783761j</v>
      </c>
      <c r="E130" s="83"/>
      <c r="F130" s="85"/>
      <c r="G130" s="85" t="str">
        <f t="shared" ref="G130:G133" si="37">FORMULATEXT(D130)</f>
        <v>=IMSUM(D122;$D$87;$D$87;$D$84;$D$46;'5 - Tabela curto circuito'!Z0s)</v>
      </c>
      <c r="H130" s="80" t="str">
        <f t="shared" si="36"/>
        <v>=IMSUM(D122;$D$87;$D$87;$D$84;$D$46;'5 - Tabela curto circuito'!Z0s)</v>
      </c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</row>
    <row r="131" ht="30.0" customHeight="1">
      <c r="A131" s="72"/>
      <c r="B131" s="115"/>
      <c r="C131" s="83" t="s">
        <v>210</v>
      </c>
      <c r="D131" s="86" t="str">
        <f>IMDIV(3*'5 - Tabela curto circuito'!Ibbt,D130)</f>
        <v>1443,98690783659-7454,14216604065j</v>
      </c>
      <c r="E131" s="85" t="s">
        <v>203</v>
      </c>
      <c r="F131" s="86"/>
      <c r="G131" s="85" t="str">
        <f t="shared" si="37"/>
        <v>=IMDIV(3*'5 - Tabela curto circuito'!Ibbt;D130)</v>
      </c>
      <c r="H131" s="80" t="str">
        <f t="shared" si="36"/>
        <v>=IMDIV(3*'5 - Tabela curto circuito'!Ibbt;D130)</v>
      </c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</row>
    <row r="132" ht="15.0" customHeight="1">
      <c r="A132" s="72"/>
      <c r="B132" s="115"/>
      <c r="C132" s="83" t="s">
        <v>211</v>
      </c>
      <c r="D132" s="97">
        <f>IMABS(D131)/1000</f>
        <v>7.592715826</v>
      </c>
      <c r="E132" s="85" t="s">
        <v>205</v>
      </c>
      <c r="F132" s="86"/>
      <c r="G132" s="85" t="str">
        <f t="shared" si="37"/>
        <v>=IMABS(D141)/1000</v>
      </c>
      <c r="H132" s="80" t="str">
        <f t="shared" si="36"/>
        <v>=IMABS(D140)/1000</v>
      </c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</row>
    <row r="133" ht="15.0" customHeight="1">
      <c r="A133" s="72"/>
      <c r="B133" s="115"/>
      <c r="C133" s="83" t="s">
        <v>212</v>
      </c>
      <c r="D133" s="97">
        <f>DEGREES(IMARGUMENT(D131))</f>
        <v>-79.03667865</v>
      </c>
      <c r="E133" s="85" t="s">
        <v>207</v>
      </c>
      <c r="F133" s="86"/>
      <c r="G133" s="85" t="str">
        <f t="shared" si="37"/>
        <v>=DEGREES(IMARGUMENT(D141))</v>
      </c>
      <c r="H133" s="80" t="str">
        <f t="shared" si="36"/>
        <v>=DEGREES(IMARGUMENT(D140))</v>
      </c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</row>
    <row r="134" ht="15.75" customHeight="1">
      <c r="A134" s="72"/>
      <c r="B134" s="115"/>
      <c r="C134" s="96" t="s">
        <v>216</v>
      </c>
      <c r="D134" s="54"/>
      <c r="E134" s="54"/>
      <c r="F134" s="54"/>
      <c r="G134" s="82"/>
      <c r="H134" s="80" t="str">
        <f t="shared" si="36"/>
        <v>#N/A</v>
      </c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</row>
    <row r="135" ht="15.75" customHeight="1">
      <c r="A135" s="72"/>
      <c r="B135" s="115"/>
      <c r="C135" s="83" t="s">
        <v>217</v>
      </c>
      <c r="D135" s="97">
        <f>IMAGINARY(D125)/IMREAL(D125)</f>
        <v>2.202205509</v>
      </c>
      <c r="E135" s="85"/>
      <c r="F135" s="85"/>
      <c r="G135" s="85" t="str">
        <f>FORMULATEXT(D135)</f>
        <v>=IMAGINARY(D135)/IMREAL(D135)</v>
      </c>
      <c r="H135" s="80" t="str">
        <f t="shared" si="36"/>
        <v>=IMAGINARY(D134)/IMREAL(D134)</v>
      </c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</row>
    <row r="136" ht="15.75" customHeight="1">
      <c r="A136" s="72"/>
      <c r="B136" s="115"/>
      <c r="C136" s="83" t="s">
        <v>218</v>
      </c>
      <c r="D136" s="97">
        <f>SQRT(1+2*EXP(-2*0.00416/D139))</f>
        <v>1.445444397</v>
      </c>
      <c r="E136" s="85"/>
      <c r="F136" s="85"/>
      <c r="G136" s="85"/>
      <c r="H136" s="80" t="str">
        <f t="shared" si="36"/>
        <v>=SQRT(1+2*EXP(-2*0,00416/D139))</v>
      </c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</row>
    <row r="137" ht="15.75" customHeight="1">
      <c r="A137" s="72"/>
      <c r="B137" s="115"/>
      <c r="C137" s="83" t="s">
        <v>219</v>
      </c>
      <c r="D137" s="97">
        <f>D136*D127</f>
        <v>24.10373835</v>
      </c>
      <c r="E137" s="85"/>
      <c r="F137" s="99"/>
      <c r="G137" s="85" t="str">
        <f t="shared" ref="G137:G139" si="38">FORMULATEXT(D137)</f>
        <v>=D136*D127</v>
      </c>
      <c r="H137" s="80" t="str">
        <f t="shared" si="36"/>
        <v>=D136*D127</v>
      </c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</row>
    <row r="138" ht="15.75" customHeight="1">
      <c r="A138" s="72"/>
      <c r="B138" s="115"/>
      <c r="C138" s="83" t="s">
        <v>220</v>
      </c>
      <c r="D138" s="97">
        <f>D137*SQRT(2)</f>
        <v>34.08783368</v>
      </c>
      <c r="E138" s="85"/>
      <c r="F138" s="99"/>
      <c r="G138" s="85" t="str">
        <f t="shared" si="38"/>
        <v>=D137*SQRT(2)</v>
      </c>
      <c r="H138" s="80" t="str">
        <f t="shared" si="36"/>
        <v>=D137*SQRT(2)</v>
      </c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</row>
    <row r="139" ht="15.0" customHeight="1">
      <c r="A139" s="72"/>
      <c r="B139" s="115"/>
      <c r="C139" s="83" t="s">
        <v>221</v>
      </c>
      <c r="D139" s="86">
        <f>IMAGINARY(D130)/(PI()*2*60*IMREAL(D130))</f>
        <v>0.01369314784</v>
      </c>
      <c r="E139" s="85"/>
      <c r="F139" s="85"/>
      <c r="G139" s="85" t="str">
        <f t="shared" si="38"/>
        <v>=IMAGINARY(D130)/(PI()*2*60*IMREAL(D130))</v>
      </c>
      <c r="H139" s="80" t="str">
        <f t="shared" si="36"/>
        <v>=IMAGINARY(D130)/(PI()*2*60*IMREAL(D130))</v>
      </c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</row>
    <row r="140">
      <c r="A140" s="72"/>
      <c r="B140" s="119"/>
      <c r="C140" s="120" t="s">
        <v>265</v>
      </c>
      <c r="G140" s="88"/>
      <c r="H140" s="80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</row>
    <row r="141" ht="15.75" customHeight="1">
      <c r="A141" s="72"/>
      <c r="B141" s="119"/>
      <c r="C141" s="81" t="s">
        <v>192</v>
      </c>
      <c r="D141" s="54"/>
      <c r="E141" s="54"/>
      <c r="F141" s="54"/>
      <c r="G141" s="82"/>
      <c r="H141" s="80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</row>
    <row r="142" ht="15.75" customHeight="1">
      <c r="A142" s="72"/>
      <c r="B142" s="119"/>
      <c r="C142" s="83" t="s">
        <v>242</v>
      </c>
      <c r="D142" s="86">
        <v>35.0</v>
      </c>
      <c r="E142" s="85" t="s">
        <v>262</v>
      </c>
      <c r="F142" s="85" t="s">
        <v>244</v>
      </c>
      <c r="G142" s="85"/>
      <c r="H142" s="80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</row>
    <row r="143" ht="15.75" customHeight="1">
      <c r="A143" s="72"/>
      <c r="B143" s="119"/>
      <c r="C143" s="83" t="s">
        <v>245</v>
      </c>
      <c r="D143" s="86">
        <v>1.0</v>
      </c>
      <c r="E143" s="85"/>
      <c r="F143" s="85" t="s">
        <v>246</v>
      </c>
      <c r="G143" s="85"/>
      <c r="H143" s="80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</row>
    <row r="144" ht="15.75" customHeight="1">
      <c r="A144" s="72"/>
      <c r="B144" s="119"/>
      <c r="C144" s="83" t="s">
        <v>247</v>
      </c>
      <c r="D144" s="84">
        <v>70.0</v>
      </c>
      <c r="E144" s="85" t="s">
        <v>248</v>
      </c>
      <c r="F144" s="85" t="s">
        <v>249</v>
      </c>
      <c r="G144" s="85"/>
      <c r="H144" s="80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</row>
    <row r="145" ht="15.75" customHeight="1">
      <c r="A145" s="72"/>
      <c r="B145" s="119"/>
      <c r="C145" s="112" t="s">
        <v>250</v>
      </c>
      <c r="D145" s="54"/>
      <c r="E145" s="54"/>
      <c r="F145" s="54"/>
      <c r="G145" s="82"/>
      <c r="H145" s="80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</row>
    <row r="146" ht="15.75" customHeight="1">
      <c r="A146" s="72"/>
      <c r="B146" s="119"/>
      <c r="C146" s="83" t="s">
        <v>251</v>
      </c>
      <c r="D146" s="84">
        <v>0.343</v>
      </c>
      <c r="E146" s="85" t="s">
        <v>252</v>
      </c>
      <c r="F146" s="85" t="s">
        <v>253</v>
      </c>
      <c r="G146" s="85"/>
      <c r="H146" s="80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</row>
    <row r="147" ht="15.0" customHeight="1">
      <c r="A147" s="72"/>
      <c r="B147" s="119"/>
      <c r="C147" s="83" t="s">
        <v>254</v>
      </c>
      <c r="D147" s="86">
        <f>D146*D142/(1000*D143)</f>
        <v>0.012005</v>
      </c>
      <c r="E147" s="85" t="s">
        <v>184</v>
      </c>
      <c r="F147" s="85"/>
      <c r="G147" s="85" t="str">
        <f t="shared" ref="G147:G148" si="39">FORMULATEXT(D147)</f>
        <v>=D152*D148/(1000*D149)</v>
      </c>
      <c r="H147" s="80" t="str">
        <f t="shared" ref="H147:H148" si="40">FORMULATEXT(D147)</f>
        <v>=D158*D154/(1000*D155)</v>
      </c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</row>
    <row r="148" ht="15.0" customHeight="1">
      <c r="A148" s="72"/>
      <c r="B148" s="119"/>
      <c r="C148" s="83" t="s">
        <v>255</v>
      </c>
      <c r="D148" s="86">
        <f>D147/('5 - Tabela curto circuito'!Vbbt^2/'5 - Tabela curto circuito'!Pb)</f>
        <v>8.313711911</v>
      </c>
      <c r="E148" s="85" t="s">
        <v>231</v>
      </c>
      <c r="F148" s="85"/>
      <c r="G148" s="85" t="str">
        <f t="shared" si="39"/>
        <v>=D147/('5 - Tabela curto circuito'!Vbbt^2/'5 - Tabela curto circuito'!Pb)</v>
      </c>
      <c r="H148" s="80" t="str">
        <f t="shared" si="40"/>
        <v>=D147/('5 - Tabela curto circuito'!Vbbt^2/'5 - Tabela curto circuito'!Pb)</v>
      </c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</row>
    <row r="149" ht="15.75" customHeight="1">
      <c r="A149" s="72"/>
      <c r="B149" s="119"/>
      <c r="C149" s="83" t="s">
        <v>256</v>
      </c>
      <c r="D149" s="84">
        <v>0.079</v>
      </c>
      <c r="E149" s="85" t="s">
        <v>252</v>
      </c>
      <c r="F149" s="85" t="s">
        <v>253</v>
      </c>
      <c r="G149" s="85"/>
      <c r="H149" s="80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</row>
    <row r="150" ht="15.0" customHeight="1">
      <c r="A150" s="72"/>
      <c r="B150" s="119"/>
      <c r="C150" s="83" t="s">
        <v>257</v>
      </c>
      <c r="D150" s="86">
        <f>D149*D142/(1000*D143)</f>
        <v>0.002765</v>
      </c>
      <c r="E150" s="85" t="s">
        <v>184</v>
      </c>
      <c r="F150" s="85"/>
      <c r="G150" s="85" t="str">
        <f>FORMULATEXT(D150)</f>
        <v>=D155*D148/(1000*D149)</v>
      </c>
      <c r="H150" s="80" t="str">
        <f t="shared" ref="H150:H152" si="41">FORMULATEXT(D150)</f>
        <v>=D161*D154/(1000*D155)</v>
      </c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</row>
    <row r="151" ht="15.75" customHeight="1">
      <c r="A151" s="72"/>
      <c r="B151" s="119"/>
      <c r="C151" s="83" t="s">
        <v>258</v>
      </c>
      <c r="D151" s="86">
        <f>D150/('5 - Tabela curto circuito'!Vbbt^2/'5 - Tabela curto circuito'!Pb)</f>
        <v>1.914819945</v>
      </c>
      <c r="E151" s="85" t="s">
        <v>231</v>
      </c>
      <c r="F151" s="85"/>
      <c r="G151" s="85"/>
      <c r="H151" s="80" t="str">
        <f t="shared" si="41"/>
        <v>=D150/('5 - Tabela curto circuito'!Vbbt^2/'5 - Tabela curto circuito'!Pb)</v>
      </c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</row>
    <row r="152">
      <c r="A152" s="72"/>
      <c r="B152" s="119"/>
      <c r="C152" s="83" t="s">
        <v>259</v>
      </c>
      <c r="D152" s="86" t="str">
        <f>COMPLEX(D148,D151,"j")</f>
        <v>8,31371191135734+1,91481994459834j</v>
      </c>
      <c r="E152" s="85" t="s">
        <v>231</v>
      </c>
      <c r="F152" s="85"/>
      <c r="G152" s="85" t="str">
        <f>FORMULATEXT(D152)</f>
        <v>=COMPLEX(D161;D164;"j")</v>
      </c>
      <c r="H152" s="80" t="str">
        <f t="shared" si="41"/>
        <v>=COMPLEX(D160;D163;"j")</v>
      </c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</row>
    <row r="153" ht="15.75" customHeight="1">
      <c r="A153" s="72"/>
      <c r="B153" s="119"/>
      <c r="C153" s="112" t="s">
        <v>260</v>
      </c>
      <c r="D153" s="54"/>
      <c r="E153" s="54"/>
      <c r="F153" s="54"/>
      <c r="G153" s="82"/>
      <c r="H153" s="80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</row>
    <row r="154" ht="15.75" customHeight="1">
      <c r="A154" s="72"/>
      <c r="B154" s="119"/>
      <c r="C154" s="83" t="s">
        <v>251</v>
      </c>
      <c r="D154" s="84">
        <v>0.491</v>
      </c>
      <c r="E154" s="85" t="s">
        <v>252</v>
      </c>
      <c r="F154" s="85" t="s">
        <v>253</v>
      </c>
      <c r="G154" s="85"/>
      <c r="H154" s="80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</row>
    <row r="155" ht="15.0" customHeight="1">
      <c r="A155" s="72"/>
      <c r="B155" s="119"/>
      <c r="C155" s="83" t="s">
        <v>254</v>
      </c>
      <c r="D155" s="86">
        <f>D154*D142/(1000*D143)</f>
        <v>0.017185</v>
      </c>
      <c r="E155" s="85" t="s">
        <v>184</v>
      </c>
      <c r="F155" s="85"/>
      <c r="G155" s="85" t="str">
        <f t="shared" ref="G155:G156" si="42">FORMULATEXT(D155)</f>
        <v>=D160*D148/(1000*D149)</v>
      </c>
      <c r="H155" s="80" t="str">
        <f t="shared" ref="H155:H156" si="43">FORMULATEXT(D155)</f>
        <v>=D166*D154/(1000*D155)</v>
      </c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</row>
    <row r="156" ht="15.0" customHeight="1">
      <c r="A156" s="72"/>
      <c r="B156" s="119"/>
      <c r="C156" s="83" t="s">
        <v>255</v>
      </c>
      <c r="D156" s="86">
        <f>D155/('5 - Tabela curto circuito'!Vbbt^2/'5 - Tabela curto circuito'!Pb)</f>
        <v>11.90096953</v>
      </c>
      <c r="E156" s="85" t="s">
        <v>231</v>
      </c>
      <c r="F156" s="85"/>
      <c r="G156" s="85" t="str">
        <f t="shared" si="42"/>
        <v>=D155/('5 - Tabela curto circuito'!Vbbt^2/'5 - Tabela curto circuito'!Pb)</v>
      </c>
      <c r="H156" s="80" t="str">
        <f t="shared" si="43"/>
        <v>=D155/('5 - Tabela curto circuito'!Vbbt^2/'5 - Tabela curto circuito'!Pb)</v>
      </c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</row>
    <row r="157" ht="15.75" customHeight="1">
      <c r="A157" s="72"/>
      <c r="B157" s="119"/>
      <c r="C157" s="83" t="s">
        <v>256</v>
      </c>
      <c r="D157" s="84">
        <v>2.15</v>
      </c>
      <c r="E157" s="85" t="s">
        <v>252</v>
      </c>
      <c r="F157" s="85" t="s">
        <v>253</v>
      </c>
      <c r="G157" s="85"/>
      <c r="H157" s="80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</row>
    <row r="158" ht="15.0" customHeight="1">
      <c r="A158" s="72"/>
      <c r="B158" s="119"/>
      <c r="C158" s="83" t="s">
        <v>257</v>
      </c>
      <c r="D158" s="86">
        <f>D157*D142/(1000*D143)</f>
        <v>0.07525</v>
      </c>
      <c r="E158" s="85" t="s">
        <v>184</v>
      </c>
      <c r="F158" s="85"/>
      <c r="G158" s="85" t="str">
        <f t="shared" ref="G158:G160" si="44">FORMULATEXT(D158)</f>
        <v>=D163*D148/(1000*D149)</v>
      </c>
      <c r="H158" s="80" t="str">
        <f t="shared" ref="H158:H160" si="45">FORMULATEXT(D158)</f>
        <v>=D169*D154/(1000*D155)</v>
      </c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</row>
    <row r="159" ht="15.0" customHeight="1">
      <c r="A159" s="72"/>
      <c r="B159" s="119"/>
      <c r="C159" s="83" t="s">
        <v>258</v>
      </c>
      <c r="D159" s="86">
        <f>D158/('5 - Tabela curto circuito'!Vbbt^2/'5 - Tabela curto circuito'!Pb)</f>
        <v>52.11218837</v>
      </c>
      <c r="E159" s="85" t="s">
        <v>231</v>
      </c>
      <c r="F159" s="85"/>
      <c r="G159" s="85" t="str">
        <f t="shared" si="44"/>
        <v>=D158/('5 - Tabela curto circuito'!Vbbt^2/'5 - Tabela curto circuito'!Pb)</v>
      </c>
      <c r="H159" s="80" t="str">
        <f t="shared" si="45"/>
        <v>=D158/('5 - Tabela curto circuito'!Vbbt^2/'5 - Tabela curto circuito'!Pb)</v>
      </c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</row>
    <row r="160" ht="30.0" customHeight="1">
      <c r="A160" s="72"/>
      <c r="B160" s="119"/>
      <c r="C160" s="83" t="s">
        <v>259</v>
      </c>
      <c r="D160" s="86" t="str">
        <f>COMPLEX(D156,D159,"j")</f>
        <v>11,9009695290859+52,112188365651j</v>
      </c>
      <c r="E160" s="85" t="s">
        <v>231</v>
      </c>
      <c r="F160" s="85"/>
      <c r="G160" s="85" t="str">
        <f t="shared" si="44"/>
        <v>=COMPLEX(D169;D172;"j")</v>
      </c>
      <c r="H160" s="80" t="str">
        <f t="shared" si="45"/>
        <v>=COMPLEX(D168;D171;"j")</v>
      </c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</row>
    <row r="161">
      <c r="A161" s="72"/>
      <c r="B161" s="119"/>
      <c r="C161" s="121" t="s">
        <v>200</v>
      </c>
      <c r="D161" s="54"/>
      <c r="E161" s="54"/>
      <c r="F161" s="54"/>
      <c r="G161" s="82"/>
      <c r="H161" s="80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</row>
    <row r="162" ht="15.75" customHeight="1">
      <c r="A162" s="72"/>
      <c r="B162" s="119"/>
      <c r="C162" s="96" t="s">
        <v>201</v>
      </c>
      <c r="D162" s="54"/>
      <c r="E162" s="54"/>
      <c r="F162" s="54"/>
      <c r="G162" s="82"/>
      <c r="H162" s="80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</row>
    <row r="163" ht="30.0" customHeight="1">
      <c r="A163" s="72"/>
      <c r="B163" s="119"/>
      <c r="C163" s="83" t="s">
        <v>239</v>
      </c>
      <c r="D163" s="86" t="str">
        <f>IMSUM(D152,D87)</f>
        <v>10,6784441366574+8,87761674496192j</v>
      </c>
      <c r="E163" s="85"/>
      <c r="F163" s="85"/>
      <c r="G163" s="85" t="str">
        <f t="shared" ref="G163:G166" si="46">FORMULATEXT(D163)</f>
        <v>=IMSUM(D165;D94)</v>
      </c>
      <c r="H163" s="80" t="str">
        <f t="shared" ref="H163:H166" si="47">FORMULATEXT(D163)</f>
        <v>=IMSUM(D164;D93)</v>
      </c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</row>
    <row r="164" ht="30.0" customHeight="1">
      <c r="A164" s="72"/>
      <c r="B164" s="119"/>
      <c r="C164" s="83" t="s">
        <v>202</v>
      </c>
      <c r="D164" s="86" t="str">
        <f>IMDIV('5 - Tabela curto circuito'!Ibbt,D163)</f>
        <v>8413,25054016566-6994,42848781097j</v>
      </c>
      <c r="E164" s="85" t="s">
        <v>203</v>
      </c>
      <c r="F164" s="86"/>
      <c r="G164" s="85" t="str">
        <f t="shared" si="46"/>
        <v>=IMDIV('5 - Tabela curto circuito'!Ibbt;D163)</v>
      </c>
      <c r="H164" s="80" t="str">
        <f t="shared" si="47"/>
        <v>=IMDIV('5 - Tabela curto circuito'!Ibbt;D163)</v>
      </c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</row>
    <row r="165" ht="15.0" customHeight="1">
      <c r="A165" s="72"/>
      <c r="B165" s="119"/>
      <c r="C165" s="83" t="s">
        <v>204</v>
      </c>
      <c r="D165" s="97">
        <f>IMABS(D164)/1000</f>
        <v>10.94096954</v>
      </c>
      <c r="E165" s="85" t="s">
        <v>186</v>
      </c>
      <c r="F165" s="86"/>
      <c r="G165" s="85" t="str">
        <f t="shared" si="46"/>
        <v>=IMABS(D177)/1000</v>
      </c>
      <c r="H165" s="80" t="str">
        <f t="shared" si="47"/>
        <v>=IMABS(D176)/1000</v>
      </c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</row>
    <row r="166" ht="15.0" customHeight="1">
      <c r="A166" s="72"/>
      <c r="B166" s="119"/>
      <c r="C166" s="83" t="s">
        <v>206</v>
      </c>
      <c r="D166" s="97">
        <f>DEGREES(IMARGUMENT(D164))</f>
        <v>-39.73873397</v>
      </c>
      <c r="E166" s="85" t="s">
        <v>207</v>
      </c>
      <c r="F166" s="86"/>
      <c r="G166" s="85" t="str">
        <f t="shared" si="46"/>
        <v>=DEGREES(IMARGUMENT(D177))</v>
      </c>
      <c r="H166" s="80" t="str">
        <f t="shared" si="47"/>
        <v>=DEGREES(IMARGUMENT(D176))</v>
      </c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</row>
    <row r="167" ht="15.75" customHeight="1">
      <c r="A167" s="72"/>
      <c r="B167" s="119"/>
      <c r="C167" s="96" t="s">
        <v>208</v>
      </c>
      <c r="D167" s="54"/>
      <c r="E167" s="54"/>
      <c r="F167" s="54"/>
      <c r="G167" s="82"/>
      <c r="H167" s="80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</row>
    <row r="168" ht="30.0" customHeight="1">
      <c r="A168" s="72"/>
      <c r="B168" s="119"/>
      <c r="C168" s="83" t="s">
        <v>264</v>
      </c>
      <c r="D168" s="86" t="str">
        <f>IMSUM(D160,$D$87,$D$87,$D$84,$D$46,'5 - Tabela curto circuito'!Z0s)</f>
        <v>19,3531301939058+76,6471854149412j</v>
      </c>
      <c r="E168" s="83"/>
      <c r="F168" s="85"/>
      <c r="G168" s="85" t="str">
        <f t="shared" ref="G168:G171" si="48">FORMULATEXT(D168)</f>
        <v>=IMSUM(D160;$D$87;$D$87;$D$84;$D$46;'5 - Tabela curto circuito'!Z0s)</v>
      </c>
      <c r="H168" s="80" t="str">
        <f t="shared" ref="H168:H171" si="49">FORMULATEXT(D168)</f>
        <v>=IMSUM(D160;$D$87;$D$87;$D$84;$D$46;'5 - Tabela curto circuito'!Z0s)</v>
      </c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</row>
    <row r="169" ht="30.0" customHeight="1">
      <c r="A169" s="72"/>
      <c r="B169" s="119"/>
      <c r="C169" s="83" t="s">
        <v>210</v>
      </c>
      <c r="D169" s="86" t="str">
        <f>IMDIV(3*'5 - Tabela curto circuito'!Ibbt,D168)</f>
        <v>1411,54414602273-5590,35591646295j</v>
      </c>
      <c r="E169" s="85" t="s">
        <v>203</v>
      </c>
      <c r="F169" s="86"/>
      <c r="G169" s="85" t="str">
        <f t="shared" si="48"/>
        <v>=IMDIV(3*'5 - Tabela curto circuito'!Ibbt;D168)</v>
      </c>
      <c r="H169" s="80" t="str">
        <f t="shared" si="49"/>
        <v>=IMDIV(3*'5 - Tabela curto circuito'!Ibbt;D168)</v>
      </c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</row>
    <row r="170" ht="15.0" customHeight="1">
      <c r="A170" s="72"/>
      <c r="B170" s="119"/>
      <c r="C170" s="83" t="s">
        <v>211</v>
      </c>
      <c r="D170" s="97">
        <f>IMABS(D169)/1000</f>
        <v>5.765807502</v>
      </c>
      <c r="E170" s="85" t="s">
        <v>186</v>
      </c>
      <c r="F170" s="86"/>
      <c r="G170" s="85" t="str">
        <f t="shared" si="48"/>
        <v>=IMABS(D182)/1000</v>
      </c>
      <c r="H170" s="80" t="str">
        <f t="shared" si="49"/>
        <v>=IMABS(D181)/1000</v>
      </c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</row>
    <row r="171" ht="15.0" customHeight="1">
      <c r="A171" s="72"/>
      <c r="B171" s="119"/>
      <c r="C171" s="83" t="s">
        <v>212</v>
      </c>
      <c r="D171" s="122">
        <f>DEGREES(IMARGUMENT(D169))</f>
        <v>-75.8292221</v>
      </c>
      <c r="E171" s="85" t="s">
        <v>207</v>
      </c>
      <c r="F171" s="86"/>
      <c r="G171" s="85" t="str">
        <f t="shared" si="48"/>
        <v>=DEGREES(IMARGUMENT(D182))</v>
      </c>
      <c r="H171" s="80" t="str">
        <f t="shared" si="49"/>
        <v>=DEGREES(IMARGUMENT(D181))</v>
      </c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</row>
    <row r="172" ht="15.75" customHeight="1">
      <c r="A172" s="72"/>
      <c r="B172" s="119"/>
      <c r="C172" s="96" t="s">
        <v>216</v>
      </c>
      <c r="D172" s="54"/>
      <c r="E172" s="54"/>
      <c r="F172" s="54"/>
      <c r="G172" s="82"/>
      <c r="H172" s="80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</row>
    <row r="173" ht="15.0" customHeight="1">
      <c r="A173" s="72"/>
      <c r="B173" s="119"/>
      <c r="C173" s="83" t="s">
        <v>266</v>
      </c>
      <c r="D173" s="97">
        <f>IMAGINARY(D163)/IMREAL(D163)</f>
        <v>0.8313586353</v>
      </c>
      <c r="E173" s="85"/>
      <c r="F173" s="85"/>
      <c r="G173" s="85" t="str">
        <f>FORMULATEXT(D173)</f>
        <v>=IMAGINARY(D176)/IMREAL(D176)</v>
      </c>
      <c r="H173" s="80" t="str">
        <f t="shared" ref="H173:H177" si="50">FORMULATEXT(D173)</f>
        <v>=IMAGINARY(D175)/IMREAL(D175)</v>
      </c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</row>
    <row r="174" ht="15.75" customHeight="1">
      <c r="A174" s="72"/>
      <c r="B174" s="119"/>
      <c r="C174" s="83" t="s">
        <v>218</v>
      </c>
      <c r="D174" s="97">
        <f>SQRT(1+2*EXP(-2*0.00416/D177))</f>
        <v>1.022728858</v>
      </c>
      <c r="E174" s="85"/>
      <c r="F174" s="85"/>
      <c r="G174" s="85"/>
      <c r="H174" s="80" t="str">
        <f t="shared" si="50"/>
        <v>=SQRT(1+2*EXP(-2*0,00416/D177))</v>
      </c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</row>
    <row r="175" ht="15.75" customHeight="1">
      <c r="A175" s="72"/>
      <c r="B175" s="119"/>
      <c r="C175" s="83" t="s">
        <v>219</v>
      </c>
      <c r="D175" s="97">
        <f>D174*D165</f>
        <v>11.18964529</v>
      </c>
      <c r="E175" s="85"/>
      <c r="F175" s="99"/>
      <c r="G175" s="85" t="str">
        <f t="shared" ref="G175:G177" si="51">FORMULATEXT(D175)</f>
        <v>=D174*D165</v>
      </c>
      <c r="H175" s="80" t="str">
        <f t="shared" si="50"/>
        <v>=D174*D165</v>
      </c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</row>
    <row r="176" ht="15.75" customHeight="1">
      <c r="A176" s="72"/>
      <c r="B176" s="119"/>
      <c r="C176" s="83" t="s">
        <v>220</v>
      </c>
      <c r="D176" s="97">
        <f>D175*SQRT(2)</f>
        <v>15.82454812</v>
      </c>
      <c r="E176" s="85"/>
      <c r="F176" s="99"/>
      <c r="G176" s="85" t="str">
        <f t="shared" si="51"/>
        <v>=D175*SQRT(2)</v>
      </c>
      <c r="H176" s="80" t="str">
        <f t="shared" si="50"/>
        <v>=D175*SQRT(2)</v>
      </c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</row>
    <row r="177" ht="15.0" customHeight="1">
      <c r="A177" s="72"/>
      <c r="B177" s="119"/>
      <c r="C177" s="83" t="s">
        <v>221</v>
      </c>
      <c r="D177" s="123">
        <f>IMAGINARY(D163)/(PI()*2*60*IMREAL(D163))</f>
        <v>0.002205247272</v>
      </c>
      <c r="E177" s="85"/>
      <c r="F177" s="85"/>
      <c r="G177" s="85" t="str">
        <f t="shared" si="51"/>
        <v>=IMAGINARY(D163)/(PI()*2*60*IMREAL(D163))</v>
      </c>
      <c r="H177" s="80" t="str">
        <f t="shared" si="50"/>
        <v>=IMAGINARY(D163)/(PI()*2*60*IMREAL(D163))</v>
      </c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</row>
    <row r="178">
      <c r="A178" s="72"/>
      <c r="B178" s="124"/>
      <c r="C178" s="125" t="s">
        <v>267</v>
      </c>
      <c r="G178" s="88"/>
      <c r="H178" s="80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</row>
    <row r="179" ht="15.75" customHeight="1">
      <c r="A179" s="72"/>
      <c r="B179" s="124"/>
      <c r="C179" s="81" t="s">
        <v>192</v>
      </c>
      <c r="D179" s="54"/>
      <c r="E179" s="54"/>
      <c r="F179" s="54"/>
      <c r="G179" s="82"/>
      <c r="H179" s="80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</row>
    <row r="180" ht="15.75" customHeight="1">
      <c r="A180" s="72"/>
      <c r="B180" s="124"/>
      <c r="C180" s="126" t="s">
        <v>242</v>
      </c>
      <c r="D180" s="86">
        <v>30.0</v>
      </c>
      <c r="E180" s="86" t="s">
        <v>262</v>
      </c>
      <c r="F180" s="86" t="s">
        <v>244</v>
      </c>
      <c r="G180" s="86"/>
      <c r="H180" s="80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</row>
    <row r="181" ht="15.75" customHeight="1">
      <c r="A181" s="72"/>
      <c r="B181" s="124"/>
      <c r="C181" s="126" t="s">
        <v>245</v>
      </c>
      <c r="D181" s="86">
        <v>1.0</v>
      </c>
      <c r="E181" s="86"/>
      <c r="F181" s="86" t="s">
        <v>246</v>
      </c>
      <c r="G181" s="86"/>
      <c r="H181" s="80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</row>
    <row r="182" ht="15.75" customHeight="1">
      <c r="A182" s="72"/>
      <c r="B182" s="124"/>
      <c r="C182" s="126" t="s">
        <v>247</v>
      </c>
      <c r="D182" s="84">
        <v>240.0</v>
      </c>
      <c r="E182" s="86" t="s">
        <v>248</v>
      </c>
      <c r="F182" s="86" t="s">
        <v>249</v>
      </c>
      <c r="G182" s="86"/>
      <c r="H182" s="80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</row>
    <row r="183" ht="15.75" customHeight="1">
      <c r="A183" s="72"/>
      <c r="B183" s="124"/>
      <c r="C183" s="112" t="s">
        <v>250</v>
      </c>
      <c r="D183" s="54"/>
      <c r="E183" s="54"/>
      <c r="F183" s="54"/>
      <c r="G183" s="82"/>
      <c r="H183" s="80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</row>
    <row r="184" ht="15.75" customHeight="1">
      <c r="A184" s="72"/>
      <c r="B184" s="124"/>
      <c r="C184" s="126" t="s">
        <v>251</v>
      </c>
      <c r="D184" s="84">
        <v>0.099</v>
      </c>
      <c r="E184" s="86" t="s">
        <v>252</v>
      </c>
      <c r="F184" s="86" t="s">
        <v>253</v>
      </c>
      <c r="G184" s="86"/>
      <c r="H184" s="80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</row>
    <row r="185" ht="15.0" customHeight="1">
      <c r="A185" s="72"/>
      <c r="B185" s="124"/>
      <c r="C185" s="126" t="s">
        <v>254</v>
      </c>
      <c r="D185" s="86">
        <f>D184*D180/(1000*D181)</f>
        <v>0.00297</v>
      </c>
      <c r="E185" s="86" t="s">
        <v>184</v>
      </c>
      <c r="F185" s="86"/>
      <c r="G185" s="86" t="str">
        <f t="shared" ref="G185:G186" si="52">FORMULATEXT(D185)</f>
        <v>=D192*D188/(1000*D189)</v>
      </c>
      <c r="H185" s="80" t="str">
        <f t="shared" ref="H185:H186" si="53">FORMULATEXT(D185)</f>
        <v>=D199*D195/(1000*D196)</v>
      </c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</row>
    <row r="186" ht="15.0" customHeight="1">
      <c r="A186" s="72"/>
      <c r="B186" s="124"/>
      <c r="C186" s="126" t="s">
        <v>255</v>
      </c>
      <c r="D186" s="86">
        <f>D185/('5 - Tabela curto circuito'!Vbbt^2/'5 - Tabela curto circuito'!Pb)</f>
        <v>2.056786704</v>
      </c>
      <c r="E186" s="86" t="s">
        <v>231</v>
      </c>
      <c r="F186" s="86"/>
      <c r="G186" s="86" t="str">
        <f t="shared" si="52"/>
        <v>=D185/('5 - Tabela curto circuito'!Vbbt^2/'5 - Tabela curto circuito'!Pb)</v>
      </c>
      <c r="H186" s="80" t="str">
        <f t="shared" si="53"/>
        <v>=D185/('5 - Tabela curto circuito'!Vbbt^2/'5 - Tabela curto circuito'!Pb)</v>
      </c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</row>
    <row r="187" ht="15.75" customHeight="1">
      <c r="A187" s="72"/>
      <c r="B187" s="124"/>
      <c r="C187" s="126" t="s">
        <v>256</v>
      </c>
      <c r="D187" s="84">
        <v>0.077</v>
      </c>
      <c r="E187" s="86" t="s">
        <v>252</v>
      </c>
      <c r="F187" s="86" t="s">
        <v>253</v>
      </c>
      <c r="G187" s="86"/>
      <c r="H187" s="80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</row>
    <row r="188" ht="15.0" customHeight="1">
      <c r="A188" s="72"/>
      <c r="B188" s="124"/>
      <c r="C188" s="126" t="s">
        <v>257</v>
      </c>
      <c r="D188" s="86">
        <f>D187*D180/(1000*D181)</f>
        <v>0.00231</v>
      </c>
      <c r="E188" s="86" t="s">
        <v>184</v>
      </c>
      <c r="F188" s="86"/>
      <c r="G188" s="86" t="str">
        <f>FORMULATEXT(D188)</f>
        <v>=D195*D188/(1000*D189)</v>
      </c>
      <c r="H188" s="80" t="str">
        <f t="shared" ref="H188:H190" si="54">FORMULATEXT(D188)</f>
        <v>=D202*D195/(1000*D196)</v>
      </c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</row>
    <row r="189" ht="15.75" customHeight="1">
      <c r="A189" s="72"/>
      <c r="B189" s="124"/>
      <c r="C189" s="126" t="s">
        <v>258</v>
      </c>
      <c r="D189" s="86">
        <f>D188/('5 - Tabela curto circuito'!Vbbt^2/'5 - Tabela curto circuito'!Pb)</f>
        <v>1.599722992</v>
      </c>
      <c r="E189" s="86" t="s">
        <v>231</v>
      </c>
      <c r="F189" s="86"/>
      <c r="G189" s="86"/>
      <c r="H189" s="80" t="str">
        <f t="shared" si="54"/>
        <v>=D188/('5 - Tabela curto circuito'!Vbbt^2/'5 - Tabela curto circuito'!Pb)</v>
      </c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</row>
    <row r="190" ht="30.0" customHeight="1">
      <c r="A190" s="72"/>
      <c r="B190" s="124"/>
      <c r="C190" s="126" t="s">
        <v>259</v>
      </c>
      <c r="D190" s="86" t="str">
        <f>COMPLEX(D186,D189,"j")</f>
        <v>2,05678670360111+1,59972299168975j</v>
      </c>
      <c r="E190" s="86" t="s">
        <v>231</v>
      </c>
      <c r="F190" s="86"/>
      <c r="G190" s="86" t="str">
        <f>FORMULATEXT(D190)</f>
        <v>=COMPLEX(D202;D205;"j")</v>
      </c>
      <c r="H190" s="80" t="str">
        <f t="shared" si="54"/>
        <v>=COMPLEX(D201;D204;"j")</v>
      </c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</row>
    <row r="191" ht="15.75" customHeight="1">
      <c r="A191" s="72"/>
      <c r="B191" s="124"/>
      <c r="C191" s="112" t="s">
        <v>260</v>
      </c>
      <c r="D191" s="54"/>
      <c r="E191" s="54"/>
      <c r="F191" s="54"/>
      <c r="G191" s="82"/>
      <c r="H191" s="80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</row>
    <row r="192" ht="15.75" customHeight="1">
      <c r="A192" s="72"/>
      <c r="B192" s="124"/>
      <c r="C192" s="126" t="s">
        <v>251</v>
      </c>
      <c r="D192" s="84">
        <v>0.248</v>
      </c>
      <c r="E192" s="86" t="s">
        <v>252</v>
      </c>
      <c r="F192" s="86" t="s">
        <v>253</v>
      </c>
      <c r="G192" s="86"/>
      <c r="H192" s="80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</row>
    <row r="193" ht="15.0" customHeight="1">
      <c r="A193" s="72"/>
      <c r="B193" s="124"/>
      <c r="C193" s="126" t="s">
        <v>254</v>
      </c>
      <c r="D193" s="86">
        <f>D192*D180/(1000*D181)</f>
        <v>0.00744</v>
      </c>
      <c r="E193" s="86" t="s">
        <v>184</v>
      </c>
      <c r="F193" s="86"/>
      <c r="G193" s="86" t="str">
        <f t="shared" ref="G193:G194" si="55">FORMULATEXT(D193)</f>
        <v>=D200*D188/(1000*D189)</v>
      </c>
      <c r="H193" s="80" t="str">
        <f t="shared" ref="H193:H194" si="56">FORMULATEXT(D193)</f>
        <v>=D207*D195/(1000*D196)</v>
      </c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</row>
    <row r="194" ht="15.0" customHeight="1">
      <c r="A194" s="72"/>
      <c r="B194" s="124"/>
      <c r="C194" s="126" t="s">
        <v>255</v>
      </c>
      <c r="D194" s="86">
        <f>D193/('5 - Tabela curto circuito'!Vbbt^2/'5 - Tabela curto circuito'!Pb)</f>
        <v>5.152354571</v>
      </c>
      <c r="E194" s="86" t="s">
        <v>231</v>
      </c>
      <c r="F194" s="86"/>
      <c r="G194" s="86" t="str">
        <f t="shared" si="55"/>
        <v>=D193/('5 - Tabela curto circuito'!Vbbt^2/'5 - Tabela curto circuito'!Pb)</v>
      </c>
      <c r="H194" s="80" t="str">
        <f t="shared" si="56"/>
        <v>=D193/('5 - Tabela curto circuito'!Vbbt^2/'5 - Tabela curto circuito'!Pb)</v>
      </c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</row>
    <row r="195" ht="15.75" customHeight="1">
      <c r="A195" s="72"/>
      <c r="B195" s="124"/>
      <c r="C195" s="126" t="s">
        <v>256</v>
      </c>
      <c r="D195" s="84">
        <v>2.01</v>
      </c>
      <c r="E195" s="86" t="s">
        <v>252</v>
      </c>
      <c r="F195" s="86" t="s">
        <v>253</v>
      </c>
      <c r="G195" s="86"/>
      <c r="H195" s="80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</row>
    <row r="196" ht="15.0" customHeight="1">
      <c r="A196" s="72"/>
      <c r="B196" s="124"/>
      <c r="C196" s="126" t="s">
        <v>257</v>
      </c>
      <c r="D196" s="86">
        <f>D195*D180/(1000*D181)</f>
        <v>0.0603</v>
      </c>
      <c r="E196" s="86" t="s">
        <v>184</v>
      </c>
      <c r="F196" s="86"/>
      <c r="G196" s="86" t="str">
        <f t="shared" ref="G196:G198" si="57">FORMULATEXT(D196)</f>
        <v>=D203*D188/(1000*D189)</v>
      </c>
      <c r="H196" s="80" t="str">
        <f t="shared" ref="H196:H198" si="58">FORMULATEXT(D196)</f>
        <v>=D210*D195/(1000*D196)</v>
      </c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</row>
    <row r="197" ht="15.0" customHeight="1">
      <c r="A197" s="72"/>
      <c r="B197" s="124"/>
      <c r="C197" s="126" t="s">
        <v>258</v>
      </c>
      <c r="D197" s="86">
        <f>D196/('5 - Tabela curto circuito'!Vbbt^2/'5 - Tabela curto circuito'!Pb)</f>
        <v>41.75900277</v>
      </c>
      <c r="E197" s="86" t="s">
        <v>231</v>
      </c>
      <c r="F197" s="86"/>
      <c r="G197" s="86" t="str">
        <f t="shared" si="57"/>
        <v>=D196/('5 - Tabela curto circuito'!Vbbt^2/'5 - Tabela curto circuito'!Pb)</v>
      </c>
      <c r="H197" s="80" t="str">
        <f t="shared" si="58"/>
        <v>=D196/('5 - Tabela curto circuito'!Vbbt^2/'5 - Tabela curto circuito'!Pb)</v>
      </c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</row>
    <row r="198" ht="30.0" customHeight="1">
      <c r="A198" s="72"/>
      <c r="B198" s="124"/>
      <c r="C198" s="126" t="s">
        <v>259</v>
      </c>
      <c r="D198" s="86" t="str">
        <f>COMPLEX(D194,D197,"j")</f>
        <v>5,15235457063712+41,7590027700831j</v>
      </c>
      <c r="E198" s="86" t="s">
        <v>231</v>
      </c>
      <c r="F198" s="86"/>
      <c r="G198" s="86" t="str">
        <f t="shared" si="57"/>
        <v>=COMPLEX(D210;D213;"j")</v>
      </c>
      <c r="H198" s="80" t="str">
        <f t="shared" si="58"/>
        <v>=COMPLEX(D209;D212;"j")</v>
      </c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</row>
    <row r="199" ht="15.75" customHeight="1">
      <c r="A199" s="72"/>
      <c r="B199" s="124"/>
      <c r="C199" s="127" t="s">
        <v>200</v>
      </c>
      <c r="D199" s="54"/>
      <c r="E199" s="54"/>
      <c r="F199" s="54"/>
      <c r="G199" s="82"/>
      <c r="H199" s="80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ht="15.75" customHeight="1">
      <c r="A200" s="72"/>
      <c r="B200" s="124"/>
      <c r="C200" s="96" t="s">
        <v>201</v>
      </c>
      <c r="D200" s="54"/>
      <c r="E200" s="54"/>
      <c r="F200" s="54"/>
      <c r="G200" s="82"/>
      <c r="H200" s="80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ht="30.0" customHeight="1">
      <c r="A201" s="72"/>
      <c r="B201" s="124"/>
      <c r="C201" s="83" t="s">
        <v>239</v>
      </c>
      <c r="D201" s="86" t="str">
        <f>IMSUM(D190,D87)</f>
        <v>4,4215189289012+8,56251979205333j</v>
      </c>
      <c r="E201" s="85"/>
      <c r="F201" s="85"/>
      <c r="G201" s="85" t="str">
        <f t="shared" ref="G201:G204" si="59">FORMULATEXT(D201)</f>
        <v>=IMSUM(D206;D94)</v>
      </c>
      <c r="H201" s="80" t="str">
        <f t="shared" ref="H201:H204" si="60">FORMULATEXT(D201)</f>
        <v>=IMSUM(D205;D93)</v>
      </c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ht="30.0" customHeight="1">
      <c r="A202" s="72"/>
      <c r="B202" s="124"/>
      <c r="C202" s="83" t="s">
        <v>202</v>
      </c>
      <c r="D202" s="86" t="str">
        <f>IMDIV('5 - Tabela curto circuito'!Ibbt,D201)</f>
        <v>7233,82231176373-14008,7032788225j</v>
      </c>
      <c r="E202" s="85" t="s">
        <v>203</v>
      </c>
      <c r="F202" s="86"/>
      <c r="G202" s="85" t="str">
        <f t="shared" si="59"/>
        <v>=IMDIV('5 - Tabela curto circuito'!Ibbt;D201)</v>
      </c>
      <c r="H202" s="80" t="str">
        <f t="shared" si="60"/>
        <v>=IMDIV('5 - Tabela curto circuito'!Ibbt;D201)</v>
      </c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ht="15.0" customHeight="1">
      <c r="A203" s="72"/>
      <c r="B203" s="124"/>
      <c r="C203" s="83" t="s">
        <v>204</v>
      </c>
      <c r="D203" s="97">
        <f>IMABS(D202)/1000</f>
        <v>15.76616481</v>
      </c>
      <c r="E203" s="85" t="s">
        <v>205</v>
      </c>
      <c r="F203" s="86"/>
      <c r="G203" s="85" t="str">
        <f t="shared" si="59"/>
        <v>=IMABS(D218)/1000</v>
      </c>
      <c r="H203" s="80" t="str">
        <f t="shared" si="60"/>
        <v>=IMABS(D217)/1000</v>
      </c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ht="15.0" customHeight="1">
      <c r="A204" s="72"/>
      <c r="B204" s="124"/>
      <c r="C204" s="83" t="s">
        <v>206</v>
      </c>
      <c r="D204" s="97">
        <f>DEGREES(IMARGUMENT(D202))</f>
        <v>-62.68904811</v>
      </c>
      <c r="E204" s="85" t="s">
        <v>207</v>
      </c>
      <c r="F204" s="86"/>
      <c r="G204" s="85" t="str">
        <f t="shared" si="59"/>
        <v>=DEGREES(IMARGUMENT(D218))</v>
      </c>
      <c r="H204" s="80" t="str">
        <f t="shared" si="60"/>
        <v>=DEGREES(IMARGUMENT(D217))</v>
      </c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ht="15.75" customHeight="1">
      <c r="A205" s="72"/>
      <c r="B205" s="124"/>
      <c r="C205" s="96" t="s">
        <v>208</v>
      </c>
      <c r="D205" s="54"/>
      <c r="E205" s="54"/>
      <c r="F205" s="54"/>
      <c r="G205" s="82"/>
      <c r="H205" s="80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ht="30.0" customHeight="1">
      <c r="A206" s="72"/>
      <c r="B206" s="124"/>
      <c r="C206" s="83" t="s">
        <v>264</v>
      </c>
      <c r="D206" s="86" t="str">
        <f>IMSUM(D198,$D$87,$D$87,$D$84,$D$46,'5 - Tabela curto circuito'!Z0s)</f>
        <v>12,6045152354571+66,2939998193733j</v>
      </c>
      <c r="E206" s="83"/>
      <c r="F206" s="85"/>
      <c r="G206" s="85" t="str">
        <f t="shared" ref="G206:G209" si="61">FORMULATEXT(D206)</f>
        <v>=IMSUM(D198;$D$87;$D$87;$D$84;$D$46;'5 - Tabela curto circuito'!Z0s)</v>
      </c>
      <c r="H206" s="80" t="str">
        <f t="shared" ref="H206:H209" si="62">FORMULATEXT(D206)</f>
        <v>=IMSUM(D198;$D$87;$D$87;$D$84;$D$46;'5 - Tabela curto circuito'!Z0s)</v>
      </c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ht="30.0" customHeight="1">
      <c r="A207" s="72"/>
      <c r="B207" s="124"/>
      <c r="C207" s="83" t="s">
        <v>210</v>
      </c>
      <c r="D207" s="86" t="str">
        <f>IMDIV(3*'5 - Tabela curto circuito'!Ibbt,D206)</f>
        <v>1261,63072422766-6635,60203956002j</v>
      </c>
      <c r="E207" s="85" t="s">
        <v>203</v>
      </c>
      <c r="F207" s="86"/>
      <c r="G207" s="85" t="str">
        <f t="shared" si="61"/>
        <v>=IMDIV(3*'5 - Tabela curto circuito'!Ibbt;D206)</v>
      </c>
      <c r="H207" s="80" t="str">
        <f t="shared" si="62"/>
        <v>=IMDIV(3*'5 - Tabela curto circuito'!Ibbt;D206)</v>
      </c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ht="15.0" customHeight="1">
      <c r="A208" s="72"/>
      <c r="B208" s="124"/>
      <c r="C208" s="83" t="s">
        <v>211</v>
      </c>
      <c r="D208" s="97">
        <f>IMABS(D207)/1000</f>
        <v>6.754474555</v>
      </c>
      <c r="E208" s="85" t="s">
        <v>205</v>
      </c>
      <c r="F208" s="86"/>
      <c r="G208" s="85" t="str">
        <f t="shared" si="61"/>
        <v>=IMABS(D223)/1000</v>
      </c>
      <c r="H208" s="80" t="str">
        <f t="shared" si="62"/>
        <v>=IMABS(D222)/1000</v>
      </c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ht="15.0" customHeight="1">
      <c r="A209" s="72"/>
      <c r="B209" s="124"/>
      <c r="C209" s="83" t="s">
        <v>212</v>
      </c>
      <c r="D209" s="97">
        <f>DEGREES(IMARGUMENT(D207))</f>
        <v>-79.23481325</v>
      </c>
      <c r="E209" s="85" t="s">
        <v>207</v>
      </c>
      <c r="F209" s="86"/>
      <c r="G209" s="85" t="str">
        <f t="shared" si="61"/>
        <v>=DEGREES(IMARGUMENT(D223))</v>
      </c>
      <c r="H209" s="80" t="str">
        <f t="shared" si="62"/>
        <v>=DEGREES(IMARGUMENT(D222))</v>
      </c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ht="15.75" customHeight="1">
      <c r="A210" s="72"/>
      <c r="B210" s="124"/>
      <c r="C210" s="96" t="s">
        <v>216</v>
      </c>
      <c r="D210" s="54"/>
      <c r="E210" s="54"/>
      <c r="F210" s="54"/>
      <c r="G210" s="82"/>
      <c r="H210" s="80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ht="15.0" customHeight="1">
      <c r="A211" s="72"/>
      <c r="B211" s="124"/>
      <c r="C211" s="83" t="s">
        <v>266</v>
      </c>
      <c r="D211" s="97">
        <f>IMAGINARY(D201)/IMREAL(D201)</f>
        <v>1.936556177</v>
      </c>
      <c r="E211" s="85"/>
      <c r="F211" s="85"/>
      <c r="G211" s="85" t="str">
        <f>FORMULATEXT(D211)</f>
        <v>=IMAGINARY(D217)/IMREAL(D217)</v>
      </c>
      <c r="H211" s="80" t="str">
        <f t="shared" ref="H211:H215" si="63">FORMULATEXT(D211)</f>
        <v>=IMAGINARY(D216)/IMREAL(D216)</v>
      </c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ht="30.0" customHeight="1">
      <c r="A212" s="72"/>
      <c r="B212" s="124"/>
      <c r="C212" s="83" t="s">
        <v>218</v>
      </c>
      <c r="D212" s="109">
        <f>SQRT(1+2*EXP(-2*0.00416/D215))</f>
        <v>1.181495354</v>
      </c>
      <c r="E212" s="85"/>
      <c r="F212" s="99"/>
      <c r="G212" s="85"/>
      <c r="H212" s="80" t="str">
        <f t="shared" si="63"/>
        <v>=SQRT(1+2*EXP(-2*0,00416/D215))</v>
      </c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</row>
    <row r="213" ht="15.75" customHeight="1">
      <c r="A213" s="72"/>
      <c r="B213" s="124"/>
      <c r="C213" s="83" t="s">
        <v>219</v>
      </c>
      <c r="D213" s="97">
        <f>D212*D203</f>
        <v>18.62765047</v>
      </c>
      <c r="E213" s="85"/>
      <c r="F213" s="128"/>
      <c r="G213" s="85" t="str">
        <f t="shared" ref="G213:G215" si="64">FORMULATEXT(D213)</f>
        <v>=D212*D203</v>
      </c>
      <c r="H213" s="80" t="str">
        <f t="shared" si="63"/>
        <v>=D212*D203</v>
      </c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</row>
    <row r="214" ht="15.75" customHeight="1">
      <c r="A214" s="72"/>
      <c r="B214" s="124"/>
      <c r="C214" s="83" t="s">
        <v>220</v>
      </c>
      <c r="D214" s="97">
        <f>D213*SQRT(2)</f>
        <v>26.34347593</v>
      </c>
      <c r="E214" s="85"/>
      <c r="F214" s="128"/>
      <c r="G214" s="85" t="str">
        <f t="shared" si="64"/>
        <v>=D213*SQRT(2)</v>
      </c>
      <c r="H214" s="80" t="str">
        <f t="shared" si="63"/>
        <v>=D213*SQRT(2)</v>
      </c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</row>
    <row r="215" ht="15.0" customHeight="1">
      <c r="A215" s="72"/>
      <c r="B215" s="124"/>
      <c r="C215" s="83" t="s">
        <v>221</v>
      </c>
      <c r="D215" s="129">
        <f>IMAGINARY(D201)/(PI()*2*60*IMREAL(D201))</f>
        <v>0.005136874802</v>
      </c>
      <c r="E215" s="85"/>
      <c r="F215" s="85"/>
      <c r="G215" s="85" t="str">
        <f t="shared" si="64"/>
        <v>=IMAGINARY(D201)/(PI()*2*60*IMREAL(D201))</v>
      </c>
      <c r="H215" s="80" t="str">
        <f t="shared" si="63"/>
        <v>=IMAGINARY(D201)/(PI()*2*60*IMREAL(D201))</v>
      </c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</row>
    <row r="216" ht="15.75" customHeight="1">
      <c r="A216" s="72"/>
      <c r="B216" s="130"/>
      <c r="C216" s="130"/>
      <c r="D216" s="131"/>
      <c r="E216" s="131"/>
      <c r="F216" s="131"/>
      <c r="G216" s="131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</row>
    <row r="217" ht="15.75" customHeight="1">
      <c r="A217" s="72"/>
      <c r="B217" s="130"/>
      <c r="C217" s="130"/>
      <c r="D217" s="131"/>
      <c r="E217" s="72"/>
      <c r="F217" s="131"/>
      <c r="G217" s="131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</row>
    <row r="218" ht="15.75" customHeight="1">
      <c r="A218" s="72"/>
      <c r="B218" s="130"/>
      <c r="C218" s="130"/>
      <c r="D218" s="131"/>
      <c r="E218" s="131"/>
      <c r="F218" s="131"/>
      <c r="G218" s="131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</row>
    <row r="219" ht="15.75" customHeight="1">
      <c r="A219" s="72"/>
      <c r="B219" s="130"/>
      <c r="C219" s="130"/>
      <c r="D219" s="131"/>
      <c r="E219" s="131"/>
      <c r="F219" s="131"/>
      <c r="G219" s="131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</row>
    <row r="220" ht="15.75" customHeight="1">
      <c r="A220" s="72"/>
      <c r="B220" s="130"/>
      <c r="C220" s="130"/>
      <c r="D220" s="131"/>
      <c r="E220" s="131"/>
      <c r="F220" s="131"/>
      <c r="G220" s="131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</row>
    <row r="221" ht="15.75" customHeight="1">
      <c r="A221" s="72"/>
      <c r="B221" s="130"/>
      <c r="C221" s="130"/>
      <c r="D221" s="131"/>
      <c r="E221" s="131"/>
      <c r="F221" s="131"/>
      <c r="G221" s="131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</row>
    <row r="222" ht="15.75" customHeight="1">
      <c r="A222" s="72"/>
      <c r="B222" s="130"/>
      <c r="C222" s="130"/>
      <c r="D222" s="131"/>
      <c r="E222" s="131"/>
      <c r="F222" s="131"/>
      <c r="G222" s="131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</row>
    <row r="223" ht="15.75" customHeight="1">
      <c r="A223" s="72"/>
      <c r="B223" s="130"/>
      <c r="C223" s="130"/>
      <c r="D223" s="131"/>
      <c r="E223" s="131"/>
      <c r="F223" s="131"/>
      <c r="G223" s="131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</row>
    <row r="224" ht="15.75" customHeight="1">
      <c r="A224" s="72"/>
      <c r="B224" s="130"/>
      <c r="C224" s="130"/>
      <c r="D224" s="131"/>
      <c r="E224" s="131"/>
      <c r="F224" s="131"/>
      <c r="G224" s="131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</row>
    <row r="225" ht="15.75" customHeight="1">
      <c r="A225" s="72"/>
      <c r="B225" s="130"/>
      <c r="C225" s="130"/>
      <c r="D225" s="131"/>
      <c r="E225" s="131"/>
      <c r="F225" s="131"/>
      <c r="G225" s="131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</row>
    <row r="226" ht="15.75" customHeight="1">
      <c r="A226" s="72"/>
      <c r="B226" s="130"/>
      <c r="C226" s="130"/>
      <c r="D226" s="131"/>
      <c r="E226" s="131"/>
      <c r="F226" s="131"/>
      <c r="G226" s="131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</row>
    <row r="227" ht="15.75" customHeight="1">
      <c r="A227" s="72"/>
      <c r="B227" s="130"/>
      <c r="C227" s="130"/>
      <c r="D227" s="131"/>
      <c r="E227" s="131"/>
      <c r="F227" s="131"/>
      <c r="G227" s="131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</row>
    <row r="228" ht="15.75" customHeight="1">
      <c r="A228" s="72"/>
      <c r="B228" s="130"/>
      <c r="C228" s="130"/>
      <c r="D228" s="131"/>
      <c r="E228" s="131"/>
      <c r="F228" s="131"/>
      <c r="G228" s="131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</row>
    <row r="229" ht="15.75" customHeight="1">
      <c r="A229" s="72"/>
      <c r="B229" s="130"/>
      <c r="C229" s="130"/>
      <c r="D229" s="131"/>
      <c r="E229" s="131"/>
      <c r="F229" s="131"/>
      <c r="G229" s="131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</row>
    <row r="230" ht="15.75" customHeight="1">
      <c r="A230" s="72"/>
      <c r="B230" s="130"/>
      <c r="C230" s="130"/>
      <c r="D230" s="131"/>
      <c r="E230" s="131"/>
      <c r="F230" s="131"/>
      <c r="G230" s="131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</row>
    <row r="231" ht="15.75" customHeight="1">
      <c r="A231" s="72"/>
      <c r="B231" s="130"/>
      <c r="C231" s="130"/>
      <c r="D231" s="131"/>
      <c r="E231" s="131"/>
      <c r="F231" s="131"/>
      <c r="G231" s="131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</row>
    <row r="232" ht="15.75" customHeight="1">
      <c r="A232" s="72"/>
      <c r="B232" s="130"/>
      <c r="C232" s="130"/>
      <c r="D232" s="131"/>
      <c r="E232" s="131"/>
      <c r="F232" s="131"/>
      <c r="G232" s="131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</row>
    <row r="233" ht="15.75" customHeight="1">
      <c r="A233" s="72"/>
      <c r="B233" s="130"/>
      <c r="C233" s="130"/>
      <c r="D233" s="131"/>
      <c r="E233" s="131"/>
      <c r="F233" s="131"/>
      <c r="G233" s="131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</row>
    <row r="234" ht="15.75" customHeight="1">
      <c r="A234" s="72"/>
      <c r="B234" s="130"/>
      <c r="C234" s="130"/>
      <c r="D234" s="131"/>
      <c r="E234" s="131"/>
      <c r="F234" s="131"/>
      <c r="G234" s="131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</row>
    <row r="235" ht="15.75" customHeight="1">
      <c r="A235" s="72"/>
      <c r="B235" s="130"/>
      <c r="C235" s="130"/>
      <c r="D235" s="131"/>
      <c r="E235" s="131"/>
      <c r="F235" s="131"/>
      <c r="G235" s="131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</row>
    <row r="236" ht="15.75" customHeight="1">
      <c r="A236" s="72"/>
      <c r="B236" s="130"/>
      <c r="C236" s="130"/>
      <c r="D236" s="131"/>
      <c r="E236" s="131"/>
      <c r="F236" s="131"/>
      <c r="G236" s="131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</row>
    <row r="237" ht="15.75" customHeight="1">
      <c r="A237" s="72"/>
      <c r="B237" s="130"/>
      <c r="C237" s="130"/>
      <c r="D237" s="131"/>
      <c r="E237" s="131"/>
      <c r="F237" s="131"/>
      <c r="G237" s="131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</row>
    <row r="238" ht="15.75" customHeight="1">
      <c r="A238" s="72"/>
      <c r="B238" s="130"/>
      <c r="C238" s="130"/>
      <c r="D238" s="131"/>
      <c r="E238" s="131"/>
      <c r="F238" s="131"/>
      <c r="G238" s="131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</row>
    <row r="239" ht="15.75" customHeight="1">
      <c r="A239" s="72"/>
      <c r="B239" s="130"/>
      <c r="C239" s="130"/>
      <c r="D239" s="131"/>
      <c r="E239" s="131"/>
      <c r="F239" s="131"/>
      <c r="G239" s="131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</row>
    <row r="240" ht="15.75" customHeight="1">
      <c r="A240" s="72"/>
      <c r="B240" s="130"/>
      <c r="C240" s="130"/>
      <c r="D240" s="131"/>
      <c r="E240" s="131"/>
      <c r="F240" s="131"/>
      <c r="G240" s="131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</row>
    <row r="241" ht="15.75" customHeight="1">
      <c r="A241" s="72"/>
      <c r="B241" s="130"/>
      <c r="C241" s="130"/>
      <c r="D241" s="131"/>
      <c r="E241" s="131"/>
      <c r="F241" s="131"/>
      <c r="G241" s="131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</row>
    <row r="242" ht="15.75" customHeight="1">
      <c r="A242" s="72"/>
      <c r="B242" s="130"/>
      <c r="C242" s="130"/>
      <c r="D242" s="131"/>
      <c r="E242" s="131"/>
      <c r="F242" s="131"/>
      <c r="G242" s="131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</row>
    <row r="243" ht="15.75" customHeight="1">
      <c r="A243" s="72"/>
      <c r="B243" s="130"/>
      <c r="C243" s="130"/>
      <c r="D243" s="131"/>
      <c r="E243" s="131"/>
      <c r="F243" s="131"/>
      <c r="G243" s="131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</row>
    <row r="244" ht="15.75" customHeight="1">
      <c r="A244" s="72"/>
      <c r="B244" s="130"/>
      <c r="C244" s="130"/>
      <c r="D244" s="131"/>
      <c r="E244" s="131"/>
      <c r="F244" s="131"/>
      <c r="G244" s="131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</row>
    <row r="245" ht="15.75" customHeight="1">
      <c r="A245" s="72"/>
      <c r="B245" s="130"/>
      <c r="C245" s="130"/>
      <c r="D245" s="131"/>
      <c r="E245" s="131"/>
      <c r="F245" s="131"/>
      <c r="G245" s="131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</row>
    <row r="246" ht="15.75" customHeight="1">
      <c r="A246" s="72"/>
      <c r="B246" s="130"/>
      <c r="C246" s="130"/>
      <c r="D246" s="131"/>
      <c r="E246" s="131"/>
      <c r="F246" s="131"/>
      <c r="G246" s="131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</row>
    <row r="247" ht="15.75" customHeight="1">
      <c r="A247" s="72"/>
      <c r="B247" s="130"/>
      <c r="C247" s="130"/>
      <c r="D247" s="131"/>
      <c r="E247" s="131"/>
      <c r="F247" s="131"/>
      <c r="G247" s="131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</row>
    <row r="248" ht="15.75" customHeight="1">
      <c r="A248" s="72"/>
      <c r="B248" s="130"/>
      <c r="C248" s="130"/>
      <c r="D248" s="131"/>
      <c r="E248" s="131"/>
      <c r="F248" s="131"/>
      <c r="G248" s="131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</row>
    <row r="249" ht="15.75" customHeight="1">
      <c r="A249" s="72"/>
      <c r="B249" s="130"/>
      <c r="C249" s="130"/>
      <c r="D249" s="131"/>
      <c r="E249" s="131"/>
      <c r="F249" s="131"/>
      <c r="G249" s="131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</row>
    <row r="250" ht="15.75" customHeight="1">
      <c r="A250" s="72"/>
      <c r="B250" s="130"/>
      <c r="C250" s="130"/>
      <c r="D250" s="131"/>
      <c r="E250" s="131"/>
      <c r="F250" s="131"/>
      <c r="G250" s="131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</row>
    <row r="251" ht="15.75" customHeight="1">
      <c r="A251" s="72"/>
      <c r="B251" s="130"/>
      <c r="C251" s="130"/>
      <c r="D251" s="131"/>
      <c r="E251" s="131"/>
      <c r="F251" s="131"/>
      <c r="G251" s="131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</row>
    <row r="252" ht="15.75" customHeight="1">
      <c r="A252" s="72"/>
      <c r="B252" s="130"/>
      <c r="C252" s="130"/>
      <c r="D252" s="131"/>
      <c r="E252" s="131"/>
      <c r="F252" s="131"/>
      <c r="G252" s="131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</row>
    <row r="253" ht="15.75" customHeight="1">
      <c r="A253" s="72"/>
      <c r="B253" s="130"/>
      <c r="C253" s="130"/>
      <c r="D253" s="131"/>
      <c r="E253" s="131"/>
      <c r="F253" s="131"/>
      <c r="G253" s="131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</row>
    <row r="254" ht="15.75" customHeight="1">
      <c r="A254" s="72"/>
      <c r="B254" s="130"/>
      <c r="C254" s="130"/>
      <c r="D254" s="131"/>
      <c r="E254" s="131"/>
      <c r="F254" s="131"/>
      <c r="G254" s="131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</row>
    <row r="255" ht="15.75" customHeight="1">
      <c r="A255" s="72"/>
      <c r="B255" s="130"/>
      <c r="C255" s="130"/>
      <c r="D255" s="131"/>
      <c r="E255" s="131"/>
      <c r="F255" s="131"/>
      <c r="G255" s="131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</row>
    <row r="256" ht="15.75" customHeight="1">
      <c r="A256" s="72"/>
      <c r="B256" s="130"/>
      <c r="C256" s="130"/>
      <c r="D256" s="131"/>
      <c r="E256" s="131"/>
      <c r="F256" s="131"/>
      <c r="G256" s="131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</row>
    <row r="257" ht="15.75" customHeight="1">
      <c r="A257" s="72"/>
      <c r="B257" s="130"/>
      <c r="C257" s="130"/>
      <c r="D257" s="131"/>
      <c r="E257" s="131"/>
      <c r="F257" s="131"/>
      <c r="G257" s="131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</row>
    <row r="258" ht="15.75" customHeight="1">
      <c r="A258" s="72"/>
      <c r="B258" s="130"/>
      <c r="C258" s="130"/>
      <c r="D258" s="131"/>
      <c r="E258" s="131"/>
      <c r="F258" s="131"/>
      <c r="G258" s="131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</row>
    <row r="259" ht="15.75" customHeight="1">
      <c r="A259" s="72"/>
      <c r="B259" s="130"/>
      <c r="C259" s="130"/>
      <c r="D259" s="131"/>
      <c r="E259" s="131"/>
      <c r="F259" s="131"/>
      <c r="G259" s="131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</row>
    <row r="260" ht="15.75" customHeight="1">
      <c r="A260" s="72"/>
      <c r="B260" s="130"/>
      <c r="C260" s="130"/>
      <c r="D260" s="131"/>
      <c r="E260" s="131"/>
      <c r="F260" s="131"/>
      <c r="G260" s="131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</row>
    <row r="261" ht="15.75" customHeight="1">
      <c r="A261" s="72"/>
      <c r="B261" s="130"/>
      <c r="C261" s="130"/>
      <c r="D261" s="131"/>
      <c r="E261" s="131"/>
      <c r="F261" s="131"/>
      <c r="G261" s="131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</row>
    <row r="262" ht="15.75" customHeight="1">
      <c r="A262" s="72"/>
      <c r="B262" s="130"/>
      <c r="C262" s="130"/>
      <c r="D262" s="131"/>
      <c r="E262" s="131"/>
      <c r="F262" s="131"/>
      <c r="G262" s="131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</row>
    <row r="263" ht="15.75" customHeight="1">
      <c r="A263" s="72"/>
      <c r="B263" s="130"/>
      <c r="C263" s="130"/>
      <c r="D263" s="131"/>
      <c r="E263" s="131"/>
      <c r="F263" s="131"/>
      <c r="G263" s="131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</row>
    <row r="264" ht="15.75" customHeight="1">
      <c r="A264" s="72"/>
      <c r="B264" s="130"/>
      <c r="C264" s="130"/>
      <c r="D264" s="131"/>
      <c r="E264" s="131"/>
      <c r="F264" s="131"/>
      <c r="G264" s="131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</row>
    <row r="265" ht="15.75" customHeight="1">
      <c r="A265" s="72"/>
      <c r="B265" s="130"/>
      <c r="C265" s="130"/>
      <c r="D265" s="131"/>
      <c r="E265" s="131"/>
      <c r="F265" s="131"/>
      <c r="G265" s="131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</row>
    <row r="266" ht="15.75" customHeight="1">
      <c r="A266" s="72"/>
      <c r="B266" s="130"/>
      <c r="C266" s="130"/>
      <c r="D266" s="131"/>
      <c r="E266" s="131"/>
      <c r="F266" s="131"/>
      <c r="G266" s="131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</row>
    <row r="267" ht="15.75" customHeight="1">
      <c r="A267" s="72"/>
      <c r="B267" s="130"/>
      <c r="C267" s="130"/>
      <c r="D267" s="131"/>
      <c r="E267" s="131"/>
      <c r="F267" s="131"/>
      <c r="G267" s="131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</row>
    <row r="268" ht="15.75" customHeight="1">
      <c r="A268" s="72"/>
      <c r="B268" s="130"/>
      <c r="C268" s="130"/>
      <c r="D268" s="131"/>
      <c r="E268" s="131"/>
      <c r="F268" s="131"/>
      <c r="G268" s="131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</row>
    <row r="269" ht="15.75" customHeight="1">
      <c r="A269" s="72"/>
      <c r="B269" s="130"/>
      <c r="C269" s="130"/>
      <c r="D269" s="131"/>
      <c r="E269" s="131"/>
      <c r="F269" s="131"/>
      <c r="G269" s="131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</row>
    <row r="270" ht="15.75" customHeight="1">
      <c r="A270" s="72"/>
      <c r="B270" s="130"/>
      <c r="C270" s="130"/>
      <c r="D270" s="131"/>
      <c r="E270" s="131"/>
      <c r="F270" s="131"/>
      <c r="G270" s="131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</row>
    <row r="271" ht="15.75" customHeight="1">
      <c r="A271" s="72"/>
      <c r="B271" s="130"/>
      <c r="C271" s="130"/>
      <c r="D271" s="131"/>
      <c r="E271" s="131"/>
      <c r="F271" s="131"/>
      <c r="G271" s="131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</row>
    <row r="272" ht="15.75" customHeight="1">
      <c r="A272" s="72"/>
      <c r="B272" s="130"/>
      <c r="C272" s="130"/>
      <c r="D272" s="131"/>
      <c r="E272" s="131"/>
      <c r="F272" s="131"/>
      <c r="G272" s="131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</row>
    <row r="273" ht="15.75" customHeight="1">
      <c r="A273" s="72"/>
      <c r="B273" s="130"/>
      <c r="C273" s="130"/>
      <c r="D273" s="131"/>
      <c r="E273" s="131"/>
      <c r="F273" s="131"/>
      <c r="G273" s="131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</row>
    <row r="274" ht="15.75" customHeight="1">
      <c r="A274" s="72"/>
      <c r="B274" s="130"/>
      <c r="C274" s="130"/>
      <c r="D274" s="131"/>
      <c r="E274" s="131"/>
      <c r="F274" s="131"/>
      <c r="G274" s="131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</row>
    <row r="275" ht="15.75" customHeight="1">
      <c r="A275" s="72"/>
      <c r="B275" s="130"/>
      <c r="C275" s="130"/>
      <c r="D275" s="131"/>
      <c r="E275" s="131"/>
      <c r="F275" s="131"/>
      <c r="G275" s="131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</row>
    <row r="276" ht="15.75" customHeight="1">
      <c r="A276" s="72"/>
      <c r="B276" s="130"/>
      <c r="C276" s="130"/>
      <c r="D276" s="131"/>
      <c r="E276" s="131"/>
      <c r="F276" s="131"/>
      <c r="G276" s="131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</row>
    <row r="277" ht="15.75" customHeight="1">
      <c r="A277" s="72"/>
      <c r="B277" s="130"/>
      <c r="C277" s="130"/>
      <c r="D277" s="131"/>
      <c r="E277" s="131"/>
      <c r="F277" s="131"/>
      <c r="G277" s="131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</row>
    <row r="278" ht="15.75" customHeight="1">
      <c r="A278" s="72"/>
      <c r="B278" s="130"/>
      <c r="C278" s="130"/>
      <c r="D278" s="131"/>
      <c r="E278" s="131"/>
      <c r="F278" s="131"/>
      <c r="G278" s="131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</row>
    <row r="279" ht="15.75" customHeight="1">
      <c r="A279" s="72"/>
      <c r="B279" s="130"/>
      <c r="C279" s="130"/>
      <c r="D279" s="131"/>
      <c r="E279" s="131"/>
      <c r="F279" s="131"/>
      <c r="G279" s="131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</row>
    <row r="280" ht="15.75" customHeight="1">
      <c r="A280" s="72"/>
      <c r="B280" s="130"/>
      <c r="C280" s="130"/>
      <c r="D280" s="131"/>
      <c r="E280" s="131"/>
      <c r="F280" s="131"/>
      <c r="G280" s="131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</row>
    <row r="281" ht="15.75" customHeight="1">
      <c r="A281" s="72"/>
      <c r="B281" s="130"/>
      <c r="C281" s="130"/>
      <c r="D281" s="131"/>
      <c r="E281" s="131"/>
      <c r="F281" s="131"/>
      <c r="G281" s="131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</row>
    <row r="282" ht="15.75" customHeight="1">
      <c r="A282" s="72"/>
      <c r="B282" s="130"/>
      <c r="C282" s="130"/>
      <c r="D282" s="131"/>
      <c r="E282" s="131"/>
      <c r="F282" s="131"/>
      <c r="G282" s="131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</row>
    <row r="283" ht="15.75" customHeight="1">
      <c r="A283" s="72"/>
      <c r="B283" s="130"/>
      <c r="C283" s="130"/>
      <c r="D283" s="131"/>
      <c r="E283" s="131"/>
      <c r="F283" s="131"/>
      <c r="G283" s="131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</row>
    <row r="284" ht="15.75" customHeight="1">
      <c r="A284" s="72"/>
      <c r="B284" s="130"/>
      <c r="C284" s="130"/>
      <c r="D284" s="131"/>
      <c r="E284" s="131"/>
      <c r="F284" s="131"/>
      <c r="G284" s="131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</row>
    <row r="285" ht="15.75" customHeight="1">
      <c r="A285" s="72"/>
      <c r="B285" s="130"/>
      <c r="C285" s="130"/>
      <c r="D285" s="131"/>
      <c r="E285" s="131"/>
      <c r="F285" s="131"/>
      <c r="G285" s="131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</row>
    <row r="286" ht="15.75" customHeight="1">
      <c r="A286" s="72"/>
      <c r="B286" s="130"/>
      <c r="C286" s="130"/>
      <c r="D286" s="131"/>
      <c r="E286" s="131"/>
      <c r="F286" s="131"/>
      <c r="G286" s="131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</row>
    <row r="287" ht="15.75" customHeight="1">
      <c r="A287" s="72"/>
      <c r="B287" s="130"/>
      <c r="C287" s="130"/>
      <c r="D287" s="131"/>
      <c r="E287" s="131"/>
      <c r="F287" s="131"/>
      <c r="G287" s="131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</row>
    <row r="288" ht="15.75" customHeight="1">
      <c r="A288" s="72"/>
      <c r="B288" s="130"/>
      <c r="C288" s="130"/>
      <c r="D288" s="131"/>
      <c r="E288" s="131"/>
      <c r="F288" s="131"/>
      <c r="G288" s="131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</row>
    <row r="289" ht="15.75" customHeight="1">
      <c r="A289" s="72"/>
      <c r="B289" s="130"/>
      <c r="C289" s="130"/>
      <c r="D289" s="131"/>
      <c r="E289" s="131"/>
      <c r="F289" s="131"/>
      <c r="G289" s="131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</row>
    <row r="290" ht="15.75" customHeight="1">
      <c r="A290" s="72"/>
      <c r="B290" s="130"/>
      <c r="C290" s="130"/>
      <c r="D290" s="131"/>
      <c r="E290" s="131"/>
      <c r="F290" s="131"/>
      <c r="G290" s="131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</row>
    <row r="291" ht="15.75" customHeight="1">
      <c r="A291" s="72"/>
      <c r="B291" s="130"/>
      <c r="C291" s="130"/>
      <c r="D291" s="131"/>
      <c r="E291" s="131"/>
      <c r="F291" s="131"/>
      <c r="G291" s="131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</row>
    <row r="292" ht="15.75" customHeight="1">
      <c r="A292" s="72"/>
      <c r="B292" s="130"/>
      <c r="C292" s="130"/>
      <c r="D292" s="131"/>
      <c r="E292" s="131"/>
      <c r="F292" s="131"/>
      <c r="G292" s="131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</row>
    <row r="293" ht="15.75" customHeight="1">
      <c r="A293" s="72"/>
      <c r="B293" s="130"/>
      <c r="C293" s="130"/>
      <c r="D293" s="131"/>
      <c r="E293" s="131"/>
      <c r="F293" s="131"/>
      <c r="G293" s="131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</row>
    <row r="294" ht="15.75" customHeight="1">
      <c r="A294" s="72"/>
      <c r="B294" s="130"/>
      <c r="C294" s="130"/>
      <c r="D294" s="131"/>
      <c r="E294" s="131"/>
      <c r="F294" s="131"/>
      <c r="G294" s="131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</row>
    <row r="295" ht="15.75" customHeight="1">
      <c r="A295" s="72"/>
      <c r="B295" s="130"/>
      <c r="C295" s="130"/>
      <c r="D295" s="131"/>
      <c r="E295" s="131"/>
      <c r="F295" s="131"/>
      <c r="G295" s="131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</row>
    <row r="296" ht="15.75" customHeight="1">
      <c r="A296" s="72"/>
      <c r="B296" s="130"/>
      <c r="C296" s="130"/>
      <c r="D296" s="131"/>
      <c r="E296" s="131"/>
      <c r="F296" s="131"/>
      <c r="G296" s="131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</row>
    <row r="297" ht="15.75" customHeight="1">
      <c r="A297" s="72"/>
      <c r="B297" s="130"/>
      <c r="C297" s="130"/>
      <c r="D297" s="131"/>
      <c r="E297" s="131"/>
      <c r="F297" s="131"/>
      <c r="G297" s="131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</row>
    <row r="298" ht="15.75" customHeight="1">
      <c r="A298" s="72"/>
      <c r="B298" s="130"/>
      <c r="C298" s="130"/>
      <c r="D298" s="131"/>
      <c r="E298" s="131"/>
      <c r="F298" s="131"/>
      <c r="G298" s="131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</row>
    <row r="299" ht="15.75" customHeight="1">
      <c r="A299" s="72"/>
      <c r="B299" s="130"/>
      <c r="C299" s="130"/>
      <c r="D299" s="131"/>
      <c r="E299" s="131"/>
      <c r="F299" s="131"/>
      <c r="G299" s="131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</row>
    <row r="300" ht="15.75" customHeight="1">
      <c r="A300" s="72"/>
      <c r="B300" s="130"/>
      <c r="C300" s="130"/>
      <c r="D300" s="131"/>
      <c r="E300" s="131"/>
      <c r="F300" s="131"/>
      <c r="G300" s="131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</row>
    <row r="301" ht="15.75" customHeight="1">
      <c r="A301" s="72"/>
      <c r="B301" s="130"/>
      <c r="C301" s="130"/>
      <c r="D301" s="131"/>
      <c r="E301" s="131"/>
      <c r="F301" s="131"/>
      <c r="G301" s="131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</row>
    <row r="302" ht="15.75" customHeight="1">
      <c r="A302" s="72"/>
      <c r="B302" s="130"/>
      <c r="C302" s="130"/>
      <c r="D302" s="131"/>
      <c r="E302" s="131"/>
      <c r="F302" s="131"/>
      <c r="G302" s="131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</row>
    <row r="303" ht="15.75" customHeight="1">
      <c r="A303" s="72"/>
      <c r="B303" s="130"/>
      <c r="C303" s="130"/>
      <c r="D303" s="131"/>
      <c r="E303" s="131"/>
      <c r="F303" s="131"/>
      <c r="G303" s="131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</row>
    <row r="304" ht="15.75" customHeight="1">
      <c r="A304" s="72"/>
      <c r="B304" s="130"/>
      <c r="C304" s="130"/>
      <c r="D304" s="131"/>
      <c r="E304" s="131"/>
      <c r="F304" s="131"/>
      <c r="G304" s="131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</row>
    <row r="305" ht="15.75" customHeight="1">
      <c r="A305" s="72"/>
      <c r="B305" s="130"/>
      <c r="C305" s="130"/>
      <c r="D305" s="131"/>
      <c r="E305" s="131"/>
      <c r="F305" s="131"/>
      <c r="G305" s="131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</row>
    <row r="306" ht="15.75" customHeight="1">
      <c r="A306" s="72"/>
      <c r="B306" s="130"/>
      <c r="C306" s="130"/>
      <c r="D306" s="131"/>
      <c r="E306" s="131"/>
      <c r="F306" s="131"/>
      <c r="G306" s="131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</row>
    <row r="307" ht="15.75" customHeight="1">
      <c r="A307" s="72"/>
      <c r="B307" s="130"/>
      <c r="C307" s="130"/>
      <c r="D307" s="131"/>
      <c r="E307" s="131"/>
      <c r="F307" s="131"/>
      <c r="G307" s="131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</row>
    <row r="308" ht="15.75" customHeight="1">
      <c r="A308" s="72"/>
      <c r="B308" s="130"/>
      <c r="C308" s="130"/>
      <c r="D308" s="131"/>
      <c r="E308" s="131"/>
      <c r="F308" s="131"/>
      <c r="G308" s="131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</row>
    <row r="309" ht="15.75" customHeight="1">
      <c r="A309" s="72"/>
      <c r="B309" s="130"/>
      <c r="C309" s="130"/>
      <c r="D309" s="131"/>
      <c r="E309" s="131"/>
      <c r="F309" s="131"/>
      <c r="G309" s="131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</row>
    <row r="310" ht="15.75" customHeight="1">
      <c r="A310" s="72"/>
      <c r="B310" s="130"/>
      <c r="C310" s="130"/>
      <c r="D310" s="131"/>
      <c r="E310" s="131"/>
      <c r="F310" s="131"/>
      <c r="G310" s="131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</row>
    <row r="311" ht="15.75" customHeight="1">
      <c r="A311" s="72"/>
      <c r="B311" s="130"/>
      <c r="C311" s="130"/>
      <c r="D311" s="131"/>
      <c r="E311" s="131"/>
      <c r="F311" s="131"/>
      <c r="G311" s="131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</row>
    <row r="312" ht="15.75" customHeight="1">
      <c r="A312" s="72"/>
      <c r="B312" s="130"/>
      <c r="C312" s="130"/>
      <c r="D312" s="131"/>
      <c r="E312" s="131"/>
      <c r="F312" s="131"/>
      <c r="G312" s="131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</row>
    <row r="313" ht="15.75" customHeight="1">
      <c r="A313" s="72"/>
      <c r="B313" s="130"/>
      <c r="C313" s="130"/>
      <c r="D313" s="131"/>
      <c r="E313" s="131"/>
      <c r="F313" s="131"/>
      <c r="G313" s="131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</row>
    <row r="314" ht="15.75" customHeight="1">
      <c r="A314" s="72"/>
      <c r="B314" s="130"/>
      <c r="C314" s="130"/>
      <c r="D314" s="131"/>
      <c r="E314" s="131"/>
      <c r="F314" s="131"/>
      <c r="G314" s="131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</row>
    <row r="315" ht="15.75" customHeight="1">
      <c r="A315" s="72"/>
      <c r="B315" s="130"/>
      <c r="C315" s="130"/>
      <c r="D315" s="131"/>
      <c r="E315" s="131"/>
      <c r="F315" s="131"/>
      <c r="G315" s="131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</row>
    <row r="316" ht="15.75" customHeight="1">
      <c r="A316" s="72"/>
      <c r="B316" s="130"/>
      <c r="C316" s="130"/>
      <c r="D316" s="131"/>
      <c r="E316" s="131"/>
      <c r="F316" s="131"/>
      <c r="G316" s="131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</row>
    <row r="317" ht="15.75" customHeight="1">
      <c r="A317" s="72"/>
      <c r="B317" s="130"/>
      <c r="C317" s="130"/>
      <c r="D317" s="131"/>
      <c r="E317" s="131"/>
      <c r="F317" s="131"/>
      <c r="G317" s="131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</row>
    <row r="318" ht="15.75" customHeight="1">
      <c r="A318" s="72"/>
      <c r="B318" s="130"/>
      <c r="C318" s="130"/>
      <c r="D318" s="131"/>
      <c r="E318" s="131"/>
      <c r="F318" s="131"/>
      <c r="G318" s="131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</row>
    <row r="319" ht="15.75" customHeight="1">
      <c r="A319" s="72"/>
      <c r="B319" s="130"/>
      <c r="C319" s="130"/>
      <c r="D319" s="131"/>
      <c r="E319" s="131"/>
      <c r="F319" s="131"/>
      <c r="G319" s="131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</row>
    <row r="320" ht="15.75" customHeight="1">
      <c r="A320" s="72"/>
      <c r="B320" s="130"/>
      <c r="C320" s="130"/>
      <c r="D320" s="131"/>
      <c r="E320" s="131"/>
      <c r="F320" s="131"/>
      <c r="G320" s="131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</row>
    <row r="321" ht="15.75" customHeight="1">
      <c r="A321" s="72"/>
      <c r="B321" s="130"/>
      <c r="C321" s="130"/>
      <c r="D321" s="131"/>
      <c r="E321" s="131"/>
      <c r="F321" s="131"/>
      <c r="G321" s="131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</row>
    <row r="322" ht="15.75" customHeight="1">
      <c r="A322" s="72"/>
      <c r="B322" s="130"/>
      <c r="C322" s="130"/>
      <c r="D322" s="131"/>
      <c r="E322" s="131"/>
      <c r="F322" s="131"/>
      <c r="G322" s="131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</row>
    <row r="323" ht="15.75" customHeight="1">
      <c r="A323" s="72"/>
      <c r="B323" s="130"/>
      <c r="C323" s="130"/>
      <c r="D323" s="131"/>
      <c r="E323" s="131"/>
      <c r="F323" s="131"/>
      <c r="G323" s="131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</row>
    <row r="324" ht="15.75" customHeight="1">
      <c r="A324" s="72"/>
      <c r="B324" s="130"/>
      <c r="C324" s="130"/>
      <c r="D324" s="131"/>
      <c r="E324" s="131"/>
      <c r="F324" s="131"/>
      <c r="G324" s="131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</row>
    <row r="325" ht="15.75" customHeight="1">
      <c r="A325" s="72"/>
      <c r="B325" s="130"/>
      <c r="C325" s="130"/>
      <c r="D325" s="131"/>
      <c r="E325" s="131"/>
      <c r="F325" s="131"/>
      <c r="G325" s="131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</row>
    <row r="326" ht="15.75" customHeight="1">
      <c r="A326" s="72"/>
      <c r="B326" s="130"/>
      <c r="C326" s="130"/>
      <c r="D326" s="131"/>
      <c r="E326" s="131"/>
      <c r="F326" s="131"/>
      <c r="G326" s="131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</row>
    <row r="327" ht="15.75" customHeight="1">
      <c r="A327" s="72"/>
      <c r="B327" s="130"/>
      <c r="C327" s="130"/>
      <c r="D327" s="131"/>
      <c r="E327" s="131"/>
      <c r="F327" s="131"/>
      <c r="G327" s="131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</row>
    <row r="328" ht="15.75" customHeight="1">
      <c r="A328" s="72"/>
      <c r="B328" s="130"/>
      <c r="C328" s="130"/>
      <c r="D328" s="131"/>
      <c r="E328" s="131"/>
      <c r="F328" s="131"/>
      <c r="G328" s="131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</row>
    <row r="329" ht="15.75" customHeight="1">
      <c r="A329" s="72"/>
      <c r="B329" s="130"/>
      <c r="C329" s="130"/>
      <c r="D329" s="131"/>
      <c r="E329" s="131"/>
      <c r="F329" s="131"/>
      <c r="G329" s="131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</row>
    <row r="330" ht="15.75" customHeight="1">
      <c r="A330" s="72"/>
      <c r="B330" s="130"/>
      <c r="C330" s="130"/>
      <c r="D330" s="131"/>
      <c r="E330" s="131"/>
      <c r="F330" s="131"/>
      <c r="G330" s="131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</row>
    <row r="331" ht="15.75" customHeight="1">
      <c r="A331" s="72"/>
      <c r="B331" s="130"/>
      <c r="C331" s="130"/>
      <c r="D331" s="131"/>
      <c r="E331" s="131"/>
      <c r="F331" s="131"/>
      <c r="G331" s="131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</row>
    <row r="332" ht="15.75" customHeight="1">
      <c r="A332" s="72"/>
      <c r="B332" s="130"/>
      <c r="C332" s="130"/>
      <c r="D332" s="131"/>
      <c r="E332" s="131"/>
      <c r="F332" s="131"/>
      <c r="G332" s="131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</row>
    <row r="333" ht="15.75" customHeight="1">
      <c r="A333" s="72"/>
      <c r="B333" s="130"/>
      <c r="C333" s="130"/>
      <c r="D333" s="131"/>
      <c r="E333" s="131"/>
      <c r="F333" s="131"/>
      <c r="G333" s="131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</row>
    <row r="334" ht="15.75" customHeight="1">
      <c r="A334" s="72"/>
      <c r="B334" s="130"/>
      <c r="C334" s="130"/>
      <c r="D334" s="131"/>
      <c r="E334" s="131"/>
      <c r="F334" s="131"/>
      <c r="G334" s="131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</row>
    <row r="335" ht="15.75" customHeight="1">
      <c r="A335" s="72"/>
      <c r="B335" s="130"/>
      <c r="C335" s="130"/>
      <c r="D335" s="131"/>
      <c r="E335" s="131"/>
      <c r="F335" s="131"/>
      <c r="G335" s="131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</row>
    <row r="336" ht="15.75" customHeight="1">
      <c r="A336" s="72"/>
      <c r="B336" s="130"/>
      <c r="C336" s="130"/>
      <c r="D336" s="131"/>
      <c r="E336" s="131"/>
      <c r="F336" s="131"/>
      <c r="G336" s="131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</row>
    <row r="337" ht="15.75" customHeight="1">
      <c r="A337" s="72"/>
      <c r="B337" s="130"/>
      <c r="C337" s="130"/>
      <c r="D337" s="131"/>
      <c r="E337" s="131"/>
      <c r="F337" s="131"/>
      <c r="G337" s="131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</row>
    <row r="338" ht="15.75" customHeight="1">
      <c r="A338" s="72"/>
      <c r="B338" s="130"/>
      <c r="C338" s="130"/>
      <c r="D338" s="131"/>
      <c r="E338" s="131"/>
      <c r="F338" s="131"/>
      <c r="G338" s="131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</row>
    <row r="339" ht="15.75" customHeight="1">
      <c r="A339" s="72"/>
      <c r="B339" s="130"/>
      <c r="C339" s="130"/>
      <c r="D339" s="131"/>
      <c r="E339" s="131"/>
      <c r="F339" s="131"/>
      <c r="G339" s="131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</row>
    <row r="340" ht="15.75" customHeight="1">
      <c r="A340" s="72"/>
      <c r="B340" s="130"/>
      <c r="C340" s="130"/>
      <c r="D340" s="131"/>
      <c r="E340" s="131"/>
      <c r="F340" s="131"/>
      <c r="G340" s="131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</row>
    <row r="341" ht="15.75" customHeight="1">
      <c r="A341" s="72"/>
      <c r="B341" s="130"/>
      <c r="C341" s="130"/>
      <c r="D341" s="131"/>
      <c r="E341" s="131"/>
      <c r="F341" s="131"/>
      <c r="G341" s="131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</row>
    <row r="342" ht="15.75" customHeight="1">
      <c r="A342" s="72"/>
      <c r="B342" s="130"/>
      <c r="C342" s="130"/>
      <c r="D342" s="131"/>
      <c r="E342" s="131"/>
      <c r="F342" s="131"/>
      <c r="G342" s="131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</row>
    <row r="343" ht="15.75" customHeight="1">
      <c r="A343" s="72"/>
      <c r="B343" s="130"/>
      <c r="C343" s="130"/>
      <c r="D343" s="131"/>
      <c r="E343" s="131"/>
      <c r="F343" s="131"/>
      <c r="G343" s="131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</row>
    <row r="344" ht="15.75" customHeight="1">
      <c r="A344" s="72"/>
      <c r="B344" s="130"/>
      <c r="C344" s="130"/>
      <c r="D344" s="131"/>
      <c r="E344" s="131"/>
      <c r="F344" s="131"/>
      <c r="G344" s="131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</row>
    <row r="345" ht="15.75" customHeight="1">
      <c r="A345" s="72"/>
      <c r="B345" s="130"/>
      <c r="C345" s="130"/>
      <c r="D345" s="131"/>
      <c r="E345" s="131"/>
      <c r="F345" s="131"/>
      <c r="G345" s="131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</row>
    <row r="346" ht="15.75" customHeight="1">
      <c r="A346" s="72"/>
      <c r="B346" s="130"/>
      <c r="C346" s="130"/>
      <c r="D346" s="131"/>
      <c r="E346" s="131"/>
      <c r="F346" s="131"/>
      <c r="G346" s="131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</row>
    <row r="347" ht="15.75" customHeight="1">
      <c r="A347" s="72"/>
      <c r="B347" s="130"/>
      <c r="C347" s="130"/>
      <c r="D347" s="131"/>
      <c r="E347" s="131"/>
      <c r="F347" s="131"/>
      <c r="G347" s="131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</row>
    <row r="348" ht="15.75" customHeight="1">
      <c r="A348" s="72"/>
      <c r="B348" s="130"/>
      <c r="C348" s="130"/>
      <c r="D348" s="131"/>
      <c r="E348" s="131"/>
      <c r="F348" s="131"/>
      <c r="G348" s="131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</row>
    <row r="349" ht="15.75" customHeight="1">
      <c r="A349" s="72"/>
      <c r="B349" s="130"/>
      <c r="C349" s="130"/>
      <c r="D349" s="131"/>
      <c r="E349" s="131"/>
      <c r="F349" s="131"/>
      <c r="G349" s="131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</row>
    <row r="350" ht="15.75" customHeight="1">
      <c r="A350" s="72"/>
      <c r="B350" s="130"/>
      <c r="C350" s="130"/>
      <c r="D350" s="131"/>
      <c r="E350" s="131"/>
      <c r="F350" s="131"/>
      <c r="G350" s="131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</row>
    <row r="351" ht="15.75" customHeight="1">
      <c r="A351" s="72"/>
      <c r="B351" s="130"/>
      <c r="C351" s="130"/>
      <c r="D351" s="131"/>
      <c r="E351" s="131"/>
      <c r="F351" s="131"/>
      <c r="G351" s="131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</row>
    <row r="352" ht="15.75" customHeight="1">
      <c r="A352" s="72"/>
      <c r="B352" s="130"/>
      <c r="C352" s="130"/>
      <c r="D352" s="131"/>
      <c r="E352" s="131"/>
      <c r="F352" s="131"/>
      <c r="G352" s="131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</row>
    <row r="353" ht="15.75" customHeight="1">
      <c r="A353" s="72"/>
      <c r="B353" s="130"/>
      <c r="C353" s="130"/>
      <c r="D353" s="131"/>
      <c r="E353" s="131"/>
      <c r="F353" s="131"/>
      <c r="G353" s="131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</row>
    <row r="354" ht="15.75" customHeight="1">
      <c r="A354" s="72"/>
      <c r="B354" s="130"/>
      <c r="C354" s="130"/>
      <c r="D354" s="131"/>
      <c r="E354" s="131"/>
      <c r="F354" s="131"/>
      <c r="G354" s="131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</row>
    <row r="355" ht="15.75" customHeight="1">
      <c r="A355" s="72"/>
      <c r="B355" s="130"/>
      <c r="C355" s="130"/>
      <c r="D355" s="131"/>
      <c r="E355" s="131"/>
      <c r="F355" s="131"/>
      <c r="G355" s="131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</row>
    <row r="356" ht="15.75" customHeight="1">
      <c r="A356" s="72"/>
      <c r="B356" s="130"/>
      <c r="C356" s="130"/>
      <c r="D356" s="131"/>
      <c r="E356" s="131"/>
      <c r="F356" s="131"/>
      <c r="G356" s="131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</row>
    <row r="357" ht="15.75" customHeight="1">
      <c r="A357" s="72"/>
      <c r="B357" s="130"/>
      <c r="C357" s="130"/>
      <c r="D357" s="131"/>
      <c r="E357" s="131"/>
      <c r="F357" s="131"/>
      <c r="G357" s="131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</row>
    <row r="358" ht="15.75" customHeight="1">
      <c r="A358" s="72"/>
      <c r="B358" s="130"/>
      <c r="C358" s="130"/>
      <c r="D358" s="131"/>
      <c r="E358" s="131"/>
      <c r="F358" s="131"/>
      <c r="G358" s="131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</row>
    <row r="359" ht="15.75" customHeight="1">
      <c r="A359" s="72"/>
      <c r="B359" s="130"/>
      <c r="C359" s="130"/>
      <c r="D359" s="131"/>
      <c r="E359" s="131"/>
      <c r="F359" s="131"/>
      <c r="G359" s="131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</row>
    <row r="360" ht="15.75" customHeight="1">
      <c r="A360" s="72"/>
      <c r="B360" s="130"/>
      <c r="C360" s="130"/>
      <c r="D360" s="131"/>
      <c r="E360" s="131"/>
      <c r="F360" s="131"/>
      <c r="G360" s="131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</row>
    <row r="361" ht="15.75" customHeight="1">
      <c r="A361" s="72"/>
      <c r="B361" s="130"/>
      <c r="C361" s="130"/>
      <c r="D361" s="131"/>
      <c r="E361" s="131"/>
      <c r="F361" s="131"/>
      <c r="G361" s="131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</row>
    <row r="362" ht="15.75" customHeight="1">
      <c r="A362" s="72"/>
      <c r="B362" s="130"/>
      <c r="C362" s="130"/>
      <c r="D362" s="131"/>
      <c r="E362" s="131"/>
      <c r="F362" s="131"/>
      <c r="G362" s="131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</row>
    <row r="363" ht="15.75" customHeight="1">
      <c r="A363" s="72"/>
      <c r="B363" s="130"/>
      <c r="C363" s="130"/>
      <c r="D363" s="131"/>
      <c r="E363" s="131"/>
      <c r="F363" s="131"/>
      <c r="G363" s="131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</row>
    <row r="364" ht="15.75" customHeight="1">
      <c r="A364" s="72"/>
      <c r="B364" s="130"/>
      <c r="C364" s="130"/>
      <c r="D364" s="131"/>
      <c r="E364" s="131"/>
      <c r="F364" s="131"/>
      <c r="G364" s="131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</row>
    <row r="365" ht="15.75" customHeight="1">
      <c r="A365" s="72"/>
      <c r="B365" s="130"/>
      <c r="C365" s="130"/>
      <c r="D365" s="131"/>
      <c r="E365" s="131"/>
      <c r="F365" s="131"/>
      <c r="G365" s="131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</row>
    <row r="366" ht="15.75" customHeight="1">
      <c r="A366" s="72"/>
      <c r="B366" s="130"/>
      <c r="C366" s="130"/>
      <c r="D366" s="131"/>
      <c r="E366" s="131"/>
      <c r="F366" s="131"/>
      <c r="G366" s="131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</row>
    <row r="367" ht="15.75" customHeight="1">
      <c r="A367" s="72"/>
      <c r="B367" s="130"/>
      <c r="C367" s="130"/>
      <c r="D367" s="131"/>
      <c r="E367" s="131"/>
      <c r="F367" s="131"/>
      <c r="G367" s="131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</row>
    <row r="368" ht="15.75" customHeight="1">
      <c r="A368" s="72"/>
      <c r="B368" s="130"/>
      <c r="C368" s="130"/>
      <c r="D368" s="131"/>
      <c r="E368" s="131"/>
      <c r="F368" s="131"/>
      <c r="G368" s="131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</row>
    <row r="369" ht="15.75" customHeight="1">
      <c r="A369" s="72"/>
      <c r="B369" s="130"/>
      <c r="C369" s="130"/>
      <c r="D369" s="131"/>
      <c r="E369" s="131"/>
      <c r="F369" s="131"/>
      <c r="G369" s="131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</row>
    <row r="370" ht="15.75" customHeight="1">
      <c r="A370" s="72"/>
      <c r="B370" s="130"/>
      <c r="C370" s="130"/>
      <c r="D370" s="131"/>
      <c r="E370" s="131"/>
      <c r="F370" s="131"/>
      <c r="G370" s="131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</row>
    <row r="371" ht="15.75" customHeight="1">
      <c r="A371" s="72"/>
      <c r="B371" s="130"/>
      <c r="C371" s="130"/>
      <c r="D371" s="131"/>
      <c r="E371" s="131"/>
      <c r="F371" s="131"/>
      <c r="G371" s="131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</row>
    <row r="372" ht="15.75" customHeight="1">
      <c r="A372" s="72"/>
      <c r="B372" s="130"/>
      <c r="C372" s="130"/>
      <c r="D372" s="131"/>
      <c r="E372" s="131"/>
      <c r="F372" s="131"/>
      <c r="G372" s="131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</row>
    <row r="373" ht="15.75" customHeight="1">
      <c r="A373" s="72"/>
      <c r="B373" s="130"/>
      <c r="C373" s="130"/>
      <c r="D373" s="131"/>
      <c r="E373" s="131"/>
      <c r="F373" s="131"/>
      <c r="G373" s="131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</row>
    <row r="374" ht="15.75" customHeight="1">
      <c r="A374" s="72"/>
      <c r="B374" s="130"/>
      <c r="C374" s="130"/>
      <c r="D374" s="131"/>
      <c r="E374" s="131"/>
      <c r="F374" s="131"/>
      <c r="G374" s="131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</row>
    <row r="375" ht="15.75" customHeight="1">
      <c r="A375" s="72"/>
      <c r="B375" s="130"/>
      <c r="C375" s="130"/>
      <c r="D375" s="131"/>
      <c r="E375" s="131"/>
      <c r="F375" s="131"/>
      <c r="G375" s="131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</row>
    <row r="376" ht="15.75" customHeight="1">
      <c r="A376" s="72"/>
      <c r="B376" s="130"/>
      <c r="C376" s="130"/>
      <c r="D376" s="131"/>
      <c r="E376" s="131"/>
      <c r="F376" s="131"/>
      <c r="G376" s="131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</row>
    <row r="377" ht="15.75" customHeight="1">
      <c r="A377" s="72"/>
      <c r="B377" s="130"/>
      <c r="C377" s="130"/>
      <c r="D377" s="131"/>
      <c r="E377" s="131"/>
      <c r="F377" s="131"/>
      <c r="G377" s="131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</row>
    <row r="378" ht="15.75" customHeight="1">
      <c r="A378" s="72"/>
      <c r="B378" s="130"/>
      <c r="C378" s="130"/>
      <c r="D378" s="131"/>
      <c r="E378" s="131"/>
      <c r="F378" s="131"/>
      <c r="G378" s="131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</row>
    <row r="379" ht="15.75" customHeight="1">
      <c r="A379" s="72"/>
      <c r="B379" s="130"/>
      <c r="C379" s="130"/>
      <c r="D379" s="131"/>
      <c r="E379" s="131"/>
      <c r="F379" s="131"/>
      <c r="G379" s="131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</row>
    <row r="380" ht="15.75" customHeight="1">
      <c r="A380" s="72"/>
      <c r="B380" s="130"/>
      <c r="C380" s="130"/>
      <c r="D380" s="131"/>
      <c r="E380" s="131"/>
      <c r="F380" s="131"/>
      <c r="G380" s="131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</row>
    <row r="381" ht="15.75" customHeight="1">
      <c r="A381" s="72"/>
      <c r="B381" s="130"/>
      <c r="C381" s="130"/>
      <c r="D381" s="131"/>
      <c r="E381" s="131"/>
      <c r="F381" s="131"/>
      <c r="G381" s="131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</row>
    <row r="382" ht="15.75" customHeight="1">
      <c r="A382" s="72"/>
      <c r="B382" s="130"/>
      <c r="C382" s="130"/>
      <c r="D382" s="131"/>
      <c r="E382" s="131"/>
      <c r="F382" s="131"/>
      <c r="G382" s="131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</row>
    <row r="383" ht="15.75" customHeight="1">
      <c r="A383" s="72"/>
      <c r="B383" s="130"/>
      <c r="C383" s="130"/>
      <c r="D383" s="131"/>
      <c r="E383" s="131"/>
      <c r="F383" s="131"/>
      <c r="G383" s="131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</row>
    <row r="384" ht="15.75" customHeight="1">
      <c r="A384" s="72"/>
      <c r="B384" s="130"/>
      <c r="C384" s="130"/>
      <c r="D384" s="131"/>
      <c r="E384" s="131"/>
      <c r="F384" s="131"/>
      <c r="G384" s="131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</row>
    <row r="385" ht="15.75" customHeight="1">
      <c r="A385" s="72"/>
      <c r="B385" s="130"/>
      <c r="C385" s="130"/>
      <c r="D385" s="131"/>
      <c r="E385" s="131"/>
      <c r="F385" s="131"/>
      <c r="G385" s="131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</row>
    <row r="386" ht="15.75" customHeight="1">
      <c r="A386" s="72"/>
      <c r="B386" s="130"/>
      <c r="C386" s="130"/>
      <c r="D386" s="131"/>
      <c r="E386" s="131"/>
      <c r="F386" s="131"/>
      <c r="G386" s="131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</row>
    <row r="387" ht="15.75" customHeight="1">
      <c r="A387" s="72"/>
      <c r="B387" s="130"/>
      <c r="C387" s="130"/>
      <c r="D387" s="131"/>
      <c r="E387" s="131"/>
      <c r="F387" s="131"/>
      <c r="G387" s="131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</row>
    <row r="388" ht="15.75" customHeight="1">
      <c r="A388" s="72"/>
      <c r="B388" s="130"/>
      <c r="C388" s="130"/>
      <c r="D388" s="131"/>
      <c r="E388" s="131"/>
      <c r="F388" s="131"/>
      <c r="G388" s="131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</row>
    <row r="389" ht="15.75" customHeight="1">
      <c r="A389" s="72"/>
      <c r="B389" s="130"/>
      <c r="C389" s="130"/>
      <c r="D389" s="131"/>
      <c r="E389" s="131"/>
      <c r="F389" s="131"/>
      <c r="G389" s="131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</row>
    <row r="390" ht="15.75" customHeight="1">
      <c r="A390" s="72"/>
      <c r="B390" s="130"/>
      <c r="C390" s="130"/>
      <c r="D390" s="131"/>
      <c r="E390" s="131"/>
      <c r="F390" s="131"/>
      <c r="G390" s="131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</row>
    <row r="391" ht="15.75" customHeight="1">
      <c r="A391" s="72"/>
      <c r="B391" s="130"/>
      <c r="C391" s="130"/>
      <c r="D391" s="131"/>
      <c r="E391" s="131"/>
      <c r="F391" s="131"/>
      <c r="G391" s="131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</row>
    <row r="392" ht="15.75" customHeight="1">
      <c r="A392" s="72"/>
      <c r="B392" s="130"/>
      <c r="C392" s="130"/>
      <c r="D392" s="131"/>
      <c r="E392" s="131"/>
      <c r="F392" s="131"/>
      <c r="G392" s="131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</row>
    <row r="393" ht="15.75" customHeight="1">
      <c r="A393" s="72"/>
      <c r="B393" s="130"/>
      <c r="C393" s="130"/>
      <c r="D393" s="131"/>
      <c r="E393" s="131"/>
      <c r="F393" s="131"/>
      <c r="G393" s="131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</row>
    <row r="394" ht="15.75" customHeight="1">
      <c r="A394" s="72"/>
      <c r="B394" s="130"/>
      <c r="C394" s="130"/>
      <c r="D394" s="131"/>
      <c r="E394" s="131"/>
      <c r="F394" s="131"/>
      <c r="G394" s="131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</row>
    <row r="395" ht="15.75" customHeight="1">
      <c r="A395" s="72"/>
      <c r="B395" s="130"/>
      <c r="C395" s="130"/>
      <c r="D395" s="131"/>
      <c r="E395" s="131"/>
      <c r="F395" s="131"/>
      <c r="G395" s="131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</row>
    <row r="396" ht="15.75" customHeight="1">
      <c r="A396" s="72"/>
      <c r="B396" s="130"/>
      <c r="C396" s="130"/>
      <c r="D396" s="131"/>
      <c r="E396" s="131"/>
      <c r="F396" s="131"/>
      <c r="G396" s="131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</row>
    <row r="397" ht="15.75" customHeight="1">
      <c r="A397" s="72"/>
      <c r="B397" s="130"/>
      <c r="C397" s="130"/>
      <c r="D397" s="131"/>
      <c r="E397" s="131"/>
      <c r="F397" s="131"/>
      <c r="G397" s="131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</row>
    <row r="398" ht="15.75" customHeight="1">
      <c r="A398" s="72"/>
      <c r="B398" s="130"/>
      <c r="C398" s="130"/>
      <c r="D398" s="131"/>
      <c r="E398" s="131"/>
      <c r="F398" s="131"/>
      <c r="G398" s="131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</row>
    <row r="399" ht="15.75" customHeight="1">
      <c r="A399" s="72"/>
      <c r="B399" s="130"/>
      <c r="C399" s="130"/>
      <c r="D399" s="131"/>
      <c r="E399" s="131"/>
      <c r="F399" s="131"/>
      <c r="G399" s="131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</row>
    <row r="400" ht="15.75" customHeight="1">
      <c r="A400" s="72"/>
      <c r="B400" s="130"/>
      <c r="C400" s="130"/>
      <c r="D400" s="131"/>
      <c r="E400" s="131"/>
      <c r="F400" s="131"/>
      <c r="G400" s="131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</row>
    <row r="401" ht="15.75" customHeight="1">
      <c r="A401" s="72"/>
      <c r="B401" s="130"/>
      <c r="C401" s="130"/>
      <c r="D401" s="131"/>
      <c r="E401" s="131"/>
      <c r="F401" s="131"/>
      <c r="G401" s="131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</row>
    <row r="402" ht="15.75" customHeight="1">
      <c r="A402" s="72"/>
      <c r="B402" s="130"/>
      <c r="C402" s="130"/>
      <c r="D402" s="131"/>
      <c r="E402" s="131"/>
      <c r="F402" s="131"/>
      <c r="G402" s="131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</row>
    <row r="403" ht="15.75" customHeight="1">
      <c r="A403" s="72"/>
      <c r="B403" s="130"/>
      <c r="C403" s="130"/>
      <c r="D403" s="131"/>
      <c r="E403" s="131"/>
      <c r="F403" s="131"/>
      <c r="G403" s="131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</row>
    <row r="404" ht="15.75" customHeight="1">
      <c r="A404" s="72"/>
      <c r="B404" s="130"/>
      <c r="C404" s="130"/>
      <c r="D404" s="131"/>
      <c r="E404" s="131"/>
      <c r="F404" s="131"/>
      <c r="G404" s="131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</row>
    <row r="405" ht="15.75" customHeight="1">
      <c r="A405" s="72"/>
      <c r="B405" s="130"/>
      <c r="C405" s="130"/>
      <c r="D405" s="131"/>
      <c r="E405" s="131"/>
      <c r="F405" s="131"/>
      <c r="G405" s="131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</row>
    <row r="406" ht="15.75" customHeight="1">
      <c r="A406" s="72"/>
      <c r="B406" s="130"/>
      <c r="C406" s="130"/>
      <c r="D406" s="131"/>
      <c r="E406" s="131"/>
      <c r="F406" s="131"/>
      <c r="G406" s="131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</row>
    <row r="407" ht="15.75" customHeight="1">
      <c r="A407" s="72"/>
      <c r="B407" s="130"/>
      <c r="C407" s="130"/>
      <c r="D407" s="131"/>
      <c r="E407" s="131"/>
      <c r="F407" s="131"/>
      <c r="G407" s="131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</row>
    <row r="408" ht="15.75" customHeight="1">
      <c r="A408" s="72"/>
      <c r="B408" s="130"/>
      <c r="C408" s="130"/>
      <c r="D408" s="131"/>
      <c r="E408" s="131"/>
      <c r="F408" s="131"/>
      <c r="G408" s="131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</row>
    <row r="409" ht="15.75" customHeight="1">
      <c r="A409" s="72"/>
      <c r="B409" s="130"/>
      <c r="C409" s="130"/>
      <c r="D409" s="131"/>
      <c r="E409" s="131"/>
      <c r="F409" s="131"/>
      <c r="G409" s="131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</row>
    <row r="410" ht="15.75" customHeight="1">
      <c r="A410" s="72"/>
      <c r="B410" s="130"/>
      <c r="C410" s="130"/>
      <c r="D410" s="131"/>
      <c r="E410" s="131"/>
      <c r="F410" s="131"/>
      <c r="G410" s="131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</row>
    <row r="411" ht="15.75" customHeight="1">
      <c r="A411" s="72"/>
      <c r="B411" s="130"/>
      <c r="C411" s="130"/>
      <c r="D411" s="131"/>
      <c r="E411" s="131"/>
      <c r="F411" s="131"/>
      <c r="G411" s="131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</row>
    <row r="412" ht="15.75" customHeight="1">
      <c r="A412" s="72"/>
      <c r="B412" s="130"/>
      <c r="C412" s="130"/>
      <c r="D412" s="131"/>
      <c r="E412" s="131"/>
      <c r="F412" s="131"/>
      <c r="G412" s="131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</row>
    <row r="413" ht="15.75" customHeight="1">
      <c r="A413" s="72"/>
      <c r="B413" s="130"/>
      <c r="C413" s="130"/>
      <c r="D413" s="131"/>
      <c r="E413" s="131"/>
      <c r="F413" s="131"/>
      <c r="G413" s="131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</row>
    <row r="414" ht="15.75" customHeight="1">
      <c r="A414" s="72"/>
      <c r="B414" s="130"/>
      <c r="C414" s="130"/>
      <c r="D414" s="131"/>
      <c r="E414" s="131"/>
      <c r="F414" s="131"/>
      <c r="G414" s="131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</row>
    <row r="415" ht="15.75" customHeight="1">
      <c r="A415" s="72"/>
      <c r="B415" s="130"/>
      <c r="C415" s="130"/>
      <c r="D415" s="131"/>
      <c r="E415" s="131"/>
      <c r="F415" s="131"/>
      <c r="G415" s="131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</row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</sheetData>
  <mergeCells count="49">
    <mergeCell ref="C2:F2"/>
    <mergeCell ref="C3:G3"/>
    <mergeCell ref="C10:F10"/>
    <mergeCell ref="C11:G11"/>
    <mergeCell ref="E12:F14"/>
    <mergeCell ref="E15:F17"/>
    <mergeCell ref="C18:G18"/>
    <mergeCell ref="C19:G19"/>
    <mergeCell ref="C23:G23"/>
    <mergeCell ref="C28:G28"/>
    <mergeCell ref="C30:G30"/>
    <mergeCell ref="C36:F36"/>
    <mergeCell ref="C37:G37"/>
    <mergeCell ref="C47:G47"/>
    <mergeCell ref="C48:G48"/>
    <mergeCell ref="C53:G53"/>
    <mergeCell ref="C58:G58"/>
    <mergeCell ref="C64:F64"/>
    <mergeCell ref="C65:G65"/>
    <mergeCell ref="C69:G69"/>
    <mergeCell ref="C77:G77"/>
    <mergeCell ref="C85:G85"/>
    <mergeCell ref="C86:G86"/>
    <mergeCell ref="C91:G91"/>
    <mergeCell ref="C96:G96"/>
    <mergeCell ref="C102:F102"/>
    <mergeCell ref="C103:G103"/>
    <mergeCell ref="C107:G107"/>
    <mergeCell ref="C115:G115"/>
    <mergeCell ref="C123:G123"/>
    <mergeCell ref="C124:G124"/>
    <mergeCell ref="C129:G129"/>
    <mergeCell ref="C134:G134"/>
    <mergeCell ref="C140:F140"/>
    <mergeCell ref="C141:G141"/>
    <mergeCell ref="C179:G179"/>
    <mergeCell ref="C183:G183"/>
    <mergeCell ref="C191:G191"/>
    <mergeCell ref="C199:G199"/>
    <mergeCell ref="C200:G200"/>
    <mergeCell ref="C205:G205"/>
    <mergeCell ref="C210:G210"/>
    <mergeCell ref="C145:G145"/>
    <mergeCell ref="C153:G153"/>
    <mergeCell ref="C161:G161"/>
    <mergeCell ref="C162:G162"/>
    <mergeCell ref="C167:G167"/>
    <mergeCell ref="C172:G172"/>
    <mergeCell ref="C178:F178"/>
  </mergeCells>
  <printOptions horizontalCentered="1"/>
  <pageMargins bottom="0.787401575" footer="0.0" header="0.0" left="0.511811024" right="0.511811024" top="0.787401575"/>
  <pageSetup fitToHeight="0"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0.5"/>
    <col customWidth="1" min="3" max="3" width="15.5"/>
    <col customWidth="1" min="4" max="4" width="16.63"/>
    <col customWidth="1" min="5" max="5" width="25.63"/>
    <col customWidth="1" min="6" max="6" width="14.75"/>
    <col customWidth="1" min="7" max="7" width="14.88"/>
    <col customWidth="1" min="8" max="8" width="27.5"/>
    <col customWidth="1" min="9" max="9" width="10.5"/>
    <col customWidth="1" min="10" max="10" width="15.5"/>
    <col customWidth="1" min="11" max="12" width="27.0"/>
    <col customWidth="1" min="13" max="13" width="36.5"/>
    <col customWidth="1" min="14" max="14" width="19.38"/>
    <col customWidth="1" min="15" max="15" width="28.13"/>
  </cols>
  <sheetData>
    <row r="1">
      <c r="A1" s="14" t="s">
        <v>0</v>
      </c>
      <c r="B1" s="14" t="s">
        <v>268</v>
      </c>
      <c r="C1" s="14" t="s">
        <v>269</v>
      </c>
      <c r="D1" s="14" t="s">
        <v>270</v>
      </c>
      <c r="E1" s="14" t="s">
        <v>271</v>
      </c>
      <c r="F1" s="14" t="s">
        <v>272</v>
      </c>
      <c r="G1" s="14" t="s">
        <v>273</v>
      </c>
      <c r="H1" s="14" t="s">
        <v>274</v>
      </c>
      <c r="I1" s="14" t="s">
        <v>275</v>
      </c>
      <c r="J1" s="14" t="s">
        <v>276</v>
      </c>
      <c r="K1" s="14" t="s">
        <v>277</v>
      </c>
      <c r="L1" s="14" t="s">
        <v>278</v>
      </c>
    </row>
    <row r="2">
      <c r="A2" s="16">
        <v>1.0</v>
      </c>
      <c r="B2" s="16">
        <v>0.88</v>
      </c>
      <c r="C2" s="16">
        <f t="shared" ref="C2:C5" si="1">DEGREES(ACOS(B2))</f>
        <v>28.35763658</v>
      </c>
      <c r="D2" s="16">
        <v>276.9466451405903</v>
      </c>
      <c r="E2" s="16" t="s">
        <v>279</v>
      </c>
      <c r="F2" s="16">
        <v>0.92</v>
      </c>
      <c r="G2" s="17">
        <f t="shared" ref="G2:G5" si="2">IF(E2="Sim", 
    D2 * ( TAN(ACOS(B2))  -  TAN(ACOS(F2)) ) , 
    0
)
</f>
        <v>31.50118704</v>
      </c>
      <c r="H2" s="17" t="s">
        <v>280</v>
      </c>
      <c r="I2" s="17">
        <v>0.92</v>
      </c>
      <c r="J2" s="16">
        <f t="shared" ref="J2:J3" si="3">D2 / I2</f>
        <v>301.0289621</v>
      </c>
      <c r="K2" s="17">
        <f t="shared" ref="K2:K3" si="4">J2 * 1000 / 220</f>
        <v>1368.313464</v>
      </c>
      <c r="L2" s="16">
        <f t="shared" ref="L2:L3" si="5">J2 * 1000 / (SQRT(3) * 380)</f>
        <v>457.3661903</v>
      </c>
    </row>
    <row r="3">
      <c r="A3" s="20">
        <v>2.0</v>
      </c>
      <c r="B3" s="20">
        <v>0.87</v>
      </c>
      <c r="C3" s="20">
        <f t="shared" si="1"/>
        <v>29.5413605</v>
      </c>
      <c r="D3" s="20">
        <v>99.14585702021762</v>
      </c>
      <c r="E3" s="20" t="s">
        <v>279</v>
      </c>
      <c r="F3" s="20">
        <v>0.92</v>
      </c>
      <c r="G3" s="17">
        <f t="shared" si="2"/>
        <v>13.9525883</v>
      </c>
      <c r="H3" s="17" t="s">
        <v>281</v>
      </c>
      <c r="I3" s="17">
        <v>0.92</v>
      </c>
      <c r="J3" s="16">
        <f t="shared" si="3"/>
        <v>107.7672359</v>
      </c>
      <c r="K3" s="17">
        <f t="shared" si="4"/>
        <v>489.8510722</v>
      </c>
      <c r="L3" s="20">
        <f t="shared" si="5"/>
        <v>163.7353754</v>
      </c>
    </row>
    <row r="4">
      <c r="A4" s="16">
        <v>3.0</v>
      </c>
      <c r="B4" s="16">
        <v>0.95</v>
      </c>
      <c r="C4" s="16">
        <f t="shared" si="1"/>
        <v>18.19487234</v>
      </c>
      <c r="D4" s="16">
        <v>245.0</v>
      </c>
      <c r="E4" s="16" t="s">
        <v>282</v>
      </c>
      <c r="F4" s="16">
        <v>0.95</v>
      </c>
      <c r="G4" s="17">
        <f t="shared" si="2"/>
        <v>0</v>
      </c>
      <c r="H4" s="17" t="s">
        <v>27</v>
      </c>
      <c r="I4" s="17" t="s">
        <v>27</v>
      </c>
      <c r="J4" s="16" t="s">
        <v>27</v>
      </c>
      <c r="K4" s="17" t="s">
        <v>27</v>
      </c>
      <c r="L4" s="16" t="s">
        <v>27</v>
      </c>
    </row>
    <row r="5">
      <c r="A5" s="20" t="s">
        <v>283</v>
      </c>
      <c r="B5" s="132">
        <f>'Somatória'!E5</f>
        <v>0.9060314621</v>
      </c>
      <c r="C5" s="20">
        <f t="shared" si="1"/>
        <v>25.03743608</v>
      </c>
      <c r="D5" s="20">
        <v>621.092502160808</v>
      </c>
      <c r="E5" s="20" t="s">
        <v>284</v>
      </c>
      <c r="F5" s="20">
        <v>0.92</v>
      </c>
      <c r="G5" s="17">
        <f t="shared" si="2"/>
        <v>25.53009475</v>
      </c>
      <c r="H5" s="17" t="s">
        <v>285</v>
      </c>
      <c r="I5" s="17">
        <v>0.92</v>
      </c>
      <c r="J5" s="16">
        <f>D5 / I5</f>
        <v>675.1005458</v>
      </c>
      <c r="K5" s="17">
        <f>J5 * 1000 / 220</f>
        <v>3068.638845</v>
      </c>
      <c r="L5" s="20">
        <f>J5 * 1000 / (SQRT(3) * 380)</f>
        <v>1025.709163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  <col customWidth="1" min="2" max="2" width="23.88"/>
    <col customWidth="1" min="3" max="3" width="16.88"/>
    <col customWidth="1" min="4" max="4" width="10.75"/>
    <col customWidth="1" min="5" max="5" width="18.5"/>
  </cols>
  <sheetData>
    <row r="1">
      <c r="A1" s="133" t="s">
        <v>286</v>
      </c>
      <c r="C1" s="133" t="s">
        <v>287</v>
      </c>
      <c r="D1" s="133" t="s">
        <v>288</v>
      </c>
      <c r="E1" s="133" t="s">
        <v>289</v>
      </c>
    </row>
    <row r="2">
      <c r="A2" s="134" t="s">
        <v>290</v>
      </c>
      <c r="C2" s="134" t="s">
        <v>291</v>
      </c>
      <c r="D2" s="135">
        <v>500.0</v>
      </c>
      <c r="E2" s="134"/>
    </row>
    <row r="3" ht="17.25" customHeight="1">
      <c r="A3" s="136" t="s">
        <v>292</v>
      </c>
      <c r="C3" s="134" t="s">
        <v>293</v>
      </c>
      <c r="D3" s="135">
        <f>20*15/(1.8*(20+15))</f>
        <v>4.761904762</v>
      </c>
      <c r="E3" s="134" t="str">
        <f>FORMULATEXT(D3)</f>
        <v>=20*15/(1,8*(20+15))</v>
      </c>
    </row>
    <row r="4">
      <c r="A4" s="137" t="s">
        <v>294</v>
      </c>
      <c r="B4" s="30" t="s">
        <v>295</v>
      </c>
      <c r="C4" s="134" t="s">
        <v>296</v>
      </c>
      <c r="D4" s="135">
        <v>0.58</v>
      </c>
      <c r="E4" s="134"/>
    </row>
    <row r="5">
      <c r="A5" s="134" t="s">
        <v>297</v>
      </c>
      <c r="C5" s="134" t="s">
        <v>298</v>
      </c>
      <c r="D5" s="135">
        <v>0.8</v>
      </c>
      <c r="E5" s="134"/>
    </row>
    <row r="6">
      <c r="A6" s="134" t="s">
        <v>299</v>
      </c>
      <c r="C6" s="134" t="s">
        <v>300</v>
      </c>
      <c r="D6" s="135">
        <f>3.5-0.9-0.8</f>
        <v>1.8</v>
      </c>
      <c r="E6" s="134" t="str">
        <f t="shared" ref="E6:E8" si="1">FORMULATEXT(D6)</f>
        <v>=3,5-0,9-0,8</v>
      </c>
    </row>
    <row r="7">
      <c r="A7" s="134" t="s">
        <v>301</v>
      </c>
      <c r="C7" s="134" t="s">
        <v>302</v>
      </c>
      <c r="D7" s="135">
        <f>(20*15*500)/(0.58*D5)</f>
        <v>323275.8621</v>
      </c>
      <c r="E7" s="134" t="str">
        <f t="shared" si="1"/>
        <v>=(20*15*500)/(0,58*D5)</v>
      </c>
    </row>
    <row r="8">
      <c r="A8" s="134" t="s">
        <v>303</v>
      </c>
      <c r="C8" s="134" t="s">
        <v>304</v>
      </c>
      <c r="D8" s="135">
        <f>D7/9600</f>
        <v>33.67456897</v>
      </c>
      <c r="E8" s="134" t="str">
        <f t="shared" si="1"/>
        <v>=D7/9600</v>
      </c>
    </row>
    <row r="9">
      <c r="A9" s="134" t="s">
        <v>305</v>
      </c>
    </row>
    <row r="11">
      <c r="A11" s="30" t="s">
        <v>306</v>
      </c>
      <c r="C11" s="30" t="s">
        <v>307</v>
      </c>
    </row>
  </sheetData>
  <drawing r:id="rId1"/>
</worksheet>
</file>