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88ED7A65-5DF9-4422-911F-4EB27FCD3F79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Início" sheetId="1" r:id="rId1"/>
    <sheet name="Alimentos" sheetId="3" r:id="rId2"/>
    <sheet name="Exigências" sheetId="2" r:id="rId3"/>
    <sheet name="ExigenciaLeitura" sheetId="8" r:id="rId4"/>
    <sheet name="Predição ED" sheetId="4" r:id="rId5"/>
    <sheet name="Check de dieta" sheetId="5" r:id="rId6"/>
    <sheet name="Relatório 1" sheetId="6" state="hidden" r:id="rId7"/>
    <sheet name="Relatório" sheetId="7" r:id="rId8"/>
  </sheets>
  <definedNames>
    <definedName name="_xlnm._FilterDatabase" localSheetId="2" hidden="1">Exigências!$B$1:$AH$137</definedName>
    <definedName name="_xleta.AND" hidden="1" xlm="1">#NAME?</definedName>
    <definedName name="_xleta.MA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D151" i="3" l="1"/>
  <c r="D150" i="3"/>
  <c r="K151" i="3" a="1"/>
  <c r="K151" i="3" s="1"/>
  <c r="L151" i="3" a="1"/>
  <c r="L151" i="3" s="1"/>
  <c r="M151" i="3" a="1"/>
  <c r="M151" i="3" s="1"/>
  <c r="N151" i="3" a="1"/>
  <c r="N151" i="3" s="1"/>
  <c r="O151" i="3" a="1"/>
  <c r="O151" i="3" s="1"/>
  <c r="P151" i="3" a="1"/>
  <c r="P151" i="3" s="1"/>
  <c r="Q151" i="3" a="1"/>
  <c r="Q151" i="3" s="1"/>
  <c r="R151" i="3" a="1"/>
  <c r="R151" i="3"/>
  <c r="S151" i="3" a="1"/>
  <c r="S151" i="3" s="1"/>
  <c r="T151" i="3" a="1"/>
  <c r="T151" i="3" s="1"/>
  <c r="U151" i="3" a="1"/>
  <c r="U151" i="3" s="1"/>
  <c r="V151" i="3" a="1"/>
  <c r="V151" i="3"/>
  <c r="W151" i="3" a="1"/>
  <c r="W151" i="3" s="1"/>
  <c r="X151" i="3" a="1"/>
  <c r="X151" i="3" s="1"/>
  <c r="Y151" i="3" a="1"/>
  <c r="Y151" i="3" s="1"/>
  <c r="Z151" i="3" a="1"/>
  <c r="Z151" i="3"/>
  <c r="AA151" i="3" a="1"/>
  <c r="AA151" i="3" s="1"/>
  <c r="AB151" i="3" a="1"/>
  <c r="AB151" i="3" s="1"/>
  <c r="AC151" i="3" a="1"/>
  <c r="AC151" i="3" s="1"/>
  <c r="AD151" i="3" a="1"/>
  <c r="AD151" i="3"/>
  <c r="AE151" i="3" a="1"/>
  <c r="AE151" i="3" s="1"/>
  <c r="AF151" i="3" a="1"/>
  <c r="AF151" i="3" s="1"/>
  <c r="AG151" i="3" a="1"/>
  <c r="AG151" i="3" s="1"/>
  <c r="AH151" i="3" a="1"/>
  <c r="AH151" i="3"/>
  <c r="AI151" i="3" a="1"/>
  <c r="AI151" i="3" s="1"/>
  <c r="AJ151" i="3" a="1"/>
  <c r="AJ151" i="3" s="1"/>
  <c r="AK151" i="3" a="1"/>
  <c r="AK151" i="3" s="1"/>
  <c r="AL151" i="3" a="1"/>
  <c r="AL151" i="3"/>
  <c r="AM151" i="3" a="1"/>
  <c r="AM151" i="3" s="1"/>
  <c r="AN151" i="3" a="1"/>
  <c r="AN151" i="3" s="1"/>
  <c r="AO151" i="3" a="1"/>
  <c r="AO151" i="3" s="1"/>
  <c r="AP151" i="3" a="1"/>
  <c r="AP151" i="3"/>
  <c r="I151" i="3" a="1"/>
  <c r="I151" i="3" s="1"/>
  <c r="J151" i="3" a="1"/>
  <c r="J151" i="3" s="1"/>
  <c r="H151" i="3" a="1"/>
  <c r="H151" i="3" s="1"/>
  <c r="G151" i="3" a="1"/>
  <c r="G151" i="3" s="1"/>
  <c r="AP148" i="3"/>
  <c r="AD148" i="3"/>
  <c r="Z148" i="3"/>
  <c r="V148" i="3"/>
  <c r="R148" i="3"/>
  <c r="N148" i="3"/>
  <c r="AL148" i="3"/>
  <c r="AH148" i="3"/>
  <c r="K148" i="3"/>
  <c r="L148" i="3"/>
  <c r="M148" i="3"/>
  <c r="O148" i="3"/>
  <c r="P148" i="3"/>
  <c r="Q148" i="3"/>
  <c r="S148" i="3"/>
  <c r="T148" i="3"/>
  <c r="U148" i="3"/>
  <c r="W148" i="3"/>
  <c r="X148" i="3"/>
  <c r="Y148" i="3"/>
  <c r="AA148" i="3"/>
  <c r="AB148" i="3"/>
  <c r="AC148" i="3"/>
  <c r="AE148" i="3"/>
  <c r="AF148" i="3"/>
  <c r="AG148" i="3"/>
  <c r="AI148" i="3"/>
  <c r="AJ148" i="3"/>
  <c r="AK148" i="3"/>
  <c r="AM148" i="3"/>
  <c r="AN148" i="3"/>
  <c r="AO148" i="3"/>
  <c r="G148" i="3"/>
  <c r="H148" i="3"/>
  <c r="I148" i="3"/>
  <c r="J148" i="3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3" i="8"/>
  <c r="O10" i="8"/>
  <c r="O9" i="8"/>
  <c r="K9" i="8"/>
  <c r="J9" i="8"/>
  <c r="I9" i="8"/>
  <c r="O8" i="8"/>
  <c r="K8" i="8"/>
  <c r="J8" i="8"/>
  <c r="I8" i="8"/>
  <c r="O7" i="8"/>
  <c r="K7" i="8"/>
  <c r="J7" i="8"/>
  <c r="I7" i="8"/>
  <c r="I15" i="8"/>
  <c r="J15" i="8"/>
  <c r="K15" i="8"/>
  <c r="O15" i="8"/>
  <c r="I16" i="8"/>
  <c r="J16" i="8"/>
  <c r="K16" i="8"/>
  <c r="O16" i="8"/>
  <c r="I17" i="8"/>
  <c r="J17" i="8"/>
  <c r="K17" i="8"/>
  <c r="O17" i="8"/>
  <c r="O18" i="8"/>
  <c r="O4" i="8"/>
  <c r="O5" i="8"/>
  <c r="O6" i="8"/>
  <c r="O11" i="8"/>
  <c r="O12" i="8"/>
  <c r="O13" i="8"/>
  <c r="O14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3" i="8"/>
  <c r="K21" i="8"/>
  <c r="J21" i="8"/>
  <c r="I21" i="8"/>
  <c r="K20" i="8"/>
  <c r="J20" i="8"/>
  <c r="I20" i="8"/>
  <c r="K19" i="8"/>
  <c r="J19" i="8"/>
  <c r="I19" i="8"/>
  <c r="K137" i="8"/>
  <c r="J137" i="8"/>
  <c r="I137" i="8"/>
  <c r="K136" i="8"/>
  <c r="J136" i="8"/>
  <c r="I136" i="8"/>
  <c r="K135" i="8"/>
  <c r="J135" i="8"/>
  <c r="I135" i="8"/>
  <c r="K133" i="8"/>
  <c r="J133" i="8"/>
  <c r="I133" i="8"/>
  <c r="K132" i="8"/>
  <c r="J132" i="8"/>
  <c r="I132" i="8"/>
  <c r="K131" i="8"/>
  <c r="J131" i="8"/>
  <c r="I131" i="8"/>
  <c r="K129" i="8"/>
  <c r="J129" i="8"/>
  <c r="I129" i="8"/>
  <c r="K128" i="8"/>
  <c r="J128" i="8"/>
  <c r="I128" i="8"/>
  <c r="K127" i="8"/>
  <c r="J127" i="8"/>
  <c r="I127" i="8"/>
  <c r="K125" i="8"/>
  <c r="J125" i="8"/>
  <c r="I125" i="8"/>
  <c r="K124" i="8"/>
  <c r="J124" i="8"/>
  <c r="I124" i="8"/>
  <c r="K123" i="8"/>
  <c r="J123" i="8"/>
  <c r="I123" i="8"/>
  <c r="K121" i="8"/>
  <c r="J121" i="8"/>
  <c r="I121" i="8"/>
  <c r="K120" i="8"/>
  <c r="J120" i="8"/>
  <c r="I120" i="8"/>
  <c r="K119" i="8"/>
  <c r="J119" i="8"/>
  <c r="I119" i="8"/>
  <c r="K117" i="8"/>
  <c r="J117" i="8"/>
  <c r="I117" i="8"/>
  <c r="K116" i="8"/>
  <c r="J116" i="8"/>
  <c r="I116" i="8"/>
  <c r="K115" i="8"/>
  <c r="J115" i="8"/>
  <c r="I115" i="8"/>
  <c r="K113" i="8"/>
  <c r="J113" i="8"/>
  <c r="I113" i="8"/>
  <c r="K112" i="8"/>
  <c r="J112" i="8"/>
  <c r="I112" i="8"/>
  <c r="K111" i="8"/>
  <c r="J111" i="8"/>
  <c r="I111" i="8"/>
  <c r="K109" i="8"/>
  <c r="J109" i="8"/>
  <c r="I109" i="8"/>
  <c r="K108" i="8"/>
  <c r="J108" i="8"/>
  <c r="I108" i="8"/>
  <c r="K107" i="8"/>
  <c r="J107" i="8"/>
  <c r="I107" i="8"/>
  <c r="K105" i="8"/>
  <c r="J105" i="8"/>
  <c r="I105" i="8"/>
  <c r="K104" i="8"/>
  <c r="J104" i="8"/>
  <c r="I104" i="8"/>
  <c r="K103" i="8"/>
  <c r="J103" i="8"/>
  <c r="I103" i="8"/>
  <c r="K101" i="8"/>
  <c r="J101" i="8"/>
  <c r="I101" i="8"/>
  <c r="K100" i="8"/>
  <c r="J100" i="8"/>
  <c r="I100" i="8"/>
  <c r="K99" i="8"/>
  <c r="J99" i="8"/>
  <c r="I99" i="8"/>
  <c r="K97" i="8"/>
  <c r="J97" i="8"/>
  <c r="I97" i="8"/>
  <c r="K96" i="8"/>
  <c r="J96" i="8"/>
  <c r="I96" i="8"/>
  <c r="K95" i="8"/>
  <c r="J95" i="8"/>
  <c r="I95" i="8"/>
  <c r="K93" i="8"/>
  <c r="J93" i="8"/>
  <c r="I93" i="8"/>
  <c r="K92" i="8"/>
  <c r="J92" i="8"/>
  <c r="I92" i="8"/>
  <c r="K91" i="8"/>
  <c r="J91" i="8"/>
  <c r="I91" i="8"/>
  <c r="K89" i="8"/>
  <c r="J89" i="8"/>
  <c r="I89" i="8"/>
  <c r="K88" i="8"/>
  <c r="J88" i="8"/>
  <c r="I88" i="8"/>
  <c r="K87" i="8"/>
  <c r="J87" i="8"/>
  <c r="I87" i="8"/>
  <c r="K85" i="8"/>
  <c r="J85" i="8"/>
  <c r="I85" i="8"/>
  <c r="K84" i="8"/>
  <c r="J84" i="8"/>
  <c r="I84" i="8"/>
  <c r="K83" i="8"/>
  <c r="J83" i="8"/>
  <c r="I83" i="8"/>
  <c r="K81" i="8"/>
  <c r="J81" i="8"/>
  <c r="I81" i="8"/>
  <c r="K80" i="8"/>
  <c r="J80" i="8"/>
  <c r="I80" i="8"/>
  <c r="K79" i="8"/>
  <c r="J79" i="8"/>
  <c r="I79" i="8"/>
  <c r="K77" i="8"/>
  <c r="J77" i="8"/>
  <c r="I77" i="8"/>
  <c r="K76" i="8"/>
  <c r="J76" i="8"/>
  <c r="I76" i="8"/>
  <c r="K75" i="8"/>
  <c r="J75" i="8"/>
  <c r="I75" i="8"/>
  <c r="K73" i="8"/>
  <c r="J73" i="8"/>
  <c r="I73" i="8"/>
  <c r="K72" i="8"/>
  <c r="J72" i="8"/>
  <c r="I72" i="8"/>
  <c r="K71" i="8"/>
  <c r="J71" i="8"/>
  <c r="I71" i="8"/>
  <c r="K69" i="8"/>
  <c r="J69" i="8"/>
  <c r="I69" i="8"/>
  <c r="K68" i="8"/>
  <c r="J68" i="8"/>
  <c r="I68" i="8"/>
  <c r="K67" i="8"/>
  <c r="J67" i="8"/>
  <c r="I67" i="8"/>
  <c r="K65" i="8"/>
  <c r="J65" i="8"/>
  <c r="I65" i="8"/>
  <c r="K64" i="8"/>
  <c r="J64" i="8"/>
  <c r="I64" i="8"/>
  <c r="K63" i="8"/>
  <c r="J63" i="8"/>
  <c r="I63" i="8"/>
  <c r="K61" i="8"/>
  <c r="J61" i="8"/>
  <c r="I61" i="8"/>
  <c r="K60" i="8"/>
  <c r="J60" i="8"/>
  <c r="I60" i="8"/>
  <c r="K59" i="8"/>
  <c r="J59" i="8"/>
  <c r="I59" i="8"/>
  <c r="K57" i="8"/>
  <c r="J57" i="8"/>
  <c r="I57" i="8"/>
  <c r="K56" i="8"/>
  <c r="J56" i="8"/>
  <c r="I56" i="8"/>
  <c r="K55" i="8"/>
  <c r="J55" i="8"/>
  <c r="I55" i="8"/>
  <c r="K53" i="8"/>
  <c r="J53" i="8"/>
  <c r="I53" i="8"/>
  <c r="K52" i="8"/>
  <c r="J52" i="8"/>
  <c r="I52" i="8"/>
  <c r="K51" i="8"/>
  <c r="J51" i="8"/>
  <c r="I51" i="8"/>
  <c r="K49" i="8"/>
  <c r="J49" i="8"/>
  <c r="I49" i="8"/>
  <c r="K48" i="8"/>
  <c r="J48" i="8"/>
  <c r="I48" i="8"/>
  <c r="K47" i="8"/>
  <c r="J47" i="8"/>
  <c r="I47" i="8"/>
  <c r="K45" i="8"/>
  <c r="J45" i="8"/>
  <c r="I45" i="8"/>
  <c r="K44" i="8"/>
  <c r="J44" i="8"/>
  <c r="I44" i="8"/>
  <c r="K43" i="8"/>
  <c r="J43" i="8"/>
  <c r="I43" i="8"/>
  <c r="K41" i="8"/>
  <c r="J41" i="8"/>
  <c r="I41" i="8"/>
  <c r="K40" i="8"/>
  <c r="J40" i="8"/>
  <c r="I40" i="8"/>
  <c r="K39" i="8"/>
  <c r="J39" i="8"/>
  <c r="I39" i="8"/>
  <c r="K37" i="8"/>
  <c r="J37" i="8"/>
  <c r="I37" i="8"/>
  <c r="K36" i="8"/>
  <c r="J36" i="8"/>
  <c r="I36" i="8"/>
  <c r="K35" i="8"/>
  <c r="J35" i="8"/>
  <c r="I35" i="8"/>
  <c r="K33" i="8"/>
  <c r="J33" i="8"/>
  <c r="I33" i="8"/>
  <c r="K32" i="8"/>
  <c r="J32" i="8"/>
  <c r="I32" i="8"/>
  <c r="K31" i="8"/>
  <c r="J31" i="8"/>
  <c r="I31" i="8"/>
  <c r="K29" i="8"/>
  <c r="J29" i="8"/>
  <c r="I29" i="8"/>
  <c r="K28" i="8"/>
  <c r="J28" i="8"/>
  <c r="I28" i="8"/>
  <c r="K27" i="8"/>
  <c r="J27" i="8"/>
  <c r="I27" i="8"/>
  <c r="K25" i="8"/>
  <c r="J25" i="8"/>
  <c r="I25" i="8"/>
  <c r="K24" i="8"/>
  <c r="J24" i="8"/>
  <c r="I24" i="8"/>
  <c r="K23" i="8"/>
  <c r="J23" i="8"/>
  <c r="I23" i="8"/>
  <c r="K13" i="8"/>
  <c r="J13" i="8"/>
  <c r="I13" i="8"/>
  <c r="K12" i="8"/>
  <c r="J12" i="8"/>
  <c r="I12" i="8"/>
  <c r="K11" i="8"/>
  <c r="J11" i="8"/>
  <c r="I11" i="8"/>
  <c r="K5" i="8"/>
  <c r="J5" i="8"/>
  <c r="I5" i="8"/>
  <c r="K4" i="8"/>
  <c r="J4" i="8"/>
  <c r="I4" i="8"/>
  <c r="K3" i="8"/>
  <c r="J3" i="8"/>
  <c r="I3" i="8"/>
  <c r="H43" i="5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5" i="2"/>
  <c r="K5" i="2"/>
  <c r="N9" i="2"/>
  <c r="K9" i="2"/>
  <c r="N13" i="2"/>
  <c r="K13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3" i="2"/>
  <c r="K3" i="2"/>
  <c r="J3" i="2"/>
  <c r="I3" i="2"/>
  <c r="H3" i="2"/>
  <c r="N7" i="2"/>
  <c r="K7" i="2"/>
  <c r="J7" i="2"/>
  <c r="I7" i="2"/>
  <c r="H7" i="2"/>
  <c r="N11" i="2"/>
  <c r="K11" i="2"/>
  <c r="J11" i="2"/>
  <c r="I11" i="2"/>
  <c r="H11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2" i="2"/>
  <c r="K2" i="2"/>
  <c r="J2" i="2"/>
  <c r="I2" i="2"/>
  <c r="H2" i="2"/>
  <c r="N6" i="2"/>
  <c r="K6" i="2"/>
  <c r="J6" i="2"/>
  <c r="I6" i="2"/>
  <c r="H6" i="2"/>
  <c r="N10" i="2"/>
  <c r="K10" i="2"/>
  <c r="J10" i="2"/>
  <c r="I10" i="2"/>
  <c r="H10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4" i="2"/>
  <c r="K4" i="2"/>
  <c r="J4" i="2"/>
  <c r="I4" i="2"/>
  <c r="H4" i="2"/>
  <c r="N8" i="2"/>
  <c r="K8" i="2"/>
  <c r="J8" i="2"/>
  <c r="I8" i="2"/>
  <c r="H8" i="2"/>
  <c r="N12" i="2"/>
  <c r="K12" i="2"/>
  <c r="J12" i="2"/>
  <c r="I12" i="2"/>
  <c r="H12" i="2"/>
  <c r="AH26" i="5" l="1"/>
  <c r="AK25" i="5"/>
  <c r="U25" i="5"/>
  <c r="F24" i="5"/>
  <c r="F39" i="5" s="1"/>
  <c r="W23" i="5"/>
  <c r="O23" i="5"/>
  <c r="H22" i="5"/>
  <c r="Y21" i="5"/>
  <c r="AA26" i="5"/>
  <c r="K26" i="5"/>
  <c r="AJ25" i="5"/>
  <c r="T25" i="5"/>
  <c r="AC24" i="5"/>
  <c r="M24" i="5"/>
  <c r="E24" i="5"/>
  <c r="V23" i="5"/>
  <c r="AE22" i="5"/>
  <c r="O22" i="5"/>
  <c r="G22" i="5"/>
  <c r="G37" i="5" s="1"/>
  <c r="X21" i="5"/>
  <c r="AD25" i="5"/>
  <c r="Z26" i="5"/>
  <c r="R26" i="5"/>
  <c r="AI25" i="5"/>
  <c r="K25" i="5"/>
  <c r="AB24" i="5"/>
  <c r="T24" i="5"/>
  <c r="AK23" i="5"/>
  <c r="M23" i="5"/>
  <c r="AD22" i="5"/>
  <c r="V22" i="5"/>
  <c r="F22" i="5"/>
  <c r="F37" i="5" s="1"/>
  <c r="O21" i="5"/>
  <c r="O24" i="5"/>
  <c r="P23" i="5"/>
  <c r="Y26" i="5"/>
  <c r="AH25" i="5"/>
  <c r="R25" i="5"/>
  <c r="J25" i="5"/>
  <c r="AA24" i="5"/>
  <c r="AJ23" i="5"/>
  <c r="T23" i="5"/>
  <c r="L23" i="5"/>
  <c r="AC22" i="5"/>
  <c r="U22" i="5"/>
  <c r="E22" i="5"/>
  <c r="AD21" i="5"/>
  <c r="V21" i="5"/>
  <c r="N21" i="5"/>
  <c r="F21" i="5"/>
  <c r="F36" i="5" s="1"/>
  <c r="W24" i="5"/>
  <c r="X23" i="5"/>
  <c r="X26" i="5"/>
  <c r="P26" i="5"/>
  <c r="H26" i="5"/>
  <c r="AG25" i="5"/>
  <c r="Y25" i="5"/>
  <c r="Q25" i="5"/>
  <c r="I25" i="5"/>
  <c r="AH24" i="5"/>
  <c r="Z24" i="5"/>
  <c r="R24" i="5"/>
  <c r="J24" i="5"/>
  <c r="AI23" i="5"/>
  <c r="AA23" i="5"/>
  <c r="S23" i="5"/>
  <c r="K23" i="5"/>
  <c r="AJ22" i="5"/>
  <c r="AB22" i="5"/>
  <c r="T22" i="5"/>
  <c r="L22" i="5"/>
  <c r="AK21" i="5"/>
  <c r="AC21" i="5"/>
  <c r="U21" i="5"/>
  <c r="M21" i="5"/>
  <c r="E21" i="5"/>
  <c r="V25" i="5"/>
  <c r="H23" i="5"/>
  <c r="J21" i="5"/>
  <c r="AK26" i="5"/>
  <c r="W26" i="5"/>
  <c r="O26" i="5"/>
  <c r="G26" i="5"/>
  <c r="G41" i="5" s="1"/>
  <c r="AF25" i="5"/>
  <c r="X25" i="5"/>
  <c r="P25" i="5"/>
  <c r="H25" i="5"/>
  <c r="AG24" i="5"/>
  <c r="Y24" i="5"/>
  <c r="Q24" i="5"/>
  <c r="I24" i="5"/>
  <c r="AH23" i="5"/>
  <c r="Z23" i="5"/>
  <c r="R23" i="5"/>
  <c r="J23" i="5"/>
  <c r="AI22" i="5"/>
  <c r="AA22" i="5"/>
  <c r="S22" i="5"/>
  <c r="K22" i="5"/>
  <c r="AJ21" i="5"/>
  <c r="AB21" i="5"/>
  <c r="T21" i="5"/>
  <c r="L21" i="5"/>
  <c r="F25" i="5"/>
  <c r="F40" i="5" s="1"/>
  <c r="AF23" i="5"/>
  <c r="I22" i="5"/>
  <c r="AD26" i="5"/>
  <c r="V26" i="5"/>
  <c r="N26" i="5"/>
  <c r="F26" i="5"/>
  <c r="F41" i="5" s="1"/>
  <c r="AE25" i="5"/>
  <c r="W25" i="5"/>
  <c r="O25" i="5"/>
  <c r="G25" i="5"/>
  <c r="G40" i="5" s="1"/>
  <c r="AF24" i="5"/>
  <c r="X24" i="5"/>
  <c r="P24" i="5"/>
  <c r="H24" i="5"/>
  <c r="AG23" i="5"/>
  <c r="Y23" i="5"/>
  <c r="Q23" i="5"/>
  <c r="I23" i="5"/>
  <c r="AH22" i="5"/>
  <c r="Z22" i="5"/>
  <c r="R22" i="5"/>
  <c r="J22" i="5"/>
  <c r="AI21" i="5"/>
  <c r="AA21" i="5"/>
  <c r="S21" i="5"/>
  <c r="K21" i="5"/>
  <c r="AC26" i="5"/>
  <c r="U26" i="5"/>
  <c r="M26" i="5"/>
  <c r="E26" i="5"/>
  <c r="AE24" i="5"/>
  <c r="G24" i="5"/>
  <c r="G39" i="5" s="1"/>
  <c r="Q22" i="5"/>
  <c r="AI26" i="5"/>
  <c r="AJ26" i="5"/>
  <c r="AJ41" i="5" s="1"/>
  <c r="AE26" i="5"/>
  <c r="AF26" i="5"/>
  <c r="AG26" i="5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N11" i="5"/>
  <c r="V11" i="5"/>
  <c r="V43" i="5" s="1"/>
  <c r="C43" i="6" s="1"/>
  <c r="AD11" i="5"/>
  <c r="AD43" i="5" s="1"/>
  <c r="C59" i="6" s="1"/>
  <c r="E15" i="7"/>
  <c r="A23" i="6"/>
  <c r="A24" i="6"/>
  <c r="E16" i="7"/>
  <c r="E11" i="7"/>
  <c r="A19" i="6"/>
  <c r="A25" i="6"/>
  <c r="E17" i="7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E19" i="7"/>
  <c r="A27" i="6"/>
  <c r="A22" i="6"/>
  <c r="E14" i="7"/>
  <c r="A28" i="6"/>
  <c r="A29" i="6"/>
  <c r="N25" i="5" l="1"/>
  <c r="N40" i="5" s="1"/>
  <c r="AD24" i="5"/>
  <c r="AD39" i="5" s="1"/>
  <c r="Q21" i="5"/>
  <c r="M25" i="5"/>
  <c r="M40" i="5" s="1"/>
  <c r="AF22" i="5"/>
  <c r="AF37" i="5" s="1"/>
  <c r="AB26" i="5"/>
  <c r="AB41" i="5" s="1"/>
  <c r="AB23" i="5"/>
  <c r="Z25" i="5"/>
  <c r="Z40" i="5" s="1"/>
  <c r="G21" i="5"/>
  <c r="G36" i="5" s="1"/>
  <c r="T36" i="5" s="1"/>
  <c r="E23" i="5"/>
  <c r="AJ24" i="5"/>
  <c r="AJ39" i="5" s="1"/>
  <c r="Y22" i="5"/>
  <c r="Y37" i="5" s="1"/>
  <c r="W22" i="5"/>
  <c r="U24" i="5"/>
  <c r="U39" i="5" s="1"/>
  <c r="S26" i="5"/>
  <c r="S41" i="5" s="1"/>
  <c r="AG21" i="5"/>
  <c r="AE23" i="5"/>
  <c r="AC25" i="5"/>
  <c r="AC40" i="5" s="1"/>
  <c r="Z21" i="5"/>
  <c r="M22" i="5"/>
  <c r="M37" i="5" s="1"/>
  <c r="K24" i="5"/>
  <c r="K39" i="5" s="1"/>
  <c r="I26" i="5"/>
  <c r="I41" i="5" s="1"/>
  <c r="W21" i="5"/>
  <c r="U23" i="5"/>
  <c r="S25" i="5"/>
  <c r="S40" i="5" s="1"/>
  <c r="H21" i="5"/>
  <c r="F23" i="5"/>
  <c r="F38" i="5" s="1"/>
  <c r="F42" i="5" s="1"/>
  <c r="AK24" i="5"/>
  <c r="AK39" i="5" s="1"/>
  <c r="R21" i="5"/>
  <c r="P22" i="5"/>
  <c r="P37" i="5" s="1"/>
  <c r="N24" i="5"/>
  <c r="N39" i="5" s="1"/>
  <c r="L26" i="5"/>
  <c r="L41" i="5" s="1"/>
  <c r="S24" i="5"/>
  <c r="S39" i="5" s="1"/>
  <c r="Q26" i="5"/>
  <c r="Q41" i="5" s="1"/>
  <c r="AE21" i="5"/>
  <c r="AC23" i="5"/>
  <c r="AA25" i="5"/>
  <c r="AA40" i="5" s="1"/>
  <c r="P21" i="5"/>
  <c r="N23" i="5"/>
  <c r="L25" i="5"/>
  <c r="L40" i="5" s="1"/>
  <c r="AG22" i="5"/>
  <c r="AG37" i="5" s="1"/>
  <c r="X22" i="5"/>
  <c r="X37" i="5" s="1"/>
  <c r="V24" i="5"/>
  <c r="V39" i="5" s="1"/>
  <c r="T26" i="5"/>
  <c r="T41" i="5" s="1"/>
  <c r="AK22" i="5"/>
  <c r="AK37" i="5" s="1"/>
  <c r="AI24" i="5"/>
  <c r="AI39" i="5" s="1"/>
  <c r="AH21" i="5"/>
  <c r="N22" i="5"/>
  <c r="N37" i="5" s="1"/>
  <c r="L24" i="5"/>
  <c r="L39" i="5" s="1"/>
  <c r="J26" i="5"/>
  <c r="J41" i="5" s="1"/>
  <c r="AF21" i="5"/>
  <c r="AD23" i="5"/>
  <c r="AB25" i="5"/>
  <c r="AB40" i="5" s="1"/>
  <c r="I21" i="5"/>
  <c r="G23" i="5"/>
  <c r="G38" i="5" s="1"/>
  <c r="F19" i="7" s="1"/>
  <c r="E25" i="5"/>
  <c r="U40" i="5"/>
  <c r="L37" i="5"/>
  <c r="AK40" i="5"/>
  <c r="W40" i="5"/>
  <c r="AA41" i="5"/>
  <c r="Q40" i="5"/>
  <c r="AG40" i="5"/>
  <c r="J40" i="5"/>
  <c r="P40" i="5"/>
  <c r="AD40" i="5"/>
  <c r="AH40" i="5"/>
  <c r="W41" i="5"/>
  <c r="AI41" i="5"/>
  <c r="Z41" i="5"/>
  <c r="AK41" i="5"/>
  <c r="M41" i="5"/>
  <c r="R41" i="5"/>
  <c r="O41" i="5"/>
  <c r="U41" i="5"/>
  <c r="AJ40" i="5"/>
  <c r="K40" i="5"/>
  <c r="T40" i="5"/>
  <c r="V40" i="5"/>
  <c r="X40" i="5"/>
  <c r="F21" i="7"/>
  <c r="R40" i="5"/>
  <c r="AI40" i="5"/>
  <c r="AE40" i="5"/>
  <c r="AF40" i="5"/>
  <c r="I40" i="5"/>
  <c r="AC41" i="5"/>
  <c r="N41" i="5"/>
  <c r="AG41" i="5"/>
  <c r="AD41" i="5"/>
  <c r="X41" i="5"/>
  <c r="AF41" i="5"/>
  <c r="AH41" i="5"/>
  <c r="AE41" i="5"/>
  <c r="Y41" i="5"/>
  <c r="P41" i="5"/>
  <c r="V41" i="5"/>
  <c r="O40" i="5"/>
  <c r="S37" i="5"/>
  <c r="H40" i="5"/>
  <c r="H41" i="5"/>
  <c r="K41" i="5"/>
  <c r="W37" i="5"/>
  <c r="Y40" i="5"/>
  <c r="R37" i="5"/>
  <c r="W39" i="5"/>
  <c r="P39" i="5"/>
  <c r="M39" i="5"/>
  <c r="I39" i="5"/>
  <c r="H37" i="5"/>
  <c r="T37" i="5"/>
  <c r="AC39" i="5"/>
  <c r="Z39" i="5"/>
  <c r="AE39" i="5"/>
  <c r="X39" i="5"/>
  <c r="Q39" i="5"/>
  <c r="K37" i="5"/>
  <c r="Z37" i="5"/>
  <c r="J39" i="5"/>
  <c r="AH39" i="5"/>
  <c r="AA39" i="5"/>
  <c r="F20" i="7"/>
  <c r="AE37" i="5"/>
  <c r="AA37" i="5"/>
  <c r="AI37" i="5"/>
  <c r="AH37" i="5"/>
  <c r="T39" i="5"/>
  <c r="O39" i="5"/>
  <c r="H39" i="5"/>
  <c r="AG39" i="5"/>
  <c r="AD37" i="5"/>
  <c r="AJ37" i="5"/>
  <c r="F18" i="7"/>
  <c r="Q37" i="5"/>
  <c r="V37" i="5"/>
  <c r="AF39" i="5"/>
  <c r="Y39" i="5"/>
  <c r="R39" i="5"/>
  <c r="I37" i="5"/>
  <c r="U37" i="5"/>
  <c r="J37" i="5"/>
  <c r="O37" i="5"/>
  <c r="AC37" i="5"/>
  <c r="AB37" i="5"/>
  <c r="AB39" i="5"/>
  <c r="D38" i="6"/>
  <c r="C38" i="6"/>
  <c r="L58" i="5"/>
  <c r="Q21" i="7" s="1"/>
  <c r="N43" i="5"/>
  <c r="M55" i="5" l="1"/>
  <c r="R18" i="7" s="1"/>
  <c r="F17" i="7"/>
  <c r="K36" i="5"/>
  <c r="AJ36" i="5"/>
  <c r="AG36" i="5"/>
  <c r="X36" i="5"/>
  <c r="X42" i="5" s="1"/>
  <c r="B45" i="6" s="1"/>
  <c r="AC36" i="5"/>
  <c r="O36" i="5"/>
  <c r="AB36" i="5"/>
  <c r="S36" i="5"/>
  <c r="L36" i="5"/>
  <c r="AF36" i="5"/>
  <c r="AE36" i="5"/>
  <c r="Z36" i="5"/>
  <c r="AI36" i="5"/>
  <c r="H36" i="5"/>
  <c r="U36" i="5"/>
  <c r="AK36" i="5"/>
  <c r="AH36" i="5"/>
  <c r="W36" i="5"/>
  <c r="Y36" i="5"/>
  <c r="V36" i="5"/>
  <c r="AA36" i="5"/>
  <c r="P36" i="5"/>
  <c r="M36" i="5"/>
  <c r="R36" i="5"/>
  <c r="N36" i="5"/>
  <c r="I36" i="5"/>
  <c r="J36" i="5"/>
  <c r="Q36" i="5"/>
  <c r="T38" i="5"/>
  <c r="T42" i="5" s="1"/>
  <c r="N38" i="5"/>
  <c r="G42" i="5"/>
  <c r="M57" i="5" s="1"/>
  <c r="R20" i="7" s="1"/>
  <c r="V38" i="5"/>
  <c r="O38" i="5"/>
  <c r="Z38" i="5"/>
  <c r="X38" i="5"/>
  <c r="I38" i="5"/>
  <c r="AH38" i="5"/>
  <c r="Y38" i="5"/>
  <c r="W38" i="5"/>
  <c r="AA38" i="5"/>
  <c r="AG38" i="5"/>
  <c r="R38" i="5"/>
  <c r="K38" i="5"/>
  <c r="H38" i="5"/>
  <c r="AK38" i="5"/>
  <c r="U38" i="5"/>
  <c r="AE38" i="5"/>
  <c r="AE42" i="5" s="1"/>
  <c r="B60" i="6" s="1"/>
  <c r="M38" i="5"/>
  <c r="P38" i="5"/>
  <c r="J38" i="5"/>
  <c r="AD38" i="5"/>
  <c r="AJ38" i="5"/>
  <c r="L38" i="5"/>
  <c r="AF38" i="5"/>
  <c r="AD36" i="5"/>
  <c r="AC38" i="5"/>
  <c r="S38" i="5"/>
  <c r="AB38" i="5"/>
  <c r="AI38" i="5"/>
  <c r="Q38" i="5"/>
  <c r="Q42" i="5" s="1"/>
  <c r="Q44" i="5" s="1"/>
  <c r="E56" i="5" s="1"/>
  <c r="J13" i="7" s="1"/>
  <c r="D37" i="6"/>
  <c r="C52" i="6"/>
  <c r="AC42" i="5" l="1"/>
  <c r="B58" i="6" s="1"/>
  <c r="G44" i="5"/>
  <c r="E49" i="5" s="1"/>
  <c r="F49" i="5" s="1"/>
  <c r="K6" i="7" s="1"/>
  <c r="AG42" i="5"/>
  <c r="B70" i="6" s="1"/>
  <c r="M42" i="5"/>
  <c r="B67" i="6" s="1"/>
  <c r="W42" i="5"/>
  <c r="B44" i="6" s="1"/>
  <c r="AH42" i="5"/>
  <c r="AH44" i="5" s="1"/>
  <c r="E85" i="5" s="1"/>
  <c r="J42" i="7" s="1"/>
  <c r="AF42" i="5"/>
  <c r="AF44" i="5" s="1"/>
  <c r="E81" i="5" s="1"/>
  <c r="J38" i="7" s="1"/>
  <c r="N42" i="5"/>
  <c r="B52" i="6" s="1"/>
  <c r="L42" i="5"/>
  <c r="B66" i="6" s="1"/>
  <c r="AI42" i="5"/>
  <c r="B72" i="6" s="1"/>
  <c r="AB42" i="5"/>
  <c r="B57" i="6" s="1"/>
  <c r="Z42" i="5"/>
  <c r="Z44" i="5" s="1"/>
  <c r="E75" i="5" s="1"/>
  <c r="J32" i="7" s="1"/>
  <c r="AJ42" i="5"/>
  <c r="B73" i="6" s="1"/>
  <c r="K42" i="5"/>
  <c r="K44" i="5" s="1"/>
  <c r="E61" i="5" s="1"/>
  <c r="J18" i="7" s="1"/>
  <c r="Y42" i="5"/>
  <c r="B46" i="6" s="1"/>
  <c r="S42" i="5"/>
  <c r="S44" i="5" s="1"/>
  <c r="E66" i="5" s="1"/>
  <c r="J23" i="7" s="1"/>
  <c r="O42" i="5"/>
  <c r="O44" i="5" s="1"/>
  <c r="E50" i="5" s="1"/>
  <c r="J7" i="7" s="1"/>
  <c r="J42" i="5"/>
  <c r="B64" i="6" s="1"/>
  <c r="AA42" i="5"/>
  <c r="B56" i="6" s="1"/>
  <c r="V42" i="5"/>
  <c r="B43" i="6" s="1"/>
  <c r="AK42" i="5"/>
  <c r="B74" i="6" s="1"/>
  <c r="U42" i="5"/>
  <c r="U44" i="5" s="1"/>
  <c r="E68" i="5" s="1"/>
  <c r="J25" i="7" s="1"/>
  <c r="B36" i="6"/>
  <c r="H42" i="5"/>
  <c r="H44" i="5" s="1"/>
  <c r="E54" i="5" s="1"/>
  <c r="F54" i="5" s="1"/>
  <c r="K11" i="7" s="1"/>
  <c r="I42" i="5"/>
  <c r="B63" i="6" s="1"/>
  <c r="AD42" i="5"/>
  <c r="B59" i="6" s="1"/>
  <c r="R42" i="5"/>
  <c r="R44" i="5" s="1"/>
  <c r="P42" i="5"/>
  <c r="P44" i="5" s="1"/>
  <c r="E51" i="5" s="1"/>
  <c r="J8" i="7" s="1"/>
  <c r="AK44" i="5"/>
  <c r="E88" i="5" s="1"/>
  <c r="J45" i="7" s="1"/>
  <c r="AI44" i="5"/>
  <c r="E86" i="5" s="1"/>
  <c r="F86" i="5" s="1"/>
  <c r="K43" i="7" s="1"/>
  <c r="B53" i="6"/>
  <c r="AC44" i="5"/>
  <c r="E78" i="5" s="1"/>
  <c r="F78" i="5" s="1"/>
  <c r="K35" i="7" s="1"/>
  <c r="T44" i="5"/>
  <c r="E67" i="5" s="1"/>
  <c r="J24" i="7" s="1"/>
  <c r="AE44" i="5"/>
  <c r="E80" i="5" s="1"/>
  <c r="J37" i="7" s="1"/>
  <c r="B41" i="6"/>
  <c r="J6" i="7"/>
  <c r="X44" i="5"/>
  <c r="E71" i="5" s="1"/>
  <c r="F71" i="5" s="1"/>
  <c r="K28" i="7" s="1"/>
  <c r="F85" i="5"/>
  <c r="K42" i="7" s="1"/>
  <c r="L56" i="5"/>
  <c r="Q19" i="7" s="1"/>
  <c r="B71" i="6" l="1"/>
  <c r="B65" i="6"/>
  <c r="M58" i="5"/>
  <c r="R21" i="7" s="1"/>
  <c r="B61" i="6"/>
  <c r="J44" i="5"/>
  <c r="E60" i="5" s="1"/>
  <c r="F60" i="5" s="1"/>
  <c r="K17" i="7" s="1"/>
  <c r="AB44" i="5"/>
  <c r="E77" i="5" s="1"/>
  <c r="F77" i="5" s="1"/>
  <c r="K34" i="7" s="1"/>
  <c r="M62" i="5"/>
  <c r="R25" i="7" s="1"/>
  <c r="B42" i="6"/>
  <c r="N44" i="5"/>
  <c r="E55" i="5" s="1"/>
  <c r="F55" i="5" s="1"/>
  <c r="K12" i="7" s="1"/>
  <c r="M51" i="5"/>
  <c r="R14" i="7" s="1"/>
  <c r="M61" i="5"/>
  <c r="R24" i="7" s="1"/>
  <c r="F75" i="5"/>
  <c r="K32" i="7" s="1"/>
  <c r="L44" i="5"/>
  <c r="E62" i="5" s="1"/>
  <c r="F62" i="5" s="1"/>
  <c r="K19" i="7" s="1"/>
  <c r="AG44" i="5"/>
  <c r="E84" i="5" s="1"/>
  <c r="J41" i="7" s="1"/>
  <c r="B55" i="6"/>
  <c r="F88" i="5"/>
  <c r="K45" i="7" s="1"/>
  <c r="M54" i="5"/>
  <c r="R17" i="7" s="1"/>
  <c r="M44" i="5"/>
  <c r="E63" i="5" s="1"/>
  <c r="J20" i="7" s="1"/>
  <c r="AD44" i="5"/>
  <c r="E79" i="5" s="1"/>
  <c r="F79" i="5" s="1"/>
  <c r="K36" i="7" s="1"/>
  <c r="W44" i="5"/>
  <c r="E70" i="5" s="1"/>
  <c r="J27" i="7" s="1"/>
  <c r="Y44" i="5"/>
  <c r="E72" i="5" s="1"/>
  <c r="F72" i="5" s="1"/>
  <c r="K29" i="7" s="1"/>
  <c r="AJ44" i="5"/>
  <c r="E87" i="5" s="1"/>
  <c r="J44" i="7" s="1"/>
  <c r="F66" i="5"/>
  <c r="K23" i="7" s="1"/>
  <c r="B37" i="6"/>
  <c r="V44" i="5"/>
  <c r="E69" i="5" s="1"/>
  <c r="J26" i="7" s="1"/>
  <c r="AA44" i="5"/>
  <c r="E76" i="5" s="1"/>
  <c r="J33" i="7" s="1"/>
  <c r="B38" i="6"/>
  <c r="B40" i="6"/>
  <c r="M65" i="5"/>
  <c r="R28" i="7" s="1"/>
  <c r="M52" i="5"/>
  <c r="R15" i="7" s="1"/>
  <c r="M53" i="5"/>
  <c r="R16" i="7" s="1"/>
  <c r="M63" i="5"/>
  <c r="R26" i="7" s="1"/>
  <c r="M59" i="5"/>
  <c r="R22" i="7" s="1"/>
  <c r="I44" i="5"/>
  <c r="E59" i="5" s="1"/>
  <c r="F59" i="5" s="1"/>
  <c r="K16" i="7" s="1"/>
  <c r="M50" i="5"/>
  <c r="R13" i="7" s="1"/>
  <c r="J11" i="7"/>
  <c r="F68" i="5"/>
  <c r="K25" i="7" s="1"/>
  <c r="B51" i="6"/>
  <c r="M64" i="5"/>
  <c r="R27" i="7" s="1"/>
  <c r="M60" i="5"/>
  <c r="R23" i="7" s="1"/>
  <c r="J43" i="7"/>
  <c r="J35" i="7"/>
  <c r="F84" i="5"/>
  <c r="K41" i="7" s="1"/>
  <c r="J34" i="7"/>
  <c r="F81" i="5"/>
  <c r="K38" i="7" s="1"/>
  <c r="J28" i="7"/>
  <c r="F67" i="5"/>
  <c r="K24" i="7" s="1"/>
  <c r="F80" i="5"/>
  <c r="K37" i="7" s="1"/>
  <c r="F61" i="5"/>
  <c r="K18" i="7" s="1"/>
  <c r="J12" i="7" l="1"/>
  <c r="J29" i="7"/>
  <c r="J19" i="7"/>
  <c r="J17" i="7"/>
  <c r="F87" i="5"/>
  <c r="K44" i="7" s="1"/>
  <c r="F70" i="5"/>
  <c r="K27" i="7" s="1"/>
  <c r="J36" i="7"/>
  <c r="F63" i="5"/>
  <c r="K20" i="7" s="1"/>
  <c r="J16" i="7"/>
  <c r="F76" i="5"/>
  <c r="K33" i="7" s="1"/>
  <c r="F69" i="5"/>
  <c r="K2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<sst xmlns="http://schemas.openxmlformats.org/spreadsheetml/2006/main" count="1358" uniqueCount="443">
  <si>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</si>
  <si>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</si>
  <si>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</si>
  <si>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</si>
  <si>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</si>
  <si>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</si>
  <si>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</si>
  <si>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</si>
  <si>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</si>
  <si>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</si>
  <si>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</si>
  <si>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</si>
  <si>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</si>
  <si>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</si>
  <si>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</si>
  <si>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</si>
  <si>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</si>
  <si>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</si>
  <si>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</si>
  <si>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</si>
  <si>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</si>
  <si>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</si>
  <si>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</si>
  <si>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</si>
  <si>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</si>
  <si>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</si>
  <si>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</si>
  <si>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</si>
  <si>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</si>
  <si>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</si>
  <si>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</si>
  <si>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</si>
  <si>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</si>
  <si>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</si>
  <si>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</si>
  <si>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</si>
  <si>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</si>
  <si>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</si>
  <si>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</si>
  <si>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</si>
  <si>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</si>
  <si>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</si>
  <si>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</si>
  <si>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</si>
  <si>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</si>
  <si>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</si>
  <si>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</si>
  <si>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</si>
  <si>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</si>
  <si>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</si>
  <si>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</si>
  <si>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</si>
  <si>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</si>
  <si>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</si>
  <si>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</si>
  <si>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</si>
  <si>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</si>
  <si>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</si>
  <si>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</si>
  <si>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</si>
  <si>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</si>
  <si>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</si>
  <si>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</si>
  <si>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</si>
  <si>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</si>
  <si>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</si>
  <si>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</si>
  <si>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</si>
  <si>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</si>
  <si>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</si>
  <si>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</si>
  <si>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</si>
  <si>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</si>
  <si>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</si>
  <si>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</si>
  <si>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</si>
  <si>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</si>
  <si>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</si>
  <si>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</si>
  <si>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</si>
  <si>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</si>
  <si>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</si>
  <si>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</si>
  <si>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</si>
  <si>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</si>
  <si>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</si>
  <si>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</si>
  <si>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</si>
  <si>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</si>
  <si>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</si>
  <si>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</si>
  <si>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</si>
  <si>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</si>
  <si>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</si>
  <si>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</si>
  <si>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</si>
  <si>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</si>
  <si>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</si>
  <si>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</si>
  <si>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</si>
  <si>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</si>
  <si>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</si>
  <si>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</si>
  <si>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</si>
  <si>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</si>
  <si>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</si>
  <si>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</si>
  <si>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</si>
  <si>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</si>
  <si>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</si>
  <si>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</si>
  <si>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</si>
  <si>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</si>
  <si>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</si>
  <si>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</si>
  <si>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</si>
  <si>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</si>
  <si>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</si>
  <si>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</si>
  <si>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</si>
  <si>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</si>
  <si>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</si>
  <si>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</si>
  <si>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</si>
  <si>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</si>
  <si>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</si>
  <si>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</si>
  <si>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</si>
  <si>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</si>
  <si>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</si>
  <si>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</si>
  <si>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</si>
  <si>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</si>
  <si>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</si>
  <si>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</si>
  <si>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</si>
  <si>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</si>
  <si>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</si>
  <si>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</si>
  <si>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</si>
  <si>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</si>
  <si>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</si>
  <si>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</si>
  <si>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</si>
  <si>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</si>
  <si>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</si>
  <si>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</si>
  <si>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</si>
  <si>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</si>
  <si>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</si>
  <si>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</si>
  <si>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</si>
  <si>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</si>
  <si>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</si>
  <si>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</si>
  <si>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</si>
  <si>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</si>
  <si>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</si>
  <si>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</si>
  <si>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</si>
  <si>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</si>
  <si>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</si>
  <si>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</si>
  <si>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</si>
  <si>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</si>
  <si>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</si>
  <si>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</si>
  <si>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</si>
  <si>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</si>
  <si>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</si>
  <si>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</si>
  <si>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</si>
  <si>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</si>
  <si>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</si>
  <si>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</si>
  <si>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</si>
  <si>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</si>
  <si>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</si>
  <si>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</si>
  <si>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</si>
  <si>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</si>
  <si>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</si>
  <si>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</si>
  <si>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</si>
  <si>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</si>
  <si>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</si>
  <si>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</si>
  <si>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Óleo vegetal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</si>
  <si>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</si>
  <si>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</si>
  <si>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</si>
  <si>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</si>
  <si>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</si>
  <si>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</si>
  <si>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</si>
  <si>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</si>
  <si>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</si>
  <si>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</si>
  <si>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</si>
  <si>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</si>
  <si>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</si>
  <si>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</si>
  <si>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</si>
  <si>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</si>
  <si>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</si>
  <si>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</si>
  <si>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</si>
  <si>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</si>
  <si>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</si>
  <si>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</si>
  <si>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</si>
  <si>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</si>
  <si>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</si>
  <si>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</si>
  <si>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</si>
  <si>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</si>
  <si>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</si>
  <si>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</si>
  <si>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</si>
  <si>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</si>
  <si>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</si>
  <si>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</si>
  <si>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</si>
  <si>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</si>
  <si>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</si>
  <si>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</si>
  <si>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</si>
  <si>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</si>
  <si>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</si>
  <si>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</si>
  <si>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</si>
  <si>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</si>
  <si>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</si>
  <si>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</si>
  <si>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</si>
  <si>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</si>
  <si>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</si>
  <si>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</si>
  <si>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</si>
  <si>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</si>
  <si>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</si>
  <si>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</si>
  <si>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</si>
  <si>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</si>
  <si>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</si>
  <si>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</si>
  <si>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</si>
  <si>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</si>
  <si>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</si>
  <si>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</si>
  <si>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</si>
  <si>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</si>
  <si>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</si>
  <si>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</si>
  <si>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</si>
  <si>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</si>
  <si>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</si>
  <si>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</si>
  <si>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</si>
  <si>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</si>
  <si>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</si>
  <si>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</si>
  <si>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</si>
  <si>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</si>
  <si>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</si>
  <si>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</si>
  <si>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</si>
  <si>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</si>
  <si>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</si>
  <si>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</si>
  <si>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</si>
  <si>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</si>
  <si>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</si>
  <si>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</si>
  <si>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</si>
  <si>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</si>
  <si>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</si>
  <si>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</si>
  <si>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</si>
  <si>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</si>
  <si>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</si>
  <si>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</si>
  <si>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</si>
  <si>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</si>
  <si>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</si>
  <si>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</si>
  <si>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</si>
  <si>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</si>
  <si>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</si>
  <si>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</si>
  <si>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</si>
  <si>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</si>
  <si>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</si>
  <si>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</si>
  <si>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</si>
  <si>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</si>
  <si>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</si>
  <si>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</si>
  <si>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</si>
  <si>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</si>
  <si>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</si>
  <si>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</si>
  <si>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</si>
  <si>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</si>
  <si>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</si>
  <si>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</si>
  <si>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</si>
  <si>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</si>
  <si>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</si>
  <si>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</si>
  <si>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</si>
  <si>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</si>
  <si>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</si>
  <si>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</si>
  <si>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</si>
  <si>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</si>
  <si>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</si>
  <si>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</si>
  <si>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</si>
  <si>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</si>
  <si>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</si>
  <si>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</si>
  <si>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</si>
  <si>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</si>
  <si>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</si>
  <si>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</si>
  <si>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</si>
  <si>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</si>
  <si>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</si>
  <si>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</si>
  <si>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</si>
  <si>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</si>
  <si>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</si>
  <si>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</si>
  <si>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</si>
  <si>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</si>
  <si>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</si>
  <si>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</si>
  <si>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</si>
  <si>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</si>
  <si>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</si>
  <si>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</si>
  <si>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</si>
  <si>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</si>
  <si>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</si>
  <si>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</si>
  <si>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</si>
  <si>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</si>
  <si>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</si>
  <si>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</si>
  <si>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</si>
  <si>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</si>
  <si>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</si>
  <si>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</si>
  <si>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</si>
  <si>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</si>
  <si>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</si>
  <si>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</si>
  <si>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</si>
  <si>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</si>
  <si>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</si>
  <si>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</si>
  <si>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</si>
  <si>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</si>
  <si>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</si>
  <si>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</si>
  <si>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</si>
  <si>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</si>
  <si>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</si>
  <si>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</si>
  <si>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</si>
  <si>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</si>
  <si>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</si>
  <si>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</si>
  <si>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</si>
  <si>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</si>
  <si>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</si>
  <si>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</si>
  <si>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</si>
  <si>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</si>
  <si>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</si>
  <si>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</si>
  <si>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</si>
  <si>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</si>
  <si>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</si>
  <si>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</si>
  <si>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</si>
  <si>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</si>
  <si>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</si>
  <si>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</si>
  <si>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</si>
  <si>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</si>
  <si>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</si>
  <si>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</si>
  <si>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</si>
  <si>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</si>
  <si>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</si>
  <si>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</si>
  <si>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</si>
  <si>
    <t>Adulto Mantença Elevado Esforço</t>
  </si>
  <si>
    <t xml:space="preserve">Adulto Mantença </t>
  </si>
  <si>
    <t>Adulto Mantença</t>
  </si>
  <si>
    <t>Esforço</t>
  </si>
  <si>
    <t xml:space="preserve">Médio </t>
  </si>
  <si>
    <t>Mínimo</t>
  </si>
  <si>
    <t>Elevado</t>
  </si>
  <si>
    <t>Crescimento</t>
  </si>
  <si>
    <t>Leve</t>
  </si>
  <si>
    <t>Moderado</t>
  </si>
  <si>
    <t>Intenso</t>
  </si>
  <si>
    <t>Crescimento/Exercício</t>
  </si>
  <si>
    <t>Muito Intenso</t>
  </si>
  <si>
    <t xml:space="preserve">Égua Lactação </t>
  </si>
  <si>
    <t>Égua Prenhe</t>
  </si>
  <si>
    <t>Fase Meses</t>
  </si>
  <si>
    <t>Peso Vivo</t>
  </si>
  <si>
    <t>Trabalho/Exercício</t>
  </si>
  <si>
    <t>Nome</t>
  </si>
  <si>
    <t>Composição Exigencia</t>
  </si>
  <si>
    <t>Nutriente</t>
  </si>
  <si>
    <t>Lis</t>
  </si>
  <si>
    <t>UI</t>
  </si>
  <si>
    <t>kUI</t>
  </si>
  <si>
    <t>g</t>
  </si>
  <si>
    <t>Composição Exigencia Check Dieta</t>
  </si>
  <si>
    <t>Composição Alimento Check Dieta</t>
  </si>
  <si>
    <t>Exigência</t>
  </si>
  <si>
    <t>Ganho Médio Diário(Leite)</t>
  </si>
  <si>
    <t>Máximos</t>
  </si>
  <si>
    <t>Maximo dos máximos</t>
  </si>
  <si>
    <t>Feno de grama bermuda, Tifton85</t>
  </si>
  <si>
    <t>Feno verde  tifton 85</t>
  </si>
  <si>
    <t>Guabi  Equitage Supreme</t>
  </si>
  <si>
    <t>Melaço, canadeaçúcar</t>
  </si>
  <si>
    <t>Milho Grão+espiga</t>
  </si>
  <si>
    <t>Mombaça Estrutura boa  Planta jovem</t>
  </si>
  <si>
    <t>Organnact  Muscle Horse Turbo</t>
  </si>
  <si>
    <t>Présecado Tífton 60%</t>
  </si>
  <si>
    <t>Vetnil  Aminomix</t>
  </si>
  <si>
    <t>Vetnil  Aminomix JCR</t>
  </si>
  <si>
    <t>Vetnil  Glicopan</t>
  </si>
  <si>
    <t>Vetnil  Hemolitan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</si>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</sst>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4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u val="singleAccounting"/>
      <sz val="10"/>
      <color theme="1"/>
      <name val="Calibri"/>
      <family val="2"/>
    </font>
    <font>
      <sz val="10"/>
      <name val="Calibri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rgb="FF385623"/>
      </patternFill>
    </fill>
    <fill>
      <patternFill patternType="solid">
        <fgColor theme="0"/>
        <bgColor rgb="FF385623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3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</borders>
  <cellStyleXfs count="1">
    <xf numFmtId="0" fontId="0" fillId="0" borderId="0"/>
  </cellStyleXfs>
  <cellXfs count="413">
    <xf numFmtId="0" fontId="0" fillId="0" borderId="0" xfId="0"/>
    <xf numFmtId="0" fontId="4" fillId="2" borderId="1" xfId="0" applyFont="1" applyFill="1" applyBorder="1"/>
    <xf numFmtId="0" fontId="5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8" xfId="0" applyFont="1" applyFill="1" applyBorder="1" applyAlignment="1">
      <alignment horizontal="left" vertical="center"/>
    </xf>
    <xf numFmtId="0" fontId="4" fillId="2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11" fillId="0" borderId="0" xfId="0" applyFont="1"/>
    <xf numFmtId="0" fontId="12" fillId="0" borderId="0" xfId="0" applyFont="1" applyAlignment="1">
      <alignment horizontal="center"/>
    </xf>
    <xf numFmtId="2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12" fillId="0" borderId="0" xfId="0" applyFont="1"/>
    <xf numFmtId="0" fontId="14" fillId="2" borderId="16" xfId="0" applyFont="1" applyFill="1" applyBorder="1" applyAlignment="1">
      <alignment horizontal="center" vertical="center"/>
    </xf>
    <xf numFmtId="0" fontId="12" fillId="0" borderId="17" xfId="0" applyFont="1" applyBorder="1"/>
    <xf numFmtId="0" fontId="11" fillId="0" borderId="17" xfId="0" applyFont="1" applyBorder="1"/>
    <xf numFmtId="0" fontId="11" fillId="0" borderId="18" xfId="0" applyFont="1" applyBorder="1"/>
    <xf numFmtId="164" fontId="12" fillId="0" borderId="23" xfId="0" applyNumberFormat="1" applyFont="1" applyBorder="1" applyAlignment="1">
      <alignment horizontal="center"/>
    </xf>
    <xf numFmtId="164" fontId="12" fillId="0" borderId="25" xfId="0" applyNumberFormat="1" applyFont="1" applyBorder="1" applyAlignment="1">
      <alignment horizontal="center"/>
    </xf>
    <xf numFmtId="164" fontId="12" fillId="0" borderId="26" xfId="0" applyNumberFormat="1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2" borderId="30" xfId="0" applyFont="1" applyFill="1" applyBorder="1"/>
    <xf numFmtId="0" fontId="11" fillId="2" borderId="30" xfId="0" applyFont="1" applyFill="1" applyBorder="1"/>
    <xf numFmtId="0" fontId="16" fillId="2" borderId="31" xfId="0" applyFont="1" applyFill="1" applyBorder="1" applyAlignment="1">
      <alignment horizontal="left"/>
    </xf>
    <xf numFmtId="0" fontId="16" fillId="2" borderId="31" xfId="0" applyFont="1" applyFill="1" applyBorder="1" applyAlignment="1">
      <alignment horizontal="center"/>
    </xf>
    <xf numFmtId="0" fontId="17" fillId="2" borderId="32" xfId="0" applyFont="1" applyFill="1" applyBorder="1" applyAlignment="1">
      <alignment horizontal="left"/>
    </xf>
    <xf numFmtId="0" fontId="17" fillId="2" borderId="33" xfId="0" applyFont="1" applyFill="1" applyBorder="1" applyAlignment="1">
      <alignment horizontal="left"/>
    </xf>
    <xf numFmtId="2" fontId="17" fillId="2" borderId="34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2" borderId="35" xfId="0" applyFont="1" applyFill="1" applyBorder="1" applyAlignment="1">
      <alignment horizontal="left"/>
    </xf>
    <xf numFmtId="0" fontId="17" fillId="2" borderId="36" xfId="0" applyFont="1" applyFill="1" applyBorder="1" applyAlignment="1">
      <alignment horizontal="left"/>
    </xf>
    <xf numFmtId="2" fontId="17" fillId="2" borderId="37" xfId="0" applyNumberFormat="1" applyFont="1" applyFill="1" applyBorder="1" applyAlignment="1">
      <alignment horizontal="center"/>
    </xf>
    <xf numFmtId="0" fontId="17" fillId="2" borderId="38" xfId="0" applyFont="1" applyFill="1" applyBorder="1" applyAlignment="1">
      <alignment horizontal="left"/>
    </xf>
    <xf numFmtId="0" fontId="17" fillId="2" borderId="39" xfId="0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17" fillId="2" borderId="40" xfId="0" applyFont="1" applyFill="1" applyBorder="1" applyAlignment="1">
      <alignment horizontal="left"/>
    </xf>
    <xf numFmtId="0" fontId="17" fillId="2" borderId="41" xfId="0" applyFont="1" applyFill="1" applyBorder="1" applyAlignment="1">
      <alignment horizontal="left"/>
    </xf>
    <xf numFmtId="2" fontId="17" fillId="2" borderId="42" xfId="0" applyNumberFormat="1" applyFont="1" applyFill="1" applyBorder="1" applyAlignment="1">
      <alignment horizontal="center"/>
    </xf>
    <xf numFmtId="0" fontId="18" fillId="3" borderId="30" xfId="0" applyFont="1" applyFill="1" applyBorder="1" applyAlignment="1">
      <alignment horizontal="left" vertical="center"/>
    </xf>
    <xf numFmtId="0" fontId="18" fillId="3" borderId="30" xfId="0" applyFont="1" applyFill="1" applyBorder="1" applyAlignment="1">
      <alignment horizontal="center" vertical="center"/>
    </xf>
    <xf numFmtId="2" fontId="19" fillId="3" borderId="30" xfId="0" applyNumberFormat="1" applyFont="1" applyFill="1" applyBorder="1" applyAlignment="1">
      <alignment horizontal="center"/>
    </xf>
    <xf numFmtId="164" fontId="12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65" fontId="11" fillId="0" borderId="0" xfId="0" applyNumberFormat="1" applyFont="1" applyAlignment="1">
      <alignment horizontal="center"/>
    </xf>
    <xf numFmtId="0" fontId="15" fillId="2" borderId="30" xfId="0" applyFont="1" applyFill="1" applyBorder="1" applyAlignment="1">
      <alignment horizontal="left"/>
    </xf>
    <xf numFmtId="0" fontId="16" fillId="2" borderId="14" xfId="0" applyFont="1" applyFill="1" applyBorder="1" applyAlignment="1">
      <alignment horizontal="left"/>
    </xf>
    <xf numFmtId="0" fontId="16" fillId="2" borderId="14" xfId="0" applyFont="1" applyFill="1" applyBorder="1" applyAlignment="1">
      <alignment horizontal="center"/>
    </xf>
    <xf numFmtId="0" fontId="16" fillId="2" borderId="43" xfId="0" applyFont="1" applyFill="1" applyBorder="1" applyAlignment="1">
      <alignment horizontal="left"/>
    </xf>
    <xf numFmtId="0" fontId="16" fillId="2" borderId="44" xfId="0" applyFont="1" applyFill="1" applyBorder="1" applyAlignment="1">
      <alignment horizontal="left"/>
    </xf>
    <xf numFmtId="2" fontId="17" fillId="2" borderId="45" xfId="0" applyNumberFormat="1" applyFont="1" applyFill="1" applyBorder="1" applyAlignment="1">
      <alignment horizontal="center"/>
    </xf>
    <xf numFmtId="0" fontId="17" fillId="2" borderId="46" xfId="0" applyFont="1" applyFill="1" applyBorder="1" applyAlignment="1">
      <alignment horizontal="left"/>
    </xf>
    <xf numFmtId="0" fontId="16" fillId="2" borderId="40" xfId="0" applyFont="1" applyFill="1" applyBorder="1" applyAlignment="1">
      <alignment horizontal="left"/>
    </xf>
    <xf numFmtId="0" fontId="16" fillId="2" borderId="41" xfId="0" applyFont="1" applyFill="1" applyBorder="1" applyAlignment="1">
      <alignment horizontal="left"/>
    </xf>
    <xf numFmtId="0" fontId="18" fillId="3" borderId="31" xfId="0" applyFont="1" applyFill="1" applyBorder="1" applyAlignment="1">
      <alignment horizontal="left" vertical="center"/>
    </xf>
    <xf numFmtId="0" fontId="18" fillId="3" borderId="31" xfId="0" applyFont="1" applyFill="1" applyBorder="1" applyAlignment="1">
      <alignment horizontal="center" vertical="center"/>
    </xf>
    <xf numFmtId="0" fontId="18" fillId="3" borderId="47" xfId="0" applyFont="1" applyFill="1" applyBorder="1" applyAlignment="1">
      <alignment horizontal="center" vertical="center"/>
    </xf>
    <xf numFmtId="2" fontId="19" fillId="3" borderId="48" xfId="0" applyNumberFormat="1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11" fillId="2" borderId="1" xfId="0" applyFont="1" applyFill="1" applyBorder="1"/>
    <xf numFmtId="0" fontId="11" fillId="0" borderId="49" xfId="0" applyFont="1" applyBorder="1" applyAlignment="1">
      <alignment horizontal="center"/>
    </xf>
    <xf numFmtId="0" fontId="16" fillId="2" borderId="46" xfId="0" applyFont="1" applyFill="1" applyBorder="1" applyAlignment="1">
      <alignment horizontal="left"/>
    </xf>
    <xf numFmtId="0" fontId="16" fillId="2" borderId="50" xfId="0" applyFont="1" applyFill="1" applyBorder="1" applyAlignment="1">
      <alignment horizontal="left"/>
    </xf>
    <xf numFmtId="2" fontId="17" fillId="2" borderId="51" xfId="0" applyNumberFormat="1" applyFont="1" applyFill="1" applyBorder="1" applyAlignment="1">
      <alignment horizontal="center"/>
    </xf>
    <xf numFmtId="0" fontId="11" fillId="0" borderId="49" xfId="0" applyFont="1" applyBorder="1"/>
    <xf numFmtId="0" fontId="18" fillId="3" borderId="14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0" borderId="0" xfId="0" applyFont="1"/>
    <xf numFmtId="0" fontId="20" fillId="0" borderId="0" xfId="0" applyFont="1" applyAlignment="1">
      <alignment vertical="center"/>
    </xf>
    <xf numFmtId="0" fontId="16" fillId="0" borderId="52" xfId="0" applyFont="1" applyBorder="1" applyAlignment="1">
      <alignment horizontal="right"/>
    </xf>
    <xf numFmtId="0" fontId="17" fillId="0" borderId="53" xfId="0" applyFont="1" applyBorder="1" applyAlignment="1">
      <alignment horizontal="center"/>
    </xf>
    <xf numFmtId="0" fontId="17" fillId="2" borderId="1" xfId="0" applyFont="1" applyFill="1" applyBorder="1"/>
    <xf numFmtId="0" fontId="17" fillId="0" borderId="0" xfId="0" applyFont="1"/>
    <xf numFmtId="0" fontId="16" fillId="0" borderId="54" xfId="0" applyFont="1" applyBorder="1" applyAlignment="1">
      <alignment horizontal="right"/>
    </xf>
    <xf numFmtId="1" fontId="17" fillId="0" borderId="26" xfId="0" applyNumberFormat="1" applyFont="1" applyBorder="1" applyAlignment="1">
      <alignment horizontal="center"/>
    </xf>
    <xf numFmtId="1" fontId="17" fillId="2" borderId="1" xfId="0" applyNumberFormat="1" applyFont="1" applyFill="1" applyBorder="1"/>
    <xf numFmtId="2" fontId="17" fillId="0" borderId="0" xfId="0" applyNumberFormat="1" applyFont="1"/>
    <xf numFmtId="164" fontId="11" fillId="0" borderId="0" xfId="0" applyNumberFormat="1" applyFont="1"/>
    <xf numFmtId="0" fontId="17" fillId="0" borderId="26" xfId="0" applyFont="1" applyBorder="1" applyAlignment="1">
      <alignment horizontal="center"/>
    </xf>
    <xf numFmtId="2" fontId="18" fillId="3" borderId="37" xfId="0" applyNumberFormat="1" applyFont="1" applyFill="1" applyBorder="1" applyAlignment="1">
      <alignment horizontal="center"/>
    </xf>
    <xf numFmtId="2" fontId="18" fillId="2" borderId="1" xfId="0" applyNumberFormat="1" applyFont="1" applyFill="1" applyBorder="1"/>
    <xf numFmtId="2" fontId="18" fillId="0" borderId="0" xfId="0" applyNumberFormat="1" applyFont="1"/>
    <xf numFmtId="9" fontId="11" fillId="0" borderId="0" xfId="0" applyNumberFormat="1" applyFont="1"/>
    <xf numFmtId="0" fontId="16" fillId="0" borderId="55" xfId="0" applyFont="1" applyBorder="1" applyAlignment="1">
      <alignment horizontal="right"/>
    </xf>
    <xf numFmtId="0" fontId="21" fillId="3" borderId="42" xfId="0" applyFont="1" applyFill="1" applyBorder="1" applyAlignment="1">
      <alignment horizontal="center"/>
    </xf>
    <xf numFmtId="0" fontId="22" fillId="2" borderId="1" xfId="0" applyFont="1" applyFill="1" applyBorder="1"/>
    <xf numFmtId="0" fontId="22" fillId="0" borderId="0" xfId="0" applyFont="1"/>
    <xf numFmtId="0" fontId="23" fillId="0" borderId="0" xfId="0" applyFont="1"/>
    <xf numFmtId="0" fontId="16" fillId="0" borderId="0" xfId="0" applyFont="1" applyAlignment="1">
      <alignment horizontal="left"/>
    </xf>
    <xf numFmtId="0" fontId="15" fillId="0" borderId="49" xfId="0" applyFont="1" applyBorder="1"/>
    <xf numFmtId="0" fontId="16" fillId="0" borderId="49" xfId="0" applyFont="1" applyBorder="1" applyAlignment="1">
      <alignment horizontal="left"/>
    </xf>
    <xf numFmtId="0" fontId="24" fillId="3" borderId="56" xfId="0" applyFont="1" applyFill="1" applyBorder="1" applyAlignment="1">
      <alignment vertical="center"/>
    </xf>
    <xf numFmtId="0" fontId="24" fillId="3" borderId="57" xfId="0" applyFont="1" applyFill="1" applyBorder="1" applyAlignment="1">
      <alignment vertical="center"/>
    </xf>
    <xf numFmtId="0" fontId="13" fillId="3" borderId="58" xfId="0" applyFont="1" applyFill="1" applyBorder="1" applyAlignment="1">
      <alignment horizontal="left"/>
    </xf>
    <xf numFmtId="0" fontId="13" fillId="3" borderId="58" xfId="0" applyFont="1" applyFill="1" applyBorder="1" applyAlignment="1">
      <alignment horizontal="center"/>
    </xf>
    <xf numFmtId="0" fontId="13" fillId="3" borderId="59" xfId="0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12" fillId="0" borderId="49" xfId="0" applyFont="1" applyBorder="1" applyAlignment="1">
      <alignment vertical="center"/>
    </xf>
    <xf numFmtId="0" fontId="12" fillId="0" borderId="60" xfId="0" applyFont="1" applyBorder="1" applyAlignment="1">
      <alignment vertical="center"/>
    </xf>
    <xf numFmtId="2" fontId="12" fillId="0" borderId="61" xfId="0" applyNumberFormat="1" applyFont="1" applyBorder="1" applyAlignment="1">
      <alignment horizontal="left"/>
    </xf>
    <xf numFmtId="2" fontId="12" fillId="0" borderId="61" xfId="0" applyNumberFormat="1" applyFont="1" applyBorder="1" applyAlignment="1">
      <alignment horizont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5" fillId="0" borderId="49" xfId="0" applyFont="1" applyBorder="1" applyAlignment="1">
      <alignment horizontal="left"/>
    </xf>
    <xf numFmtId="0" fontId="12" fillId="0" borderId="49" xfId="0" applyFont="1" applyBorder="1" applyAlignment="1">
      <alignment horizontal="left" vertical="center"/>
    </xf>
    <xf numFmtId="0" fontId="12" fillId="0" borderId="49" xfId="0" applyFont="1" applyBorder="1" applyAlignment="1">
      <alignment horizontal="left"/>
    </xf>
    <xf numFmtId="0" fontId="11" fillId="0" borderId="49" xfId="0" applyFont="1" applyBorder="1" applyAlignment="1">
      <alignment horizontal="left"/>
    </xf>
    <xf numFmtId="0" fontId="12" fillId="0" borderId="49" xfId="0" applyFont="1" applyBorder="1" applyAlignment="1">
      <alignment horizontal="center"/>
    </xf>
    <xf numFmtId="0" fontId="13" fillId="3" borderId="47" xfId="0" applyFont="1" applyFill="1" applyBorder="1" applyAlignment="1">
      <alignment horizontal="left" vertical="center"/>
    </xf>
    <xf numFmtId="0" fontId="13" fillId="3" borderId="62" xfId="0" applyFont="1" applyFill="1" applyBorder="1" applyAlignment="1">
      <alignment horizontal="left" vertical="center" wrapText="1"/>
    </xf>
    <xf numFmtId="0" fontId="13" fillId="3" borderId="62" xfId="0" applyFont="1" applyFill="1" applyBorder="1" applyAlignment="1">
      <alignment horizontal="left"/>
    </xf>
    <xf numFmtId="0" fontId="13" fillId="3" borderId="62" xfId="0" applyFont="1" applyFill="1" applyBorder="1" applyAlignment="1">
      <alignment horizontal="center"/>
    </xf>
    <xf numFmtId="0" fontId="13" fillId="3" borderId="48" xfId="0" applyFont="1" applyFill="1" applyBorder="1" applyAlignment="1">
      <alignment horizontal="center"/>
    </xf>
    <xf numFmtId="0" fontId="12" fillId="0" borderId="63" xfId="0" applyFont="1" applyBorder="1" applyAlignment="1">
      <alignment horizontal="left" vertical="center"/>
    </xf>
    <xf numFmtId="164" fontId="25" fillId="0" borderId="23" xfId="0" applyNumberFormat="1" applyFont="1" applyBorder="1" applyAlignment="1">
      <alignment horizontal="left"/>
    </xf>
    <xf numFmtId="2" fontId="25" fillId="0" borderId="23" xfId="0" applyNumberFormat="1" applyFont="1" applyBorder="1" applyAlignment="1">
      <alignment horizontal="left"/>
    </xf>
    <xf numFmtId="2" fontId="25" fillId="0" borderId="23" xfId="0" applyNumberFormat="1" applyFont="1" applyBorder="1" applyAlignment="1">
      <alignment horizontal="center"/>
    </xf>
    <xf numFmtId="2" fontId="25" fillId="0" borderId="64" xfId="0" applyNumberFormat="1" applyFont="1" applyBorder="1" applyAlignment="1">
      <alignment horizontal="center"/>
    </xf>
    <xf numFmtId="0" fontId="12" fillId="0" borderId="24" xfId="0" applyFont="1" applyBorder="1" applyAlignment="1">
      <alignment horizontal="left" vertical="center"/>
    </xf>
    <xf numFmtId="164" fontId="25" fillId="0" borderId="25" xfId="0" applyNumberFormat="1" applyFont="1" applyBorder="1" applyAlignment="1">
      <alignment horizontal="left" vertical="center"/>
    </xf>
    <xf numFmtId="2" fontId="25" fillId="0" borderId="25" xfId="0" applyNumberFormat="1" applyFont="1" applyBorder="1" applyAlignment="1">
      <alignment horizontal="left"/>
    </xf>
    <xf numFmtId="2" fontId="25" fillId="0" borderId="25" xfId="0" applyNumberFormat="1" applyFont="1" applyBorder="1" applyAlignment="1">
      <alignment horizontal="center"/>
    </xf>
    <xf numFmtId="2" fontId="25" fillId="0" borderId="26" xfId="0" applyNumberFormat="1" applyFont="1" applyBorder="1" applyAlignment="1">
      <alignment horizontal="center"/>
    </xf>
    <xf numFmtId="164" fontId="25" fillId="0" borderId="25" xfId="0" applyNumberFormat="1" applyFont="1" applyBorder="1" applyAlignment="1">
      <alignment horizontal="left"/>
    </xf>
    <xf numFmtId="0" fontId="12" fillId="0" borderId="65" xfId="0" applyFont="1" applyBorder="1" applyAlignment="1">
      <alignment horizontal="left" vertical="center"/>
    </xf>
    <xf numFmtId="164" fontId="25" fillId="0" borderId="66" xfId="0" applyNumberFormat="1" applyFont="1" applyBorder="1" applyAlignment="1">
      <alignment horizontal="left" vertical="center"/>
    </xf>
    <xf numFmtId="164" fontId="25" fillId="0" borderId="66" xfId="0" applyNumberFormat="1" applyFont="1" applyBorder="1" applyAlignment="1">
      <alignment horizontal="left"/>
    </xf>
    <xf numFmtId="2" fontId="25" fillId="0" borderId="66" xfId="0" applyNumberFormat="1" applyFont="1" applyBorder="1" applyAlignment="1">
      <alignment horizontal="left"/>
    </xf>
    <xf numFmtId="2" fontId="25" fillId="0" borderId="66" xfId="0" applyNumberFormat="1" applyFont="1" applyBorder="1" applyAlignment="1">
      <alignment horizontal="center"/>
    </xf>
    <xf numFmtId="2" fontId="25" fillId="0" borderId="67" xfId="0" applyNumberFormat="1" applyFont="1" applyBorder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3" borderId="68" xfId="0" applyFont="1" applyFill="1" applyBorder="1" applyAlignment="1">
      <alignment horizontal="left" vertical="center"/>
    </xf>
    <xf numFmtId="0" fontId="13" fillId="3" borderId="19" xfId="0" applyFont="1" applyFill="1" applyBorder="1" applyAlignment="1">
      <alignment horizontal="left" vertical="center" wrapText="1"/>
    </xf>
    <xf numFmtId="0" fontId="26" fillId="3" borderId="62" xfId="0" applyFont="1" applyFill="1" applyBorder="1" applyAlignment="1">
      <alignment horizontal="left" vertical="center"/>
    </xf>
    <xf numFmtId="164" fontId="12" fillId="0" borderId="20" xfId="0" applyNumberFormat="1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166" fontId="25" fillId="0" borderId="21" xfId="0" applyNumberFormat="1" applyFont="1" applyBorder="1" applyAlignment="1">
      <alignment horizontal="left"/>
    </xf>
    <xf numFmtId="2" fontId="25" fillId="0" borderId="21" xfId="0" applyNumberFormat="1" applyFont="1" applyBorder="1" applyAlignment="1">
      <alignment horizontal="left"/>
    </xf>
    <xf numFmtId="2" fontId="25" fillId="0" borderId="21" xfId="0" applyNumberFormat="1" applyFont="1" applyBorder="1" applyAlignment="1">
      <alignment horizontal="center"/>
    </xf>
    <xf numFmtId="2" fontId="25" fillId="0" borderId="22" xfId="0" applyNumberFormat="1" applyFont="1" applyBorder="1" applyAlignment="1">
      <alignment horizontal="center"/>
    </xf>
    <xf numFmtId="164" fontId="12" fillId="0" borderId="24" xfId="0" applyNumberFormat="1" applyFont="1" applyBorder="1" applyAlignment="1">
      <alignment horizontal="left" vertical="center"/>
    </xf>
    <xf numFmtId="0" fontId="12" fillId="0" borderId="25" xfId="0" applyFont="1" applyBorder="1" applyAlignment="1">
      <alignment horizontal="left" vertical="center"/>
    </xf>
    <xf numFmtId="166" fontId="25" fillId="0" borderId="25" xfId="0" applyNumberFormat="1" applyFont="1" applyBorder="1" applyAlignment="1">
      <alignment horizontal="left"/>
    </xf>
    <xf numFmtId="164" fontId="12" fillId="0" borderId="27" xfId="0" applyNumberFormat="1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166" fontId="25" fillId="0" borderId="28" xfId="0" applyNumberFormat="1" applyFont="1" applyBorder="1" applyAlignment="1">
      <alignment horizontal="left"/>
    </xf>
    <xf numFmtId="2" fontId="25" fillId="0" borderId="28" xfId="0" applyNumberFormat="1" applyFont="1" applyBorder="1" applyAlignment="1">
      <alignment horizontal="left"/>
    </xf>
    <xf numFmtId="2" fontId="25" fillId="0" borderId="28" xfId="0" applyNumberFormat="1" applyFont="1" applyBorder="1" applyAlignment="1">
      <alignment horizontal="center"/>
    </xf>
    <xf numFmtId="2" fontId="25" fillId="0" borderId="29" xfId="0" applyNumberFormat="1" applyFont="1" applyBorder="1" applyAlignment="1">
      <alignment horizontal="center"/>
    </xf>
    <xf numFmtId="164" fontId="12" fillId="0" borderId="65" xfId="0" applyNumberFormat="1" applyFont="1" applyBorder="1" applyAlignment="1">
      <alignment horizontal="left" vertical="center"/>
    </xf>
    <xf numFmtId="0" fontId="12" fillId="0" borderId="66" xfId="0" applyFont="1" applyBorder="1" applyAlignment="1">
      <alignment horizontal="left" vertical="center"/>
    </xf>
    <xf numFmtId="166" fontId="25" fillId="0" borderId="66" xfId="0" applyNumberFormat="1" applyFont="1" applyBorder="1" applyAlignment="1">
      <alignment horizontal="left"/>
    </xf>
    <xf numFmtId="0" fontId="24" fillId="3" borderId="69" xfId="0" applyFont="1" applyFill="1" applyBorder="1" applyAlignment="1">
      <alignment vertical="center"/>
    </xf>
    <xf numFmtId="0" fontId="24" fillId="3" borderId="70" xfId="0" applyFont="1" applyFill="1" applyBorder="1" applyAlignment="1">
      <alignment vertical="center"/>
    </xf>
    <xf numFmtId="166" fontId="27" fillId="0" borderId="71" xfId="0" applyNumberFormat="1" applyFont="1" applyBorder="1" applyAlignment="1">
      <alignment horizontal="left" vertical="center"/>
    </xf>
    <xf numFmtId="2" fontId="23" fillId="0" borderId="72" xfId="0" applyNumberFormat="1" applyFont="1" applyBorder="1" applyAlignment="1">
      <alignment horizontal="left"/>
    </xf>
    <xf numFmtId="2" fontId="23" fillId="4" borderId="73" xfId="0" applyNumberFormat="1" applyFont="1" applyFill="1" applyBorder="1" applyAlignment="1">
      <alignment horizontal="left"/>
    </xf>
    <xf numFmtId="2" fontId="23" fillId="0" borderId="72" xfId="0" applyNumberFormat="1" applyFont="1" applyBorder="1" applyAlignment="1">
      <alignment horizontal="center"/>
    </xf>
    <xf numFmtId="2" fontId="23" fillId="0" borderId="74" xfId="0" applyNumberFormat="1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4" fillId="3" borderId="75" xfId="0" applyFont="1" applyFill="1" applyBorder="1" applyAlignment="1">
      <alignment vertical="center"/>
    </xf>
    <xf numFmtId="0" fontId="24" fillId="3" borderId="76" xfId="0" applyFont="1" applyFill="1" applyBorder="1" applyAlignment="1">
      <alignment vertical="center"/>
    </xf>
    <xf numFmtId="2" fontId="23" fillId="0" borderId="77" xfId="0" applyNumberFormat="1" applyFont="1" applyBorder="1" applyAlignment="1">
      <alignment horizontal="left"/>
    </xf>
    <xf numFmtId="2" fontId="23" fillId="4" borderId="77" xfId="0" applyNumberFormat="1" applyFont="1" applyFill="1" applyBorder="1" applyAlignment="1">
      <alignment horizontal="left"/>
    </xf>
    <xf numFmtId="2" fontId="23" fillId="0" borderId="77" xfId="0" applyNumberFormat="1" applyFont="1" applyBorder="1" applyAlignment="1">
      <alignment horizontal="center"/>
    </xf>
    <xf numFmtId="2" fontId="23" fillId="0" borderId="78" xfId="0" applyNumberFormat="1" applyFont="1" applyBorder="1" applyAlignment="1">
      <alignment horizontal="center"/>
    </xf>
    <xf numFmtId="0" fontId="24" fillId="3" borderId="79" xfId="0" applyFont="1" applyFill="1" applyBorder="1"/>
    <xf numFmtId="0" fontId="24" fillId="3" borderId="80" xfId="0" applyFont="1" applyFill="1" applyBorder="1"/>
    <xf numFmtId="2" fontId="29" fillId="3" borderId="81" xfId="0" applyNumberFormat="1" applyFont="1" applyFill="1" applyBorder="1" applyAlignment="1">
      <alignment horizontal="left"/>
    </xf>
    <xf numFmtId="2" fontId="29" fillId="3" borderId="81" xfId="0" applyNumberFormat="1" applyFont="1" applyFill="1" applyBorder="1" applyAlignment="1">
      <alignment horizontal="center"/>
    </xf>
    <xf numFmtId="0" fontId="24" fillId="3" borderId="14" xfId="0" applyFont="1" applyFill="1" applyBorder="1"/>
    <xf numFmtId="0" fontId="24" fillId="3" borderId="15" xfId="0" applyFont="1" applyFill="1" applyBorder="1"/>
    <xf numFmtId="0" fontId="30" fillId="3" borderId="82" xfId="0" applyFont="1" applyFill="1" applyBorder="1" applyAlignment="1">
      <alignment horizontal="left" vertical="center" wrapText="1"/>
    </xf>
    <xf numFmtId="0" fontId="30" fillId="3" borderId="82" xfId="0" applyFont="1" applyFill="1" applyBorder="1" applyAlignment="1">
      <alignment horizontal="left"/>
    </xf>
    <xf numFmtId="0" fontId="30" fillId="3" borderId="82" xfId="0" applyFont="1" applyFill="1" applyBorder="1" applyAlignment="1">
      <alignment horizontal="center"/>
    </xf>
    <xf numFmtId="0" fontId="30" fillId="3" borderId="13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64" fontId="12" fillId="0" borderId="49" xfId="0" applyNumberFormat="1" applyFont="1" applyBorder="1" applyAlignment="1">
      <alignment horizontal="left"/>
    </xf>
    <xf numFmtId="0" fontId="24" fillId="3" borderId="83" xfId="0" applyFont="1" applyFill="1" applyBorder="1" applyAlignment="1">
      <alignment horizontal="left"/>
    </xf>
    <xf numFmtId="0" fontId="24" fillId="3" borderId="84" xfId="0" applyFont="1" applyFill="1" applyBorder="1" applyAlignment="1">
      <alignment horizontal="left"/>
    </xf>
    <xf numFmtId="164" fontId="13" fillId="0" borderId="49" xfId="0" applyNumberFormat="1" applyFont="1" applyBorder="1" applyAlignment="1">
      <alignment horizontal="left"/>
    </xf>
    <xf numFmtId="0" fontId="12" fillId="0" borderId="63" xfId="0" applyFont="1" applyBorder="1" applyAlignment="1">
      <alignment horizontal="left" vertical="center" wrapText="1"/>
    </xf>
    <xf numFmtId="2" fontId="12" fillId="0" borderId="64" xfId="0" applyNumberFormat="1" applyFont="1" applyBorder="1" applyAlignment="1">
      <alignment horizontal="left"/>
    </xf>
    <xf numFmtId="10" fontId="12" fillId="0" borderId="64" xfId="0" applyNumberFormat="1" applyFont="1" applyBorder="1" applyAlignment="1">
      <alignment horizontal="left"/>
    </xf>
    <xf numFmtId="0" fontId="24" fillId="3" borderId="1" xfId="0" applyFont="1" applyFill="1" applyBorder="1"/>
    <xf numFmtId="0" fontId="11" fillId="3" borderId="1" xfId="0" applyFont="1" applyFill="1" applyBorder="1" applyAlignment="1">
      <alignment horizontal="center"/>
    </xf>
    <xf numFmtId="0" fontId="11" fillId="3" borderId="85" xfId="0" applyFont="1" applyFill="1" applyBorder="1" applyAlignment="1">
      <alignment horizontal="center"/>
    </xf>
    <xf numFmtId="0" fontId="24" fillId="3" borderId="13" xfId="0" applyFont="1" applyFill="1" applyBorder="1"/>
    <xf numFmtId="0" fontId="24" fillId="3" borderId="11" xfId="0" applyFont="1" applyFill="1" applyBorder="1"/>
    <xf numFmtId="0" fontId="12" fillId="0" borderId="24" xfId="0" applyFont="1" applyBorder="1" applyAlignment="1">
      <alignment horizontal="left"/>
    </xf>
    <xf numFmtId="2" fontId="12" fillId="0" borderId="26" xfId="0" applyNumberFormat="1" applyFont="1" applyBorder="1" applyAlignment="1">
      <alignment horizontal="left"/>
    </xf>
    <xf numFmtId="10" fontId="12" fillId="0" borderId="26" xfId="0" applyNumberFormat="1" applyFont="1" applyBorder="1" applyAlignment="1">
      <alignment horizontal="left"/>
    </xf>
    <xf numFmtId="0" fontId="12" fillId="0" borderId="86" xfId="0" applyFont="1" applyBorder="1" applyAlignment="1">
      <alignment horizontal="left"/>
    </xf>
    <xf numFmtId="0" fontId="11" fillId="0" borderId="87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2" fontId="12" fillId="0" borderId="53" xfId="0" quotePrefix="1" applyNumberFormat="1" applyFont="1" applyBorder="1" applyAlignment="1">
      <alignment horizontal="left"/>
    </xf>
    <xf numFmtId="0" fontId="12" fillId="0" borderId="88" xfId="0" applyFont="1" applyBorder="1" applyAlignment="1">
      <alignment horizontal="left"/>
    </xf>
    <xf numFmtId="2" fontId="12" fillId="0" borderId="89" xfId="0" applyNumberFormat="1" applyFont="1" applyBorder="1" applyAlignment="1">
      <alignment horizontal="left"/>
    </xf>
    <xf numFmtId="10" fontId="12" fillId="0" borderId="89" xfId="0" applyNumberFormat="1" applyFont="1" applyBorder="1" applyAlignment="1">
      <alignment horizontal="left"/>
    </xf>
    <xf numFmtId="0" fontId="11" fillId="0" borderId="53" xfId="0" applyFont="1" applyBorder="1" applyAlignment="1">
      <alignment horizontal="center"/>
    </xf>
    <xf numFmtId="0" fontId="12" fillId="0" borderId="90" xfId="0" applyFont="1" applyBorder="1" applyAlignment="1">
      <alignment horizontal="left"/>
    </xf>
    <xf numFmtId="164" fontId="12" fillId="0" borderId="90" xfId="0" applyNumberFormat="1" applyFont="1" applyBorder="1" applyAlignment="1">
      <alignment horizontal="left"/>
    </xf>
    <xf numFmtId="0" fontId="11" fillId="0" borderId="26" xfId="0" applyFont="1" applyBorder="1" applyAlignment="1">
      <alignment horizontal="center"/>
    </xf>
    <xf numFmtId="0" fontId="24" fillId="3" borderId="31" xfId="0" applyFont="1" applyFill="1" applyBorder="1"/>
    <xf numFmtId="0" fontId="24" fillId="3" borderId="62" xfId="0" applyFont="1" applyFill="1" applyBorder="1" applyAlignment="1">
      <alignment horizontal="left"/>
    </xf>
    <xf numFmtId="0" fontId="24" fillId="3" borderId="48" xfId="0" applyFont="1" applyFill="1" applyBorder="1" applyAlignment="1">
      <alignment horizontal="left"/>
    </xf>
    <xf numFmtId="0" fontId="12" fillId="0" borderId="91" xfId="0" applyFont="1" applyBorder="1"/>
    <xf numFmtId="2" fontId="12" fillId="0" borderId="91" xfId="0" applyNumberFormat="1" applyFont="1" applyBorder="1" applyAlignment="1">
      <alignment horizontal="left"/>
    </xf>
    <xf numFmtId="0" fontId="12" fillId="0" borderId="54" xfId="0" applyFont="1" applyBorder="1"/>
    <xf numFmtId="2" fontId="12" fillId="0" borderId="54" xfId="0" applyNumberFormat="1" applyFont="1" applyBorder="1" applyAlignment="1">
      <alignment horizontal="left"/>
    </xf>
    <xf numFmtId="0" fontId="12" fillId="0" borderId="92" xfId="0" applyFont="1" applyBorder="1"/>
    <xf numFmtId="2" fontId="12" fillId="5" borderId="93" xfId="0" applyNumberFormat="1" applyFont="1" applyFill="1" applyBorder="1"/>
    <xf numFmtId="0" fontId="11" fillId="0" borderId="94" xfId="0" applyFont="1" applyBorder="1" applyAlignment="1">
      <alignment horizontal="center"/>
    </xf>
    <xf numFmtId="2" fontId="12" fillId="0" borderId="54" xfId="0" applyNumberFormat="1" applyFont="1" applyBorder="1"/>
    <xf numFmtId="2" fontId="12" fillId="0" borderId="91" xfId="0" applyNumberFormat="1" applyFont="1" applyBorder="1"/>
    <xf numFmtId="0" fontId="11" fillId="0" borderId="90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164" fontId="24" fillId="3" borderId="83" xfId="0" applyNumberFormat="1" applyFont="1" applyFill="1" applyBorder="1"/>
    <xf numFmtId="164" fontId="24" fillId="3" borderId="95" xfId="0" applyNumberFormat="1" applyFont="1" applyFill="1" applyBorder="1" applyAlignment="1">
      <alignment horizontal="left"/>
    </xf>
    <xf numFmtId="164" fontId="24" fillId="3" borderId="48" xfId="0" applyNumberFormat="1" applyFont="1" applyFill="1" applyBorder="1" applyAlignment="1">
      <alignment horizontal="left"/>
    </xf>
    <xf numFmtId="0" fontId="12" fillId="0" borderId="24" xfId="0" applyFont="1" applyBorder="1"/>
    <xf numFmtId="0" fontId="12" fillId="0" borderId="26" xfId="0" applyFont="1" applyBorder="1"/>
    <xf numFmtId="0" fontId="24" fillId="3" borderId="95" xfId="0" applyFont="1" applyFill="1" applyBorder="1" applyAlignment="1">
      <alignment horizontal="left"/>
    </xf>
    <xf numFmtId="0" fontId="12" fillId="0" borderId="65" xfId="0" applyFont="1" applyBorder="1"/>
    <xf numFmtId="0" fontId="11" fillId="0" borderId="66" xfId="0" applyFont="1" applyBorder="1" applyAlignment="1">
      <alignment horizontal="center"/>
    </xf>
    <xf numFmtId="0" fontId="12" fillId="0" borderId="96" xfId="0" applyFont="1" applyBorder="1"/>
    <xf numFmtId="0" fontId="12" fillId="0" borderId="63" xfId="0" applyFont="1" applyBorder="1" applyAlignment="1">
      <alignment horizontal="left"/>
    </xf>
    <xf numFmtId="0" fontId="11" fillId="0" borderId="97" xfId="0" applyFont="1" applyBorder="1" applyAlignment="1">
      <alignment horizontal="left"/>
    </xf>
    <xf numFmtId="10" fontId="12" fillId="0" borderId="74" xfId="0" applyNumberFormat="1" applyFont="1" applyBorder="1" applyAlignment="1">
      <alignment horizontal="left"/>
    </xf>
    <xf numFmtId="164" fontId="24" fillId="3" borderId="30" xfId="0" applyNumberFormat="1" applyFont="1" applyFill="1" applyBorder="1"/>
    <xf numFmtId="164" fontId="24" fillId="3" borderId="84" xfId="0" applyNumberFormat="1" applyFont="1" applyFill="1" applyBorder="1" applyAlignment="1">
      <alignment horizontal="left"/>
    </xf>
    <xf numFmtId="10" fontId="12" fillId="0" borderId="96" xfId="0" applyNumberFormat="1" applyFont="1" applyBorder="1" applyAlignment="1">
      <alignment horizontal="left"/>
    </xf>
    <xf numFmtId="2" fontId="12" fillId="0" borderId="88" xfId="0" applyNumberFormat="1" applyFont="1" applyBorder="1" applyAlignment="1">
      <alignment horizontal="left"/>
    </xf>
    <xf numFmtId="10" fontId="12" fillId="0" borderId="98" xfId="0" applyNumberFormat="1" applyFont="1" applyBorder="1" applyAlignment="1">
      <alignment horizontal="left"/>
    </xf>
    <xf numFmtId="0" fontId="12" fillId="0" borderId="63" xfId="0" applyFont="1" applyBorder="1"/>
    <xf numFmtId="0" fontId="12" fillId="0" borderId="88" xfId="0" applyFont="1" applyBorder="1"/>
    <xf numFmtId="0" fontId="16" fillId="0" borderId="0" xfId="0" applyFont="1"/>
    <xf numFmtId="0" fontId="20" fillId="0" borderId="0" xfId="0" applyFont="1" applyAlignment="1">
      <alignment horizontal="center" vertical="center"/>
    </xf>
    <xf numFmtId="0" fontId="23" fillId="0" borderId="49" xfId="0" applyFont="1" applyBorder="1"/>
    <xf numFmtId="0" fontId="13" fillId="6" borderId="68" xfId="0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 wrapText="1"/>
    </xf>
    <xf numFmtId="164" fontId="12" fillId="0" borderId="20" xfId="0" applyNumberFormat="1" applyFont="1" applyBorder="1" applyAlignment="1">
      <alignment horizontal="center" vertical="center"/>
    </xf>
    <xf numFmtId="164" fontId="12" fillId="0" borderId="21" xfId="0" applyNumberFormat="1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164" fontId="12" fillId="0" borderId="25" xfId="0" applyNumberFormat="1" applyFont="1" applyBorder="1" applyAlignment="1">
      <alignment horizontal="center" vertical="center"/>
    </xf>
    <xf numFmtId="164" fontId="12" fillId="0" borderId="27" xfId="0" applyNumberFormat="1" applyFont="1" applyBorder="1" applyAlignment="1">
      <alignment horizontal="center" vertical="center"/>
    </xf>
    <xf numFmtId="164" fontId="12" fillId="0" borderId="28" xfId="0" applyNumberFormat="1" applyFont="1" applyBorder="1" applyAlignment="1">
      <alignment horizontal="center" vertical="center"/>
    </xf>
    <xf numFmtId="164" fontId="12" fillId="0" borderId="65" xfId="0" applyNumberFormat="1" applyFont="1" applyBorder="1" applyAlignment="1">
      <alignment horizontal="center" vertical="center"/>
    </xf>
    <xf numFmtId="164" fontId="12" fillId="0" borderId="66" xfId="0" applyNumberFormat="1" applyFont="1" applyBorder="1" applyAlignment="1">
      <alignment horizontal="center" vertical="center"/>
    </xf>
    <xf numFmtId="0" fontId="24" fillId="6" borderId="104" xfId="0" applyFont="1" applyFill="1" applyBorder="1" applyAlignment="1">
      <alignment horizontal="center"/>
    </xf>
    <xf numFmtId="0" fontId="24" fillId="6" borderId="105" xfId="0" applyFont="1" applyFill="1" applyBorder="1" applyAlignment="1">
      <alignment horizontal="center"/>
    </xf>
    <xf numFmtId="0" fontId="12" fillId="0" borderId="63" xfId="0" applyFont="1" applyBorder="1" applyAlignment="1">
      <alignment horizontal="center" vertical="center" wrapText="1"/>
    </xf>
    <xf numFmtId="164" fontId="12" fillId="0" borderId="64" xfId="0" applyNumberFormat="1" applyFont="1" applyBorder="1" applyAlignment="1">
      <alignment horizontal="center"/>
    </xf>
    <xf numFmtId="0" fontId="12" fillId="0" borderId="88" xfId="0" applyFont="1" applyBorder="1" applyAlignment="1">
      <alignment horizontal="center"/>
    </xf>
    <xf numFmtId="164" fontId="12" fillId="0" borderId="89" xfId="0" applyNumberFormat="1" applyFont="1" applyBorder="1" applyAlignment="1">
      <alignment horizontal="center"/>
    </xf>
    <xf numFmtId="0" fontId="24" fillId="6" borderId="106" xfId="0" applyFont="1" applyFill="1" applyBorder="1" applyAlignment="1">
      <alignment horizontal="center"/>
    </xf>
    <xf numFmtId="0" fontId="12" fillId="0" borderId="63" xfId="0" applyFont="1" applyBorder="1" applyAlignment="1">
      <alignment horizontal="center"/>
    </xf>
    <xf numFmtId="0" fontId="24" fillId="6" borderId="107" xfId="0" applyFont="1" applyFill="1" applyBorder="1"/>
    <xf numFmtId="0" fontId="12" fillId="0" borderId="108" xfId="0" applyFont="1" applyBorder="1"/>
    <xf numFmtId="164" fontId="24" fillId="6" borderId="107" xfId="0" applyNumberFormat="1" applyFont="1" applyFill="1" applyBorder="1"/>
    <xf numFmtId="164" fontId="24" fillId="6" borderId="106" xfId="0" applyNumberFormat="1" applyFont="1" applyFill="1" applyBorder="1" applyAlignment="1">
      <alignment horizontal="center"/>
    </xf>
    <xf numFmtId="0" fontId="12" fillId="0" borderId="64" xfId="0" applyFont="1" applyBorder="1"/>
    <xf numFmtId="0" fontId="12" fillId="0" borderId="89" xfId="0" applyFont="1" applyBorder="1"/>
    <xf numFmtId="164" fontId="12" fillId="0" borderId="109" xfId="0" applyNumberFormat="1" applyFont="1" applyBorder="1" applyAlignment="1">
      <alignment horizontal="center"/>
    </xf>
    <xf numFmtId="0" fontId="30" fillId="3" borderId="110" xfId="0" applyFont="1" applyFill="1" applyBorder="1"/>
    <xf numFmtId="0" fontId="11" fillId="0" borderId="11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0" fillId="3" borderId="35" xfId="0" applyFont="1" applyFill="1" applyBorder="1"/>
    <xf numFmtId="0" fontId="11" fillId="0" borderId="91" xfId="0" applyFont="1" applyBorder="1" applyAlignment="1">
      <alignment horizontal="left" vertical="center"/>
    </xf>
    <xf numFmtId="0" fontId="11" fillId="0" borderId="54" xfId="0" applyFont="1" applyBorder="1" applyAlignment="1">
      <alignment horizontal="left" vertical="center"/>
    </xf>
    <xf numFmtId="14" fontId="11" fillId="0" borderId="91" xfId="0" applyNumberFormat="1" applyFont="1" applyBorder="1" applyAlignment="1">
      <alignment horizontal="left" vertical="center"/>
    </xf>
    <xf numFmtId="0" fontId="30" fillId="3" borderId="30" xfId="0" applyFont="1" applyFill="1" applyBorder="1"/>
    <xf numFmtId="0" fontId="11" fillId="0" borderId="49" xfId="0" applyFont="1" applyBorder="1" applyAlignment="1">
      <alignment horizontal="left" vertical="center"/>
    </xf>
    <xf numFmtId="0" fontId="24" fillId="3" borderId="83" xfId="0" applyFont="1" applyFill="1" applyBorder="1"/>
    <xf numFmtId="164" fontId="12" fillId="0" borderId="63" xfId="0" applyNumberFormat="1" applyFont="1" applyBorder="1" applyAlignment="1">
      <alignment horizontal="left" vertical="center" wrapText="1"/>
    </xf>
    <xf numFmtId="164" fontId="32" fillId="0" borderId="49" xfId="0" applyNumberFormat="1" applyFont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11" fillId="3" borderId="1" xfId="0" applyFont="1" applyFill="1" applyBorder="1"/>
    <xf numFmtId="0" fontId="24" fillId="3" borderId="30" xfId="0" applyFont="1" applyFill="1" applyBorder="1" applyAlignment="1">
      <alignment horizontal="left"/>
    </xf>
    <xf numFmtId="2" fontId="12" fillId="7" borderId="112" xfId="0" applyNumberFormat="1" applyFont="1" applyFill="1" applyBorder="1"/>
    <xf numFmtId="2" fontId="12" fillId="7" borderId="93" xfId="0" applyNumberFormat="1" applyFont="1" applyFill="1" applyBorder="1"/>
    <xf numFmtId="0" fontId="11" fillId="0" borderId="91" xfId="0" applyFont="1" applyBorder="1"/>
    <xf numFmtId="0" fontId="11" fillId="0" borderId="86" xfId="0" applyFont="1" applyBorder="1"/>
    <xf numFmtId="2" fontId="12" fillId="0" borderId="113" xfId="0" applyNumberFormat="1" applyFont="1" applyBorder="1" applyAlignment="1">
      <alignment horizontal="left"/>
    </xf>
    <xf numFmtId="0" fontId="11" fillId="0" borderId="90" xfId="0" applyFont="1" applyBorder="1"/>
    <xf numFmtId="0" fontId="11" fillId="0" borderId="54" xfId="0" applyFont="1" applyBorder="1"/>
    <xf numFmtId="0" fontId="11" fillId="0" borderId="24" xfId="0" applyFont="1" applyBorder="1"/>
    <xf numFmtId="2" fontId="12" fillId="0" borderId="23" xfId="0" applyNumberFormat="1" applyFont="1" applyBorder="1" applyAlignment="1">
      <alignment horizontal="left"/>
    </xf>
    <xf numFmtId="0" fontId="12" fillId="0" borderId="27" xfId="0" applyFont="1" applyBorder="1" applyAlignment="1">
      <alignment horizontal="left"/>
    </xf>
    <xf numFmtId="0" fontId="11" fillId="0" borderId="87" xfId="0" applyFont="1" applyBorder="1"/>
    <xf numFmtId="2" fontId="12" fillId="0" borderId="17" xfId="0" applyNumberFormat="1" applyFont="1" applyBorder="1" applyAlignment="1">
      <alignment horizontal="left"/>
    </xf>
    <xf numFmtId="2" fontId="12" fillId="0" borderId="25" xfId="0" applyNumberFormat="1" applyFont="1" applyBorder="1" applyAlignment="1">
      <alignment horizontal="left"/>
    </xf>
    <xf numFmtId="10" fontId="12" fillId="0" borderId="91" xfId="0" applyNumberFormat="1" applyFont="1" applyBorder="1" applyAlignment="1">
      <alignment horizontal="left"/>
    </xf>
    <xf numFmtId="0" fontId="11" fillId="0" borderId="25" xfId="0" applyFont="1" applyBorder="1"/>
    <xf numFmtId="2" fontId="12" fillId="7" borderId="37" xfId="0" applyNumberFormat="1" applyFont="1" applyFill="1" applyBorder="1"/>
    <xf numFmtId="10" fontId="12" fillId="7" borderId="35" xfId="0" applyNumberFormat="1" applyFont="1" applyFill="1" applyBorder="1"/>
    <xf numFmtId="2" fontId="12" fillId="0" borderId="109" xfId="0" applyNumberFormat="1" applyFont="1" applyBorder="1" applyAlignment="1">
      <alignment horizontal="left"/>
    </xf>
    <xf numFmtId="0" fontId="12" fillId="0" borderId="54" xfId="0" applyFont="1" applyBorder="1" applyAlignment="1">
      <alignment horizontal="left"/>
    </xf>
    <xf numFmtId="10" fontId="12" fillId="0" borderId="54" xfId="0" applyNumberFormat="1" applyFont="1" applyBorder="1" applyAlignment="1">
      <alignment horizontal="left"/>
    </xf>
    <xf numFmtId="164" fontId="12" fillId="0" borderId="88" xfId="0" applyNumberFormat="1" applyFont="1" applyBorder="1" applyAlignment="1">
      <alignment horizontal="left" vertical="center" wrapText="1"/>
    </xf>
    <xf numFmtId="2" fontId="12" fillId="0" borderId="96" xfId="0" applyNumberFormat="1" applyFont="1" applyBorder="1" applyAlignment="1">
      <alignment horizontal="left"/>
    </xf>
    <xf numFmtId="164" fontId="12" fillId="0" borderId="0" xfId="0" applyNumberFormat="1" applyFont="1" applyAlignment="1">
      <alignment horizontal="left" vertical="center" wrapText="1"/>
    </xf>
    <xf numFmtId="0" fontId="11" fillId="0" borderId="114" xfId="0" applyFont="1" applyBorder="1"/>
    <xf numFmtId="0" fontId="24" fillId="3" borderId="47" xfId="0" applyFont="1" applyFill="1" applyBorder="1" applyAlignment="1">
      <alignment horizontal="left"/>
    </xf>
    <xf numFmtId="164" fontId="28" fillId="0" borderId="115" xfId="0" applyNumberFormat="1" applyFont="1" applyBorder="1" applyAlignment="1">
      <alignment horizontal="left" vertical="center" wrapText="1"/>
    </xf>
    <xf numFmtId="0" fontId="11" fillId="0" borderId="97" xfId="0" applyFont="1" applyBorder="1"/>
    <xf numFmtId="0" fontId="11" fillId="0" borderId="116" xfId="0" applyFont="1" applyBorder="1"/>
    <xf numFmtId="0" fontId="12" fillId="0" borderId="87" xfId="0" applyFont="1" applyBorder="1" applyAlignment="1">
      <alignment horizontal="left"/>
    </xf>
    <xf numFmtId="164" fontId="12" fillId="0" borderId="117" xfId="0" applyNumberFormat="1" applyFont="1" applyBorder="1" applyAlignment="1">
      <alignment horizontal="left" vertical="center" wrapText="1"/>
    </xf>
    <xf numFmtId="0" fontId="11" fillId="0" borderId="118" xfId="0" applyFont="1" applyBorder="1"/>
    <xf numFmtId="0" fontId="11" fillId="0" borderId="117" xfId="0" applyFont="1" applyBorder="1"/>
    <xf numFmtId="2" fontId="12" fillId="0" borderId="0" xfId="0" applyNumberFormat="1" applyFont="1" applyAlignment="1">
      <alignment horizontal="left"/>
    </xf>
    <xf numFmtId="0" fontId="12" fillId="0" borderId="55" xfId="0" applyFont="1" applyBorder="1" applyAlignment="1">
      <alignment horizontal="left"/>
    </xf>
    <xf numFmtId="0" fontId="11" fillId="0" borderId="55" xfId="0" applyFont="1" applyBorder="1"/>
    <xf numFmtId="0" fontId="11" fillId="0" borderId="27" xfId="0" applyFont="1" applyBorder="1"/>
    <xf numFmtId="2" fontId="12" fillId="0" borderId="28" xfId="0" applyNumberFormat="1" applyFont="1" applyBorder="1" applyAlignment="1">
      <alignment horizontal="left"/>
    </xf>
    <xf numFmtId="2" fontId="12" fillId="0" borderId="55" xfId="0" applyNumberFormat="1" applyFont="1" applyBorder="1" applyAlignment="1">
      <alignment horizontal="left"/>
    </xf>
    <xf numFmtId="164" fontId="12" fillId="0" borderId="97" xfId="0" applyNumberFormat="1" applyFont="1" applyBorder="1" applyAlignment="1">
      <alignment horizontal="left"/>
    </xf>
    <xf numFmtId="0" fontId="23" fillId="0" borderId="115" xfId="0" applyFont="1" applyBorder="1" applyAlignment="1">
      <alignment horizontal="left"/>
    </xf>
    <xf numFmtId="164" fontId="24" fillId="3" borderId="47" xfId="0" applyNumberFormat="1" applyFont="1" applyFill="1" applyBorder="1" applyAlignment="1">
      <alignment horizontal="left"/>
    </xf>
    <xf numFmtId="164" fontId="24" fillId="3" borderId="62" xfId="0" applyNumberFormat="1" applyFont="1" applyFill="1" applyBorder="1" applyAlignment="1">
      <alignment horizontal="left"/>
    </xf>
    <xf numFmtId="0" fontId="11" fillId="0" borderId="117" xfId="0" applyFont="1" applyBorder="1" applyAlignment="1">
      <alignment horizontal="left"/>
    </xf>
    <xf numFmtId="164" fontId="24" fillId="3" borderId="83" xfId="0" applyNumberFormat="1" applyFont="1" applyFill="1" applyBorder="1" applyAlignment="1">
      <alignment horizontal="left"/>
    </xf>
    <xf numFmtId="0" fontId="11" fillId="0" borderId="119" xfId="0" applyFont="1" applyBorder="1"/>
    <xf numFmtId="0" fontId="11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7" xfId="0" applyFont="1" applyBorder="1"/>
    <xf numFmtId="0" fontId="12" fillId="0" borderId="121" xfId="0" applyFont="1" applyBorder="1" applyAlignment="1">
      <alignment horizontal="center" vertical="center"/>
    </xf>
    <xf numFmtId="0" fontId="13" fillId="3" borderId="121" xfId="0" applyFont="1" applyFill="1" applyBorder="1" applyAlignment="1">
      <alignment horizontal="center" vertical="center"/>
    </xf>
    <xf numFmtId="0" fontId="34" fillId="3" borderId="121" xfId="0" applyFont="1" applyFill="1" applyBorder="1" applyAlignment="1">
      <alignment horizontal="center" vertical="center"/>
    </xf>
    <xf numFmtId="0" fontId="33" fillId="0" borderId="121" xfId="0" applyFont="1" applyBorder="1" applyAlignment="1">
      <alignment horizontal="center" vertical="center"/>
    </xf>
    <xf numFmtId="1" fontId="12" fillId="0" borderId="121" xfId="0" applyNumberFormat="1" applyFont="1" applyBorder="1" applyAlignment="1">
      <alignment horizontal="center"/>
    </xf>
    <xf numFmtId="2" fontId="12" fillId="0" borderId="12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/>
    </xf>
    <xf numFmtId="0" fontId="35" fillId="8" borderId="49" xfId="0" applyFont="1" applyFill="1" applyBorder="1" applyAlignment="1">
      <alignment horizontal="center" vertical="center"/>
    </xf>
    <xf numFmtId="0" fontId="16" fillId="0" borderId="49" xfId="0" applyFont="1" applyBorder="1" applyAlignment="1">
      <alignment horizontal="left" vertical="center"/>
    </xf>
    <xf numFmtId="0" fontId="17" fillId="0" borderId="49" xfId="0" applyFont="1" applyBorder="1" applyAlignment="1">
      <alignment horizontal="left" vertical="center"/>
    </xf>
    <xf numFmtId="0" fontId="11" fillId="0" borderId="49" xfId="0" applyFont="1" applyBorder="1" applyAlignment="1">
      <alignment vertical="center"/>
    </xf>
    <xf numFmtId="0" fontId="13" fillId="3" borderId="82" xfId="0" applyFont="1" applyFill="1" applyBorder="1" applyAlignment="1">
      <alignment horizontal="left" vertical="center" wrapText="1"/>
    </xf>
    <xf numFmtId="0" fontId="36" fillId="0" borderId="121" xfId="0" applyFont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37" fillId="0" borderId="0" xfId="0" applyFont="1"/>
    <xf numFmtId="0" fontId="33" fillId="0" borderId="121" xfId="0" applyFont="1" applyBorder="1" applyAlignment="1">
      <alignment horizontal="left" vertical="center"/>
    </xf>
    <xf numFmtId="0" fontId="12" fillId="0" borderId="12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3" fillId="0" borderId="121" xfId="0" applyFont="1" applyBorder="1" applyAlignment="1">
      <alignment horizontal="center"/>
    </xf>
    <xf numFmtId="0" fontId="0" fillId="0" borderId="121" xfId="0" applyBorder="1" applyAlignment="1">
      <alignment horizontal="center"/>
    </xf>
    <xf numFmtId="0" fontId="2" fillId="0" borderId="121" xfId="0" applyFont="1" applyBorder="1" applyAlignment="1">
      <alignment horizontal="center"/>
    </xf>
    <xf numFmtId="1" fontId="33" fillId="0" borderId="121" xfId="0" applyNumberFormat="1" applyFont="1" applyBorder="1" applyAlignment="1">
      <alignment horizontal="center"/>
    </xf>
    <xf numFmtId="0" fontId="39" fillId="10" borderId="121" xfId="0" applyFont="1" applyFill="1" applyBorder="1" applyAlignment="1">
      <alignment horizontal="center" vertical="center"/>
    </xf>
    <xf numFmtId="0" fontId="34" fillId="3" borderId="125" xfId="0" applyFont="1" applyFill="1" applyBorder="1" applyAlignment="1">
      <alignment horizontal="center" vertical="center"/>
    </xf>
    <xf numFmtId="0" fontId="40" fillId="11" borderId="122" xfId="0" applyFont="1" applyFill="1" applyBorder="1" applyAlignment="1">
      <alignment horizontal="center"/>
    </xf>
    <xf numFmtId="0" fontId="39" fillId="10" borderId="121" xfId="0" applyFont="1" applyFill="1" applyBorder="1" applyAlignment="1">
      <alignment horizontal="center"/>
    </xf>
    <xf numFmtId="2" fontId="33" fillId="0" borderId="121" xfId="0" applyNumberFormat="1" applyFont="1" applyBorder="1" applyAlignment="1">
      <alignment horizontal="center" vertical="center"/>
    </xf>
    <xf numFmtId="0" fontId="1" fillId="0" borderId="0" xfId="0" applyFont="1"/>
    <xf numFmtId="164" fontId="0" fillId="0" borderId="0" xfId="0" applyNumberFormat="1"/>
    <xf numFmtId="0" fontId="34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38" fillId="0" borderId="121" xfId="0" applyFont="1" applyBorder="1" applyAlignment="1">
      <alignment horizontal="center" vertical="center"/>
    </xf>
    <xf numFmtId="0" fontId="12" fillId="12" borderId="121" xfId="0" applyFont="1" applyFill="1" applyBorder="1" applyAlignment="1">
      <alignment horizontal="center" vertical="center"/>
    </xf>
    <xf numFmtId="0" fontId="12" fillId="13" borderId="12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34" fillId="3" borderId="124" xfId="0" applyFont="1" applyFill="1" applyBorder="1" applyAlignment="1">
      <alignment horizontal="center" vertical="center"/>
    </xf>
    <xf numFmtId="0" fontId="34" fillId="3" borderId="123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/>
    <xf numFmtId="0" fontId="16" fillId="0" borderId="0" xfId="0" applyFont="1" applyAlignment="1">
      <alignment horizontal="center"/>
    </xf>
    <xf numFmtId="0" fontId="16" fillId="0" borderId="52" xfId="0" applyFont="1" applyBorder="1" applyAlignment="1">
      <alignment horizontal="left"/>
    </xf>
    <xf numFmtId="0" fontId="9" fillId="0" borderId="52" xfId="0" applyFont="1" applyBorder="1"/>
    <xf numFmtId="0" fontId="9" fillId="0" borderId="86" xfId="0" applyFont="1" applyBorder="1"/>
    <xf numFmtId="2" fontId="17" fillId="0" borderId="53" xfId="0" applyNumberFormat="1" applyFont="1" applyBorder="1" applyAlignment="1">
      <alignment horizontal="left"/>
    </xf>
    <xf numFmtId="0" fontId="16" fillId="0" borderId="54" xfId="0" applyFont="1" applyBorder="1" applyAlignment="1">
      <alignment horizontal="left"/>
    </xf>
    <xf numFmtId="0" fontId="9" fillId="0" borderId="54" xfId="0" applyFont="1" applyBorder="1"/>
    <xf numFmtId="0" fontId="9" fillId="0" borderId="24" xfId="0" applyFont="1" applyBorder="1"/>
    <xf numFmtId="2" fontId="17" fillId="0" borderId="26" xfId="0" applyNumberFormat="1" applyFont="1" applyBorder="1" applyAlignment="1">
      <alignment horizontal="left"/>
    </xf>
    <xf numFmtId="0" fontId="17" fillId="0" borderId="26" xfId="0" applyFont="1" applyBorder="1" applyAlignment="1">
      <alignment horizontal="left"/>
    </xf>
    <xf numFmtId="0" fontId="16" fillId="0" borderId="89" xfId="0" applyFont="1" applyBorder="1" applyAlignment="1">
      <alignment horizontal="left"/>
    </xf>
    <xf numFmtId="0" fontId="9" fillId="0" borderId="92" xfId="0" applyFont="1" applyBorder="1"/>
    <xf numFmtId="0" fontId="16" fillId="0" borderId="0" xfId="0" applyFont="1" applyAlignment="1">
      <alignment horizontal="left"/>
    </xf>
    <xf numFmtId="0" fontId="18" fillId="6" borderId="99" xfId="0" applyFont="1" applyFill="1" applyBorder="1" applyAlignment="1">
      <alignment horizontal="center"/>
    </xf>
    <xf numFmtId="0" fontId="9" fillId="0" borderId="100" xfId="0" applyFont="1" applyBorder="1"/>
    <xf numFmtId="0" fontId="9" fillId="0" borderId="101" xfId="0" applyFont="1" applyBorder="1"/>
    <xf numFmtId="0" fontId="16" fillId="0" borderId="92" xfId="0" applyFont="1" applyBorder="1" applyAlignment="1">
      <alignment horizontal="left"/>
    </xf>
    <xf numFmtId="0" fontId="9" fillId="0" borderId="88" xfId="0" applyFont="1" applyBorder="1"/>
    <xf numFmtId="0" fontId="24" fillId="0" borderId="102" xfId="0" applyFont="1" applyBorder="1" applyAlignment="1">
      <alignment horizontal="center" vertical="center"/>
    </xf>
    <xf numFmtId="0" fontId="9" fillId="0" borderId="103" xfId="0" applyFont="1" applyBorder="1"/>
    <xf numFmtId="0" fontId="31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34" fillId="3" borderId="126" xfId="0" applyFont="1" applyFill="1" applyBorder="1" applyAlignment="1">
      <alignment horizontal="center" vertical="center"/>
    </xf>
    <xf numFmtId="0" fontId="34" fillId="9" borderId="7" xfId="0" applyFont="1" applyFill="1" applyBorder="1" applyAlignment="1">
      <alignment horizontal="center" vertical="center"/>
    </xf>
    <xf numFmtId="0" fontId="34" fillId="9" borderId="127" xfId="0" applyFont="1" applyFill="1" applyBorder="1" applyAlignment="1">
      <alignment horizontal="center" vertical="center"/>
    </xf>
    <xf numFmtId="0" fontId="34" fillId="9" borderId="128" xfId="0" applyFont="1" applyFill="1" applyBorder="1" applyAlignment="1">
      <alignment horizontal="center" vertical="center"/>
    </xf>
    <xf numFmtId="0" fontId="34" fillId="9" borderId="129" xfId="0" applyFont="1" applyFill="1" applyBorder="1" applyAlignment="1">
      <alignment horizontal="center" vertical="center"/>
    </xf>
    <xf numFmtId="0" fontId="34" fillId="9" borderId="130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13</xdr:row>
      <xdr:rowOff>0</xdr:rowOff>
    </xdr:from>
    <xdr:ext cx="304800" cy="333375"/>
    <xdr:sp macro="" textlink="">
      <xdr:nvSpPr>
        <xdr:cNvPr id="2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FDAC6E19-D7AD-4480-BFE4-5094E856164B}"/>
            </a:ext>
          </a:extLst>
        </xdr:cNvPr>
        <xdr:cNvSpPr/>
      </xdr:nvSpPr>
      <xdr:spPr>
        <a:xfrm>
          <a:off x="2270760" y="5715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12</xdr:row>
      <xdr:rowOff>0</xdr:rowOff>
    </xdr:from>
    <xdr:ext cx="304800" cy="333375"/>
    <xdr:sp macro="" textlink="">
      <xdr:nvSpPr>
        <xdr:cNvPr id="3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35524461-4163-43BB-8F5C-FA77FEDAB248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11</xdr:row>
      <xdr:rowOff>0</xdr:rowOff>
    </xdr:from>
    <xdr:ext cx="304800" cy="333375"/>
    <xdr:sp macro="" textlink="">
      <xdr:nvSpPr>
        <xdr:cNvPr id="4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BFD64E47-51C1-4EF2-A167-AAB60FF94A9F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10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59E3EE9-BD98-4040-9459-2686134957D5}"/>
            </a:ext>
          </a:extLst>
        </xdr:cNvPr>
        <xdr:cNvSpPr/>
      </xdr:nvSpPr>
      <xdr:spPr>
        <a:xfrm>
          <a:off x="0" y="1828800"/>
          <a:ext cx="3048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74"/>
      <c r="I6" s="375"/>
      <c r="J6" s="375"/>
      <c r="K6" s="375"/>
      <c r="L6" s="375"/>
      <c r="M6" s="375"/>
      <c r="N6" s="375"/>
      <c r="O6" s="376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77"/>
      <c r="I7" s="378"/>
      <c r="J7" s="378"/>
      <c r="K7" s="378"/>
      <c r="L7" s="378"/>
      <c r="M7" s="378"/>
      <c r="N7" s="378"/>
      <c r="O7" s="379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zoomScale="45" zoomScaleNormal="62" workbookViewId="0">
      <pane xSplit="4" ySplit="1" topLeftCell="S124" activePane="bottomRight" state="frozen"/>
      <selection pane="topRight" activeCell="E1" sqref="E1"/>
      <selection pane="bottomLeft" activeCell="A3" sqref="A3"/>
      <selection pane="bottomRight" activeCell="D151" sqref="D15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6" customWidth="1"/>
    <col min="50" max="52" width="9.109375" customWidth="1"/>
  </cols>
  <sheetData>
    <row r="1" spans="1:57" ht="14.4">
      <c r="A1" s="337"/>
      <c r="B1" s="337"/>
      <c r="C1" s="337"/>
      <c r="D1" s="368" t="s">
        <v>67</v>
      </c>
      <c r="E1" s="369" t="s">
        <v>68</v>
      </c>
      <c r="F1" s="369" t="s">
        <v>69</v>
      </c>
      <c r="G1" s="369" t="s">
        <v>70</v>
      </c>
      <c r="H1" s="369" t="s">
        <v>3</v>
      </c>
      <c r="I1" s="369" t="s">
        <v>71</v>
      </c>
      <c r="J1" s="369" t="s">
        <v>72</v>
      </c>
      <c r="K1" s="370" t="s">
        <v>73</v>
      </c>
      <c r="L1" s="370" t="s">
        <v>74</v>
      </c>
      <c r="M1" s="370" t="s">
        <v>75</v>
      </c>
      <c r="N1" s="369" t="s">
        <v>76</v>
      </c>
      <c r="O1" s="369" t="s">
        <v>77</v>
      </c>
      <c r="P1" s="369" t="s">
        <v>78</v>
      </c>
      <c r="Q1" s="369" t="s">
        <v>79</v>
      </c>
      <c r="R1" s="369" t="s">
        <v>80</v>
      </c>
      <c r="S1" s="369" t="s">
        <v>81</v>
      </c>
      <c r="T1" s="369" t="s">
        <v>82</v>
      </c>
      <c r="U1" s="369" t="s">
        <v>83</v>
      </c>
      <c r="V1" s="369" t="s">
        <v>84</v>
      </c>
      <c r="W1" s="369" t="s">
        <v>85</v>
      </c>
      <c r="X1" s="369" t="s">
        <v>86</v>
      </c>
      <c r="Y1" s="369" t="s">
        <v>87</v>
      </c>
      <c r="Z1" s="369" t="s">
        <v>88</v>
      </c>
      <c r="AA1" s="369" t="s">
        <v>22</v>
      </c>
      <c r="AB1" s="369" t="s">
        <v>23</v>
      </c>
      <c r="AC1" s="369" t="s">
        <v>24</v>
      </c>
      <c r="AD1" s="369" t="s">
        <v>25</v>
      </c>
      <c r="AE1" s="369" t="s">
        <v>26</v>
      </c>
      <c r="AF1" s="369" t="s">
        <v>27</v>
      </c>
      <c r="AG1" s="369" t="s">
        <v>28</v>
      </c>
      <c r="AH1" s="369" t="s">
        <v>29</v>
      </c>
      <c r="AI1" s="369" t="s">
        <v>30</v>
      </c>
      <c r="AJ1" s="369" t="s">
        <v>31</v>
      </c>
      <c r="AK1" s="369" t="s">
        <v>32</v>
      </c>
      <c r="AL1" s="369" t="s">
        <v>89</v>
      </c>
      <c r="AM1" s="369" t="s">
        <v>90</v>
      </c>
      <c r="AN1" s="369" t="s">
        <v>91</v>
      </c>
      <c r="AO1" s="369" t="s">
        <v>92</v>
      </c>
      <c r="AP1" s="369" t="s">
        <v>93</v>
      </c>
      <c r="AQ1" s="369" t="s">
        <v>94</v>
      </c>
      <c r="AR1" s="369" t="s">
        <v>95</v>
      </c>
      <c r="AS1" s="369" t="s">
        <v>96</v>
      </c>
      <c r="AT1" s="369" t="s">
        <v>97</v>
      </c>
      <c r="AU1" s="369" t="s">
        <v>98</v>
      </c>
      <c r="AV1" s="369" t="s">
        <v>99</v>
      </c>
      <c r="AW1" s="369" t="s">
        <v>100</v>
      </c>
      <c r="AX1" s="369" t="s">
        <v>101</v>
      </c>
      <c r="AY1" s="369" t="s">
        <v>102</v>
      </c>
      <c r="AZ1" s="369" t="s">
        <v>103</v>
      </c>
      <c r="BB1" s="352" t="s">
        <v>360</v>
      </c>
      <c r="BC1" s="352" t="s">
        <v>362</v>
      </c>
      <c r="BE1" s="367"/>
    </row>
    <row r="2" spans="1:57" ht="14.4">
      <c r="A2" s="15"/>
      <c r="B2" s="15"/>
      <c r="C2" s="15"/>
      <c r="D2" s="338" t="s">
        <v>104</v>
      </c>
      <c r="E2" s="338" t="s">
        <v>105</v>
      </c>
      <c r="F2" s="338">
        <v>0</v>
      </c>
      <c r="G2" s="338">
        <v>85</v>
      </c>
      <c r="H2" s="338">
        <v>2.16</v>
      </c>
      <c r="I2" s="338">
        <v>9.1</v>
      </c>
      <c r="J2" s="338">
        <v>0.32</v>
      </c>
      <c r="K2" s="338">
        <v>0</v>
      </c>
      <c r="L2" s="338">
        <v>0</v>
      </c>
      <c r="M2" s="338">
        <v>0</v>
      </c>
      <c r="N2" s="338">
        <v>2.2000000000000002</v>
      </c>
      <c r="O2" s="338">
        <v>58</v>
      </c>
      <c r="P2" s="338">
        <v>36.4</v>
      </c>
      <c r="Q2" s="338">
        <v>0</v>
      </c>
      <c r="R2" s="338">
        <v>8.5</v>
      </c>
      <c r="S2" s="338">
        <v>0.37</v>
      </c>
      <c r="T2" s="338">
        <v>0.22</v>
      </c>
      <c r="U2" s="338">
        <v>0.17</v>
      </c>
      <c r="V2" s="338">
        <v>2.0099999999999998</v>
      </c>
      <c r="W2" s="338">
        <v>0.33</v>
      </c>
      <c r="X2" s="338">
        <v>1.08</v>
      </c>
      <c r="Y2" s="338">
        <v>0.14000000000000001</v>
      </c>
      <c r="Z2" s="338">
        <v>0</v>
      </c>
      <c r="AA2" s="338">
        <v>8</v>
      </c>
      <c r="AB2" s="338">
        <v>0</v>
      </c>
      <c r="AC2" s="338">
        <v>250</v>
      </c>
      <c r="AD2" s="338">
        <v>59</v>
      </c>
      <c r="AE2" s="338">
        <v>0</v>
      </c>
      <c r="AF2" s="338">
        <v>23</v>
      </c>
      <c r="AG2" s="338">
        <v>0</v>
      </c>
      <c r="AH2" s="338">
        <v>0</v>
      </c>
      <c r="AI2" s="338">
        <v>0</v>
      </c>
      <c r="AJ2" s="338">
        <v>0</v>
      </c>
      <c r="AK2" s="338">
        <v>0</v>
      </c>
      <c r="AL2" s="338">
        <v>0</v>
      </c>
      <c r="AM2" s="338">
        <v>0</v>
      </c>
      <c r="AN2" s="338">
        <v>0</v>
      </c>
      <c r="AO2" s="338">
        <v>0</v>
      </c>
      <c r="AP2" s="338">
        <v>0</v>
      </c>
      <c r="AQ2" s="338">
        <v>0</v>
      </c>
      <c r="AR2" s="338">
        <v>0</v>
      </c>
      <c r="AS2" s="338">
        <v>0</v>
      </c>
      <c r="AT2" s="338">
        <v>0</v>
      </c>
      <c r="AU2" s="338">
        <v>0</v>
      </c>
      <c r="AV2" s="338">
        <v>0</v>
      </c>
      <c r="AW2" s="338">
        <v>0</v>
      </c>
      <c r="AX2" s="338">
        <v>0</v>
      </c>
      <c r="AY2" s="338">
        <v>0</v>
      </c>
      <c r="AZ2" s="338">
        <v>0</v>
      </c>
      <c r="BB2" s="338" t="s">
        <v>361</v>
      </c>
      <c r="BC2" s="338" t="s">
        <v>398</v>
      </c>
    </row>
    <row r="3" spans="1:57" ht="14.4">
      <c r="A3" s="15"/>
      <c r="B3" s="15"/>
      <c r="C3" s="15"/>
      <c r="D3" s="338" t="s">
        <v>106</v>
      </c>
      <c r="E3" s="338" t="s">
        <v>107</v>
      </c>
      <c r="F3" s="338">
        <v>0</v>
      </c>
      <c r="G3" s="338">
        <v>90</v>
      </c>
      <c r="H3" s="338">
        <v>3.27</v>
      </c>
      <c r="I3" s="338">
        <v>13.2</v>
      </c>
      <c r="J3" s="338">
        <v>0.55000000000000004</v>
      </c>
      <c r="K3" s="338">
        <v>0</v>
      </c>
      <c r="L3" s="338">
        <v>0</v>
      </c>
      <c r="M3" s="338">
        <v>0</v>
      </c>
      <c r="N3" s="338">
        <v>5.0999999999999996</v>
      </c>
      <c r="O3" s="338">
        <v>30</v>
      </c>
      <c r="P3" s="338">
        <v>14.6</v>
      </c>
      <c r="Q3" s="338">
        <v>0</v>
      </c>
      <c r="R3" s="338">
        <v>3.3</v>
      </c>
      <c r="S3" s="338">
        <v>0.11</v>
      </c>
      <c r="T3" s="338">
        <v>0.4</v>
      </c>
      <c r="U3" s="338">
        <v>0.16</v>
      </c>
      <c r="V3" s="338">
        <v>0.52</v>
      </c>
      <c r="W3" s="338">
        <v>0.03</v>
      </c>
      <c r="X3" s="338">
        <v>0</v>
      </c>
      <c r="Y3" s="338">
        <v>0.19</v>
      </c>
      <c r="Z3" s="338">
        <v>0.06</v>
      </c>
      <c r="AA3" s="338">
        <v>8</v>
      </c>
      <c r="AB3" s="338">
        <v>0</v>
      </c>
      <c r="AC3" s="338">
        <v>106</v>
      </c>
      <c r="AD3" s="338">
        <v>43</v>
      </c>
      <c r="AE3" s="338">
        <v>0.48</v>
      </c>
      <c r="AF3" s="338">
        <v>41</v>
      </c>
      <c r="AG3" s="338">
        <v>0</v>
      </c>
      <c r="AH3" s="338">
        <v>0</v>
      </c>
      <c r="AI3" s="338">
        <v>0</v>
      </c>
      <c r="AJ3" s="338">
        <v>0</v>
      </c>
      <c r="AK3" s="338">
        <v>0</v>
      </c>
      <c r="AL3" s="338">
        <v>0</v>
      </c>
      <c r="AM3" s="338">
        <v>0</v>
      </c>
      <c r="AN3" s="338">
        <v>0</v>
      </c>
      <c r="AO3" s="338">
        <v>0</v>
      </c>
      <c r="AP3" s="338">
        <v>0</v>
      </c>
      <c r="AQ3" s="338">
        <v>0</v>
      </c>
      <c r="AR3" s="338">
        <v>0</v>
      </c>
      <c r="AS3" s="338">
        <v>0</v>
      </c>
      <c r="AT3" s="338">
        <v>0</v>
      </c>
      <c r="AU3" s="338">
        <v>0</v>
      </c>
      <c r="AV3" s="338">
        <v>0</v>
      </c>
      <c r="AW3" s="338">
        <v>0</v>
      </c>
      <c r="AX3" s="338">
        <v>0</v>
      </c>
      <c r="AY3" s="338">
        <v>0</v>
      </c>
      <c r="AZ3" s="338">
        <v>0</v>
      </c>
      <c r="BB3" s="338" t="s">
        <v>364</v>
      </c>
      <c r="BC3" s="338" t="s">
        <v>398</v>
      </c>
    </row>
    <row r="4" spans="1:57" ht="14.4">
      <c r="A4" s="15"/>
      <c r="B4" s="15"/>
      <c r="C4" s="15"/>
      <c r="D4" s="338" t="s">
        <v>108</v>
      </c>
      <c r="E4" s="338" t="s">
        <v>107</v>
      </c>
      <c r="F4" s="338">
        <v>0</v>
      </c>
      <c r="G4" s="338">
        <v>91</v>
      </c>
      <c r="H4" s="338">
        <v>3.23</v>
      </c>
      <c r="I4" s="338">
        <v>13.6</v>
      </c>
      <c r="J4" s="338">
        <v>0.38</v>
      </c>
      <c r="K4" s="338">
        <v>0.09</v>
      </c>
      <c r="L4" s="338">
        <v>0.12</v>
      </c>
      <c r="M4" s="338">
        <v>0.05</v>
      </c>
      <c r="N4" s="338">
        <v>4.9000000000000004</v>
      </c>
      <c r="O4" s="338">
        <v>42</v>
      </c>
      <c r="P4" s="338">
        <v>13.5</v>
      </c>
      <c r="Q4" s="338">
        <v>0</v>
      </c>
      <c r="R4" s="338">
        <v>5</v>
      </c>
      <c r="S4" s="338">
        <v>7.0000000000000007E-2</v>
      </c>
      <c r="T4" s="338">
        <v>0.3</v>
      </c>
      <c r="U4" s="338">
        <v>0.16</v>
      </c>
      <c r="V4" s="338">
        <v>0.45</v>
      </c>
      <c r="W4" s="338">
        <v>0.06</v>
      </c>
      <c r="X4" s="338">
        <v>0.1</v>
      </c>
      <c r="Y4" s="338">
        <v>0.23</v>
      </c>
      <c r="Z4" s="338">
        <v>0.06</v>
      </c>
      <c r="AA4" s="338">
        <v>6.7</v>
      </c>
      <c r="AB4" s="338">
        <v>0.13</v>
      </c>
      <c r="AC4" s="338">
        <v>80</v>
      </c>
      <c r="AD4" s="338">
        <v>40</v>
      </c>
      <c r="AE4" s="338">
        <v>0.24</v>
      </c>
      <c r="AF4" s="338">
        <v>39</v>
      </c>
      <c r="AG4" s="338">
        <v>0.2</v>
      </c>
      <c r="AH4" s="338">
        <v>0</v>
      </c>
      <c r="AI4" s="338">
        <v>15</v>
      </c>
      <c r="AJ4" s="338">
        <v>0</v>
      </c>
      <c r="AK4" s="338">
        <v>0</v>
      </c>
      <c r="AL4" s="338">
        <v>0</v>
      </c>
      <c r="AM4" s="338">
        <v>0</v>
      </c>
      <c r="AN4" s="338">
        <v>0</v>
      </c>
      <c r="AO4" s="338">
        <v>0</v>
      </c>
      <c r="AP4" s="338">
        <v>0</v>
      </c>
      <c r="AQ4" s="338">
        <v>0</v>
      </c>
      <c r="AR4" s="338">
        <v>0</v>
      </c>
      <c r="AS4" s="338">
        <v>0</v>
      </c>
      <c r="AT4" s="338">
        <v>0</v>
      </c>
      <c r="AU4" s="338">
        <v>0</v>
      </c>
      <c r="AV4" s="338">
        <v>0</v>
      </c>
      <c r="AW4" s="338">
        <v>0</v>
      </c>
      <c r="AX4" s="338">
        <v>0</v>
      </c>
      <c r="AY4" s="338">
        <v>0</v>
      </c>
      <c r="AZ4" s="338">
        <v>0</v>
      </c>
      <c r="BB4" s="338" t="s">
        <v>365</v>
      </c>
      <c r="BC4" s="338" t="s">
        <v>398</v>
      </c>
    </row>
    <row r="5" spans="1:57" ht="14.4">
      <c r="A5" s="15"/>
      <c r="B5" s="15"/>
      <c r="C5" s="15"/>
      <c r="D5" s="338" t="s">
        <v>108</v>
      </c>
      <c r="E5" s="338" t="s">
        <v>107</v>
      </c>
      <c r="F5" s="338">
        <v>0</v>
      </c>
      <c r="G5" s="338">
        <v>89</v>
      </c>
      <c r="H5" s="338">
        <v>3.33</v>
      </c>
      <c r="I5" s="338">
        <v>13.6</v>
      </c>
      <c r="J5" s="338">
        <v>0.38</v>
      </c>
      <c r="K5" s="338">
        <v>0.09</v>
      </c>
      <c r="L5" s="338">
        <v>0.12</v>
      </c>
      <c r="M5" s="338">
        <v>0.05</v>
      </c>
      <c r="N5" s="338">
        <v>5.2</v>
      </c>
      <c r="O5" s="338">
        <v>29.3</v>
      </c>
      <c r="P5" s="338">
        <v>13.5</v>
      </c>
      <c r="Q5" s="338">
        <v>0</v>
      </c>
      <c r="R5" s="338">
        <v>3.3</v>
      </c>
      <c r="S5" s="338">
        <v>0.01</v>
      </c>
      <c r="T5" s="338">
        <v>0.41</v>
      </c>
      <c r="U5" s="338">
        <v>0.16</v>
      </c>
      <c r="V5" s="338">
        <v>0.51</v>
      </c>
      <c r="W5" s="338">
        <v>0.02</v>
      </c>
      <c r="X5" s="338">
        <v>0.1</v>
      </c>
      <c r="Y5" s="338">
        <v>0.21</v>
      </c>
      <c r="Z5" s="338">
        <v>0.06</v>
      </c>
      <c r="AA5" s="338">
        <v>8.6</v>
      </c>
      <c r="AB5" s="338">
        <v>0.13</v>
      </c>
      <c r="AC5" s="338">
        <v>94</v>
      </c>
      <c r="AD5" s="338">
        <v>40</v>
      </c>
      <c r="AE5" s="338">
        <v>0.24</v>
      </c>
      <c r="AF5" s="338">
        <v>41</v>
      </c>
      <c r="AG5" s="338">
        <v>0.2</v>
      </c>
      <c r="AH5" s="338">
        <v>0</v>
      </c>
      <c r="AI5" s="338">
        <v>15</v>
      </c>
      <c r="AJ5" s="338">
        <v>0</v>
      </c>
      <c r="AK5" s="338">
        <v>0</v>
      </c>
      <c r="AL5" s="338">
        <v>0</v>
      </c>
      <c r="AM5" s="338">
        <v>0</v>
      </c>
      <c r="AN5" s="338">
        <v>0</v>
      </c>
      <c r="AO5" s="338">
        <v>0</v>
      </c>
      <c r="AP5" s="338">
        <v>0</v>
      </c>
      <c r="AQ5" s="338">
        <v>0</v>
      </c>
      <c r="AR5" s="338">
        <v>0</v>
      </c>
      <c r="AS5" s="338">
        <v>0</v>
      </c>
      <c r="AT5" s="338">
        <v>0</v>
      </c>
      <c r="AU5" s="338">
        <v>0</v>
      </c>
      <c r="AV5" s="338">
        <v>0</v>
      </c>
      <c r="AW5" s="338">
        <v>0</v>
      </c>
      <c r="AX5" s="338">
        <v>0</v>
      </c>
      <c r="AY5" s="338">
        <v>0</v>
      </c>
      <c r="AZ5" s="338">
        <v>0</v>
      </c>
      <c r="BB5" s="338" t="s">
        <v>366</v>
      </c>
      <c r="BC5" s="338" t="s">
        <v>398</v>
      </c>
    </row>
    <row r="6" spans="1:57" ht="14.4">
      <c r="A6" s="15"/>
      <c r="B6" s="15"/>
      <c r="C6" s="15"/>
      <c r="D6" s="338" t="s">
        <v>109</v>
      </c>
      <c r="E6" s="338" t="s">
        <v>105</v>
      </c>
      <c r="F6" s="338">
        <v>0</v>
      </c>
      <c r="G6" s="338">
        <v>34.6</v>
      </c>
      <c r="H6" s="338">
        <v>2.04</v>
      </c>
      <c r="I6" s="338">
        <v>12.9</v>
      </c>
      <c r="J6" s="338">
        <v>0.46</v>
      </c>
      <c r="K6" s="338">
        <v>0</v>
      </c>
      <c r="L6" s="338">
        <v>0</v>
      </c>
      <c r="M6" s="338">
        <v>0</v>
      </c>
      <c r="N6" s="338">
        <v>3.4</v>
      </c>
      <c r="O6" s="338">
        <v>60.6</v>
      </c>
      <c r="P6" s="338">
        <v>38.9</v>
      </c>
      <c r="Q6" s="338">
        <v>0</v>
      </c>
      <c r="R6" s="338">
        <v>9.8000000000000007</v>
      </c>
      <c r="S6" s="338">
        <v>0.52</v>
      </c>
      <c r="T6" s="338">
        <v>0.31</v>
      </c>
      <c r="U6" s="338">
        <v>0.2</v>
      </c>
      <c r="V6" s="338">
        <v>2.89</v>
      </c>
      <c r="W6" s="338">
        <v>0.24</v>
      </c>
      <c r="X6" s="338">
        <v>1.34</v>
      </c>
      <c r="Y6" s="338">
        <v>0.19</v>
      </c>
      <c r="Z6" s="338">
        <v>0</v>
      </c>
      <c r="AA6" s="338">
        <v>9</v>
      </c>
      <c r="AB6" s="338">
        <v>0</v>
      </c>
      <c r="AC6" s="338">
        <v>500</v>
      </c>
      <c r="AD6" s="338">
        <v>66</v>
      </c>
      <c r="AE6" s="338">
        <v>0</v>
      </c>
      <c r="AF6" s="338">
        <v>29</v>
      </c>
      <c r="AG6" s="338">
        <v>0</v>
      </c>
      <c r="AH6" s="338">
        <v>0</v>
      </c>
      <c r="AI6" s="338">
        <v>0</v>
      </c>
      <c r="AJ6" s="338">
        <v>0</v>
      </c>
      <c r="AK6" s="338">
        <v>0</v>
      </c>
      <c r="AL6" s="338">
        <v>0</v>
      </c>
      <c r="AM6" s="338">
        <v>0</v>
      </c>
      <c r="AN6" s="338">
        <v>0</v>
      </c>
      <c r="AO6" s="338">
        <v>0</v>
      </c>
      <c r="AP6" s="338">
        <v>0</v>
      </c>
      <c r="AQ6" s="338">
        <v>0</v>
      </c>
      <c r="AR6" s="338">
        <v>0</v>
      </c>
      <c r="AS6" s="338">
        <v>0</v>
      </c>
      <c r="AT6" s="338">
        <v>0</v>
      </c>
      <c r="AU6" s="338">
        <v>0</v>
      </c>
      <c r="AV6" s="338">
        <v>0</v>
      </c>
      <c r="AW6" s="338">
        <v>0</v>
      </c>
      <c r="AX6" s="338">
        <v>0</v>
      </c>
      <c r="AY6" s="338">
        <v>0</v>
      </c>
      <c r="AZ6" s="338">
        <v>0</v>
      </c>
      <c r="BB6" s="338" t="s">
        <v>367</v>
      </c>
      <c r="BC6" s="338" t="s">
        <v>398</v>
      </c>
    </row>
    <row r="7" spans="1:57" ht="14.4">
      <c r="A7" s="15"/>
      <c r="B7" s="15"/>
      <c r="C7" s="15"/>
      <c r="D7" s="338" t="s">
        <v>110</v>
      </c>
      <c r="E7" s="338" t="s">
        <v>111</v>
      </c>
      <c r="F7" s="338">
        <v>0</v>
      </c>
      <c r="G7" s="338">
        <v>90</v>
      </c>
      <c r="H7" s="338"/>
      <c r="I7" s="338">
        <v>0</v>
      </c>
      <c r="J7" s="338">
        <v>0</v>
      </c>
      <c r="K7" s="338"/>
      <c r="L7" s="338"/>
      <c r="M7" s="338"/>
      <c r="N7" s="338">
        <v>0</v>
      </c>
      <c r="O7" s="338">
        <v>0</v>
      </c>
      <c r="P7" s="338">
        <v>0</v>
      </c>
      <c r="Q7" s="338">
        <v>0</v>
      </c>
      <c r="R7" s="338">
        <v>0</v>
      </c>
      <c r="S7" s="338">
        <v>0</v>
      </c>
      <c r="T7" s="338">
        <v>0</v>
      </c>
      <c r="U7" s="338">
        <v>0</v>
      </c>
      <c r="V7" s="338">
        <v>0</v>
      </c>
      <c r="W7" s="338">
        <v>0</v>
      </c>
      <c r="X7" s="338">
        <v>0</v>
      </c>
      <c r="Y7" s="338">
        <v>0</v>
      </c>
      <c r="Z7" s="338">
        <v>0</v>
      </c>
      <c r="AA7" s="338">
        <v>0</v>
      </c>
      <c r="AB7" s="338">
        <v>0</v>
      </c>
      <c r="AC7" s="338">
        <v>0</v>
      </c>
      <c r="AD7" s="338">
        <v>0</v>
      </c>
      <c r="AE7" s="338">
        <v>0</v>
      </c>
      <c r="AF7" s="338">
        <v>0</v>
      </c>
      <c r="AG7" s="338">
        <v>0</v>
      </c>
      <c r="AH7" s="338">
        <v>0</v>
      </c>
      <c r="AI7" s="338">
        <v>0</v>
      </c>
      <c r="AJ7" s="338">
        <v>0</v>
      </c>
      <c r="AK7" s="338">
        <v>0</v>
      </c>
      <c r="AL7" s="338">
        <v>0</v>
      </c>
      <c r="AM7" s="338">
        <v>10000</v>
      </c>
      <c r="AN7" s="338">
        <v>0</v>
      </c>
      <c r="AO7" s="338">
        <v>0</v>
      </c>
      <c r="AP7" s="338">
        <v>0</v>
      </c>
      <c r="AQ7" s="338">
        <v>0</v>
      </c>
      <c r="AR7" s="338">
        <v>0</v>
      </c>
      <c r="AS7" s="338">
        <v>0</v>
      </c>
      <c r="AT7" s="338">
        <v>0</v>
      </c>
      <c r="AU7" s="338">
        <v>0</v>
      </c>
      <c r="AV7" s="338">
        <v>0</v>
      </c>
      <c r="AW7" s="338">
        <v>0</v>
      </c>
      <c r="AX7" s="338">
        <v>0</v>
      </c>
      <c r="AY7" s="338">
        <v>0</v>
      </c>
      <c r="AZ7" s="338">
        <v>0</v>
      </c>
      <c r="BB7" s="338" t="s">
        <v>368</v>
      </c>
      <c r="BC7" s="338" t="s">
        <v>398</v>
      </c>
    </row>
    <row r="8" spans="1:57" ht="14.4">
      <c r="A8" s="15"/>
      <c r="B8" s="15"/>
      <c r="C8" s="15"/>
      <c r="D8" s="338" t="s">
        <v>112</v>
      </c>
      <c r="E8" s="338" t="s">
        <v>111</v>
      </c>
      <c r="F8" s="338">
        <v>0</v>
      </c>
      <c r="G8" s="338">
        <v>99</v>
      </c>
      <c r="H8" s="338"/>
      <c r="I8" s="338">
        <v>0</v>
      </c>
      <c r="J8" s="338">
        <v>0</v>
      </c>
      <c r="K8" s="338">
        <v>0</v>
      </c>
      <c r="L8" s="338">
        <v>0</v>
      </c>
      <c r="M8" s="338">
        <v>0</v>
      </c>
      <c r="N8" s="338">
        <v>0</v>
      </c>
      <c r="O8" s="338">
        <v>0</v>
      </c>
      <c r="P8" s="338">
        <v>0</v>
      </c>
      <c r="Q8" s="338">
        <v>0</v>
      </c>
      <c r="R8" s="338">
        <v>99</v>
      </c>
      <c r="S8" s="338">
        <v>0</v>
      </c>
      <c r="T8" s="338">
        <v>0</v>
      </c>
      <c r="U8" s="338">
        <v>0</v>
      </c>
      <c r="V8" s="338">
        <v>0</v>
      </c>
      <c r="W8" s="338">
        <v>0</v>
      </c>
      <c r="X8" s="338">
        <v>0</v>
      </c>
      <c r="Y8" s="338">
        <v>0</v>
      </c>
      <c r="Z8" s="338">
        <v>0</v>
      </c>
      <c r="AA8" s="338">
        <v>0</v>
      </c>
      <c r="AB8" s="338">
        <v>0</v>
      </c>
      <c r="AC8" s="338">
        <v>0</v>
      </c>
      <c r="AD8" s="338">
        <v>0</v>
      </c>
      <c r="AE8" s="338">
        <v>0</v>
      </c>
      <c r="AF8" s="338">
        <v>0</v>
      </c>
      <c r="AG8" s="338">
        <v>0</v>
      </c>
      <c r="AH8" s="338">
        <v>0</v>
      </c>
      <c r="AI8" s="338">
        <v>0</v>
      </c>
      <c r="AJ8" s="338">
        <v>0</v>
      </c>
      <c r="AK8" s="338">
        <v>0</v>
      </c>
      <c r="AL8" s="338">
        <v>0</v>
      </c>
      <c r="AM8" s="338">
        <v>0</v>
      </c>
      <c r="AN8" s="338">
        <v>0</v>
      </c>
      <c r="AO8" s="338">
        <v>0</v>
      </c>
      <c r="AP8" s="338">
        <v>0</v>
      </c>
      <c r="AQ8" s="338">
        <v>0</v>
      </c>
      <c r="AR8" s="338">
        <v>0</v>
      </c>
      <c r="AS8" s="338">
        <v>0</v>
      </c>
      <c r="AT8" s="338">
        <v>0</v>
      </c>
      <c r="AU8" s="338">
        <v>0</v>
      </c>
      <c r="AV8" s="338">
        <v>0</v>
      </c>
      <c r="AW8" s="338">
        <v>0</v>
      </c>
      <c r="AX8" s="338">
        <v>0</v>
      </c>
      <c r="AY8" s="338">
        <v>0</v>
      </c>
      <c r="AZ8" s="338">
        <v>0</v>
      </c>
      <c r="BB8" s="338" t="s">
        <v>369</v>
      </c>
      <c r="BC8" s="338" t="s">
        <v>398</v>
      </c>
    </row>
    <row r="9" spans="1:57" ht="14.4">
      <c r="A9" s="15"/>
      <c r="B9" s="15"/>
      <c r="C9" s="15"/>
      <c r="D9" s="338" t="s">
        <v>113</v>
      </c>
      <c r="E9" s="338" t="s">
        <v>107</v>
      </c>
      <c r="F9" s="338">
        <v>0</v>
      </c>
      <c r="G9" s="338">
        <v>90.5</v>
      </c>
      <c r="H9" s="338">
        <v>2.87</v>
      </c>
      <c r="I9" s="338">
        <v>20.100000000000001</v>
      </c>
      <c r="J9" s="338">
        <v>0.88</v>
      </c>
      <c r="K9" s="338">
        <v>0</v>
      </c>
      <c r="L9" s="338">
        <v>0</v>
      </c>
      <c r="M9" s="338">
        <v>0</v>
      </c>
      <c r="N9" s="338">
        <v>2.2999999999999998</v>
      </c>
      <c r="O9" s="338">
        <v>47</v>
      </c>
      <c r="P9" s="338">
        <v>21.8</v>
      </c>
      <c r="Q9" s="338">
        <v>0</v>
      </c>
      <c r="R9" s="338">
        <v>7</v>
      </c>
      <c r="S9" s="338">
        <v>0.24</v>
      </c>
      <c r="T9" s="338">
        <v>0.51</v>
      </c>
      <c r="U9" s="338">
        <v>0.18</v>
      </c>
      <c r="V9" s="338">
        <v>1.19</v>
      </c>
      <c r="W9" s="338">
        <v>0.04</v>
      </c>
      <c r="X9" s="338">
        <v>0.39</v>
      </c>
      <c r="Y9" s="338">
        <v>0.28999999999999998</v>
      </c>
      <c r="Z9" s="338">
        <v>0</v>
      </c>
      <c r="AA9" s="338">
        <v>9.1</v>
      </c>
      <c r="AB9" s="338">
        <v>0</v>
      </c>
      <c r="AC9" s="338">
        <v>353</v>
      </c>
      <c r="AD9" s="338">
        <v>49</v>
      </c>
      <c r="AE9" s="338">
        <v>0.67</v>
      </c>
      <c r="AF9" s="338">
        <v>65</v>
      </c>
      <c r="AG9" s="338">
        <v>0</v>
      </c>
      <c r="AH9" s="338">
        <v>0</v>
      </c>
      <c r="AI9" s="338">
        <v>0</v>
      </c>
      <c r="AJ9" s="338">
        <v>0</v>
      </c>
      <c r="AK9" s="338">
        <v>0</v>
      </c>
      <c r="AL9" s="338">
        <v>0</v>
      </c>
      <c r="AM9" s="338">
        <v>0</v>
      </c>
      <c r="AN9" s="338">
        <v>0</v>
      </c>
      <c r="AO9" s="338">
        <v>0</v>
      </c>
      <c r="AP9" s="338">
        <v>0</v>
      </c>
      <c r="AQ9" s="338">
        <v>0</v>
      </c>
      <c r="AR9" s="338">
        <v>0</v>
      </c>
      <c r="AS9" s="338">
        <v>0</v>
      </c>
      <c r="AT9" s="338">
        <v>0</v>
      </c>
      <c r="AU9" s="338">
        <v>0</v>
      </c>
      <c r="AV9" s="338">
        <v>0</v>
      </c>
      <c r="AW9" s="338">
        <v>0</v>
      </c>
      <c r="AX9" s="338">
        <v>0</v>
      </c>
      <c r="AY9" s="338">
        <v>0</v>
      </c>
      <c r="AZ9" s="338">
        <v>0</v>
      </c>
      <c r="BB9" s="338" t="s">
        <v>370</v>
      </c>
      <c r="BC9" s="338" t="s">
        <v>398</v>
      </c>
    </row>
    <row r="10" spans="1:57" ht="18">
      <c r="A10" s="15"/>
      <c r="B10" s="19" t="s">
        <v>0</v>
      </c>
      <c r="C10" s="15"/>
      <c r="D10" s="338" t="s">
        <v>114</v>
      </c>
      <c r="E10" s="338" t="s">
        <v>115</v>
      </c>
      <c r="F10" s="338">
        <v>0</v>
      </c>
      <c r="G10" s="338">
        <v>99</v>
      </c>
      <c r="H10" s="338"/>
      <c r="I10" s="338">
        <v>0</v>
      </c>
      <c r="J10" s="338">
        <v>0</v>
      </c>
      <c r="K10" s="338">
        <v>0</v>
      </c>
      <c r="L10" s="338">
        <v>0</v>
      </c>
      <c r="M10" s="338">
        <v>0</v>
      </c>
      <c r="N10" s="338">
        <v>0</v>
      </c>
      <c r="O10" s="338">
        <v>0</v>
      </c>
      <c r="P10" s="338">
        <v>0</v>
      </c>
      <c r="Q10" s="338">
        <v>0</v>
      </c>
      <c r="R10" s="338">
        <v>99</v>
      </c>
      <c r="S10" s="338">
        <v>45</v>
      </c>
      <c r="T10" s="338">
        <v>18</v>
      </c>
      <c r="U10" s="338">
        <v>0</v>
      </c>
      <c r="V10" s="338">
        <v>0</v>
      </c>
      <c r="W10" s="338">
        <v>0</v>
      </c>
      <c r="X10" s="338">
        <v>0</v>
      </c>
      <c r="Y10" s="338">
        <v>0</v>
      </c>
      <c r="Z10" s="338">
        <v>0</v>
      </c>
      <c r="AA10" s="338">
        <v>0</v>
      </c>
      <c r="AB10" s="338">
        <v>0</v>
      </c>
      <c r="AC10" s="338">
        <v>0</v>
      </c>
      <c r="AD10" s="338">
        <v>0</v>
      </c>
      <c r="AE10" s="338">
        <v>0</v>
      </c>
      <c r="AF10" s="338">
        <v>0</v>
      </c>
      <c r="AG10" s="338">
        <v>0</v>
      </c>
      <c r="AH10" s="338">
        <v>0</v>
      </c>
      <c r="AI10" s="338">
        <v>0</v>
      </c>
      <c r="AJ10" s="338">
        <v>0</v>
      </c>
      <c r="AK10" s="338">
        <v>0</v>
      </c>
      <c r="AL10" s="338">
        <v>0</v>
      </c>
      <c r="AM10" s="338">
        <v>0</v>
      </c>
      <c r="AN10" s="338">
        <v>0</v>
      </c>
      <c r="AO10" s="338">
        <v>0</v>
      </c>
      <c r="AP10" s="338">
        <v>0</v>
      </c>
      <c r="AQ10" s="338">
        <v>0</v>
      </c>
      <c r="AR10" s="338">
        <v>0</v>
      </c>
      <c r="AS10" s="338">
        <v>0</v>
      </c>
      <c r="AT10" s="338">
        <v>0</v>
      </c>
      <c r="AU10" s="338">
        <v>0</v>
      </c>
      <c r="AV10" s="338">
        <v>0</v>
      </c>
      <c r="AW10" s="338">
        <v>0</v>
      </c>
      <c r="AX10" s="338">
        <v>0</v>
      </c>
      <c r="AY10" s="338">
        <v>0</v>
      </c>
      <c r="AZ10" s="338">
        <v>0</v>
      </c>
      <c r="BB10" s="338" t="s">
        <v>371</v>
      </c>
      <c r="BC10" s="338" t="s">
        <v>398</v>
      </c>
      <c r="BD10" s="353"/>
    </row>
    <row r="11" spans="1:57" ht="14.4">
      <c r="A11" s="15"/>
      <c r="B11" s="20"/>
      <c r="C11" s="15"/>
      <c r="D11" s="338" t="s">
        <v>116</v>
      </c>
      <c r="E11" s="338" t="s">
        <v>115</v>
      </c>
      <c r="F11" s="338">
        <v>0</v>
      </c>
      <c r="G11" s="338">
        <v>99</v>
      </c>
      <c r="H11" s="338"/>
      <c r="I11" s="338">
        <v>0</v>
      </c>
      <c r="J11" s="338">
        <v>0</v>
      </c>
      <c r="K11" s="338">
        <v>0</v>
      </c>
      <c r="L11" s="338">
        <v>0</v>
      </c>
      <c r="M11" s="338">
        <v>0</v>
      </c>
      <c r="N11" s="338">
        <v>0</v>
      </c>
      <c r="O11" s="338">
        <v>0</v>
      </c>
      <c r="P11" s="338">
        <v>0</v>
      </c>
      <c r="Q11" s="338">
        <v>0</v>
      </c>
      <c r="R11" s="338">
        <v>99</v>
      </c>
      <c r="S11" s="338">
        <v>19.100000000000001</v>
      </c>
      <c r="T11" s="338">
        <v>6</v>
      </c>
      <c r="U11" s="338">
        <v>1.5</v>
      </c>
      <c r="V11" s="338">
        <v>0</v>
      </c>
      <c r="W11" s="338">
        <v>7</v>
      </c>
      <c r="X11" s="338">
        <v>0</v>
      </c>
      <c r="Y11" s="338">
        <v>1.5</v>
      </c>
      <c r="Z11" s="338">
        <v>25</v>
      </c>
      <c r="AA11" s="338">
        <v>650</v>
      </c>
      <c r="AB11" s="338">
        <v>40</v>
      </c>
      <c r="AC11" s="338">
        <v>0</v>
      </c>
      <c r="AD11" s="338">
        <v>1800</v>
      </c>
      <c r="AE11" s="338">
        <v>20</v>
      </c>
      <c r="AF11" s="338">
        <v>2600</v>
      </c>
      <c r="AG11" s="338">
        <v>120</v>
      </c>
      <c r="AH11" s="338">
        <v>30000</v>
      </c>
      <c r="AI11" s="338">
        <v>720</v>
      </c>
      <c r="AJ11" s="338">
        <v>0</v>
      </c>
      <c r="AK11" s="338">
        <v>0</v>
      </c>
      <c r="AL11" s="338">
        <v>0</v>
      </c>
      <c r="AM11" s="338">
        <v>0</v>
      </c>
      <c r="AN11" s="338">
        <v>0</v>
      </c>
      <c r="AO11" s="338">
        <v>0</v>
      </c>
      <c r="AP11" s="338">
        <v>0</v>
      </c>
      <c r="AQ11" s="338">
        <v>0</v>
      </c>
      <c r="AR11" s="338">
        <v>0</v>
      </c>
      <c r="AS11" s="338">
        <v>0</v>
      </c>
      <c r="AT11" s="338">
        <v>0</v>
      </c>
      <c r="AU11" s="338">
        <v>0</v>
      </c>
      <c r="AV11" s="338">
        <v>0</v>
      </c>
      <c r="AW11" s="338">
        <v>0</v>
      </c>
      <c r="AX11" s="338">
        <v>0</v>
      </c>
      <c r="AY11" s="338">
        <v>0</v>
      </c>
      <c r="AZ11" s="338">
        <v>0</v>
      </c>
      <c r="BB11" s="338" t="s">
        <v>372</v>
      </c>
      <c r="BC11" s="338" t="s">
        <v>398</v>
      </c>
      <c r="BE11" s="353"/>
    </row>
    <row r="12" spans="1:57" ht="14.4">
      <c r="A12" s="15"/>
      <c r="B12" s="20"/>
      <c r="C12" s="15"/>
      <c r="D12" s="338" t="s">
        <v>117</v>
      </c>
      <c r="E12" s="338" t="s">
        <v>105</v>
      </c>
      <c r="F12" s="338">
        <v>0</v>
      </c>
      <c r="G12" s="338">
        <v>86.9</v>
      </c>
      <c r="H12" s="338">
        <v>2.89</v>
      </c>
      <c r="I12" s="338">
        <v>6.5</v>
      </c>
      <c r="J12" s="338">
        <v>0.18</v>
      </c>
      <c r="K12" s="338">
        <v>0</v>
      </c>
      <c r="L12" s="338">
        <v>0</v>
      </c>
      <c r="M12" s="338">
        <v>0</v>
      </c>
      <c r="N12" s="338">
        <v>2.9</v>
      </c>
      <c r="O12" s="338">
        <v>36.799999999999997</v>
      </c>
      <c r="P12" s="338">
        <v>28.7</v>
      </c>
      <c r="Q12" s="338">
        <v>0</v>
      </c>
      <c r="R12" s="338">
        <v>6.1</v>
      </c>
      <c r="S12" s="338">
        <v>0.28000000000000003</v>
      </c>
      <c r="T12" s="338">
        <v>0.13</v>
      </c>
      <c r="U12" s="338">
        <v>0.13</v>
      </c>
      <c r="V12" s="338">
        <v>2.62</v>
      </c>
      <c r="W12" s="338">
        <v>0.02</v>
      </c>
      <c r="X12" s="338">
        <v>0.03</v>
      </c>
      <c r="Y12" s="338">
        <v>0.04</v>
      </c>
      <c r="Z12" s="338">
        <v>0</v>
      </c>
      <c r="AA12" s="338">
        <v>7</v>
      </c>
      <c r="AB12" s="338">
        <v>0</v>
      </c>
      <c r="AC12" s="338">
        <v>247</v>
      </c>
      <c r="AD12" s="338">
        <v>22</v>
      </c>
      <c r="AE12" s="338">
        <v>7.0000000000000007E-2</v>
      </c>
      <c r="AF12" s="338">
        <v>22</v>
      </c>
      <c r="AG12" s="338">
        <v>0</v>
      </c>
      <c r="AH12" s="338">
        <v>0</v>
      </c>
      <c r="AI12" s="338">
        <v>0</v>
      </c>
      <c r="AJ12" s="338">
        <v>0</v>
      </c>
      <c r="AK12" s="338">
        <v>0</v>
      </c>
      <c r="AL12" s="338">
        <v>0</v>
      </c>
      <c r="AM12" s="338">
        <v>0</v>
      </c>
      <c r="AN12" s="338">
        <v>0</v>
      </c>
      <c r="AO12" s="338">
        <v>0</v>
      </c>
      <c r="AP12" s="338">
        <v>0</v>
      </c>
      <c r="AQ12" s="338">
        <v>0</v>
      </c>
      <c r="AR12" s="338">
        <v>0</v>
      </c>
      <c r="AS12" s="338">
        <v>0</v>
      </c>
      <c r="AT12" s="338">
        <v>0</v>
      </c>
      <c r="AU12" s="338">
        <v>0</v>
      </c>
      <c r="AV12" s="338">
        <v>0</v>
      </c>
      <c r="AW12" s="338">
        <v>0</v>
      </c>
      <c r="AX12" s="338">
        <v>0</v>
      </c>
      <c r="AY12" s="338">
        <v>0</v>
      </c>
      <c r="AZ12" s="338">
        <v>0</v>
      </c>
      <c r="BB12" s="338" t="s">
        <v>373</v>
      </c>
      <c r="BC12" s="338" t="s">
        <v>398</v>
      </c>
    </row>
    <row r="13" spans="1:57" ht="14.4">
      <c r="A13" s="15"/>
      <c r="B13" s="20"/>
      <c r="C13" s="15"/>
      <c r="D13" s="338" t="s">
        <v>118</v>
      </c>
      <c r="E13" s="338" t="s">
        <v>105</v>
      </c>
      <c r="F13" s="338">
        <v>0</v>
      </c>
      <c r="G13" s="338">
        <v>29.7</v>
      </c>
      <c r="H13" s="338">
        <v>2.12</v>
      </c>
      <c r="I13" s="338">
        <v>16.100000000000001</v>
      </c>
      <c r="J13" s="338">
        <v>0.38</v>
      </c>
      <c r="K13" s="338">
        <v>0</v>
      </c>
      <c r="L13" s="338">
        <v>0</v>
      </c>
      <c r="M13" s="338">
        <v>0</v>
      </c>
      <c r="N13" s="338">
        <v>3.8</v>
      </c>
      <c r="O13" s="338">
        <v>57.8</v>
      </c>
      <c r="P13" s="338">
        <v>34.9</v>
      </c>
      <c r="Q13" s="338">
        <v>0</v>
      </c>
      <c r="R13" s="338">
        <v>9.6</v>
      </c>
      <c r="S13" s="338">
        <v>0.43</v>
      </c>
      <c r="T13" s="338">
        <v>0.42</v>
      </c>
      <c r="U13" s="338">
        <v>0.16</v>
      </c>
      <c r="V13" s="338">
        <v>3.34</v>
      </c>
      <c r="W13" s="338">
        <v>0.05</v>
      </c>
      <c r="X13" s="338">
        <v>0.9</v>
      </c>
      <c r="Y13" s="338">
        <v>0.2</v>
      </c>
      <c r="Z13" s="338">
        <v>0</v>
      </c>
      <c r="AA13" s="338">
        <v>9</v>
      </c>
      <c r="AB13" s="338">
        <v>0</v>
      </c>
      <c r="AC13" s="338">
        <v>373</v>
      </c>
      <c r="AD13" s="338">
        <v>63</v>
      </c>
      <c r="AE13" s="338">
        <v>0</v>
      </c>
      <c r="AF13" s="338">
        <v>32</v>
      </c>
      <c r="AG13" s="338">
        <v>0</v>
      </c>
      <c r="AH13" s="338">
        <v>0</v>
      </c>
      <c r="AI13" s="338">
        <v>0</v>
      </c>
      <c r="AJ13" s="338">
        <v>0</v>
      </c>
      <c r="AK13" s="338">
        <v>0</v>
      </c>
      <c r="AL13" s="338">
        <v>0</v>
      </c>
      <c r="AM13" s="338">
        <v>0</v>
      </c>
      <c r="AN13" s="338">
        <v>0</v>
      </c>
      <c r="AO13" s="338">
        <v>0</v>
      </c>
      <c r="AP13" s="338">
        <v>0</v>
      </c>
      <c r="AQ13" s="338">
        <v>0</v>
      </c>
      <c r="AR13" s="338">
        <v>0</v>
      </c>
      <c r="AS13" s="338">
        <v>0</v>
      </c>
      <c r="AT13" s="338">
        <v>0</v>
      </c>
      <c r="AU13" s="338">
        <v>0</v>
      </c>
      <c r="AV13" s="338">
        <v>0</v>
      </c>
      <c r="AW13" s="338">
        <v>0</v>
      </c>
      <c r="AX13" s="338">
        <v>0</v>
      </c>
      <c r="AY13" s="338">
        <v>0</v>
      </c>
      <c r="AZ13" s="338">
        <v>0</v>
      </c>
      <c r="BB13" s="338" t="s">
        <v>374</v>
      </c>
      <c r="BC13" s="338" t="s">
        <v>398</v>
      </c>
    </row>
    <row r="14" spans="1:57" ht="14.4">
      <c r="A14" s="15"/>
      <c r="B14" s="20"/>
      <c r="C14" s="15"/>
      <c r="D14" s="338" t="s">
        <v>119</v>
      </c>
      <c r="E14" s="338" t="s">
        <v>120</v>
      </c>
      <c r="F14" s="338">
        <v>0</v>
      </c>
      <c r="G14" s="338">
        <v>99</v>
      </c>
      <c r="H14" s="338"/>
      <c r="I14" s="338">
        <v>20</v>
      </c>
      <c r="J14" s="338">
        <v>10.54</v>
      </c>
      <c r="K14" s="338">
        <v>6.33</v>
      </c>
      <c r="L14" s="338">
        <v>2.86</v>
      </c>
      <c r="M14" s="338">
        <v>2.11</v>
      </c>
      <c r="N14" s="338">
        <v>0</v>
      </c>
      <c r="O14" s="338">
        <v>0</v>
      </c>
      <c r="P14" s="338">
        <v>0</v>
      </c>
      <c r="Q14" s="338">
        <v>0</v>
      </c>
      <c r="R14" s="338">
        <v>99</v>
      </c>
      <c r="S14" s="338">
        <v>11.5</v>
      </c>
      <c r="T14" s="338">
        <v>5.79</v>
      </c>
      <c r="U14" s="338">
        <v>1.43</v>
      </c>
      <c r="V14" s="338">
        <v>0</v>
      </c>
      <c r="W14" s="338">
        <v>1.04</v>
      </c>
      <c r="X14" s="338">
        <v>0</v>
      </c>
      <c r="Y14" s="338">
        <v>2.0099999999999998</v>
      </c>
      <c r="Z14" s="338">
        <v>2</v>
      </c>
      <c r="AA14" s="338">
        <v>391.66</v>
      </c>
      <c r="AB14" s="338">
        <v>10.02</v>
      </c>
      <c r="AC14" s="338">
        <v>1949</v>
      </c>
      <c r="AD14" s="338">
        <v>1300</v>
      </c>
      <c r="AE14" s="338">
        <v>3.9</v>
      </c>
      <c r="AF14" s="338">
        <v>1580</v>
      </c>
      <c r="AG14" s="338">
        <v>7323</v>
      </c>
      <c r="AH14" s="338">
        <v>28216</v>
      </c>
      <c r="AI14" s="338">
        <v>3167</v>
      </c>
      <c r="AJ14" s="338">
        <v>0</v>
      </c>
      <c r="AK14" s="338">
        <v>0</v>
      </c>
      <c r="AL14" s="338">
        <v>0</v>
      </c>
      <c r="AM14" s="338">
        <v>0</v>
      </c>
      <c r="AN14" s="338">
        <v>0</v>
      </c>
      <c r="AO14" s="338">
        <v>0</v>
      </c>
      <c r="AP14" s="338">
        <v>0</v>
      </c>
      <c r="AQ14" s="338">
        <v>0</v>
      </c>
      <c r="AR14" s="338">
        <v>0</v>
      </c>
      <c r="AS14" s="338">
        <v>0</v>
      </c>
      <c r="AT14" s="338">
        <v>0</v>
      </c>
      <c r="AU14" s="338">
        <v>0</v>
      </c>
      <c r="AV14" s="338">
        <v>0</v>
      </c>
      <c r="AW14" s="338">
        <v>0</v>
      </c>
      <c r="AX14" s="338">
        <v>0</v>
      </c>
      <c r="AY14" s="338">
        <v>0</v>
      </c>
      <c r="AZ14" s="338">
        <v>0</v>
      </c>
      <c r="BB14" s="338" t="s">
        <v>375</v>
      </c>
      <c r="BC14" s="338" t="s">
        <v>398</v>
      </c>
    </row>
    <row r="15" spans="1:57" ht="14.4">
      <c r="A15" s="15"/>
      <c r="B15" s="20"/>
      <c r="C15" s="15"/>
      <c r="D15" s="338" t="s">
        <v>121</v>
      </c>
      <c r="E15" s="338" t="s">
        <v>122</v>
      </c>
      <c r="F15" s="338">
        <v>0</v>
      </c>
      <c r="G15" s="338">
        <v>99</v>
      </c>
      <c r="H15" s="338"/>
      <c r="I15" s="338">
        <v>0</v>
      </c>
      <c r="J15" s="338">
        <v>0</v>
      </c>
      <c r="K15" s="338">
        <v>0</v>
      </c>
      <c r="L15" s="338">
        <v>0</v>
      </c>
      <c r="M15" s="338">
        <v>0</v>
      </c>
      <c r="N15" s="338">
        <v>0</v>
      </c>
      <c r="O15" s="338">
        <v>0</v>
      </c>
      <c r="P15" s="338">
        <v>0</v>
      </c>
      <c r="Q15" s="338">
        <v>0</v>
      </c>
      <c r="R15" s="338">
        <v>99</v>
      </c>
      <c r="S15" s="338">
        <v>0</v>
      </c>
      <c r="T15" s="338">
        <v>0</v>
      </c>
      <c r="U15" s="338">
        <v>0</v>
      </c>
      <c r="V15" s="338">
        <v>0</v>
      </c>
      <c r="W15" s="338">
        <v>0</v>
      </c>
      <c r="X15" s="338">
        <v>0</v>
      </c>
      <c r="Y15" s="338">
        <v>0</v>
      </c>
      <c r="Z15" s="338">
        <v>0</v>
      </c>
      <c r="AA15" s="338">
        <v>0</v>
      </c>
      <c r="AB15" s="338">
        <v>0</v>
      </c>
      <c r="AC15" s="338">
        <v>0</v>
      </c>
      <c r="AD15" s="338">
        <v>0</v>
      </c>
      <c r="AE15" s="338">
        <v>0</v>
      </c>
      <c r="AF15" s="338">
        <v>0</v>
      </c>
      <c r="AG15" s="338">
        <v>0</v>
      </c>
      <c r="AH15" s="338">
        <v>0</v>
      </c>
      <c r="AI15" s="338">
        <v>0</v>
      </c>
      <c r="AJ15" s="338">
        <v>0</v>
      </c>
      <c r="AK15" s="338">
        <v>0</v>
      </c>
      <c r="AL15" s="338">
        <v>0</v>
      </c>
      <c r="AM15" s="338">
        <v>0</v>
      </c>
      <c r="AN15" s="338">
        <v>0</v>
      </c>
      <c r="AO15" s="338">
        <v>0</v>
      </c>
      <c r="AP15" s="338">
        <v>0</v>
      </c>
      <c r="AQ15" s="338">
        <v>0</v>
      </c>
      <c r="AR15" s="338">
        <v>0</v>
      </c>
      <c r="AS15" s="338">
        <v>0</v>
      </c>
      <c r="AT15" s="338">
        <v>0</v>
      </c>
      <c r="AU15" s="338">
        <v>0</v>
      </c>
      <c r="AV15" s="338">
        <v>0</v>
      </c>
      <c r="AW15" s="338">
        <v>0</v>
      </c>
      <c r="AX15" s="338">
        <v>0</v>
      </c>
      <c r="AY15" s="338">
        <v>0</v>
      </c>
      <c r="AZ15" s="338">
        <v>0</v>
      </c>
      <c r="BB15" s="338" t="s">
        <v>376</v>
      </c>
      <c r="BC15" s="338" t="s">
        <v>398</v>
      </c>
    </row>
    <row r="16" spans="1:57" ht="14.4">
      <c r="A16" s="15"/>
      <c r="B16" s="20"/>
      <c r="C16" s="15"/>
      <c r="D16" s="338" t="s">
        <v>123</v>
      </c>
      <c r="E16" s="338" t="s">
        <v>124</v>
      </c>
      <c r="F16" s="338">
        <v>0</v>
      </c>
      <c r="G16" s="338">
        <v>99</v>
      </c>
      <c r="H16" s="338"/>
      <c r="I16" s="338">
        <v>0</v>
      </c>
      <c r="J16" s="338">
        <v>0</v>
      </c>
      <c r="K16" s="338">
        <v>0</v>
      </c>
      <c r="L16" s="338">
        <v>0</v>
      </c>
      <c r="M16" s="338">
        <v>0</v>
      </c>
      <c r="N16" s="338">
        <v>0</v>
      </c>
      <c r="O16" s="338">
        <v>0</v>
      </c>
      <c r="P16" s="338">
        <v>0</v>
      </c>
      <c r="Q16" s="338">
        <v>0</v>
      </c>
      <c r="R16" s="338">
        <v>99</v>
      </c>
      <c r="S16" s="338">
        <v>0</v>
      </c>
      <c r="T16" s="338">
        <v>0</v>
      </c>
      <c r="U16" s="338">
        <v>0</v>
      </c>
      <c r="V16" s="338">
        <v>0</v>
      </c>
      <c r="W16" s="338">
        <v>0</v>
      </c>
      <c r="X16" s="338">
        <v>0</v>
      </c>
      <c r="Y16" s="338">
        <v>99</v>
      </c>
      <c r="Z16" s="338">
        <v>0</v>
      </c>
      <c r="AA16" s="338">
        <v>0</v>
      </c>
      <c r="AB16" s="338">
        <v>0</v>
      </c>
      <c r="AC16" s="338">
        <v>0</v>
      </c>
      <c r="AD16" s="338">
        <v>0</v>
      </c>
      <c r="AE16" s="338">
        <v>0</v>
      </c>
      <c r="AF16" s="338">
        <v>0</v>
      </c>
      <c r="AG16" s="338">
        <v>0</v>
      </c>
      <c r="AH16" s="338">
        <v>0</v>
      </c>
      <c r="AI16" s="338">
        <v>0</v>
      </c>
      <c r="AJ16" s="338">
        <v>0</v>
      </c>
      <c r="AK16" s="338">
        <v>0</v>
      </c>
      <c r="AL16" s="338">
        <v>0</v>
      </c>
      <c r="AM16" s="338">
        <v>0</v>
      </c>
      <c r="AN16" s="338">
        <v>0</v>
      </c>
      <c r="AO16" s="338">
        <v>0</v>
      </c>
      <c r="AP16" s="338">
        <v>0</v>
      </c>
      <c r="AQ16" s="338">
        <v>0</v>
      </c>
      <c r="AR16" s="338">
        <v>0</v>
      </c>
      <c r="AS16" s="338">
        <v>0</v>
      </c>
      <c r="AT16" s="338">
        <v>0</v>
      </c>
      <c r="AU16" s="338">
        <v>0</v>
      </c>
      <c r="AV16" s="338">
        <v>0</v>
      </c>
      <c r="AW16" s="338">
        <v>0</v>
      </c>
      <c r="AX16" s="338">
        <v>0</v>
      </c>
      <c r="AY16" s="338">
        <v>0</v>
      </c>
      <c r="AZ16" s="338">
        <v>0</v>
      </c>
      <c r="BB16" s="338" t="s">
        <v>377</v>
      </c>
      <c r="BC16" s="338" t="s">
        <v>398</v>
      </c>
    </row>
    <row r="17" spans="1:55" ht="14.4">
      <c r="A17" s="15"/>
      <c r="B17" s="20"/>
      <c r="C17" s="15"/>
      <c r="D17" s="338" t="s">
        <v>125</v>
      </c>
      <c r="E17" s="338" t="s">
        <v>107</v>
      </c>
      <c r="F17" s="338">
        <v>0</v>
      </c>
      <c r="G17" s="338">
        <v>90.6</v>
      </c>
      <c r="H17" s="338">
        <v>3.35</v>
      </c>
      <c r="I17" s="338">
        <v>15.5</v>
      </c>
      <c r="J17" s="338">
        <v>0.72</v>
      </c>
      <c r="K17" s="338">
        <v>0</v>
      </c>
      <c r="L17" s="338">
        <v>0</v>
      </c>
      <c r="M17" s="338">
        <v>0</v>
      </c>
      <c r="N17" s="338">
        <v>15.2</v>
      </c>
      <c r="O17" s="338">
        <v>26.1</v>
      </c>
      <c r="P17" s="338">
        <v>13.1</v>
      </c>
      <c r="Q17" s="338">
        <v>0</v>
      </c>
      <c r="R17" s="338">
        <v>10.4</v>
      </c>
      <c r="S17" s="338">
        <v>7.0000000000000007E-2</v>
      </c>
      <c r="T17" s="338">
        <v>1.78</v>
      </c>
      <c r="U17" s="338">
        <v>0.81</v>
      </c>
      <c r="V17" s="338">
        <v>1.57</v>
      </c>
      <c r="W17" s="338">
        <v>0.03</v>
      </c>
      <c r="X17" s="338">
        <v>0.09</v>
      </c>
      <c r="Y17" s="338">
        <v>0.19</v>
      </c>
      <c r="Z17" s="338">
        <v>0</v>
      </c>
      <c r="AA17" s="338">
        <v>10</v>
      </c>
      <c r="AB17" s="338">
        <v>0</v>
      </c>
      <c r="AC17" s="338">
        <v>239</v>
      </c>
      <c r="AD17" s="338">
        <v>186</v>
      </c>
      <c r="AE17" s="338">
        <v>0.17</v>
      </c>
      <c r="AF17" s="338">
        <v>71</v>
      </c>
      <c r="AG17" s="338">
        <v>0</v>
      </c>
      <c r="AH17" s="338">
        <v>0</v>
      </c>
      <c r="AI17" s="338">
        <v>0</v>
      </c>
      <c r="AJ17" s="338">
        <v>0</v>
      </c>
      <c r="AK17" s="338">
        <v>0</v>
      </c>
      <c r="AL17" s="338">
        <v>0</v>
      </c>
      <c r="AM17" s="338">
        <v>0</v>
      </c>
      <c r="AN17" s="338">
        <v>0</v>
      </c>
      <c r="AO17" s="338">
        <v>0</v>
      </c>
      <c r="AP17" s="338">
        <v>0</v>
      </c>
      <c r="AQ17" s="338">
        <v>0</v>
      </c>
      <c r="AR17" s="338">
        <v>0</v>
      </c>
      <c r="AS17" s="338">
        <v>0</v>
      </c>
      <c r="AT17" s="338">
        <v>0</v>
      </c>
      <c r="AU17" s="338">
        <v>0</v>
      </c>
      <c r="AV17" s="338">
        <v>0</v>
      </c>
      <c r="AW17" s="338">
        <v>0</v>
      </c>
      <c r="AX17" s="338">
        <v>0</v>
      </c>
      <c r="AY17" s="338">
        <v>0</v>
      </c>
      <c r="AZ17" s="338">
        <v>0</v>
      </c>
      <c r="BB17" s="338" t="s">
        <v>378</v>
      </c>
      <c r="BC17" s="338" t="s">
        <v>398</v>
      </c>
    </row>
    <row r="18" spans="1:55" ht="14.4">
      <c r="A18" s="15"/>
      <c r="B18" s="20"/>
      <c r="C18" s="15"/>
      <c r="D18" s="338" t="s">
        <v>126</v>
      </c>
      <c r="E18" s="338" t="s">
        <v>107</v>
      </c>
      <c r="F18" s="338">
        <v>0</v>
      </c>
      <c r="G18" s="338">
        <v>89.1</v>
      </c>
      <c r="H18" s="338">
        <v>3.22</v>
      </c>
      <c r="I18" s="338">
        <v>17.3</v>
      </c>
      <c r="J18" s="338">
        <v>0.7</v>
      </c>
      <c r="K18" s="338">
        <v>0</v>
      </c>
      <c r="L18" s="338">
        <v>0</v>
      </c>
      <c r="M18" s="338">
        <v>0</v>
      </c>
      <c r="N18" s="338">
        <v>4.3</v>
      </c>
      <c r="O18" s="338">
        <v>42.5</v>
      </c>
      <c r="P18" s="338">
        <v>15.5</v>
      </c>
      <c r="Q18" s="338">
        <v>0</v>
      </c>
      <c r="R18" s="338">
        <v>6.3</v>
      </c>
      <c r="S18" s="338">
        <v>0.13</v>
      </c>
      <c r="T18" s="338">
        <v>1.18</v>
      </c>
      <c r="U18" s="338">
        <v>0.53</v>
      </c>
      <c r="V18" s="338">
        <v>1.32</v>
      </c>
      <c r="W18" s="338">
        <v>0.04</v>
      </c>
      <c r="X18" s="338">
        <v>0.16</v>
      </c>
      <c r="Y18" s="338">
        <v>0.21</v>
      </c>
      <c r="Z18" s="338">
        <v>0</v>
      </c>
      <c r="AA18" s="338">
        <v>11</v>
      </c>
      <c r="AB18" s="338">
        <v>0</v>
      </c>
      <c r="AC18" s="338">
        <v>157</v>
      </c>
      <c r="AD18" s="338">
        <v>122</v>
      </c>
      <c r="AE18" s="338">
        <v>0.5</v>
      </c>
      <c r="AF18" s="338">
        <v>85</v>
      </c>
      <c r="AG18" s="338">
        <v>0</v>
      </c>
      <c r="AH18" s="338">
        <v>0</v>
      </c>
      <c r="AI18" s="338">
        <v>0</v>
      </c>
      <c r="AJ18" s="338">
        <v>0</v>
      </c>
      <c r="AK18" s="338">
        <v>0</v>
      </c>
      <c r="AL18" s="338">
        <v>0</v>
      </c>
      <c r="AM18" s="338">
        <v>0</v>
      </c>
      <c r="AN18" s="338">
        <v>0</v>
      </c>
      <c r="AO18" s="338">
        <v>0</v>
      </c>
      <c r="AP18" s="338">
        <v>0</v>
      </c>
      <c r="AQ18" s="338">
        <v>0</v>
      </c>
      <c r="AR18" s="338">
        <v>0</v>
      </c>
      <c r="AS18" s="338">
        <v>0</v>
      </c>
      <c r="AT18" s="338">
        <v>0</v>
      </c>
      <c r="AU18" s="338">
        <v>0</v>
      </c>
      <c r="AV18" s="338">
        <v>0</v>
      </c>
      <c r="AW18" s="338">
        <v>0</v>
      </c>
      <c r="AX18" s="338">
        <v>0</v>
      </c>
      <c r="AY18" s="338">
        <v>0</v>
      </c>
      <c r="AZ18" s="338">
        <v>0</v>
      </c>
      <c r="BB18" s="338" t="s">
        <v>379</v>
      </c>
      <c r="BC18" s="338" t="s">
        <v>363</v>
      </c>
    </row>
    <row r="19" spans="1:55" ht="14.4">
      <c r="A19" s="15"/>
      <c r="B19" s="20"/>
      <c r="C19" s="15"/>
      <c r="D19" s="338" t="s">
        <v>127</v>
      </c>
      <c r="E19" s="338" t="s">
        <v>105</v>
      </c>
      <c r="F19" s="338">
        <v>0</v>
      </c>
      <c r="G19" s="338">
        <v>90.3</v>
      </c>
      <c r="H19" s="338">
        <v>2.4300000000000002</v>
      </c>
      <c r="I19" s="338">
        <v>19.2</v>
      </c>
      <c r="J19" s="338">
        <v>0.83</v>
      </c>
      <c r="K19" s="338">
        <v>0</v>
      </c>
      <c r="L19" s="338">
        <v>0</v>
      </c>
      <c r="M19" s="338">
        <v>0</v>
      </c>
      <c r="N19" s="338">
        <v>2.5</v>
      </c>
      <c r="O19" s="338">
        <v>41.6</v>
      </c>
      <c r="P19" s="338">
        <v>32.799999999999997</v>
      </c>
      <c r="Q19" s="338">
        <v>0</v>
      </c>
      <c r="R19" s="338">
        <v>11</v>
      </c>
      <c r="S19" s="338">
        <v>1.47</v>
      </c>
      <c r="T19" s="338">
        <v>0.28000000000000003</v>
      </c>
      <c r="U19" s="338">
        <v>0.28999999999999998</v>
      </c>
      <c r="V19" s="338">
        <v>2.37</v>
      </c>
      <c r="W19" s="338">
        <v>0.1</v>
      </c>
      <c r="X19" s="338">
        <v>0.65</v>
      </c>
      <c r="Y19" s="338">
        <v>0.26</v>
      </c>
      <c r="Z19" s="338">
        <v>0.3</v>
      </c>
      <c r="AA19" s="338">
        <v>9</v>
      </c>
      <c r="AB19" s="338">
        <v>0.16</v>
      </c>
      <c r="AC19" s="338">
        <v>619</v>
      </c>
      <c r="AD19" s="338">
        <v>44</v>
      </c>
      <c r="AE19" s="338">
        <v>0.36</v>
      </c>
      <c r="AF19" s="338">
        <v>28</v>
      </c>
      <c r="AG19" s="338">
        <v>0</v>
      </c>
      <c r="AH19" s="338">
        <v>0</v>
      </c>
      <c r="AI19" s="338">
        <v>0</v>
      </c>
      <c r="AJ19" s="338">
        <v>0</v>
      </c>
      <c r="AK19" s="338">
        <v>0</v>
      </c>
      <c r="AL19" s="338">
        <v>0</v>
      </c>
      <c r="AM19" s="338">
        <v>0</v>
      </c>
      <c r="AN19" s="338">
        <v>0</v>
      </c>
      <c r="AO19" s="338">
        <v>0</v>
      </c>
      <c r="AP19" s="338">
        <v>0</v>
      </c>
      <c r="AQ19" s="338">
        <v>0</v>
      </c>
      <c r="AR19" s="338">
        <v>0</v>
      </c>
      <c r="AS19" s="338">
        <v>0</v>
      </c>
      <c r="AT19" s="338">
        <v>0</v>
      </c>
      <c r="AU19" s="338">
        <v>0</v>
      </c>
      <c r="AV19" s="338">
        <v>0</v>
      </c>
      <c r="AW19" s="338">
        <v>0</v>
      </c>
      <c r="AX19" s="338">
        <v>0</v>
      </c>
      <c r="AY19" s="338">
        <v>0</v>
      </c>
      <c r="AZ19" s="338">
        <v>0</v>
      </c>
      <c r="BB19" s="338" t="s">
        <v>390</v>
      </c>
      <c r="BC19" s="338" t="s">
        <v>363</v>
      </c>
    </row>
    <row r="20" spans="1:55" ht="15.75" customHeight="1">
      <c r="A20" s="15"/>
      <c r="B20" s="20"/>
      <c r="C20" s="15"/>
      <c r="D20" s="338" t="s">
        <v>128</v>
      </c>
      <c r="E20" s="338" t="s">
        <v>107</v>
      </c>
      <c r="F20" s="338">
        <v>0</v>
      </c>
      <c r="G20" s="338">
        <v>90.5</v>
      </c>
      <c r="H20" s="338">
        <v>2.98</v>
      </c>
      <c r="I20" s="338">
        <v>44.9</v>
      </c>
      <c r="J20" s="338">
        <v>1.85</v>
      </c>
      <c r="K20" s="338">
        <v>0</v>
      </c>
      <c r="L20" s="338">
        <v>0</v>
      </c>
      <c r="M20" s="338">
        <v>0</v>
      </c>
      <c r="N20" s="338">
        <v>1.9</v>
      </c>
      <c r="O20" s="338">
        <v>30.8</v>
      </c>
      <c r="P20" s="338">
        <v>19.899999999999999</v>
      </c>
      <c r="Q20" s="338">
        <v>0</v>
      </c>
      <c r="R20" s="338">
        <v>6.7</v>
      </c>
      <c r="S20" s="338">
        <v>0.2</v>
      </c>
      <c r="T20" s="338">
        <v>1.1499999999999999</v>
      </c>
      <c r="U20" s="338">
        <v>0.61</v>
      </c>
      <c r="V20" s="338">
        <v>1.64</v>
      </c>
      <c r="W20" s="338">
        <v>7.0000000000000007E-2</v>
      </c>
      <c r="X20" s="338">
        <v>7.0000000000000007E-2</v>
      </c>
      <c r="Y20" s="338">
        <v>0.4</v>
      </c>
      <c r="Z20" s="338">
        <v>0</v>
      </c>
      <c r="AA20" s="338">
        <v>14</v>
      </c>
      <c r="AB20" s="338">
        <v>0</v>
      </c>
      <c r="AC20" s="338">
        <v>149</v>
      </c>
      <c r="AD20" s="338">
        <v>24</v>
      </c>
      <c r="AE20" s="338">
        <v>0.3</v>
      </c>
      <c r="AF20" s="338">
        <v>67</v>
      </c>
      <c r="AG20" s="338">
        <v>0</v>
      </c>
      <c r="AH20" s="338">
        <v>0</v>
      </c>
      <c r="AI20" s="338">
        <v>0</v>
      </c>
      <c r="AJ20" s="338">
        <v>0</v>
      </c>
      <c r="AK20" s="338">
        <v>0</v>
      </c>
      <c r="AL20" s="338">
        <v>0</v>
      </c>
      <c r="AM20" s="338">
        <v>0</v>
      </c>
      <c r="AN20" s="338">
        <v>0</v>
      </c>
      <c r="AO20" s="338">
        <v>0</v>
      </c>
      <c r="AP20" s="338">
        <v>0</v>
      </c>
      <c r="AQ20" s="338">
        <v>0</v>
      </c>
      <c r="AR20" s="338">
        <v>0</v>
      </c>
      <c r="AS20" s="338">
        <v>0</v>
      </c>
      <c r="AT20" s="338">
        <v>0</v>
      </c>
      <c r="AU20" s="338">
        <v>0</v>
      </c>
      <c r="AV20" s="338">
        <v>0</v>
      </c>
      <c r="AW20" s="338">
        <v>0</v>
      </c>
      <c r="AX20" s="338">
        <v>0</v>
      </c>
      <c r="AY20" s="338">
        <v>0</v>
      </c>
      <c r="AZ20" s="338">
        <v>0</v>
      </c>
      <c r="BB20" s="338" t="s">
        <v>391</v>
      </c>
      <c r="BC20" s="338" t="s">
        <v>363</v>
      </c>
    </row>
    <row r="21" spans="1:55" ht="15.75" customHeight="1">
      <c r="A21" s="15"/>
      <c r="B21" s="20"/>
      <c r="C21" s="15"/>
      <c r="D21" s="338" t="s">
        <v>129</v>
      </c>
      <c r="E21" s="338" t="s">
        <v>107</v>
      </c>
      <c r="F21" s="338">
        <v>0</v>
      </c>
      <c r="G21" s="338">
        <v>92.3</v>
      </c>
      <c r="H21" s="338">
        <v>3.33</v>
      </c>
      <c r="I21" s="338">
        <v>51.8</v>
      </c>
      <c r="J21" s="338">
        <v>1.73</v>
      </c>
      <c r="K21" s="338">
        <v>0</v>
      </c>
      <c r="L21" s="338">
        <v>0</v>
      </c>
      <c r="M21" s="338">
        <v>0</v>
      </c>
      <c r="N21" s="338">
        <v>1.4</v>
      </c>
      <c r="O21" s="338">
        <v>21.4</v>
      </c>
      <c r="P21" s="338">
        <v>13.5</v>
      </c>
      <c r="Q21" s="338">
        <v>0</v>
      </c>
      <c r="R21" s="338">
        <v>5.8</v>
      </c>
      <c r="S21" s="338">
        <v>0.2</v>
      </c>
      <c r="T21" s="338">
        <v>0.64</v>
      </c>
      <c r="U21" s="338">
        <v>0.32</v>
      </c>
      <c r="V21" s="338">
        <v>1.32</v>
      </c>
      <c r="W21" s="338">
        <v>0.03</v>
      </c>
      <c r="X21" s="338">
        <v>0.1</v>
      </c>
      <c r="Y21" s="338">
        <v>0.32</v>
      </c>
      <c r="Z21" s="338">
        <v>0</v>
      </c>
      <c r="AA21" s="338">
        <v>1310</v>
      </c>
      <c r="AB21" s="338">
        <v>7.0000000000000007E-2</v>
      </c>
      <c r="AC21" s="338">
        <v>302</v>
      </c>
      <c r="AD21" s="338">
        <v>33</v>
      </c>
      <c r="AE21" s="338">
        <v>0.21</v>
      </c>
      <c r="AF21" s="338">
        <v>54</v>
      </c>
      <c r="AG21" s="338">
        <v>0</v>
      </c>
      <c r="AH21" s="338">
        <v>0</v>
      </c>
      <c r="AI21" s="338">
        <v>0</v>
      </c>
      <c r="AJ21" s="338">
        <v>0</v>
      </c>
      <c r="AK21" s="338">
        <v>0</v>
      </c>
      <c r="AL21" s="338">
        <v>0</v>
      </c>
      <c r="AM21" s="338">
        <v>0</v>
      </c>
      <c r="AN21" s="338">
        <v>0</v>
      </c>
      <c r="AO21" s="338">
        <v>0</v>
      </c>
      <c r="AP21" s="338">
        <v>0</v>
      </c>
      <c r="AQ21" s="338">
        <v>0</v>
      </c>
      <c r="AR21" s="338">
        <v>0</v>
      </c>
      <c r="AS21" s="338">
        <v>0</v>
      </c>
      <c r="AT21" s="338">
        <v>0</v>
      </c>
      <c r="AU21" s="338">
        <v>0</v>
      </c>
      <c r="AV21" s="338">
        <v>0</v>
      </c>
      <c r="AW21" s="338">
        <v>0</v>
      </c>
      <c r="AX21" s="338">
        <v>0</v>
      </c>
      <c r="AY21" s="338">
        <v>0</v>
      </c>
      <c r="AZ21" s="338">
        <v>0</v>
      </c>
      <c r="BB21" s="338" t="s">
        <v>392</v>
      </c>
      <c r="BC21" s="338" t="s">
        <v>363</v>
      </c>
    </row>
    <row r="22" spans="1:55" ht="15.75" customHeight="1">
      <c r="A22" s="15"/>
      <c r="B22" s="20"/>
      <c r="C22" s="15"/>
      <c r="D22" s="338" t="s">
        <v>130</v>
      </c>
      <c r="E22" s="338" t="s">
        <v>107</v>
      </c>
      <c r="F22" s="338">
        <v>0</v>
      </c>
      <c r="G22" s="338">
        <v>90.3</v>
      </c>
      <c r="H22" s="338">
        <v>2.94</v>
      </c>
      <c r="I22" s="338">
        <v>37.799999999999997</v>
      </c>
      <c r="J22" s="338">
        <v>2.12</v>
      </c>
      <c r="K22" s="338">
        <v>0</v>
      </c>
      <c r="L22" s="338">
        <v>0</v>
      </c>
      <c r="M22" s="338">
        <v>0</v>
      </c>
      <c r="N22" s="338">
        <v>5.4</v>
      </c>
      <c r="O22" s="338">
        <v>29.8</v>
      </c>
      <c r="P22" s="338">
        <v>20.5</v>
      </c>
      <c r="Q22" s="338">
        <v>0</v>
      </c>
      <c r="R22" s="338">
        <v>7.4</v>
      </c>
      <c r="S22" s="338">
        <v>0.75</v>
      </c>
      <c r="T22" s="338">
        <v>1.1000000000000001</v>
      </c>
      <c r="U22" s="338">
        <v>0.53</v>
      </c>
      <c r="V22" s="338">
        <v>1.41</v>
      </c>
      <c r="W22" s="338">
        <v>7.0000000000000007E-2</v>
      </c>
      <c r="X22" s="338">
        <v>0.04</v>
      </c>
      <c r="Y22" s="338">
        <v>0.73</v>
      </c>
      <c r="Z22" s="338">
        <v>0</v>
      </c>
      <c r="AA22" s="338">
        <v>5</v>
      </c>
      <c r="AB22" s="338">
        <v>0</v>
      </c>
      <c r="AC22" s="338">
        <v>296</v>
      </c>
      <c r="AD22" s="338">
        <v>62</v>
      </c>
      <c r="AE22" s="338">
        <v>1.0900000000000001</v>
      </c>
      <c r="AF22" s="338">
        <v>61</v>
      </c>
      <c r="AG22" s="338">
        <v>0</v>
      </c>
      <c r="AH22" s="338">
        <v>0</v>
      </c>
      <c r="AI22" s="338">
        <v>0</v>
      </c>
      <c r="AJ22" s="338">
        <v>0</v>
      </c>
      <c r="AK22" s="338">
        <v>0</v>
      </c>
      <c r="AL22" s="338">
        <v>0</v>
      </c>
      <c r="AM22" s="338">
        <v>0</v>
      </c>
      <c r="AN22" s="338">
        <v>0</v>
      </c>
      <c r="AO22" s="338">
        <v>0</v>
      </c>
      <c r="AP22" s="338">
        <v>0</v>
      </c>
      <c r="AQ22" s="338">
        <v>0</v>
      </c>
      <c r="AR22" s="338">
        <v>0</v>
      </c>
      <c r="AS22" s="338">
        <v>0</v>
      </c>
      <c r="AT22" s="338">
        <v>0</v>
      </c>
      <c r="AU22" s="338">
        <v>0</v>
      </c>
      <c r="AV22" s="338">
        <v>0</v>
      </c>
      <c r="AW22" s="338">
        <v>0</v>
      </c>
      <c r="AX22" s="338">
        <v>0</v>
      </c>
      <c r="AY22" s="338">
        <v>0</v>
      </c>
      <c r="AZ22" s="338">
        <v>0</v>
      </c>
      <c r="BB22" s="338" t="s">
        <v>393</v>
      </c>
      <c r="BC22" s="338" t="s">
        <v>363</v>
      </c>
    </row>
    <row r="23" spans="1:55" ht="15.75" customHeight="1">
      <c r="A23" s="15"/>
      <c r="B23" s="20"/>
      <c r="C23" s="15"/>
      <c r="D23" s="338" t="s">
        <v>131</v>
      </c>
      <c r="E23" s="338" t="s">
        <v>107</v>
      </c>
      <c r="F23" s="338">
        <v>0</v>
      </c>
      <c r="G23" s="338">
        <v>92.2</v>
      </c>
      <c r="H23" s="338">
        <v>2.42</v>
      </c>
      <c r="I23" s="338">
        <v>28.4</v>
      </c>
      <c r="J23" s="338">
        <v>1.01</v>
      </c>
      <c r="K23" s="338">
        <v>0</v>
      </c>
      <c r="L23" s="338">
        <v>0</v>
      </c>
      <c r="M23" s="338">
        <v>0</v>
      </c>
      <c r="N23" s="338">
        <v>1.4</v>
      </c>
      <c r="O23" s="338">
        <v>40.299999999999997</v>
      </c>
      <c r="P23" s="338">
        <v>30</v>
      </c>
      <c r="Q23" s="338">
        <v>0</v>
      </c>
      <c r="R23" s="338">
        <v>7.7</v>
      </c>
      <c r="S23" s="338">
        <v>0.48</v>
      </c>
      <c r="T23" s="338">
        <v>1</v>
      </c>
      <c r="U23" s="338">
        <v>0.63</v>
      </c>
      <c r="V23" s="338">
        <v>1.5</v>
      </c>
      <c r="W23" s="338">
        <v>0.04</v>
      </c>
      <c r="X23" s="338">
        <v>0.12</v>
      </c>
      <c r="Y23" s="338">
        <v>0.39</v>
      </c>
      <c r="Z23" s="338">
        <v>0</v>
      </c>
      <c r="AA23" s="338">
        <v>32</v>
      </c>
      <c r="AB23" s="338">
        <v>0</v>
      </c>
      <c r="AC23" s="338">
        <v>298</v>
      </c>
      <c r="AD23" s="338">
        <v>45</v>
      </c>
      <c r="AE23" s="338">
        <v>0.5</v>
      </c>
      <c r="AF23" s="338">
        <v>88</v>
      </c>
      <c r="AG23" s="338">
        <v>0</v>
      </c>
      <c r="AH23" s="338">
        <v>0</v>
      </c>
      <c r="AI23" s="338">
        <v>0</v>
      </c>
      <c r="AJ23" s="338">
        <v>0</v>
      </c>
      <c r="AK23" s="338">
        <v>0</v>
      </c>
      <c r="AL23" s="338">
        <v>0</v>
      </c>
      <c r="AM23" s="338">
        <v>0</v>
      </c>
      <c r="AN23" s="338">
        <v>0</v>
      </c>
      <c r="AO23" s="338">
        <v>0</v>
      </c>
      <c r="AP23" s="338">
        <v>0</v>
      </c>
      <c r="AQ23" s="338">
        <v>0</v>
      </c>
      <c r="AR23" s="338">
        <v>0</v>
      </c>
      <c r="AS23" s="338">
        <v>0</v>
      </c>
      <c r="AT23" s="338">
        <v>0</v>
      </c>
      <c r="AU23" s="338">
        <v>0</v>
      </c>
      <c r="AV23" s="338">
        <v>0</v>
      </c>
      <c r="AW23" s="338">
        <v>0</v>
      </c>
      <c r="AX23" s="338">
        <v>0</v>
      </c>
      <c r="AY23" s="338">
        <v>0</v>
      </c>
      <c r="AZ23" s="338">
        <v>0</v>
      </c>
      <c r="BB23" s="338" t="s">
        <v>394</v>
      </c>
      <c r="BC23" s="338" t="s">
        <v>363</v>
      </c>
    </row>
    <row r="24" spans="1:55" ht="15.75" customHeight="1">
      <c r="A24" s="15"/>
      <c r="B24" s="20"/>
      <c r="C24" s="15"/>
      <c r="D24" s="338" t="s">
        <v>132</v>
      </c>
      <c r="E24" s="338" t="s">
        <v>107</v>
      </c>
      <c r="F24" s="338">
        <v>0</v>
      </c>
      <c r="G24" s="338">
        <v>90.3</v>
      </c>
      <c r="H24" s="338">
        <v>2.85</v>
      </c>
      <c r="I24" s="338">
        <v>32.6</v>
      </c>
      <c r="J24" s="338">
        <v>1.2</v>
      </c>
      <c r="K24" s="338">
        <v>0</v>
      </c>
      <c r="L24" s="338">
        <v>0</v>
      </c>
      <c r="M24" s="338">
        <v>0</v>
      </c>
      <c r="N24" s="338">
        <v>1.7</v>
      </c>
      <c r="O24" s="338">
        <v>36.1</v>
      </c>
      <c r="P24" s="338">
        <v>22.1</v>
      </c>
      <c r="Q24" s="338">
        <v>0</v>
      </c>
      <c r="R24" s="338">
        <v>6.5</v>
      </c>
      <c r="S24" s="338">
        <v>0.4</v>
      </c>
      <c r="T24" s="338">
        <v>0.83</v>
      </c>
      <c r="U24" s="338">
        <v>0.55000000000000004</v>
      </c>
      <c r="V24" s="338">
        <v>1.22</v>
      </c>
      <c r="W24" s="338">
        <v>0.09</v>
      </c>
      <c r="X24" s="338">
        <v>0</v>
      </c>
      <c r="Y24" s="338">
        <v>0.37</v>
      </c>
      <c r="Z24" s="338">
        <v>0</v>
      </c>
      <c r="AA24" s="338">
        <v>19</v>
      </c>
      <c r="AB24" s="338">
        <v>0</v>
      </c>
      <c r="AC24" s="338">
        <v>369</v>
      </c>
      <c r="AD24" s="338">
        <v>39</v>
      </c>
      <c r="AE24" s="338">
        <v>1.05</v>
      </c>
      <c r="AF24" s="338">
        <v>69</v>
      </c>
      <c r="AG24" s="338">
        <v>0</v>
      </c>
      <c r="AH24" s="338">
        <v>0</v>
      </c>
      <c r="AI24" s="338">
        <v>0</v>
      </c>
      <c r="AJ24" s="338">
        <v>0</v>
      </c>
      <c r="AK24" s="338">
        <v>0</v>
      </c>
      <c r="AL24" s="338">
        <v>0</v>
      </c>
      <c r="AM24" s="338">
        <v>0</v>
      </c>
      <c r="AN24" s="338">
        <v>0</v>
      </c>
      <c r="AO24" s="338">
        <v>0</v>
      </c>
      <c r="AP24" s="338">
        <v>0</v>
      </c>
      <c r="AQ24" s="338">
        <v>0</v>
      </c>
      <c r="AR24" s="338">
        <v>0</v>
      </c>
      <c r="AS24" s="338">
        <v>0</v>
      </c>
      <c r="AT24" s="338">
        <v>0</v>
      </c>
      <c r="AU24" s="338">
        <v>0</v>
      </c>
      <c r="AV24" s="338">
        <v>0</v>
      </c>
      <c r="AW24" s="338">
        <v>0</v>
      </c>
      <c r="AX24" s="338">
        <v>0</v>
      </c>
      <c r="AY24" s="338">
        <v>0</v>
      </c>
      <c r="AZ24" s="338">
        <v>0</v>
      </c>
      <c r="BB24" s="338" t="s">
        <v>395</v>
      </c>
      <c r="BC24" s="338" t="s">
        <v>363</v>
      </c>
    </row>
    <row r="25" spans="1:55" ht="15.75" customHeight="1">
      <c r="A25" s="15"/>
      <c r="B25" s="20"/>
      <c r="C25" s="15"/>
      <c r="D25" s="338" t="s">
        <v>133</v>
      </c>
      <c r="E25" s="338" t="s">
        <v>107</v>
      </c>
      <c r="F25" s="338">
        <v>0</v>
      </c>
      <c r="G25" s="338">
        <v>92</v>
      </c>
      <c r="H25" s="338">
        <v>4.07</v>
      </c>
      <c r="I25" s="338">
        <v>71.2</v>
      </c>
      <c r="J25" s="338">
        <v>5.63</v>
      </c>
      <c r="K25" s="338">
        <v>0</v>
      </c>
      <c r="L25" s="338">
        <v>0</v>
      </c>
      <c r="M25" s="338">
        <v>0</v>
      </c>
      <c r="N25" s="338">
        <v>4.5999999999999996</v>
      </c>
      <c r="O25" s="338">
        <v>0</v>
      </c>
      <c r="P25" s="338">
        <v>0</v>
      </c>
      <c r="Q25" s="338">
        <v>0</v>
      </c>
      <c r="R25" s="338">
        <v>16</v>
      </c>
      <c r="S25" s="338">
        <v>4.0599999999999996</v>
      </c>
      <c r="T25" s="338">
        <v>2.69</v>
      </c>
      <c r="U25" s="338">
        <v>0.27</v>
      </c>
      <c r="V25" s="338">
        <v>0.79</v>
      </c>
      <c r="W25" s="338">
        <v>0.96</v>
      </c>
      <c r="X25" s="338">
        <v>0.8</v>
      </c>
      <c r="Y25" s="338">
        <v>0.78</v>
      </c>
      <c r="Z25" s="338">
        <v>0</v>
      </c>
      <c r="AA25" s="338">
        <v>10</v>
      </c>
      <c r="AB25" s="338">
        <v>3.41</v>
      </c>
      <c r="AC25" s="338">
        <v>234</v>
      </c>
      <c r="AD25" s="338">
        <v>12</v>
      </c>
      <c r="AE25" s="338">
        <v>1.47</v>
      </c>
      <c r="AF25" s="338">
        <v>114</v>
      </c>
      <c r="AG25" s="338">
        <v>0</v>
      </c>
      <c r="AH25" s="338">
        <v>0</v>
      </c>
      <c r="AI25" s="338">
        <v>0</v>
      </c>
      <c r="AJ25" s="338">
        <v>0</v>
      </c>
      <c r="AK25" s="338">
        <v>0</v>
      </c>
      <c r="AL25" s="338">
        <v>0</v>
      </c>
      <c r="AM25" s="338">
        <v>0</v>
      </c>
      <c r="AN25" s="338">
        <v>0</v>
      </c>
      <c r="AO25" s="338">
        <v>0</v>
      </c>
      <c r="AP25" s="338">
        <v>0</v>
      </c>
      <c r="AQ25" s="338">
        <v>0</v>
      </c>
      <c r="AR25" s="338">
        <v>0</v>
      </c>
      <c r="AS25" s="338">
        <v>0</v>
      </c>
      <c r="AT25" s="338">
        <v>0</v>
      </c>
      <c r="AU25" s="338">
        <v>0</v>
      </c>
      <c r="AV25" s="338">
        <v>0</v>
      </c>
      <c r="AW25" s="338">
        <v>0</v>
      </c>
      <c r="AX25" s="338">
        <v>0</v>
      </c>
      <c r="AY25" s="338">
        <v>0</v>
      </c>
      <c r="AZ25" s="338">
        <v>0</v>
      </c>
      <c r="BB25" s="338" t="s">
        <v>380</v>
      </c>
      <c r="BC25" s="338" t="s">
        <v>396</v>
      </c>
    </row>
    <row r="26" spans="1:55" ht="15.75" customHeight="1">
      <c r="A26" s="15"/>
      <c r="B26" s="20"/>
      <c r="C26" s="15"/>
      <c r="D26" s="338" t="s">
        <v>134</v>
      </c>
      <c r="E26" s="338" t="s">
        <v>107</v>
      </c>
      <c r="F26" s="338">
        <v>0</v>
      </c>
      <c r="G26" s="338">
        <v>91.2</v>
      </c>
      <c r="H26" s="338">
        <v>4.07</v>
      </c>
      <c r="I26" s="338">
        <v>68.5</v>
      </c>
      <c r="J26" s="338">
        <v>5.24</v>
      </c>
      <c r="K26" s="338">
        <v>0</v>
      </c>
      <c r="L26" s="338">
        <v>0</v>
      </c>
      <c r="M26" s="338">
        <v>0</v>
      </c>
      <c r="N26" s="338">
        <v>10.4</v>
      </c>
      <c r="O26" s="338">
        <v>0</v>
      </c>
      <c r="P26" s="338">
        <v>0</v>
      </c>
      <c r="Q26" s="338">
        <v>0</v>
      </c>
      <c r="R26" s="338">
        <v>19.7</v>
      </c>
      <c r="S26" s="338">
        <v>5.34</v>
      </c>
      <c r="T26" s="338">
        <v>3.05</v>
      </c>
      <c r="U26" s="338">
        <v>0.2</v>
      </c>
      <c r="V26" s="338">
        <v>0.74</v>
      </c>
      <c r="W26" s="338">
        <v>0.68</v>
      </c>
      <c r="X26" s="338">
        <v>0.8</v>
      </c>
      <c r="Y26" s="338">
        <v>1.1599999999999999</v>
      </c>
      <c r="Z26" s="338">
        <v>0</v>
      </c>
      <c r="AA26" s="338">
        <v>7</v>
      </c>
      <c r="AB26" s="338">
        <v>1.19</v>
      </c>
      <c r="AC26" s="338">
        <v>562</v>
      </c>
      <c r="AD26" s="338">
        <v>32</v>
      </c>
      <c r="AE26" s="338">
        <v>226</v>
      </c>
      <c r="AF26" s="338">
        <v>112</v>
      </c>
      <c r="AG26" s="338">
        <v>0</v>
      </c>
      <c r="AH26" s="338">
        <v>0</v>
      </c>
      <c r="AI26" s="338">
        <v>0</v>
      </c>
      <c r="AJ26" s="338">
        <v>0</v>
      </c>
      <c r="AK26" s="338">
        <v>0</v>
      </c>
      <c r="AL26" s="338">
        <v>0</v>
      </c>
      <c r="AM26" s="338">
        <v>0</v>
      </c>
      <c r="AN26" s="338">
        <v>0</v>
      </c>
      <c r="AO26" s="338">
        <v>0</v>
      </c>
      <c r="AP26" s="338">
        <v>0</v>
      </c>
      <c r="AQ26" s="338">
        <v>0</v>
      </c>
      <c r="AR26" s="338">
        <v>0</v>
      </c>
      <c r="AS26" s="338">
        <v>0</v>
      </c>
      <c r="AT26" s="338">
        <v>0</v>
      </c>
      <c r="AU26" s="338">
        <v>0</v>
      </c>
      <c r="AV26" s="338">
        <v>0</v>
      </c>
      <c r="AW26" s="338">
        <v>0</v>
      </c>
      <c r="AX26" s="338">
        <v>0</v>
      </c>
      <c r="AY26" s="338">
        <v>0</v>
      </c>
      <c r="AZ26" s="338">
        <v>0</v>
      </c>
      <c r="BB26" s="338" t="s">
        <v>381</v>
      </c>
      <c r="BC26" s="338" t="s">
        <v>397</v>
      </c>
    </row>
    <row r="27" spans="1:55" ht="15.75" customHeight="1">
      <c r="A27" s="15"/>
      <c r="B27" s="20"/>
      <c r="C27" s="15"/>
      <c r="D27" s="338" t="s">
        <v>135</v>
      </c>
      <c r="E27" s="338" t="s">
        <v>107</v>
      </c>
      <c r="F27" s="338">
        <v>0</v>
      </c>
      <c r="G27" s="338">
        <v>93.5</v>
      </c>
      <c r="H27" s="338">
        <v>1.92</v>
      </c>
      <c r="I27" s="338">
        <v>29</v>
      </c>
      <c r="J27" s="338">
        <v>0.92</v>
      </c>
      <c r="K27" s="338">
        <v>0</v>
      </c>
      <c r="L27" s="338">
        <v>0</v>
      </c>
      <c r="M27" s="338">
        <v>0</v>
      </c>
      <c r="N27" s="338">
        <v>2.4</v>
      </c>
      <c r="O27" s="338">
        <v>53.8</v>
      </c>
      <c r="P27" s="338">
        <v>39.1</v>
      </c>
      <c r="Q27" s="338">
        <v>0</v>
      </c>
      <c r="R27" s="338">
        <v>4.7</v>
      </c>
      <c r="S27" s="338">
        <v>0.38</v>
      </c>
      <c r="T27" s="338">
        <v>0.72</v>
      </c>
      <c r="U27" s="338">
        <v>0.39</v>
      </c>
      <c r="V27" s="338">
        <v>1.21</v>
      </c>
      <c r="W27" s="338">
        <v>0.04</v>
      </c>
      <c r="X27" s="338">
        <v>0</v>
      </c>
      <c r="Y27" s="338">
        <v>0.32</v>
      </c>
      <c r="Z27" s="338">
        <v>0</v>
      </c>
      <c r="AA27" s="338">
        <v>22</v>
      </c>
      <c r="AB27" s="338">
        <v>0</v>
      </c>
      <c r="AC27" s="338">
        <v>319</v>
      </c>
      <c r="AD27" s="338">
        <v>30</v>
      </c>
      <c r="AE27" s="338">
        <v>0</v>
      </c>
      <c r="AF27" s="338">
        <v>77</v>
      </c>
      <c r="AG27" s="338">
        <v>0</v>
      </c>
      <c r="AH27" s="338">
        <v>0</v>
      </c>
      <c r="AI27" s="338">
        <v>0</v>
      </c>
      <c r="AJ27" s="338">
        <v>0</v>
      </c>
      <c r="AK27" s="338">
        <v>0</v>
      </c>
      <c r="AL27" s="338">
        <v>0</v>
      </c>
      <c r="AM27" s="338">
        <v>0</v>
      </c>
      <c r="AN27" s="338">
        <v>0</v>
      </c>
      <c r="AO27" s="338">
        <v>0</v>
      </c>
      <c r="AP27" s="338">
        <v>0</v>
      </c>
      <c r="AQ27" s="338">
        <v>0</v>
      </c>
      <c r="AR27" s="338">
        <v>0</v>
      </c>
      <c r="AS27" s="338">
        <v>0</v>
      </c>
      <c r="AT27" s="338">
        <v>0</v>
      </c>
      <c r="AU27" s="338">
        <v>0</v>
      </c>
      <c r="AV27" s="338">
        <v>0</v>
      </c>
      <c r="AW27" s="338">
        <v>0</v>
      </c>
      <c r="AX27" s="338">
        <v>0</v>
      </c>
      <c r="AY27" s="338">
        <v>0</v>
      </c>
      <c r="AZ27" s="338">
        <v>0</v>
      </c>
      <c r="BB27" s="338" t="s">
        <v>382</v>
      </c>
      <c r="BC27" s="338" t="s">
        <v>397</v>
      </c>
    </row>
    <row r="28" spans="1:55" ht="15.75" customHeight="1">
      <c r="A28" s="15"/>
      <c r="B28" s="20"/>
      <c r="C28" s="15"/>
      <c r="D28" s="338" t="s">
        <v>136</v>
      </c>
      <c r="E28" s="338" t="s">
        <v>107</v>
      </c>
      <c r="F28" s="338">
        <v>0</v>
      </c>
      <c r="G28" s="338">
        <v>89.5</v>
      </c>
      <c r="H28" s="338">
        <v>3.4</v>
      </c>
      <c r="I28" s="338">
        <v>18.5</v>
      </c>
      <c r="J28" s="338">
        <v>0.67</v>
      </c>
      <c r="K28" s="338">
        <v>0</v>
      </c>
      <c r="L28" s="338">
        <v>0</v>
      </c>
      <c r="M28" s="338">
        <v>0</v>
      </c>
      <c r="N28" s="338">
        <v>4.5</v>
      </c>
      <c r="O28" s="338">
        <v>36.700000000000003</v>
      </c>
      <c r="P28" s="338">
        <v>12.1</v>
      </c>
      <c r="Q28" s="338">
        <v>0</v>
      </c>
      <c r="R28" s="338">
        <v>5</v>
      </c>
      <c r="S28" s="338">
        <v>0.16</v>
      </c>
      <c r="T28" s="338">
        <v>1.02</v>
      </c>
      <c r="U28" s="338">
        <v>0.42</v>
      </c>
      <c r="V28" s="338">
        <v>1.38</v>
      </c>
      <c r="W28" s="338">
        <v>0.03</v>
      </c>
      <c r="X28" s="338">
        <v>0.1</v>
      </c>
      <c r="Y28" s="338">
        <v>0.18</v>
      </c>
      <c r="Z28" s="338">
        <v>0</v>
      </c>
      <c r="AA28" s="338">
        <v>10</v>
      </c>
      <c r="AB28" s="338">
        <v>0</v>
      </c>
      <c r="AC28" s="338">
        <v>158</v>
      </c>
      <c r="AD28" s="338">
        <v>125</v>
      </c>
      <c r="AE28" s="338">
        <v>0.46</v>
      </c>
      <c r="AF28" s="338">
        <v>9</v>
      </c>
      <c r="AG28" s="338">
        <v>0</v>
      </c>
      <c r="AH28" s="338">
        <v>0</v>
      </c>
      <c r="AI28" s="338">
        <v>0</v>
      </c>
      <c r="AJ28" s="338">
        <v>0</v>
      </c>
      <c r="AK28" s="338">
        <v>0</v>
      </c>
      <c r="AL28" s="338">
        <v>0</v>
      </c>
      <c r="AM28" s="338">
        <v>0</v>
      </c>
      <c r="AN28" s="338">
        <v>0</v>
      </c>
      <c r="AO28" s="338">
        <v>0</v>
      </c>
      <c r="AP28" s="338">
        <v>0</v>
      </c>
      <c r="AQ28" s="338">
        <v>0</v>
      </c>
      <c r="AR28" s="338">
        <v>0</v>
      </c>
      <c r="AS28" s="338">
        <v>0</v>
      </c>
      <c r="AT28" s="338">
        <v>0</v>
      </c>
      <c r="AU28" s="338">
        <v>0</v>
      </c>
      <c r="AV28" s="338">
        <v>0</v>
      </c>
      <c r="AW28" s="338">
        <v>0</v>
      </c>
      <c r="AX28" s="338">
        <v>0</v>
      </c>
      <c r="AY28" s="338">
        <v>0</v>
      </c>
      <c r="AZ28" s="338">
        <v>0</v>
      </c>
      <c r="BB28" s="338" t="s">
        <v>383</v>
      </c>
      <c r="BC28" s="338" t="s">
        <v>363</v>
      </c>
    </row>
    <row r="29" spans="1:55" ht="15.75" customHeight="1">
      <c r="A29" s="15"/>
      <c r="B29" s="20"/>
      <c r="C29" s="15"/>
      <c r="D29" s="338" t="s">
        <v>137</v>
      </c>
      <c r="E29" s="338" t="s">
        <v>105</v>
      </c>
      <c r="F29" s="338">
        <v>0</v>
      </c>
      <c r="G29" s="338">
        <v>88</v>
      </c>
      <c r="H29" s="338">
        <v>2.2000000000000002</v>
      </c>
      <c r="I29" s="338">
        <v>17</v>
      </c>
      <c r="J29" s="338">
        <v>0.8</v>
      </c>
      <c r="K29" s="338">
        <v>0</v>
      </c>
      <c r="L29" s="338">
        <v>0</v>
      </c>
      <c r="M29" s="338">
        <v>0</v>
      </c>
      <c r="N29" s="338">
        <v>0</v>
      </c>
      <c r="O29" s="338">
        <v>0</v>
      </c>
      <c r="P29" s="338">
        <v>0</v>
      </c>
      <c r="Q29" s="338">
        <v>0</v>
      </c>
      <c r="R29" s="338">
        <v>6</v>
      </c>
      <c r="S29" s="338">
        <v>1.2</v>
      </c>
      <c r="T29" s="338">
        <v>0.24</v>
      </c>
      <c r="U29" s="338">
        <v>0</v>
      </c>
      <c r="V29" s="338">
        <v>2</v>
      </c>
      <c r="W29" s="338">
        <v>0.1</v>
      </c>
      <c r="X29" s="338">
        <v>0.65</v>
      </c>
      <c r="Y29" s="338">
        <v>0</v>
      </c>
      <c r="Z29" s="338">
        <v>0</v>
      </c>
      <c r="AA29" s="338">
        <v>0</v>
      </c>
      <c r="AB29" s="338">
        <v>0</v>
      </c>
      <c r="AC29" s="338">
        <v>0</v>
      </c>
      <c r="AD29" s="338">
        <v>0</v>
      </c>
      <c r="AE29" s="338">
        <v>0</v>
      </c>
      <c r="AF29" s="338">
        <v>0</v>
      </c>
      <c r="AG29" s="338">
        <v>0</v>
      </c>
      <c r="AH29" s="338">
        <v>0</v>
      </c>
      <c r="AI29" s="338">
        <v>0</v>
      </c>
      <c r="AJ29" s="338">
        <v>0</v>
      </c>
      <c r="AK29" s="338">
        <v>0</v>
      </c>
      <c r="AL29" s="338">
        <v>0</v>
      </c>
      <c r="AM29" s="338">
        <v>0</v>
      </c>
      <c r="AN29" s="338">
        <v>0</v>
      </c>
      <c r="AO29" s="338">
        <v>0</v>
      </c>
      <c r="AP29" s="338">
        <v>0</v>
      </c>
      <c r="AQ29" s="338">
        <v>0</v>
      </c>
      <c r="AR29" s="338">
        <v>0</v>
      </c>
      <c r="AS29" s="338">
        <v>0</v>
      </c>
      <c r="AT29" s="338">
        <v>0</v>
      </c>
      <c r="AU29" s="338">
        <v>0</v>
      </c>
      <c r="AV29" s="338">
        <v>0</v>
      </c>
      <c r="AW29" s="338">
        <v>0</v>
      </c>
      <c r="AX29" s="338">
        <v>0</v>
      </c>
      <c r="AY29" s="338">
        <v>0</v>
      </c>
      <c r="AZ29" s="338">
        <v>0</v>
      </c>
      <c r="BB29" s="338" t="s">
        <v>384</v>
      </c>
      <c r="BC29" s="338" t="s">
        <v>363</v>
      </c>
    </row>
    <row r="30" spans="1:55" ht="15.75" customHeight="1">
      <c r="A30" s="15"/>
      <c r="B30" s="20"/>
      <c r="C30" s="15"/>
      <c r="D30" s="338" t="s">
        <v>138</v>
      </c>
      <c r="E30" s="338" t="s">
        <v>105</v>
      </c>
      <c r="F30" s="338">
        <v>0</v>
      </c>
      <c r="G30" s="338">
        <v>87.1</v>
      </c>
      <c r="H30" s="338">
        <v>1.87</v>
      </c>
      <c r="I30" s="338">
        <v>10.4</v>
      </c>
      <c r="J30" s="338">
        <v>0.36</v>
      </c>
      <c r="K30" s="338">
        <v>0</v>
      </c>
      <c r="L30" s="338">
        <v>0</v>
      </c>
      <c r="M30" s="338">
        <v>0</v>
      </c>
      <c r="N30" s="338">
        <v>2.7</v>
      </c>
      <c r="O30" s="338">
        <v>73.3</v>
      </c>
      <c r="P30" s="338">
        <v>36.799999999999997</v>
      </c>
      <c r="Q30" s="338">
        <v>0</v>
      </c>
      <c r="R30" s="338">
        <v>8.1</v>
      </c>
      <c r="S30" s="338">
        <v>0.49</v>
      </c>
      <c r="T30" s="338">
        <v>0.27</v>
      </c>
      <c r="U30" s="338">
        <v>0.19</v>
      </c>
      <c r="V30" s="338">
        <v>1.8</v>
      </c>
      <c r="W30" s="338">
        <v>0.17</v>
      </c>
      <c r="X30" s="338">
        <v>0.67</v>
      </c>
      <c r="Y30" s="338">
        <v>0.48</v>
      </c>
      <c r="Z30" s="338">
        <v>0</v>
      </c>
      <c r="AA30" s="338">
        <v>8</v>
      </c>
      <c r="AB30" s="338">
        <v>0</v>
      </c>
      <c r="AC30" s="338">
        <v>224</v>
      </c>
      <c r="AD30" s="338">
        <v>62</v>
      </c>
      <c r="AE30" s="338">
        <v>0</v>
      </c>
      <c r="AF30" s="338">
        <v>32</v>
      </c>
      <c r="AG30" s="338">
        <v>0</v>
      </c>
      <c r="AH30" s="338">
        <v>0</v>
      </c>
      <c r="AI30" s="338">
        <v>0</v>
      </c>
      <c r="AJ30" s="338">
        <v>0</v>
      </c>
      <c r="AK30" s="338">
        <v>0</v>
      </c>
      <c r="AL30" s="338">
        <v>0</v>
      </c>
      <c r="AM30" s="338">
        <v>0</v>
      </c>
      <c r="AN30" s="338">
        <v>0</v>
      </c>
      <c r="AO30" s="338">
        <v>0</v>
      </c>
      <c r="AP30" s="338">
        <v>0</v>
      </c>
      <c r="AQ30" s="338">
        <v>0</v>
      </c>
      <c r="AR30" s="338">
        <v>0</v>
      </c>
      <c r="AS30" s="338">
        <v>0</v>
      </c>
      <c r="AT30" s="338">
        <v>0</v>
      </c>
      <c r="AU30" s="338">
        <v>0</v>
      </c>
      <c r="AV30" s="338">
        <v>0</v>
      </c>
      <c r="AW30" s="338">
        <v>0</v>
      </c>
      <c r="AX30" s="338">
        <v>0</v>
      </c>
      <c r="AY30" s="338">
        <v>0</v>
      </c>
      <c r="AZ30" s="338">
        <v>0</v>
      </c>
      <c r="BB30" s="338" t="s">
        <v>385</v>
      </c>
      <c r="BC30" s="338" t="s">
        <v>363</v>
      </c>
    </row>
    <row r="31" spans="1:55" ht="15.75" customHeight="1">
      <c r="A31" s="15"/>
      <c r="B31" s="20"/>
      <c r="C31" s="15"/>
      <c r="D31" s="338" t="s">
        <v>430</v>
      </c>
      <c r="E31" s="338" t="s">
        <v>105</v>
      </c>
      <c r="F31" s="338">
        <v>0</v>
      </c>
      <c r="G31" s="338">
        <v>87.3</v>
      </c>
      <c r="H31" s="338">
        <v>1.86</v>
      </c>
      <c r="I31" s="338">
        <v>13.7</v>
      </c>
      <c r="J31" s="338">
        <v>0.48</v>
      </c>
      <c r="K31" s="338">
        <v>0</v>
      </c>
      <c r="L31" s="338">
        <v>0</v>
      </c>
      <c r="M31" s="338">
        <v>0</v>
      </c>
      <c r="N31" s="338">
        <v>2.7</v>
      </c>
      <c r="O31" s="338">
        <v>76.900000000000006</v>
      </c>
      <c r="P31" s="338">
        <v>36.200000000000003</v>
      </c>
      <c r="Q31" s="338">
        <v>0</v>
      </c>
      <c r="R31" s="338">
        <v>6.5</v>
      </c>
      <c r="S31" s="338">
        <v>0.39</v>
      </c>
      <c r="T31" s="338">
        <v>0.22</v>
      </c>
      <c r="U31" s="338">
        <v>0.15</v>
      </c>
      <c r="V31" s="338">
        <v>1.4</v>
      </c>
      <c r="W31" s="338">
        <v>0.14000000000000001</v>
      </c>
      <c r="X31" s="338">
        <v>0.54</v>
      </c>
      <c r="Y31" s="338">
        <v>0.38</v>
      </c>
      <c r="Z31" s="338">
        <v>0</v>
      </c>
      <c r="AA31" s="338">
        <v>8</v>
      </c>
      <c r="AB31" s="338">
        <v>0</v>
      </c>
      <c r="AC31" s="338">
        <v>224</v>
      </c>
      <c r="AD31" s="338">
        <v>62</v>
      </c>
      <c r="AE31" s="338">
        <v>0</v>
      </c>
      <c r="AF31" s="338">
        <v>32</v>
      </c>
      <c r="AG31" s="338">
        <v>0</v>
      </c>
      <c r="AH31" s="338">
        <v>0</v>
      </c>
      <c r="AI31" s="338">
        <v>0</v>
      </c>
      <c r="AJ31" s="338">
        <v>0</v>
      </c>
      <c r="AK31" s="338">
        <v>0</v>
      </c>
      <c r="AL31" s="338">
        <v>0</v>
      </c>
      <c r="AM31" s="338">
        <v>0</v>
      </c>
      <c r="AN31" s="338">
        <v>0</v>
      </c>
      <c r="AO31" s="338">
        <v>0</v>
      </c>
      <c r="AP31" s="338">
        <v>0</v>
      </c>
      <c r="AQ31" s="338">
        <v>0</v>
      </c>
      <c r="AR31" s="338">
        <v>0</v>
      </c>
      <c r="AS31" s="338">
        <v>0</v>
      </c>
      <c r="AT31" s="338">
        <v>0</v>
      </c>
      <c r="AU31" s="338">
        <v>0</v>
      </c>
      <c r="AV31" s="338">
        <v>0</v>
      </c>
      <c r="AW31" s="338">
        <v>0</v>
      </c>
      <c r="AX31" s="338">
        <v>0</v>
      </c>
      <c r="AY31" s="338">
        <v>0</v>
      </c>
      <c r="AZ31" s="338">
        <v>0</v>
      </c>
      <c r="BB31" s="338" t="s">
        <v>386</v>
      </c>
      <c r="BC31" s="338" t="s">
        <v>363</v>
      </c>
    </row>
    <row r="32" spans="1:55" ht="15.75" customHeight="1">
      <c r="A32" s="15"/>
      <c r="B32" s="20"/>
      <c r="C32" s="15"/>
      <c r="D32" s="338" t="s">
        <v>139</v>
      </c>
      <c r="E32" s="338" t="s">
        <v>105</v>
      </c>
      <c r="F32" s="338">
        <v>0</v>
      </c>
      <c r="G32" s="338">
        <v>84</v>
      </c>
      <c r="H32" s="338">
        <v>2.36</v>
      </c>
      <c r="I32" s="338">
        <v>18</v>
      </c>
      <c r="J32" s="338">
        <v>0.63</v>
      </c>
      <c r="K32" s="338">
        <v>0</v>
      </c>
      <c r="L32" s="338">
        <v>0</v>
      </c>
      <c r="M32" s="338">
        <v>0</v>
      </c>
      <c r="N32" s="338">
        <v>3.3</v>
      </c>
      <c r="O32" s="338">
        <v>49.6</v>
      </c>
      <c r="P32" s="338">
        <v>31.4</v>
      </c>
      <c r="Q32" s="338">
        <v>0</v>
      </c>
      <c r="R32" s="338">
        <v>9.1999999999999993</v>
      </c>
      <c r="S32" s="338">
        <v>0.72</v>
      </c>
      <c r="T32" s="338">
        <v>0.34</v>
      </c>
      <c r="U32" s="338">
        <v>0.23</v>
      </c>
      <c r="V32" s="338">
        <v>2.57</v>
      </c>
      <c r="W32" s="338">
        <v>0.03</v>
      </c>
      <c r="X32" s="338">
        <v>0.42</v>
      </c>
      <c r="Y32" s="338">
        <v>0.24</v>
      </c>
      <c r="Z32" s="338">
        <v>0</v>
      </c>
      <c r="AA32" s="338">
        <v>9</v>
      </c>
      <c r="AB32" s="338">
        <v>0</v>
      </c>
      <c r="AC32" s="338">
        <v>199</v>
      </c>
      <c r="AD32" s="338">
        <v>84</v>
      </c>
      <c r="AE32" s="338">
        <v>0.06</v>
      </c>
      <c r="AF32" s="338">
        <v>27</v>
      </c>
      <c r="AG32" s="338">
        <v>0</v>
      </c>
      <c r="AH32" s="338">
        <v>0</v>
      </c>
      <c r="AI32" s="338">
        <v>0</v>
      </c>
      <c r="AJ32" s="338">
        <v>0</v>
      </c>
      <c r="AK32" s="338">
        <v>0</v>
      </c>
      <c r="AL32" s="338">
        <v>0</v>
      </c>
      <c r="AM32" s="338">
        <v>0</v>
      </c>
      <c r="AN32" s="338">
        <v>0</v>
      </c>
      <c r="AO32" s="338">
        <v>0</v>
      </c>
      <c r="AP32" s="338">
        <v>0</v>
      </c>
      <c r="AQ32" s="338">
        <v>0</v>
      </c>
      <c r="AR32" s="338">
        <v>0</v>
      </c>
      <c r="AS32" s="338">
        <v>0</v>
      </c>
      <c r="AT32" s="338">
        <v>0</v>
      </c>
      <c r="AU32" s="338">
        <v>0</v>
      </c>
      <c r="AV32" s="338">
        <v>0</v>
      </c>
      <c r="AW32" s="338">
        <v>0</v>
      </c>
      <c r="AX32" s="338">
        <v>0</v>
      </c>
      <c r="AY32" s="338">
        <v>0</v>
      </c>
      <c r="AZ32" s="338">
        <v>0</v>
      </c>
      <c r="BB32" s="338" t="s">
        <v>387</v>
      </c>
      <c r="BC32" s="338" t="s">
        <v>363</v>
      </c>
    </row>
    <row r="33" spans="1:55" ht="15.75" customHeight="1">
      <c r="A33" s="15"/>
      <c r="B33" s="20"/>
      <c r="C33" s="15"/>
      <c r="D33" s="338" t="s">
        <v>140</v>
      </c>
      <c r="E33" s="338" t="s">
        <v>105</v>
      </c>
      <c r="F33" s="338">
        <v>0</v>
      </c>
      <c r="G33" s="338">
        <v>83.9</v>
      </c>
      <c r="H33" s="338">
        <v>2.4300000000000002</v>
      </c>
      <c r="I33" s="338">
        <v>20.8</v>
      </c>
      <c r="J33" s="338">
        <v>1.06</v>
      </c>
      <c r="K33" s="338">
        <v>0</v>
      </c>
      <c r="L33" s="338">
        <v>0</v>
      </c>
      <c r="M33" s="338">
        <v>0</v>
      </c>
      <c r="N33" s="338">
        <v>2</v>
      </c>
      <c r="O33" s="338">
        <v>42.9</v>
      </c>
      <c r="P33" s="338">
        <v>33.4</v>
      </c>
      <c r="Q33" s="338">
        <v>0</v>
      </c>
      <c r="R33" s="338">
        <v>9.4</v>
      </c>
      <c r="S33" s="338">
        <v>1.37</v>
      </c>
      <c r="T33" s="338">
        <v>0.3</v>
      </c>
      <c r="U33" s="338">
        <v>0.3</v>
      </c>
      <c r="V33" s="338">
        <v>2.4500000000000002</v>
      </c>
      <c r="W33" s="338">
        <v>0.02</v>
      </c>
      <c r="X33" s="338">
        <v>0.61</v>
      </c>
      <c r="Y33" s="338">
        <v>0.31</v>
      </c>
      <c r="Z33" s="338">
        <v>0.65</v>
      </c>
      <c r="AA33" s="338">
        <v>9</v>
      </c>
      <c r="AB33" s="338">
        <v>0</v>
      </c>
      <c r="AC33" s="338">
        <v>207</v>
      </c>
      <c r="AD33" s="338">
        <v>46</v>
      </c>
      <c r="AE33" s="338">
        <v>0.2</v>
      </c>
      <c r="AF33" s="338">
        <v>24</v>
      </c>
      <c r="AG33" s="338">
        <v>0</v>
      </c>
      <c r="AH33" s="338">
        <v>0</v>
      </c>
      <c r="AI33" s="338">
        <v>0</v>
      </c>
      <c r="AJ33" s="338">
        <v>0</v>
      </c>
      <c r="AK33" s="338">
        <v>0</v>
      </c>
      <c r="AL33" s="338">
        <v>0</v>
      </c>
      <c r="AM33" s="338">
        <v>0</v>
      </c>
      <c r="AN33" s="338">
        <v>0</v>
      </c>
      <c r="AO33" s="338">
        <v>0</v>
      </c>
      <c r="AP33" s="338">
        <v>0</v>
      </c>
      <c r="AQ33" s="338">
        <v>0</v>
      </c>
      <c r="AR33" s="338">
        <v>0</v>
      </c>
      <c r="AS33" s="338">
        <v>0</v>
      </c>
      <c r="AT33" s="338">
        <v>0</v>
      </c>
      <c r="AU33" s="338">
        <v>0</v>
      </c>
      <c r="AV33" s="338">
        <v>0</v>
      </c>
      <c r="AW33" s="338">
        <v>0</v>
      </c>
      <c r="AX33" s="338">
        <v>0</v>
      </c>
      <c r="AY33" s="338">
        <v>0</v>
      </c>
      <c r="AZ33" s="338">
        <v>0</v>
      </c>
      <c r="BB33" s="338" t="s">
        <v>388</v>
      </c>
      <c r="BC33" s="338" t="s">
        <v>363</v>
      </c>
    </row>
    <row r="34" spans="1:55" ht="15.75" customHeight="1">
      <c r="A34" s="15"/>
      <c r="B34" s="20"/>
      <c r="C34" s="15"/>
      <c r="D34" s="338" t="s">
        <v>141</v>
      </c>
      <c r="E34" s="338" t="s">
        <v>105</v>
      </c>
      <c r="F34" s="338">
        <v>0</v>
      </c>
      <c r="G34" s="338">
        <v>86.1</v>
      </c>
      <c r="H34" s="338">
        <v>2.14</v>
      </c>
      <c r="I34" s="338">
        <v>9.4</v>
      </c>
      <c r="J34" s="338">
        <v>0.4</v>
      </c>
      <c r="K34" s="338">
        <v>0</v>
      </c>
      <c r="L34" s="338">
        <v>0</v>
      </c>
      <c r="M34" s="338">
        <v>0</v>
      </c>
      <c r="N34" s="338">
        <v>1.7</v>
      </c>
      <c r="O34" s="338">
        <v>61.1</v>
      </c>
      <c r="P34" s="338">
        <v>38.1</v>
      </c>
      <c r="Q34" s="338">
        <v>0</v>
      </c>
      <c r="R34" s="338">
        <v>6.7</v>
      </c>
      <c r="S34" s="338">
        <v>0.31</v>
      </c>
      <c r="T34" s="338">
        <v>0.2</v>
      </c>
      <c r="U34" s="338">
        <v>0.13</v>
      </c>
      <c r="V34" s="338">
        <v>1.71</v>
      </c>
      <c r="W34" s="338">
        <v>0.06</v>
      </c>
      <c r="X34" s="338">
        <v>0.38</v>
      </c>
      <c r="Y34" s="338">
        <v>0.13</v>
      </c>
      <c r="Z34" s="338">
        <v>0</v>
      </c>
      <c r="AA34" s="338">
        <v>8</v>
      </c>
      <c r="AB34" s="338">
        <v>0</v>
      </c>
      <c r="AC34" s="338">
        <v>319</v>
      </c>
      <c r="AD34" s="338">
        <v>62</v>
      </c>
      <c r="AE34" s="338">
        <v>0</v>
      </c>
      <c r="AF34" s="338">
        <v>25</v>
      </c>
      <c r="AG34" s="338">
        <v>0</v>
      </c>
      <c r="AH34" s="338">
        <v>0</v>
      </c>
      <c r="AI34" s="338">
        <v>0</v>
      </c>
      <c r="AJ34" s="338">
        <v>0</v>
      </c>
      <c r="AK34" s="338">
        <v>0</v>
      </c>
      <c r="AL34" s="338">
        <v>0</v>
      </c>
      <c r="AM34" s="338">
        <v>0</v>
      </c>
      <c r="AN34" s="338">
        <v>0</v>
      </c>
      <c r="AO34" s="338">
        <v>0</v>
      </c>
      <c r="AP34" s="338">
        <v>0</v>
      </c>
      <c r="AQ34" s="338">
        <v>0</v>
      </c>
      <c r="AR34" s="338">
        <v>0</v>
      </c>
      <c r="AS34" s="338">
        <v>0</v>
      </c>
      <c r="AT34" s="338">
        <v>0</v>
      </c>
      <c r="AU34" s="338">
        <v>0</v>
      </c>
      <c r="AV34" s="338">
        <v>0</v>
      </c>
      <c r="AW34" s="338">
        <v>0</v>
      </c>
      <c r="AX34" s="338">
        <v>0</v>
      </c>
      <c r="AY34" s="338">
        <v>0</v>
      </c>
      <c r="AZ34" s="338">
        <v>0</v>
      </c>
      <c r="BB34" s="338" t="s">
        <v>389</v>
      </c>
      <c r="BC34" s="338" t="s">
        <v>363</v>
      </c>
    </row>
    <row r="35" spans="1:55" ht="15.75" customHeight="1">
      <c r="A35" s="15"/>
      <c r="B35" s="20"/>
      <c r="C35" s="15"/>
      <c r="D35" s="338" t="s">
        <v>142</v>
      </c>
      <c r="E35" s="338" t="s">
        <v>105</v>
      </c>
      <c r="F35" s="338">
        <v>0</v>
      </c>
      <c r="G35" s="338">
        <v>84.2</v>
      </c>
      <c r="H35" s="338">
        <v>2.62</v>
      </c>
      <c r="I35" s="338">
        <v>20.5</v>
      </c>
      <c r="J35" s="338">
        <v>1.05</v>
      </c>
      <c r="K35" s="338">
        <v>0</v>
      </c>
      <c r="L35" s="338">
        <v>0</v>
      </c>
      <c r="M35" s="338">
        <v>0</v>
      </c>
      <c r="N35" s="338">
        <v>2.1</v>
      </c>
      <c r="O35" s="338">
        <v>36.299999999999997</v>
      </c>
      <c r="P35" s="338">
        <v>28.6</v>
      </c>
      <c r="Q35" s="338">
        <v>0</v>
      </c>
      <c r="R35" s="338">
        <v>9.5</v>
      </c>
      <c r="S35" s="338">
        <v>1.56</v>
      </c>
      <c r="T35" s="338">
        <v>0.31</v>
      </c>
      <c r="U35" s="338">
        <v>0.33</v>
      </c>
      <c r="V35" s="338">
        <v>2.56</v>
      </c>
      <c r="W35" s="338">
        <v>0.03</v>
      </c>
      <c r="X35" s="338">
        <v>0.55000000000000004</v>
      </c>
      <c r="Y35" s="338">
        <v>0.33</v>
      </c>
      <c r="Z35" s="338">
        <v>0.65</v>
      </c>
      <c r="AA35" s="338">
        <v>10</v>
      </c>
      <c r="AB35" s="338">
        <v>0</v>
      </c>
      <c r="AC35" s="338">
        <v>213</v>
      </c>
      <c r="AD35" s="338">
        <v>49</v>
      </c>
      <c r="AE35" s="338">
        <v>0.2</v>
      </c>
      <c r="AF35" s="338">
        <v>26</v>
      </c>
      <c r="AG35" s="338">
        <v>0</v>
      </c>
      <c r="AH35" s="338">
        <v>0</v>
      </c>
      <c r="AI35" s="338">
        <v>0</v>
      </c>
      <c r="AJ35" s="338">
        <v>0</v>
      </c>
      <c r="AK35" s="338">
        <v>0</v>
      </c>
      <c r="AL35" s="338">
        <v>0</v>
      </c>
      <c r="AM35" s="338">
        <v>0</v>
      </c>
      <c r="AN35" s="338">
        <v>0</v>
      </c>
      <c r="AO35" s="338">
        <v>0</v>
      </c>
      <c r="AP35" s="338">
        <v>0</v>
      </c>
      <c r="AQ35" s="338">
        <v>0</v>
      </c>
      <c r="AR35" s="338">
        <v>0</v>
      </c>
      <c r="AS35" s="338">
        <v>0</v>
      </c>
      <c r="AT35" s="338">
        <v>0</v>
      </c>
      <c r="AU35" s="338">
        <v>0</v>
      </c>
      <c r="AV35" s="338">
        <v>0</v>
      </c>
      <c r="AW35" s="338">
        <v>0</v>
      </c>
      <c r="AX35" s="338">
        <v>0</v>
      </c>
      <c r="AY35" s="338">
        <v>0</v>
      </c>
      <c r="AZ35" s="338">
        <v>0</v>
      </c>
    </row>
    <row r="36" spans="1:55" ht="15.75" customHeight="1">
      <c r="A36" s="15"/>
      <c r="B36" s="21"/>
      <c r="C36" s="15"/>
      <c r="D36" s="338" t="s">
        <v>143</v>
      </c>
      <c r="E36" s="338" t="s">
        <v>105</v>
      </c>
      <c r="F36" s="338">
        <v>0</v>
      </c>
      <c r="G36" s="338">
        <v>83.8</v>
      </c>
      <c r="H36" s="338">
        <v>2.21</v>
      </c>
      <c r="I36" s="338">
        <v>17.8</v>
      </c>
      <c r="J36" s="338">
        <v>0.89</v>
      </c>
      <c r="K36" s="338">
        <v>0</v>
      </c>
      <c r="L36" s="338">
        <v>0</v>
      </c>
      <c r="M36" s="338">
        <v>0</v>
      </c>
      <c r="N36" s="338">
        <v>1.6</v>
      </c>
      <c r="O36" s="338">
        <v>50.9</v>
      </c>
      <c r="P36" s="338">
        <v>39.5</v>
      </c>
      <c r="Q36" s="338">
        <v>0</v>
      </c>
      <c r="R36" s="338">
        <v>9.1999999999999993</v>
      </c>
      <c r="S36" s="338">
        <v>1.22</v>
      </c>
      <c r="T36" s="338">
        <v>0.28000000000000003</v>
      </c>
      <c r="U36" s="338">
        <v>0.27</v>
      </c>
      <c r="V36" s="338">
        <v>2.38</v>
      </c>
      <c r="W36" s="338">
        <v>0.02</v>
      </c>
      <c r="X36" s="338">
        <v>0.48</v>
      </c>
      <c r="Y36" s="338">
        <v>0.23</v>
      </c>
      <c r="Z36" s="338">
        <v>0.65</v>
      </c>
      <c r="AA36" s="338">
        <v>9</v>
      </c>
      <c r="AB36" s="338">
        <v>0</v>
      </c>
      <c r="AC36" s="338">
        <v>250</v>
      </c>
      <c r="AD36" s="338">
        <v>44</v>
      </c>
      <c r="AE36" s="338">
        <v>0.2</v>
      </c>
      <c r="AF36" s="338">
        <v>24</v>
      </c>
      <c r="AG36" s="338">
        <v>0</v>
      </c>
      <c r="AH36" s="338">
        <v>0</v>
      </c>
      <c r="AI36" s="338">
        <v>0</v>
      </c>
      <c r="AJ36" s="338">
        <v>0</v>
      </c>
      <c r="AK36" s="338">
        <v>0</v>
      </c>
      <c r="AL36" s="338">
        <v>0</v>
      </c>
      <c r="AM36" s="338">
        <v>0</v>
      </c>
      <c r="AN36" s="338">
        <v>0</v>
      </c>
      <c r="AO36" s="338">
        <v>0</v>
      </c>
      <c r="AP36" s="338">
        <v>0</v>
      </c>
      <c r="AQ36" s="338">
        <v>0</v>
      </c>
      <c r="AR36" s="338">
        <v>0</v>
      </c>
      <c r="AS36" s="338">
        <v>0</v>
      </c>
      <c r="AT36" s="338">
        <v>0</v>
      </c>
      <c r="AU36" s="338">
        <v>0</v>
      </c>
      <c r="AV36" s="338">
        <v>0</v>
      </c>
      <c r="AW36" s="338">
        <v>0</v>
      </c>
      <c r="AX36" s="338">
        <v>0</v>
      </c>
      <c r="AY36" s="338">
        <v>0</v>
      </c>
      <c r="AZ36" s="338">
        <v>0</v>
      </c>
    </row>
    <row r="37" spans="1:55" ht="15.75" customHeight="1">
      <c r="A37" s="15"/>
      <c r="B37" s="21"/>
      <c r="C37" s="15"/>
      <c r="D37" s="338" t="s">
        <v>144</v>
      </c>
      <c r="E37" s="338" t="s">
        <v>105</v>
      </c>
      <c r="F37" s="338">
        <v>0</v>
      </c>
      <c r="G37" s="338">
        <v>88</v>
      </c>
      <c r="H37" s="338">
        <v>1.99</v>
      </c>
      <c r="I37" s="338">
        <v>11.2</v>
      </c>
      <c r="J37" s="338">
        <v>0.16</v>
      </c>
      <c r="K37" s="338">
        <v>0.09</v>
      </c>
      <c r="L37" s="338">
        <v>0.13</v>
      </c>
      <c r="M37" s="338">
        <v>0.06</v>
      </c>
      <c r="N37" s="338">
        <v>2.76</v>
      </c>
      <c r="O37" s="338">
        <v>68.8</v>
      </c>
      <c r="P37" s="338">
        <v>38</v>
      </c>
      <c r="Q37" s="338">
        <v>0</v>
      </c>
      <c r="R37" s="338">
        <v>6.5</v>
      </c>
      <c r="S37" s="338">
        <v>0.39</v>
      </c>
      <c r="T37" s="338">
        <v>0.22</v>
      </c>
      <c r="U37" s="338">
        <v>0.15</v>
      </c>
      <c r="V37" s="338">
        <v>1.4</v>
      </c>
      <c r="W37" s="338">
        <v>0.14000000000000001</v>
      </c>
      <c r="X37" s="338">
        <v>0.54</v>
      </c>
      <c r="Y37" s="338">
        <v>0.38</v>
      </c>
      <c r="Z37" s="338">
        <v>0</v>
      </c>
      <c r="AA37" s="338">
        <v>8</v>
      </c>
      <c r="AB37" s="338">
        <v>0</v>
      </c>
      <c r="AC37" s="338">
        <v>224</v>
      </c>
      <c r="AD37" s="338">
        <v>62</v>
      </c>
      <c r="AE37" s="338">
        <v>0</v>
      </c>
      <c r="AF37" s="338">
        <v>32</v>
      </c>
      <c r="AG37" s="338">
        <v>0</v>
      </c>
      <c r="AH37" s="338">
        <v>0</v>
      </c>
      <c r="AI37" s="338">
        <v>0</v>
      </c>
      <c r="AJ37" s="338">
        <v>0</v>
      </c>
      <c r="AK37" s="338">
        <v>0</v>
      </c>
      <c r="AL37" s="338">
        <v>0</v>
      </c>
      <c r="AM37" s="338">
        <v>0</v>
      </c>
      <c r="AN37" s="338">
        <v>0</v>
      </c>
      <c r="AO37" s="338">
        <v>0</v>
      </c>
      <c r="AP37" s="338">
        <v>0</v>
      </c>
      <c r="AQ37" s="338">
        <v>0</v>
      </c>
      <c r="AR37" s="338">
        <v>0</v>
      </c>
      <c r="AS37" s="338">
        <v>0</v>
      </c>
      <c r="AT37" s="338">
        <v>0</v>
      </c>
      <c r="AU37" s="338">
        <v>0</v>
      </c>
      <c r="AV37" s="338">
        <v>0</v>
      </c>
      <c r="AW37" s="338">
        <v>0</v>
      </c>
      <c r="AX37" s="338">
        <v>0</v>
      </c>
      <c r="AY37" s="338">
        <v>0</v>
      </c>
      <c r="AZ37" s="338">
        <v>0</v>
      </c>
    </row>
    <row r="38" spans="1:55" ht="15.75" customHeight="1">
      <c r="A38" s="15"/>
      <c r="B38" s="21"/>
      <c r="C38" s="15"/>
      <c r="D38" s="338" t="s">
        <v>431</v>
      </c>
      <c r="E38" s="338" t="s">
        <v>105</v>
      </c>
      <c r="F38" s="338">
        <v>0</v>
      </c>
      <c r="G38" s="338">
        <v>22</v>
      </c>
      <c r="H38" s="338">
        <v>1.99</v>
      </c>
      <c r="I38" s="338">
        <v>11.2</v>
      </c>
      <c r="J38" s="338">
        <v>0.16</v>
      </c>
      <c r="K38" s="338">
        <v>0.09</v>
      </c>
      <c r="L38" s="338">
        <v>0.13</v>
      </c>
      <c r="M38" s="338">
        <v>0.06</v>
      </c>
      <c r="N38" s="338">
        <v>2.76</v>
      </c>
      <c r="O38" s="338">
        <v>68.8</v>
      </c>
      <c r="P38" s="338">
        <v>38</v>
      </c>
      <c r="Q38" s="338">
        <v>0</v>
      </c>
      <c r="R38" s="338">
        <v>6.5</v>
      </c>
      <c r="S38" s="338">
        <v>0.39</v>
      </c>
      <c r="T38" s="338">
        <v>0.22</v>
      </c>
      <c r="U38" s="338">
        <v>0.15</v>
      </c>
      <c r="V38" s="338">
        <v>1.4</v>
      </c>
      <c r="W38" s="338">
        <v>0.14000000000000001</v>
      </c>
      <c r="X38" s="338">
        <v>0.54</v>
      </c>
      <c r="Y38" s="338">
        <v>0.38</v>
      </c>
      <c r="Z38" s="338">
        <v>0</v>
      </c>
      <c r="AA38" s="338">
        <v>8</v>
      </c>
      <c r="AB38" s="338">
        <v>0</v>
      </c>
      <c r="AC38" s="338">
        <v>224</v>
      </c>
      <c r="AD38" s="338">
        <v>62</v>
      </c>
      <c r="AE38" s="338">
        <v>0</v>
      </c>
      <c r="AF38" s="338">
        <v>32</v>
      </c>
      <c r="AG38" s="338">
        <v>0</v>
      </c>
      <c r="AH38" s="338">
        <v>0</v>
      </c>
      <c r="AI38" s="338">
        <v>0</v>
      </c>
      <c r="AJ38" s="338">
        <v>0</v>
      </c>
      <c r="AK38" s="338">
        <v>0</v>
      </c>
      <c r="AL38" s="338">
        <v>0</v>
      </c>
      <c r="AM38" s="338">
        <v>0</v>
      </c>
      <c r="AN38" s="338">
        <v>0</v>
      </c>
      <c r="AO38" s="338">
        <v>0</v>
      </c>
      <c r="AP38" s="338">
        <v>0</v>
      </c>
      <c r="AQ38" s="338">
        <v>0</v>
      </c>
      <c r="AR38" s="338">
        <v>0</v>
      </c>
      <c r="AS38" s="338">
        <v>0</v>
      </c>
      <c r="AT38" s="338">
        <v>0</v>
      </c>
      <c r="AU38" s="338">
        <v>0</v>
      </c>
      <c r="AV38" s="338">
        <v>0</v>
      </c>
      <c r="AW38" s="338">
        <v>0</v>
      </c>
      <c r="AX38" s="338">
        <v>0</v>
      </c>
      <c r="AY38" s="338">
        <v>0</v>
      </c>
      <c r="AZ38" s="338">
        <v>0</v>
      </c>
    </row>
    <row r="39" spans="1:55" ht="15.75" customHeight="1">
      <c r="A39" s="15"/>
      <c r="B39" s="21"/>
      <c r="C39" s="15"/>
      <c r="D39" s="338" t="s">
        <v>145</v>
      </c>
      <c r="E39" s="338" t="s">
        <v>124</v>
      </c>
      <c r="F39" s="338">
        <v>0</v>
      </c>
      <c r="G39" s="338">
        <v>99</v>
      </c>
      <c r="H39" s="338"/>
      <c r="I39" s="338">
        <v>0</v>
      </c>
      <c r="J39" s="338">
        <v>0</v>
      </c>
      <c r="K39" s="338">
        <v>0</v>
      </c>
      <c r="L39" s="338">
        <v>0</v>
      </c>
      <c r="M39" s="338">
        <v>0</v>
      </c>
      <c r="N39" s="338">
        <v>0</v>
      </c>
      <c r="O39" s="338">
        <v>0</v>
      </c>
      <c r="P39" s="338">
        <v>0</v>
      </c>
      <c r="Q39" s="338">
        <v>0</v>
      </c>
      <c r="R39" s="338">
        <v>99</v>
      </c>
      <c r="S39" s="338">
        <v>22.5</v>
      </c>
      <c r="T39" s="338">
        <v>18.5</v>
      </c>
      <c r="U39" s="338">
        <v>0</v>
      </c>
      <c r="V39" s="338">
        <v>0</v>
      </c>
      <c r="W39" s="338">
        <v>0</v>
      </c>
      <c r="X39" s="338">
        <v>0</v>
      </c>
      <c r="Y39" s="338">
        <v>0</v>
      </c>
      <c r="Z39" s="338">
        <v>0</v>
      </c>
      <c r="AA39" s="338">
        <v>0</v>
      </c>
      <c r="AB39" s="338">
        <v>0</v>
      </c>
      <c r="AC39" s="338">
        <v>0</v>
      </c>
      <c r="AD39" s="338">
        <v>0</v>
      </c>
      <c r="AE39" s="338">
        <v>0</v>
      </c>
      <c r="AF39" s="338">
        <v>0</v>
      </c>
      <c r="AG39" s="338">
        <v>0</v>
      </c>
      <c r="AH39" s="338">
        <v>0</v>
      </c>
      <c r="AI39" s="338">
        <v>0</v>
      </c>
      <c r="AJ39" s="338">
        <v>0</v>
      </c>
      <c r="AK39" s="338">
        <v>0</v>
      </c>
      <c r="AL39" s="338">
        <v>0</v>
      </c>
      <c r="AM39" s="338">
        <v>0</v>
      </c>
      <c r="AN39" s="338">
        <v>0</v>
      </c>
      <c r="AO39" s="338">
        <v>0</v>
      </c>
      <c r="AP39" s="338">
        <v>0</v>
      </c>
      <c r="AQ39" s="338">
        <v>0</v>
      </c>
      <c r="AR39" s="338">
        <v>0</v>
      </c>
      <c r="AS39" s="338">
        <v>0</v>
      </c>
      <c r="AT39" s="338">
        <v>0</v>
      </c>
      <c r="AU39" s="338">
        <v>0</v>
      </c>
      <c r="AV39" s="338">
        <v>0</v>
      </c>
      <c r="AW39" s="338">
        <v>0</v>
      </c>
      <c r="AX39" s="338">
        <v>0</v>
      </c>
      <c r="AY39" s="338">
        <v>0</v>
      </c>
      <c r="AZ39" s="338">
        <v>0</v>
      </c>
    </row>
    <row r="40" spans="1:55" ht="15.75" customHeight="1">
      <c r="A40" s="15"/>
      <c r="B40" s="22"/>
      <c r="C40" s="15"/>
      <c r="D40" s="338" t="s">
        <v>146</v>
      </c>
      <c r="E40" s="338" t="s">
        <v>105</v>
      </c>
      <c r="F40" s="338">
        <v>0</v>
      </c>
      <c r="G40" s="338">
        <v>83.8</v>
      </c>
      <c r="H40" s="338">
        <v>2.1800000000000002</v>
      </c>
      <c r="I40" s="338">
        <v>13.3</v>
      </c>
      <c r="J40" s="338">
        <v>0.46</v>
      </c>
      <c r="K40" s="338">
        <v>0</v>
      </c>
      <c r="L40" s="338">
        <v>0</v>
      </c>
      <c r="M40" s="338">
        <v>0</v>
      </c>
      <c r="N40" s="338">
        <v>2.5</v>
      </c>
      <c r="O40" s="338">
        <v>57.7</v>
      </c>
      <c r="P40" s="338">
        <v>36.9</v>
      </c>
      <c r="Q40" s="338">
        <v>0</v>
      </c>
      <c r="R40" s="338">
        <v>8.8000000000000007</v>
      </c>
      <c r="S40" s="338">
        <v>0.66</v>
      </c>
      <c r="T40" s="338">
        <v>0.28999999999999998</v>
      </c>
      <c r="U40" s="338">
        <v>0.23</v>
      </c>
      <c r="V40" s="338">
        <v>2.13</v>
      </c>
      <c r="W40" s="338">
        <v>0.08</v>
      </c>
      <c r="X40" s="338">
        <v>0.92</v>
      </c>
      <c r="Y40" s="338">
        <v>0.24</v>
      </c>
      <c r="Z40" s="338">
        <v>0</v>
      </c>
      <c r="AA40" s="338">
        <v>9</v>
      </c>
      <c r="AB40" s="338">
        <v>0</v>
      </c>
      <c r="AC40" s="338">
        <v>194</v>
      </c>
      <c r="AD40" s="338">
        <v>72</v>
      </c>
      <c r="AE40" s="338">
        <v>0.06</v>
      </c>
      <c r="AF40" s="338">
        <v>25</v>
      </c>
      <c r="AG40" s="338">
        <v>0</v>
      </c>
      <c r="AH40" s="338">
        <v>0</v>
      </c>
      <c r="AI40" s="338">
        <v>0</v>
      </c>
      <c r="AJ40" s="338">
        <v>0</v>
      </c>
      <c r="AK40" s="338">
        <v>0</v>
      </c>
      <c r="AL40" s="338">
        <v>0</v>
      </c>
      <c r="AM40" s="338">
        <v>0</v>
      </c>
      <c r="AN40" s="338">
        <v>0</v>
      </c>
      <c r="AO40" s="338">
        <v>0</v>
      </c>
      <c r="AP40" s="338">
        <v>0</v>
      </c>
      <c r="AQ40" s="338">
        <v>0</v>
      </c>
      <c r="AR40" s="338">
        <v>0</v>
      </c>
      <c r="AS40" s="338">
        <v>0</v>
      </c>
      <c r="AT40" s="338">
        <v>0</v>
      </c>
      <c r="AU40" s="338">
        <v>0</v>
      </c>
      <c r="AV40" s="338">
        <v>0</v>
      </c>
      <c r="AW40" s="338">
        <v>0</v>
      </c>
      <c r="AX40" s="338">
        <v>0</v>
      </c>
      <c r="AY40" s="338">
        <v>0</v>
      </c>
      <c r="AZ40" s="338">
        <v>0</v>
      </c>
    </row>
    <row r="41" spans="1:55" ht="15.75" customHeight="1">
      <c r="A41" s="15"/>
      <c r="B41" s="15"/>
      <c r="C41" s="15"/>
      <c r="D41" s="338" t="s">
        <v>147</v>
      </c>
      <c r="E41" s="338" t="s">
        <v>105</v>
      </c>
      <c r="F41" s="338">
        <v>0</v>
      </c>
      <c r="G41" s="338">
        <v>84.4</v>
      </c>
      <c r="H41" s="338">
        <v>2.04</v>
      </c>
      <c r="I41" s="338">
        <v>10.8</v>
      </c>
      <c r="J41" s="338">
        <v>0.38</v>
      </c>
      <c r="K41" s="338">
        <v>0</v>
      </c>
      <c r="L41" s="338">
        <v>0</v>
      </c>
      <c r="M41" s="338">
        <v>0</v>
      </c>
      <c r="N41" s="338">
        <v>2</v>
      </c>
      <c r="O41" s="338">
        <v>69.099999999999994</v>
      </c>
      <c r="P41" s="338">
        <v>41.6</v>
      </c>
      <c r="Q41" s="338">
        <v>0</v>
      </c>
      <c r="R41" s="338">
        <v>7</v>
      </c>
      <c r="S41" s="338">
        <v>0.47</v>
      </c>
      <c r="T41" s="338">
        <v>0.26</v>
      </c>
      <c r="U41" s="338">
        <v>0.18</v>
      </c>
      <c r="V41" s="338">
        <v>1.97</v>
      </c>
      <c r="W41" s="338">
        <v>0.02</v>
      </c>
      <c r="X41" s="338">
        <v>0.66</v>
      </c>
      <c r="Y41" s="338">
        <v>0.17</v>
      </c>
      <c r="Z41" s="338">
        <v>0</v>
      </c>
      <c r="AA41" s="338">
        <v>8</v>
      </c>
      <c r="AB41" s="338">
        <v>0</v>
      </c>
      <c r="AC41" s="338">
        <v>180</v>
      </c>
      <c r="AD41" s="338">
        <v>90</v>
      </c>
      <c r="AE41" s="338">
        <v>0.06</v>
      </c>
      <c r="AF41" s="338">
        <v>25</v>
      </c>
      <c r="AG41" s="338">
        <v>0</v>
      </c>
      <c r="AH41" s="338">
        <v>0</v>
      </c>
      <c r="AI41" s="338">
        <v>0</v>
      </c>
      <c r="AJ41" s="338">
        <v>0</v>
      </c>
      <c r="AK41" s="338">
        <v>0</v>
      </c>
      <c r="AL41" s="338">
        <v>0</v>
      </c>
      <c r="AM41" s="338">
        <v>0</v>
      </c>
      <c r="AN41" s="338">
        <v>0</v>
      </c>
      <c r="AO41" s="338">
        <v>0</v>
      </c>
      <c r="AP41" s="338">
        <v>0</v>
      </c>
      <c r="AQ41" s="338">
        <v>0</v>
      </c>
      <c r="AR41" s="338">
        <v>0</v>
      </c>
      <c r="AS41" s="338">
        <v>0</v>
      </c>
      <c r="AT41" s="338">
        <v>0</v>
      </c>
      <c r="AU41" s="338">
        <v>0</v>
      </c>
      <c r="AV41" s="338">
        <v>0</v>
      </c>
      <c r="AW41" s="338">
        <v>0</v>
      </c>
      <c r="AX41" s="338">
        <v>0</v>
      </c>
      <c r="AY41" s="338">
        <v>0</v>
      </c>
      <c r="AZ41" s="338">
        <v>0</v>
      </c>
    </row>
    <row r="42" spans="1:55" ht="15.75" customHeight="1">
      <c r="A42" s="15"/>
      <c r="B42" s="15"/>
      <c r="C42" s="15"/>
      <c r="D42" s="338" t="s">
        <v>148</v>
      </c>
      <c r="E42" s="338" t="s">
        <v>107</v>
      </c>
      <c r="F42" s="338">
        <v>0</v>
      </c>
      <c r="G42" s="338">
        <v>91</v>
      </c>
      <c r="H42" s="338">
        <v>3.67</v>
      </c>
      <c r="I42" s="338">
        <v>12.4</v>
      </c>
      <c r="J42" s="338">
        <v>0.45</v>
      </c>
      <c r="K42" s="338">
        <v>0</v>
      </c>
      <c r="L42" s="338">
        <v>0</v>
      </c>
      <c r="M42" s="338">
        <v>0</v>
      </c>
      <c r="N42" s="338">
        <v>2.2000000000000002</v>
      </c>
      <c r="O42" s="338">
        <v>20.8</v>
      </c>
      <c r="P42" s="338">
        <v>7.2</v>
      </c>
      <c r="Q42" s="338">
        <v>0</v>
      </c>
      <c r="R42" s="338">
        <v>2.9</v>
      </c>
      <c r="S42" s="338">
        <v>0.06</v>
      </c>
      <c r="T42" s="338">
        <v>0.39</v>
      </c>
      <c r="U42" s="338">
        <v>0.14000000000000001</v>
      </c>
      <c r="V42" s="338">
        <v>0.56000000000000005</v>
      </c>
      <c r="W42" s="338">
        <v>0.02</v>
      </c>
      <c r="X42" s="338">
        <v>0.13</v>
      </c>
      <c r="Y42" s="338">
        <v>0.12</v>
      </c>
      <c r="Z42" s="338">
        <v>0.35</v>
      </c>
      <c r="AA42" s="338">
        <v>6</v>
      </c>
      <c r="AB42" s="338">
        <v>0.05</v>
      </c>
      <c r="AC42" s="338">
        <v>70</v>
      </c>
      <c r="AD42" s="338">
        <v>22</v>
      </c>
      <c r="AE42" s="338">
        <v>0.11</v>
      </c>
      <c r="AF42" s="338">
        <v>38</v>
      </c>
      <c r="AG42" s="338">
        <v>0</v>
      </c>
      <c r="AH42" s="338">
        <v>0</v>
      </c>
      <c r="AI42" s="338">
        <v>0</v>
      </c>
      <c r="AJ42" s="338">
        <v>0</v>
      </c>
      <c r="AK42" s="338">
        <v>0</v>
      </c>
      <c r="AL42" s="338">
        <v>0</v>
      </c>
      <c r="AM42" s="338">
        <v>0</v>
      </c>
      <c r="AN42" s="338">
        <v>0</v>
      </c>
      <c r="AO42" s="338">
        <v>0</v>
      </c>
      <c r="AP42" s="338">
        <v>0</v>
      </c>
      <c r="AQ42" s="338">
        <v>0</v>
      </c>
      <c r="AR42" s="338">
        <v>0</v>
      </c>
      <c r="AS42" s="338">
        <v>0</v>
      </c>
      <c r="AT42" s="338">
        <v>0</v>
      </c>
      <c r="AU42" s="338">
        <v>0</v>
      </c>
      <c r="AV42" s="338">
        <v>0</v>
      </c>
      <c r="AW42" s="338">
        <v>0</v>
      </c>
      <c r="AX42" s="338">
        <v>0</v>
      </c>
      <c r="AY42" s="338">
        <v>0</v>
      </c>
      <c r="AZ42" s="338">
        <v>0</v>
      </c>
    </row>
    <row r="43" spans="1:55" ht="15.75" customHeight="1">
      <c r="A43" s="15"/>
      <c r="B43" s="15"/>
      <c r="C43" s="15"/>
      <c r="D43" s="338" t="s">
        <v>149</v>
      </c>
      <c r="E43" s="338" t="s">
        <v>107</v>
      </c>
      <c r="F43" s="338">
        <v>0</v>
      </c>
      <c r="G43" s="338">
        <v>89.4</v>
      </c>
      <c r="H43" s="338">
        <v>3.83</v>
      </c>
      <c r="I43" s="338">
        <v>14.2</v>
      </c>
      <c r="J43" s="338">
        <v>0.4</v>
      </c>
      <c r="K43" s="338">
        <v>0</v>
      </c>
      <c r="L43" s="338">
        <v>0</v>
      </c>
      <c r="M43" s="338">
        <v>0</v>
      </c>
      <c r="N43" s="338">
        <v>2.2999999999999998</v>
      </c>
      <c r="O43" s="338">
        <v>13.4</v>
      </c>
      <c r="P43" s="338">
        <v>4.4000000000000004</v>
      </c>
      <c r="Q43" s="338">
        <v>0</v>
      </c>
      <c r="R43" s="338">
        <v>2</v>
      </c>
      <c r="S43" s="338">
        <v>0.05</v>
      </c>
      <c r="T43" s="338">
        <v>0.43</v>
      </c>
      <c r="U43" s="338">
        <v>0.15</v>
      </c>
      <c r="V43" s="338">
        <v>0.5</v>
      </c>
      <c r="W43" s="338">
        <v>0.01</v>
      </c>
      <c r="X43" s="338">
        <v>0.11</v>
      </c>
      <c r="Y43" s="338">
        <v>0.15</v>
      </c>
      <c r="Z43" s="338">
        <v>0</v>
      </c>
      <c r="AA43" s="338">
        <v>5</v>
      </c>
      <c r="AB43" s="338">
        <v>0</v>
      </c>
      <c r="AC43" s="338">
        <v>72</v>
      </c>
      <c r="AD43" s="338">
        <v>42</v>
      </c>
      <c r="AE43" s="338">
        <v>0.28000000000000003</v>
      </c>
      <c r="AF43" s="338">
        <v>40</v>
      </c>
      <c r="AG43" s="338">
        <v>0</v>
      </c>
      <c r="AH43" s="338">
        <v>0</v>
      </c>
      <c r="AI43" s="338">
        <v>0</v>
      </c>
      <c r="AJ43" s="338">
        <v>0</v>
      </c>
      <c r="AK43" s="338">
        <v>0</v>
      </c>
      <c r="AL43" s="338">
        <v>0</v>
      </c>
      <c r="AM43" s="338">
        <v>0</v>
      </c>
      <c r="AN43" s="338">
        <v>0</v>
      </c>
      <c r="AO43" s="338">
        <v>0</v>
      </c>
      <c r="AP43" s="338">
        <v>0</v>
      </c>
      <c r="AQ43" s="338">
        <v>0</v>
      </c>
      <c r="AR43" s="338">
        <v>0</v>
      </c>
      <c r="AS43" s="338">
        <v>0</v>
      </c>
      <c r="AT43" s="338">
        <v>0</v>
      </c>
      <c r="AU43" s="338">
        <v>0</v>
      </c>
      <c r="AV43" s="338">
        <v>0</v>
      </c>
      <c r="AW43" s="338">
        <v>0</v>
      </c>
      <c r="AX43" s="338">
        <v>0</v>
      </c>
      <c r="AY43" s="338">
        <v>0</v>
      </c>
      <c r="AZ43" s="338">
        <v>0</v>
      </c>
    </row>
    <row r="44" spans="1:55" ht="15.75" customHeight="1">
      <c r="A44" s="15"/>
      <c r="B44" s="15"/>
      <c r="C44" s="15"/>
      <c r="D44" s="338" t="s">
        <v>150</v>
      </c>
      <c r="E44" s="338" t="s">
        <v>107</v>
      </c>
      <c r="F44" s="338">
        <v>0</v>
      </c>
      <c r="G44" s="338">
        <v>90.7</v>
      </c>
      <c r="H44" s="338">
        <v>2.85</v>
      </c>
      <c r="I44" s="338">
        <v>29.2</v>
      </c>
      <c r="J44" s="338">
        <v>1.19</v>
      </c>
      <c r="K44" s="338">
        <v>0</v>
      </c>
      <c r="L44" s="338">
        <v>0</v>
      </c>
      <c r="M44" s="338">
        <v>0</v>
      </c>
      <c r="N44" s="338">
        <v>5.2</v>
      </c>
      <c r="O44" s="338">
        <v>47.4</v>
      </c>
      <c r="P44" s="338">
        <v>22.2</v>
      </c>
      <c r="Q44" s="338">
        <v>0</v>
      </c>
      <c r="R44" s="338">
        <v>4.3</v>
      </c>
      <c r="S44" s="338">
        <v>0.3</v>
      </c>
      <c r="T44" s="338">
        <v>0.67</v>
      </c>
      <c r="U44" s="338">
        <v>0.26</v>
      </c>
      <c r="V44" s="338">
        <v>0.5</v>
      </c>
      <c r="W44" s="338">
        <v>0.04</v>
      </c>
      <c r="X44" s="338">
        <v>7.0000000000000007E-2</v>
      </c>
      <c r="Y44" s="338">
        <v>0.38</v>
      </c>
      <c r="Z44" s="338">
        <v>0</v>
      </c>
      <c r="AA44" s="338">
        <v>11</v>
      </c>
      <c r="AB44" s="338">
        <v>0</v>
      </c>
      <c r="AC44" s="338">
        <v>224</v>
      </c>
      <c r="AD44" s="338">
        <v>45</v>
      </c>
      <c r="AE44" s="338">
        <v>1.06</v>
      </c>
      <c r="AF44" s="338">
        <v>85</v>
      </c>
      <c r="AG44" s="338">
        <v>0</v>
      </c>
      <c r="AH44" s="338">
        <v>0</v>
      </c>
      <c r="AI44" s="338">
        <v>0</v>
      </c>
      <c r="AJ44" s="338">
        <v>0</v>
      </c>
      <c r="AK44" s="338">
        <v>0</v>
      </c>
      <c r="AL44" s="338">
        <v>0</v>
      </c>
      <c r="AM44" s="338">
        <v>0</v>
      </c>
      <c r="AN44" s="338">
        <v>0</v>
      </c>
      <c r="AO44" s="338">
        <v>0</v>
      </c>
      <c r="AP44" s="338">
        <v>0</v>
      </c>
      <c r="AQ44" s="338">
        <v>0</v>
      </c>
      <c r="AR44" s="338">
        <v>0</v>
      </c>
      <c r="AS44" s="338">
        <v>0</v>
      </c>
      <c r="AT44" s="338">
        <v>0</v>
      </c>
      <c r="AU44" s="338">
        <v>0</v>
      </c>
      <c r="AV44" s="338">
        <v>0</v>
      </c>
      <c r="AW44" s="338">
        <v>0</v>
      </c>
      <c r="AX44" s="338">
        <v>0</v>
      </c>
      <c r="AY44" s="338">
        <v>0</v>
      </c>
      <c r="AZ44" s="338">
        <v>0</v>
      </c>
    </row>
    <row r="45" spans="1:55" ht="15.75" customHeight="1">
      <c r="A45" s="15"/>
      <c r="B45" s="15"/>
      <c r="C45" s="15"/>
      <c r="D45" s="338" t="s">
        <v>151</v>
      </c>
      <c r="E45" s="338" t="s">
        <v>107</v>
      </c>
      <c r="F45" s="338">
        <v>0</v>
      </c>
      <c r="G45" s="338">
        <v>21.8</v>
      </c>
      <c r="H45" s="338">
        <v>2.8</v>
      </c>
      <c r="I45" s="338">
        <v>28.4</v>
      </c>
      <c r="J45" s="338">
        <v>0.97</v>
      </c>
      <c r="K45" s="338">
        <v>0</v>
      </c>
      <c r="L45" s="338">
        <v>0</v>
      </c>
      <c r="M45" s="338">
        <v>0</v>
      </c>
      <c r="N45" s="338">
        <v>5.2</v>
      </c>
      <c r="O45" s="338">
        <v>47.1</v>
      </c>
      <c r="P45" s="338">
        <v>23.1</v>
      </c>
      <c r="Q45" s="338">
        <v>0</v>
      </c>
      <c r="R45" s="338">
        <v>4.9000000000000004</v>
      </c>
      <c r="S45" s="338">
        <v>0.35</v>
      </c>
      <c r="T45" s="338">
        <v>0.59</v>
      </c>
      <c r="U45" s="338">
        <v>0.21</v>
      </c>
      <c r="V45" s="338">
        <v>0.47</v>
      </c>
      <c r="W45" s="338">
        <v>0.01</v>
      </c>
      <c r="X45" s="338">
        <v>0.12</v>
      </c>
      <c r="Y45" s="338">
        <v>0.33</v>
      </c>
      <c r="Z45" s="338">
        <v>0</v>
      </c>
      <c r="AA45" s="338">
        <v>9</v>
      </c>
      <c r="AB45" s="338">
        <v>0</v>
      </c>
      <c r="AC45" s="338">
        <v>247</v>
      </c>
      <c r="AD45" s="338">
        <v>49</v>
      </c>
      <c r="AE45" s="338">
        <v>1.06</v>
      </c>
      <c r="AF45" s="338">
        <v>91</v>
      </c>
      <c r="AG45" s="338">
        <v>0</v>
      </c>
      <c r="AH45" s="338">
        <v>0</v>
      </c>
      <c r="AI45" s="338">
        <v>0</v>
      </c>
      <c r="AJ45" s="338">
        <v>0</v>
      </c>
      <c r="AK45" s="338">
        <v>0</v>
      </c>
      <c r="AL45" s="338">
        <v>0</v>
      </c>
      <c r="AM45" s="338">
        <v>0</v>
      </c>
      <c r="AN45" s="338">
        <v>0</v>
      </c>
      <c r="AO45" s="338">
        <v>0</v>
      </c>
      <c r="AP45" s="338">
        <v>0</v>
      </c>
      <c r="AQ45" s="338">
        <v>0</v>
      </c>
      <c r="AR45" s="338">
        <v>0</v>
      </c>
      <c r="AS45" s="338">
        <v>0</v>
      </c>
      <c r="AT45" s="338">
        <v>0</v>
      </c>
      <c r="AU45" s="338">
        <v>0</v>
      </c>
      <c r="AV45" s="338">
        <v>0</v>
      </c>
      <c r="AW45" s="338">
        <v>0</v>
      </c>
      <c r="AX45" s="338">
        <v>0</v>
      </c>
      <c r="AY45" s="338">
        <v>0</v>
      </c>
      <c r="AZ45" s="338">
        <v>0</v>
      </c>
    </row>
    <row r="46" spans="1:55" ht="15.75" customHeight="1">
      <c r="A46" s="15"/>
      <c r="B46" s="15"/>
      <c r="C46" s="15"/>
      <c r="D46" s="338" t="s">
        <v>432</v>
      </c>
      <c r="E46" s="338" t="s">
        <v>107</v>
      </c>
      <c r="F46" s="338"/>
      <c r="G46" s="338">
        <v>97</v>
      </c>
      <c r="H46" s="338">
        <v>4.0999999999999996</v>
      </c>
      <c r="I46" s="338">
        <v>12</v>
      </c>
      <c r="J46" s="338">
        <v>1</v>
      </c>
      <c r="K46" s="338"/>
      <c r="L46" s="338">
        <v>0.2</v>
      </c>
      <c r="M46" s="338"/>
      <c r="N46" s="338">
        <v>12</v>
      </c>
      <c r="O46" s="338">
        <v>0</v>
      </c>
      <c r="P46" s="338">
        <v>10</v>
      </c>
      <c r="Q46" s="338">
        <v>25</v>
      </c>
      <c r="R46" s="338">
        <v>12</v>
      </c>
      <c r="S46" s="338">
        <v>1.5</v>
      </c>
      <c r="T46" s="338">
        <v>0.6</v>
      </c>
      <c r="U46" s="338">
        <v>0</v>
      </c>
      <c r="V46" s="338">
        <v>0</v>
      </c>
      <c r="W46" s="338">
        <v>0</v>
      </c>
      <c r="X46" s="338">
        <v>0</v>
      </c>
      <c r="Y46" s="338">
        <v>0</v>
      </c>
      <c r="Z46" s="338">
        <v>0</v>
      </c>
      <c r="AA46" s="338">
        <v>0</v>
      </c>
      <c r="AB46" s="338">
        <v>0</v>
      </c>
      <c r="AC46" s="338">
        <v>0</v>
      </c>
      <c r="AD46" s="338">
        <v>0</v>
      </c>
      <c r="AE46" s="338">
        <v>0</v>
      </c>
      <c r="AF46" s="338">
        <v>0</v>
      </c>
      <c r="AG46" s="338">
        <v>0</v>
      </c>
      <c r="AH46" s="338">
        <v>0</v>
      </c>
      <c r="AI46" s="338">
        <v>0</v>
      </c>
      <c r="AJ46" s="338">
        <v>0</v>
      </c>
      <c r="AK46" s="338">
        <v>0</v>
      </c>
      <c r="AL46" s="338">
        <v>0</v>
      </c>
      <c r="AM46" s="338">
        <v>0</v>
      </c>
      <c r="AN46" s="338">
        <v>0</v>
      </c>
      <c r="AO46" s="338">
        <v>0</v>
      </c>
      <c r="AP46" s="338">
        <v>0</v>
      </c>
      <c r="AQ46" s="338">
        <v>0</v>
      </c>
      <c r="AR46" s="338">
        <v>0</v>
      </c>
      <c r="AS46" s="338">
        <v>0</v>
      </c>
      <c r="AT46" s="338">
        <v>0</v>
      </c>
      <c r="AU46" s="338">
        <v>0</v>
      </c>
      <c r="AV46" s="338">
        <v>0</v>
      </c>
      <c r="AW46" s="338">
        <v>0</v>
      </c>
      <c r="AX46" s="338">
        <v>0</v>
      </c>
      <c r="AY46" s="338">
        <v>0</v>
      </c>
      <c r="AZ46" s="338">
        <v>0</v>
      </c>
    </row>
    <row r="47" spans="1:55" ht="15.75" customHeight="1">
      <c r="A47" s="15"/>
      <c r="B47" s="15"/>
      <c r="C47" s="15"/>
      <c r="D47" s="338" t="s">
        <v>152</v>
      </c>
      <c r="E47" s="338" t="s">
        <v>107</v>
      </c>
      <c r="F47" s="338"/>
      <c r="G47" s="338">
        <v>98</v>
      </c>
      <c r="H47" s="338">
        <v>4.2</v>
      </c>
      <c r="I47" s="338">
        <v>12</v>
      </c>
      <c r="J47" s="338">
        <v>6</v>
      </c>
      <c r="K47" s="338"/>
      <c r="L47" s="338">
        <v>1.8</v>
      </c>
      <c r="M47" s="338"/>
      <c r="N47" s="338">
        <v>11</v>
      </c>
      <c r="O47" s="338">
        <v>0</v>
      </c>
      <c r="P47" s="338">
        <v>0</v>
      </c>
      <c r="Q47" s="338">
        <v>0</v>
      </c>
      <c r="R47" s="338">
        <v>0</v>
      </c>
      <c r="S47" s="338">
        <v>14</v>
      </c>
      <c r="T47" s="338">
        <v>6</v>
      </c>
      <c r="U47" s="338">
        <v>0</v>
      </c>
      <c r="V47" s="338">
        <v>0</v>
      </c>
      <c r="W47" s="338">
        <v>0</v>
      </c>
      <c r="X47" s="338">
        <v>0</v>
      </c>
      <c r="Y47" s="338">
        <v>0</v>
      </c>
      <c r="Z47" s="338">
        <v>0</v>
      </c>
      <c r="AA47" s="338">
        <v>0</v>
      </c>
      <c r="AB47" s="338">
        <v>0</v>
      </c>
      <c r="AC47" s="338">
        <v>0</v>
      </c>
      <c r="AD47" s="338">
        <v>0</v>
      </c>
      <c r="AE47" s="338">
        <v>0</v>
      </c>
      <c r="AF47" s="338">
        <v>0</v>
      </c>
      <c r="AG47" s="338">
        <v>0</v>
      </c>
      <c r="AH47" s="338">
        <v>0</v>
      </c>
      <c r="AI47" s="338">
        <v>0</v>
      </c>
      <c r="AJ47" s="338">
        <v>0</v>
      </c>
      <c r="AK47" s="338">
        <v>0</v>
      </c>
      <c r="AL47" s="338">
        <v>0</v>
      </c>
      <c r="AM47" s="338">
        <v>0</v>
      </c>
      <c r="AN47" s="338">
        <v>0</v>
      </c>
      <c r="AO47" s="338">
        <v>0</v>
      </c>
      <c r="AP47" s="338">
        <v>0</v>
      </c>
      <c r="AQ47" s="338">
        <v>0</v>
      </c>
      <c r="AR47" s="338">
        <v>0</v>
      </c>
      <c r="AS47" s="338">
        <v>0</v>
      </c>
      <c r="AT47" s="338">
        <v>0</v>
      </c>
      <c r="AU47" s="338">
        <v>0</v>
      </c>
      <c r="AV47" s="338">
        <v>0</v>
      </c>
      <c r="AW47" s="338">
        <v>0</v>
      </c>
      <c r="AX47" s="338">
        <v>0</v>
      </c>
      <c r="AY47" s="338">
        <v>0</v>
      </c>
      <c r="AZ47" s="338">
        <v>0</v>
      </c>
    </row>
    <row r="48" spans="1:55" ht="15.75" customHeight="1">
      <c r="A48" s="15"/>
      <c r="B48" s="15"/>
      <c r="C48" s="15"/>
      <c r="D48" s="338" t="s">
        <v>153</v>
      </c>
      <c r="E48" s="338" t="s">
        <v>107</v>
      </c>
      <c r="F48" s="338">
        <v>0</v>
      </c>
      <c r="G48" s="338">
        <v>89</v>
      </c>
      <c r="H48" s="338">
        <v>3.2</v>
      </c>
      <c r="I48" s="338">
        <v>18</v>
      </c>
      <c r="J48" s="338">
        <v>1</v>
      </c>
      <c r="K48" s="338">
        <v>0</v>
      </c>
      <c r="L48" s="338">
        <v>0.2</v>
      </c>
      <c r="M48" s="338">
        <v>0</v>
      </c>
      <c r="N48" s="338">
        <v>4</v>
      </c>
      <c r="O48" s="338">
        <v>20</v>
      </c>
      <c r="P48" s="338">
        <v>13</v>
      </c>
      <c r="Q48" s="338">
        <v>35</v>
      </c>
      <c r="R48" s="338">
        <v>12</v>
      </c>
      <c r="S48" s="338">
        <v>1.2</v>
      </c>
      <c r="T48" s="338">
        <v>0.6</v>
      </c>
      <c r="U48" s="338">
        <v>0</v>
      </c>
      <c r="V48" s="338">
        <v>0</v>
      </c>
      <c r="W48" s="338">
        <v>0</v>
      </c>
      <c r="X48" s="338">
        <v>0</v>
      </c>
      <c r="Y48" s="338">
        <v>0</v>
      </c>
      <c r="Z48" s="338">
        <v>0.12</v>
      </c>
      <c r="AA48" s="338">
        <v>24</v>
      </c>
      <c r="AB48" s="338">
        <v>1.5</v>
      </c>
      <c r="AC48" s="338">
        <v>60</v>
      </c>
      <c r="AD48" s="338">
        <v>60</v>
      </c>
      <c r="AE48" s="338">
        <v>0.06</v>
      </c>
      <c r="AF48" s="338">
        <v>72</v>
      </c>
      <c r="AG48" s="338">
        <v>20</v>
      </c>
      <c r="AH48" s="338">
        <v>1650</v>
      </c>
      <c r="AI48" s="338">
        <v>200</v>
      </c>
      <c r="AJ48" s="338">
        <v>4.5999999999999996</v>
      </c>
      <c r="AK48" s="338">
        <v>0</v>
      </c>
      <c r="AL48" s="338">
        <v>0</v>
      </c>
      <c r="AM48" s="338">
        <v>0</v>
      </c>
      <c r="AN48" s="338">
        <v>0</v>
      </c>
      <c r="AO48" s="338">
        <v>0</v>
      </c>
      <c r="AP48" s="338">
        <v>0</v>
      </c>
      <c r="AQ48" s="338">
        <v>0</v>
      </c>
      <c r="AR48" s="338">
        <v>0</v>
      </c>
      <c r="AS48" s="338">
        <v>0</v>
      </c>
      <c r="AT48" s="338">
        <v>0</v>
      </c>
      <c r="AU48" s="338">
        <v>0</v>
      </c>
      <c r="AV48" s="338">
        <v>0</v>
      </c>
      <c r="AW48" s="338">
        <v>0</v>
      </c>
      <c r="AX48" s="338">
        <v>0</v>
      </c>
      <c r="AY48" s="338">
        <v>0</v>
      </c>
      <c r="AZ48" s="338">
        <v>0</v>
      </c>
    </row>
    <row r="49" spans="1:52" ht="15.75" customHeight="1">
      <c r="A49" s="15"/>
      <c r="B49" s="15"/>
      <c r="C49" s="15"/>
      <c r="D49" s="338" t="s">
        <v>154</v>
      </c>
      <c r="E49" s="338" t="s">
        <v>107</v>
      </c>
      <c r="F49" s="338">
        <v>0</v>
      </c>
      <c r="G49" s="338">
        <v>87</v>
      </c>
      <c r="H49" s="338">
        <v>3</v>
      </c>
      <c r="I49" s="338">
        <v>13</v>
      </c>
      <c r="J49" s="338">
        <v>0.5</v>
      </c>
      <c r="K49" s="338">
        <v>0</v>
      </c>
      <c r="L49" s="338">
        <v>0.17</v>
      </c>
      <c r="M49" s="338">
        <v>0</v>
      </c>
      <c r="N49" s="338">
        <v>2</v>
      </c>
      <c r="O49" s="338">
        <v>20</v>
      </c>
      <c r="P49" s="338">
        <v>26</v>
      </c>
      <c r="Q49" s="338">
        <v>45</v>
      </c>
      <c r="R49" s="338">
        <v>12</v>
      </c>
      <c r="S49" s="338">
        <v>1</v>
      </c>
      <c r="T49" s="338">
        <v>0.5</v>
      </c>
      <c r="U49" s="338">
        <v>0</v>
      </c>
      <c r="V49" s="338">
        <v>0</v>
      </c>
      <c r="W49" s="338">
        <v>0</v>
      </c>
      <c r="X49" s="338">
        <v>0</v>
      </c>
      <c r="Y49" s="338">
        <v>0</v>
      </c>
      <c r="Z49" s="338">
        <v>0.12</v>
      </c>
      <c r="AA49" s="338">
        <v>24</v>
      </c>
      <c r="AB49" s="338">
        <v>1.5</v>
      </c>
      <c r="AC49" s="338">
        <v>62</v>
      </c>
      <c r="AD49" s="338">
        <v>62</v>
      </c>
      <c r="AE49" s="338">
        <v>0.06</v>
      </c>
      <c r="AF49" s="338">
        <v>74</v>
      </c>
      <c r="AG49" s="338">
        <v>66</v>
      </c>
      <c r="AH49" s="338">
        <v>660</v>
      </c>
      <c r="AI49" s="338">
        <v>80</v>
      </c>
      <c r="AJ49" s="338">
        <v>2.5</v>
      </c>
      <c r="AK49" s="338">
        <v>1.25</v>
      </c>
      <c r="AL49" s="338">
        <v>0</v>
      </c>
      <c r="AM49" s="338">
        <v>0</v>
      </c>
      <c r="AN49" s="338">
        <v>0</v>
      </c>
      <c r="AO49" s="338">
        <v>0</v>
      </c>
      <c r="AP49" s="338">
        <v>0</v>
      </c>
      <c r="AQ49" s="338">
        <v>0</v>
      </c>
      <c r="AR49" s="338">
        <v>0</v>
      </c>
      <c r="AS49" s="338">
        <v>0</v>
      </c>
      <c r="AT49" s="338">
        <v>0</v>
      </c>
      <c r="AU49" s="338">
        <v>0</v>
      </c>
      <c r="AV49" s="338">
        <v>0</v>
      </c>
      <c r="AW49" s="338">
        <v>0</v>
      </c>
      <c r="AX49" s="338">
        <v>0</v>
      </c>
      <c r="AY49" s="338">
        <v>0</v>
      </c>
      <c r="AZ49" s="338">
        <v>0</v>
      </c>
    </row>
    <row r="50" spans="1:52" ht="15.75" customHeight="1">
      <c r="A50" s="15"/>
      <c r="B50" s="15"/>
      <c r="C50" s="15"/>
      <c r="D50" s="338" t="s">
        <v>155</v>
      </c>
      <c r="E50" s="338" t="s">
        <v>107</v>
      </c>
      <c r="F50" s="338">
        <v>0</v>
      </c>
      <c r="G50" s="338">
        <v>89</v>
      </c>
      <c r="H50" s="338">
        <v>3.2</v>
      </c>
      <c r="I50" s="338">
        <v>15</v>
      </c>
      <c r="J50" s="338">
        <v>0</v>
      </c>
      <c r="K50" s="338">
        <v>0</v>
      </c>
      <c r="L50" s="338">
        <v>0</v>
      </c>
      <c r="M50" s="338">
        <v>0</v>
      </c>
      <c r="N50" s="338">
        <v>3</v>
      </c>
      <c r="O50" s="338">
        <v>20</v>
      </c>
      <c r="P50" s="338">
        <v>0</v>
      </c>
      <c r="Q50" s="338">
        <v>40</v>
      </c>
      <c r="R50" s="338">
        <v>0</v>
      </c>
      <c r="S50" s="338">
        <v>2.5</v>
      </c>
      <c r="T50" s="338">
        <v>0.5</v>
      </c>
      <c r="U50" s="338">
        <v>0</v>
      </c>
      <c r="V50" s="338">
        <v>0</v>
      </c>
      <c r="W50" s="338">
        <v>0</v>
      </c>
      <c r="X50" s="338">
        <v>0</v>
      </c>
      <c r="Y50" s="338">
        <v>0</v>
      </c>
      <c r="Z50" s="338">
        <v>0</v>
      </c>
      <c r="AA50" s="338">
        <v>0</v>
      </c>
      <c r="AB50" s="338">
        <v>0</v>
      </c>
      <c r="AC50" s="338">
        <v>0</v>
      </c>
      <c r="AD50" s="338">
        <v>0</v>
      </c>
      <c r="AE50" s="338">
        <v>0</v>
      </c>
      <c r="AF50" s="338">
        <v>0</v>
      </c>
      <c r="AG50" s="338">
        <v>0</v>
      </c>
      <c r="AH50" s="338">
        <v>0</v>
      </c>
      <c r="AI50" s="338">
        <v>0</v>
      </c>
      <c r="AJ50" s="338">
        <v>0</v>
      </c>
      <c r="AK50" s="338">
        <v>0</v>
      </c>
      <c r="AL50" s="338">
        <v>0</v>
      </c>
      <c r="AM50" s="338">
        <v>0</v>
      </c>
      <c r="AN50" s="338">
        <v>0</v>
      </c>
      <c r="AO50" s="338">
        <v>0</v>
      </c>
      <c r="AP50" s="338">
        <v>0</v>
      </c>
      <c r="AQ50" s="338">
        <v>0</v>
      </c>
      <c r="AR50" s="338">
        <v>0</v>
      </c>
      <c r="AS50" s="338">
        <v>0</v>
      </c>
      <c r="AT50" s="338">
        <v>0</v>
      </c>
      <c r="AU50" s="338">
        <v>0</v>
      </c>
      <c r="AV50" s="338">
        <v>0</v>
      </c>
      <c r="AW50" s="338">
        <v>0</v>
      </c>
      <c r="AX50" s="338">
        <v>0</v>
      </c>
      <c r="AY50" s="338">
        <v>0</v>
      </c>
      <c r="AZ50" s="338">
        <v>0</v>
      </c>
    </row>
    <row r="51" spans="1:52" ht="15.75" customHeight="1">
      <c r="A51" s="15"/>
      <c r="B51" s="15"/>
      <c r="C51" s="15"/>
      <c r="D51" s="338" t="s">
        <v>156</v>
      </c>
      <c r="E51" s="338" t="s">
        <v>107</v>
      </c>
      <c r="F51" s="338">
        <v>0</v>
      </c>
      <c r="G51" s="338">
        <v>87</v>
      </c>
      <c r="H51" s="338">
        <v>3.3</v>
      </c>
      <c r="I51" s="338">
        <v>12</v>
      </c>
      <c r="J51" s="338">
        <v>0.4</v>
      </c>
      <c r="K51" s="338">
        <v>0</v>
      </c>
      <c r="L51" s="338">
        <v>0.2</v>
      </c>
      <c r="M51" s="338">
        <v>0</v>
      </c>
      <c r="N51" s="338">
        <v>3</v>
      </c>
      <c r="O51" s="338">
        <v>20</v>
      </c>
      <c r="P51" s="338">
        <v>13</v>
      </c>
      <c r="Q51" s="338">
        <v>45</v>
      </c>
      <c r="R51" s="338">
        <v>20</v>
      </c>
      <c r="S51" s="338">
        <v>2.5</v>
      </c>
      <c r="T51" s="338">
        <v>0.5</v>
      </c>
      <c r="U51" s="338">
        <v>0</v>
      </c>
      <c r="V51" s="338">
        <v>0</v>
      </c>
      <c r="W51" s="338">
        <v>0.2</v>
      </c>
      <c r="X51" s="338">
        <v>0</v>
      </c>
      <c r="Y51" s="338">
        <v>0</v>
      </c>
      <c r="Z51" s="338">
        <v>0.08</v>
      </c>
      <c r="AA51" s="338">
        <v>16</v>
      </c>
      <c r="AB51" s="338">
        <v>1</v>
      </c>
      <c r="AC51" s="338">
        <v>40</v>
      </c>
      <c r="AD51" s="338">
        <v>0</v>
      </c>
      <c r="AE51" s="338">
        <v>0.4</v>
      </c>
      <c r="AF51" s="338">
        <v>48</v>
      </c>
      <c r="AG51" s="338">
        <v>225</v>
      </c>
      <c r="AH51" s="338">
        <v>500</v>
      </c>
      <c r="AI51" s="338">
        <v>60</v>
      </c>
      <c r="AJ51" s="338">
        <v>0.9</v>
      </c>
      <c r="AK51" s="338">
        <v>0.9</v>
      </c>
      <c r="AL51" s="338">
        <v>0</v>
      </c>
      <c r="AM51" s="338">
        <v>0</v>
      </c>
      <c r="AN51" s="338">
        <v>0</v>
      </c>
      <c r="AO51" s="338">
        <v>0</v>
      </c>
      <c r="AP51" s="338">
        <v>0</v>
      </c>
      <c r="AQ51" s="338">
        <v>0</v>
      </c>
      <c r="AR51" s="338">
        <v>0</v>
      </c>
      <c r="AS51" s="338">
        <v>0</v>
      </c>
      <c r="AT51" s="338">
        <v>0</v>
      </c>
      <c r="AU51" s="338">
        <v>0</v>
      </c>
      <c r="AV51" s="338">
        <v>0</v>
      </c>
      <c r="AW51" s="338">
        <v>0</v>
      </c>
      <c r="AX51" s="338">
        <v>0</v>
      </c>
      <c r="AY51" s="338">
        <v>0</v>
      </c>
      <c r="AZ51" s="338">
        <v>0</v>
      </c>
    </row>
    <row r="52" spans="1:52" ht="15.75" customHeight="1">
      <c r="A52" s="15"/>
      <c r="B52" s="15"/>
      <c r="C52" s="15"/>
      <c r="D52" s="338" t="s">
        <v>157</v>
      </c>
      <c r="E52" s="338" t="s">
        <v>158</v>
      </c>
      <c r="F52" s="338">
        <v>0</v>
      </c>
      <c r="G52" s="338">
        <v>99.8</v>
      </c>
      <c r="H52" s="338">
        <v>9.1199999999999992</v>
      </c>
      <c r="I52" s="338">
        <v>0</v>
      </c>
      <c r="J52" s="338">
        <v>0</v>
      </c>
      <c r="K52" s="338">
        <v>0</v>
      </c>
      <c r="L52" s="338">
        <v>0</v>
      </c>
      <c r="M52" s="338">
        <v>0</v>
      </c>
      <c r="N52" s="338">
        <v>99.2</v>
      </c>
      <c r="O52" s="338">
        <v>0</v>
      </c>
      <c r="P52" s="338">
        <v>0</v>
      </c>
      <c r="Q52" s="338">
        <v>0</v>
      </c>
      <c r="R52" s="338">
        <v>0</v>
      </c>
      <c r="S52" s="338">
        <v>0</v>
      </c>
      <c r="T52" s="338">
        <v>0</v>
      </c>
      <c r="U52" s="338">
        <v>0</v>
      </c>
      <c r="V52" s="338">
        <v>0</v>
      </c>
      <c r="W52" s="338">
        <v>0</v>
      </c>
      <c r="X52" s="338">
        <v>0</v>
      </c>
      <c r="Y52" s="338">
        <v>0</v>
      </c>
      <c r="Z52" s="338">
        <v>0</v>
      </c>
      <c r="AA52" s="338">
        <v>0</v>
      </c>
      <c r="AB52" s="338">
        <v>0</v>
      </c>
      <c r="AC52" s="338">
        <v>0</v>
      </c>
      <c r="AD52" s="338">
        <v>0</v>
      </c>
      <c r="AE52" s="338">
        <v>0</v>
      </c>
      <c r="AF52" s="338">
        <v>0</v>
      </c>
      <c r="AG52" s="338">
        <v>0</v>
      </c>
      <c r="AH52" s="338">
        <v>0</v>
      </c>
      <c r="AI52" s="338">
        <v>0</v>
      </c>
      <c r="AJ52" s="338">
        <v>0</v>
      </c>
      <c r="AK52" s="338">
        <v>0</v>
      </c>
      <c r="AL52" s="338">
        <v>0</v>
      </c>
      <c r="AM52" s="338">
        <v>0</v>
      </c>
      <c r="AN52" s="338">
        <v>0</v>
      </c>
      <c r="AO52" s="338">
        <v>0</v>
      </c>
      <c r="AP52" s="338">
        <v>0</v>
      </c>
      <c r="AQ52" s="338">
        <v>0</v>
      </c>
      <c r="AR52" s="338">
        <v>0</v>
      </c>
      <c r="AS52" s="338">
        <v>0</v>
      </c>
      <c r="AT52" s="338">
        <v>0</v>
      </c>
      <c r="AU52" s="338">
        <v>0</v>
      </c>
      <c r="AV52" s="338">
        <v>0</v>
      </c>
      <c r="AW52" s="338">
        <v>0</v>
      </c>
      <c r="AX52" s="338">
        <v>0</v>
      </c>
      <c r="AY52" s="338">
        <v>0</v>
      </c>
      <c r="AZ52" s="338">
        <v>0</v>
      </c>
    </row>
    <row r="53" spans="1:52" ht="15.75" customHeight="1">
      <c r="A53" s="15"/>
      <c r="B53" s="15"/>
      <c r="C53" s="15"/>
      <c r="D53" s="338" t="s">
        <v>159</v>
      </c>
      <c r="E53" s="338" t="s">
        <v>107</v>
      </c>
      <c r="F53" s="338">
        <v>0</v>
      </c>
      <c r="G53" s="338">
        <v>87</v>
      </c>
      <c r="H53" s="338">
        <v>3.5</v>
      </c>
      <c r="I53" s="338">
        <v>12</v>
      </c>
      <c r="J53" s="338">
        <v>0</v>
      </c>
      <c r="K53" s="338">
        <v>0</v>
      </c>
      <c r="L53" s="338">
        <v>0</v>
      </c>
      <c r="M53" s="338">
        <v>0</v>
      </c>
      <c r="N53" s="338">
        <v>6</v>
      </c>
      <c r="O53" s="338">
        <v>0</v>
      </c>
      <c r="P53" s="338">
        <v>0</v>
      </c>
      <c r="Q53" s="338">
        <v>45</v>
      </c>
      <c r="R53" s="338">
        <v>15</v>
      </c>
      <c r="S53" s="338">
        <v>1</v>
      </c>
      <c r="T53" s="338">
        <v>0.65</v>
      </c>
      <c r="U53" s="338">
        <v>0</v>
      </c>
      <c r="V53" s="338">
        <v>0</v>
      </c>
      <c r="W53" s="338">
        <v>0</v>
      </c>
      <c r="X53" s="338">
        <v>0</v>
      </c>
      <c r="Y53" s="338">
        <v>0</v>
      </c>
      <c r="Z53" s="338">
        <v>0.24</v>
      </c>
      <c r="AA53" s="338">
        <v>12</v>
      </c>
      <c r="AB53" s="338">
        <v>0.72</v>
      </c>
      <c r="AC53" s="338">
        <v>14.84</v>
      </c>
      <c r="AD53" s="338">
        <v>20</v>
      </c>
      <c r="AE53" s="338">
        <v>0.35</v>
      </c>
      <c r="AF53" s="338">
        <v>50</v>
      </c>
      <c r="AG53" s="338">
        <v>8</v>
      </c>
      <c r="AH53" s="338">
        <v>2000</v>
      </c>
      <c r="AI53" s="338">
        <v>80</v>
      </c>
      <c r="AJ53" s="338">
        <v>0</v>
      </c>
      <c r="AK53" s="338">
        <v>0</v>
      </c>
      <c r="AL53" s="338">
        <v>0</v>
      </c>
      <c r="AM53" s="338">
        <v>0</v>
      </c>
      <c r="AN53" s="338">
        <v>0</v>
      </c>
      <c r="AO53" s="338">
        <v>0</v>
      </c>
      <c r="AP53" s="338">
        <v>0</v>
      </c>
      <c r="AQ53" s="338">
        <v>0</v>
      </c>
      <c r="AR53" s="338">
        <v>0</v>
      </c>
      <c r="AS53" s="338">
        <v>0</v>
      </c>
      <c r="AT53" s="338">
        <v>0</v>
      </c>
      <c r="AU53" s="338">
        <v>0</v>
      </c>
      <c r="AV53" s="338">
        <v>0</v>
      </c>
      <c r="AW53" s="338">
        <v>0</v>
      </c>
      <c r="AX53" s="338">
        <v>0</v>
      </c>
      <c r="AY53" s="338">
        <v>0</v>
      </c>
      <c r="AZ53" s="338">
        <v>0</v>
      </c>
    </row>
    <row r="54" spans="1:52" ht="15.75" customHeight="1">
      <c r="A54" s="15"/>
      <c r="B54" s="15"/>
      <c r="C54" s="15"/>
      <c r="D54" s="338" t="s">
        <v>160</v>
      </c>
      <c r="E54" s="338" t="s">
        <v>124</v>
      </c>
      <c r="F54" s="338">
        <v>0</v>
      </c>
      <c r="G54" s="338">
        <v>99</v>
      </c>
      <c r="H54" s="338"/>
      <c r="I54" s="338">
        <v>0</v>
      </c>
      <c r="J54" s="338">
        <v>0</v>
      </c>
      <c r="K54" s="338">
        <v>0</v>
      </c>
      <c r="L54" s="338">
        <v>0</v>
      </c>
      <c r="M54" s="338">
        <v>0</v>
      </c>
      <c r="N54" s="338">
        <v>0</v>
      </c>
      <c r="O54" s="338">
        <v>0</v>
      </c>
      <c r="P54" s="338">
        <v>0</v>
      </c>
      <c r="Q54" s="338">
        <v>0</v>
      </c>
      <c r="R54" s="338">
        <v>99</v>
      </c>
      <c r="S54" s="338">
        <v>0</v>
      </c>
      <c r="T54" s="338">
        <v>0</v>
      </c>
      <c r="U54" s="338">
        <v>0</v>
      </c>
      <c r="V54" s="338">
        <v>0</v>
      </c>
      <c r="W54" s="338">
        <v>0</v>
      </c>
      <c r="X54" s="338">
        <v>0</v>
      </c>
      <c r="Y54" s="338">
        <v>0</v>
      </c>
      <c r="Z54" s="338">
        <v>0</v>
      </c>
      <c r="AA54" s="338">
        <v>0</v>
      </c>
      <c r="AB54" s="338">
        <v>560000</v>
      </c>
      <c r="AC54" s="338">
        <v>0</v>
      </c>
      <c r="AD54" s="338">
        <v>0</v>
      </c>
      <c r="AE54" s="338">
        <v>0</v>
      </c>
      <c r="AF54" s="338">
        <v>0</v>
      </c>
      <c r="AG54" s="338">
        <v>0</v>
      </c>
      <c r="AH54" s="338">
        <v>0</v>
      </c>
      <c r="AI54" s="338">
        <v>0</v>
      </c>
      <c r="AJ54" s="338">
        <v>0</v>
      </c>
      <c r="AK54" s="338">
        <v>0</v>
      </c>
      <c r="AL54" s="338">
        <v>0</v>
      </c>
      <c r="AM54" s="338">
        <v>0</v>
      </c>
      <c r="AN54" s="338">
        <v>0</v>
      </c>
      <c r="AO54" s="338">
        <v>0</v>
      </c>
      <c r="AP54" s="338">
        <v>0</v>
      </c>
      <c r="AQ54" s="338">
        <v>0</v>
      </c>
      <c r="AR54" s="338">
        <v>0</v>
      </c>
      <c r="AS54" s="338">
        <v>0</v>
      </c>
      <c r="AT54" s="338">
        <v>0</v>
      </c>
      <c r="AU54" s="338">
        <v>0</v>
      </c>
      <c r="AV54" s="338">
        <v>0</v>
      </c>
      <c r="AW54" s="338">
        <v>0</v>
      </c>
      <c r="AX54" s="338">
        <v>0</v>
      </c>
      <c r="AY54" s="338">
        <v>0</v>
      </c>
      <c r="AZ54" s="338">
        <v>0</v>
      </c>
    </row>
    <row r="55" spans="1:52" ht="15.75" customHeight="1">
      <c r="A55" s="15"/>
      <c r="B55" s="15"/>
      <c r="C55" s="15"/>
      <c r="D55" s="338" t="s">
        <v>161</v>
      </c>
      <c r="E55" s="338" t="s">
        <v>111</v>
      </c>
      <c r="F55" s="338">
        <v>0</v>
      </c>
      <c r="G55" s="338">
        <v>99</v>
      </c>
      <c r="H55" s="338"/>
      <c r="I55" s="338">
        <v>0</v>
      </c>
      <c r="J55" s="338">
        <v>0</v>
      </c>
      <c r="K55" s="338">
        <v>0</v>
      </c>
      <c r="L55" s="338">
        <v>0</v>
      </c>
      <c r="M55" s="338">
        <v>0</v>
      </c>
      <c r="N55" s="338">
        <v>0</v>
      </c>
      <c r="O55" s="338">
        <v>0</v>
      </c>
      <c r="P55" s="338">
        <v>0</v>
      </c>
      <c r="Q55" s="338">
        <v>0</v>
      </c>
      <c r="R55" s="338">
        <v>99</v>
      </c>
      <c r="S55" s="338">
        <v>0</v>
      </c>
      <c r="T55" s="338">
        <v>0</v>
      </c>
      <c r="U55" s="338">
        <v>0</v>
      </c>
      <c r="V55" s="338">
        <v>0</v>
      </c>
      <c r="W55" s="338">
        <v>0</v>
      </c>
      <c r="X55" s="338">
        <v>0</v>
      </c>
      <c r="Y55" s="338">
        <v>0</v>
      </c>
      <c r="Z55" s="338">
        <v>0</v>
      </c>
      <c r="AA55" s="338">
        <v>0</v>
      </c>
      <c r="AB55" s="338">
        <v>0</v>
      </c>
      <c r="AC55" s="338">
        <v>0</v>
      </c>
      <c r="AD55" s="338">
        <v>0</v>
      </c>
      <c r="AE55" s="338">
        <v>0</v>
      </c>
      <c r="AF55" s="338">
        <v>0</v>
      </c>
      <c r="AG55" s="338">
        <v>0</v>
      </c>
      <c r="AH55" s="338">
        <v>0</v>
      </c>
      <c r="AI55" s="338">
        <v>0</v>
      </c>
      <c r="AJ55" s="338">
        <v>0</v>
      </c>
      <c r="AK55" s="338">
        <v>0</v>
      </c>
      <c r="AL55" s="338">
        <v>10000</v>
      </c>
      <c r="AM55" s="338">
        <v>0</v>
      </c>
      <c r="AN55" s="338">
        <v>0</v>
      </c>
      <c r="AO55" s="338">
        <v>0</v>
      </c>
      <c r="AP55" s="338">
        <v>0</v>
      </c>
      <c r="AQ55" s="338">
        <v>0</v>
      </c>
      <c r="AR55" s="338">
        <v>0</v>
      </c>
      <c r="AS55" s="338">
        <v>0</v>
      </c>
      <c r="AT55" s="338">
        <v>0</v>
      </c>
      <c r="AU55" s="338">
        <v>0</v>
      </c>
      <c r="AV55" s="338">
        <v>0</v>
      </c>
      <c r="AW55" s="338">
        <v>0</v>
      </c>
      <c r="AX55" s="338">
        <v>0</v>
      </c>
      <c r="AY55" s="338">
        <v>0</v>
      </c>
      <c r="AZ55" s="338">
        <v>0</v>
      </c>
    </row>
    <row r="56" spans="1:52" ht="15.75" customHeight="1">
      <c r="A56" s="15"/>
      <c r="B56" s="15"/>
      <c r="C56" s="15"/>
      <c r="D56" s="338" t="s">
        <v>162</v>
      </c>
      <c r="E56" s="338" t="s">
        <v>163</v>
      </c>
      <c r="F56" s="338">
        <v>0</v>
      </c>
      <c r="G56" s="338">
        <v>99</v>
      </c>
      <c r="H56" s="338"/>
      <c r="I56" s="338">
        <v>0</v>
      </c>
      <c r="J56" s="338">
        <v>99</v>
      </c>
      <c r="K56" s="338">
        <v>0</v>
      </c>
      <c r="L56" s="338">
        <v>0</v>
      </c>
      <c r="M56" s="338">
        <v>0</v>
      </c>
      <c r="N56" s="338">
        <v>0</v>
      </c>
      <c r="O56" s="338">
        <v>0</v>
      </c>
      <c r="P56" s="338">
        <v>0</v>
      </c>
      <c r="Q56" s="338">
        <v>0</v>
      </c>
      <c r="R56" s="338">
        <v>99</v>
      </c>
      <c r="S56" s="338">
        <v>0</v>
      </c>
      <c r="T56" s="338">
        <v>0</v>
      </c>
      <c r="U56" s="338">
        <v>0</v>
      </c>
      <c r="V56" s="338">
        <v>0</v>
      </c>
      <c r="W56" s="338">
        <v>0</v>
      </c>
      <c r="X56" s="338">
        <v>0</v>
      </c>
      <c r="Y56" s="338">
        <v>0</v>
      </c>
      <c r="Z56" s="338">
        <v>0</v>
      </c>
      <c r="AA56" s="338">
        <v>0</v>
      </c>
      <c r="AB56" s="338">
        <v>0</v>
      </c>
      <c r="AC56" s="338">
        <v>0</v>
      </c>
      <c r="AD56" s="338">
        <v>0</v>
      </c>
      <c r="AE56" s="338">
        <v>0</v>
      </c>
      <c r="AF56" s="338">
        <v>0</v>
      </c>
      <c r="AG56" s="338">
        <v>0</v>
      </c>
      <c r="AH56" s="338">
        <v>0</v>
      </c>
      <c r="AI56" s="338">
        <v>0</v>
      </c>
      <c r="AJ56" s="338">
        <v>0</v>
      </c>
      <c r="AK56" s="338">
        <v>0</v>
      </c>
      <c r="AL56" s="338">
        <v>0</v>
      </c>
      <c r="AM56" s="338">
        <v>0</v>
      </c>
      <c r="AN56" s="338">
        <v>0</v>
      </c>
      <c r="AO56" s="338">
        <v>0</v>
      </c>
      <c r="AP56" s="338">
        <v>0</v>
      </c>
      <c r="AQ56" s="338">
        <v>0</v>
      </c>
      <c r="AR56" s="338">
        <v>0</v>
      </c>
      <c r="AS56" s="338">
        <v>0</v>
      </c>
      <c r="AT56" s="338">
        <v>0</v>
      </c>
      <c r="AU56" s="338">
        <v>0</v>
      </c>
      <c r="AV56" s="338">
        <v>0</v>
      </c>
      <c r="AW56" s="338">
        <v>0</v>
      </c>
      <c r="AX56" s="338">
        <v>0</v>
      </c>
      <c r="AY56" s="338">
        <v>0</v>
      </c>
      <c r="AZ56" s="338">
        <v>0</v>
      </c>
    </row>
    <row r="57" spans="1:52" ht="15.75" customHeight="1">
      <c r="A57" s="15"/>
      <c r="B57" s="15"/>
      <c r="C57" s="15"/>
      <c r="D57" s="338" t="s">
        <v>164</v>
      </c>
      <c r="E57" s="338" t="s">
        <v>111</v>
      </c>
      <c r="F57" s="338">
        <v>0</v>
      </c>
      <c r="G57" s="338">
        <v>99</v>
      </c>
      <c r="H57" s="338"/>
      <c r="I57" s="338">
        <v>0</v>
      </c>
      <c r="J57" s="338">
        <v>0</v>
      </c>
      <c r="K57" s="338">
        <v>0</v>
      </c>
      <c r="L57" s="338">
        <v>0</v>
      </c>
      <c r="M57" s="338">
        <v>0</v>
      </c>
      <c r="N57" s="338">
        <v>0</v>
      </c>
      <c r="O57" s="338">
        <v>0</v>
      </c>
      <c r="P57" s="338">
        <v>0</v>
      </c>
      <c r="Q57" s="338">
        <v>0</v>
      </c>
      <c r="R57" s="338">
        <v>99</v>
      </c>
      <c r="S57" s="338">
        <v>32</v>
      </c>
      <c r="T57" s="338">
        <v>0</v>
      </c>
      <c r="U57" s="338">
        <v>0</v>
      </c>
      <c r="V57" s="338">
        <v>0</v>
      </c>
      <c r="W57" s="338">
        <v>0</v>
      </c>
      <c r="X57" s="338">
        <v>0</v>
      </c>
      <c r="Y57" s="338">
        <v>0</v>
      </c>
      <c r="Z57" s="338">
        <v>0</v>
      </c>
      <c r="AA57" s="338">
        <v>0</v>
      </c>
      <c r="AB57" s="338">
        <v>0</v>
      </c>
      <c r="AC57" s="338">
        <v>0</v>
      </c>
      <c r="AD57" s="338">
        <v>0</v>
      </c>
      <c r="AE57" s="338">
        <v>0</v>
      </c>
      <c r="AF57" s="338">
        <v>0</v>
      </c>
      <c r="AG57" s="338">
        <v>0</v>
      </c>
      <c r="AH57" s="338">
        <v>0</v>
      </c>
      <c r="AI57" s="338">
        <v>0</v>
      </c>
      <c r="AJ57" s="338">
        <v>0</v>
      </c>
      <c r="AK57" s="338">
        <v>0</v>
      </c>
      <c r="AL57" s="338">
        <v>0</v>
      </c>
      <c r="AM57" s="338">
        <v>0</v>
      </c>
      <c r="AN57" s="338">
        <v>0</v>
      </c>
      <c r="AO57" s="338">
        <v>0</v>
      </c>
      <c r="AP57" s="338">
        <v>0</v>
      </c>
      <c r="AQ57" s="338">
        <v>0</v>
      </c>
      <c r="AR57" s="338">
        <v>0</v>
      </c>
      <c r="AS57" s="338">
        <v>0</v>
      </c>
      <c r="AT57" s="338">
        <v>0</v>
      </c>
      <c r="AU57" s="338">
        <v>0</v>
      </c>
      <c r="AV57" s="338">
        <v>0</v>
      </c>
      <c r="AW57" s="338">
        <v>0</v>
      </c>
      <c r="AX57" s="338">
        <v>0</v>
      </c>
      <c r="AY57" s="338">
        <v>0</v>
      </c>
      <c r="AZ57" s="338">
        <v>0</v>
      </c>
    </row>
    <row r="58" spans="1:52" ht="15.75" customHeight="1">
      <c r="A58" s="15"/>
      <c r="B58" s="15"/>
      <c r="C58" s="15"/>
      <c r="D58" s="338" t="s">
        <v>165</v>
      </c>
      <c r="E58" s="338" t="s">
        <v>107</v>
      </c>
      <c r="F58" s="338">
        <v>0</v>
      </c>
      <c r="G58" s="338">
        <v>77.900000000000006</v>
      </c>
      <c r="H58" s="338">
        <v>4.0599999999999996</v>
      </c>
      <c r="I58" s="338">
        <v>8.5</v>
      </c>
      <c r="J58" s="338">
        <v>0.09</v>
      </c>
      <c r="K58" s="338">
        <v>0</v>
      </c>
      <c r="L58" s="338">
        <v>0</v>
      </c>
      <c r="M58" s="338">
        <v>0</v>
      </c>
      <c r="N58" s="338">
        <v>0.2</v>
      </c>
      <c r="O58" s="338">
        <v>0.1</v>
      </c>
      <c r="P58" s="338">
        <v>0.1</v>
      </c>
      <c r="Q58" s="338">
        <v>0</v>
      </c>
      <c r="R58" s="338">
        <v>11.4</v>
      </c>
      <c r="S58" s="338">
        <v>0.15</v>
      </c>
      <c r="T58" s="338">
        <v>0.03</v>
      </c>
      <c r="U58" s="338">
        <v>0.28999999999999998</v>
      </c>
      <c r="V58" s="338">
        <v>6.06</v>
      </c>
      <c r="W58" s="338">
        <v>1.48</v>
      </c>
      <c r="X58" s="338">
        <v>0</v>
      </c>
      <c r="Y58" s="338">
        <v>0.6</v>
      </c>
      <c r="Z58" s="338">
        <v>0</v>
      </c>
      <c r="AA58" s="338">
        <v>22</v>
      </c>
      <c r="AB58" s="338">
        <v>0</v>
      </c>
      <c r="AC58" s="338">
        <v>87</v>
      </c>
      <c r="AD58" s="338">
        <v>66</v>
      </c>
      <c r="AE58" s="338">
        <v>0</v>
      </c>
      <c r="AF58" s="338">
        <v>18</v>
      </c>
      <c r="AG58" s="338">
        <v>0</v>
      </c>
      <c r="AH58" s="338">
        <v>0</v>
      </c>
      <c r="AI58" s="338">
        <v>0</v>
      </c>
      <c r="AJ58" s="338">
        <v>0</v>
      </c>
      <c r="AK58" s="338">
        <v>0</v>
      </c>
      <c r="AL58" s="338">
        <v>0</v>
      </c>
      <c r="AM58" s="338">
        <v>0</v>
      </c>
      <c r="AN58" s="338">
        <v>0</v>
      </c>
      <c r="AO58" s="338">
        <v>0</v>
      </c>
      <c r="AP58" s="338">
        <v>0</v>
      </c>
      <c r="AQ58" s="338">
        <v>0</v>
      </c>
      <c r="AR58" s="338">
        <v>0</v>
      </c>
      <c r="AS58" s="338">
        <v>0</v>
      </c>
      <c r="AT58" s="338">
        <v>0</v>
      </c>
      <c r="AU58" s="338">
        <v>0</v>
      </c>
      <c r="AV58" s="338">
        <v>0</v>
      </c>
      <c r="AW58" s="338">
        <v>0</v>
      </c>
      <c r="AX58" s="338">
        <v>0</v>
      </c>
      <c r="AY58" s="338">
        <v>0</v>
      </c>
      <c r="AZ58" s="338">
        <v>0</v>
      </c>
    </row>
    <row r="59" spans="1:52" ht="15.75" customHeight="1">
      <c r="A59" s="15"/>
      <c r="B59" s="15"/>
      <c r="C59" s="15"/>
      <c r="D59" s="338" t="s">
        <v>433</v>
      </c>
      <c r="E59" s="338" t="s">
        <v>107</v>
      </c>
      <c r="F59" s="338">
        <v>0</v>
      </c>
      <c r="G59" s="338">
        <v>74.3</v>
      </c>
      <c r="H59" s="338">
        <v>4.0599999999999996</v>
      </c>
      <c r="I59" s="338">
        <v>5.8</v>
      </c>
      <c r="J59" s="338">
        <v>0.06</v>
      </c>
      <c r="K59" s="338">
        <v>0</v>
      </c>
      <c r="L59" s="338">
        <v>0</v>
      </c>
      <c r="M59" s="338">
        <v>0</v>
      </c>
      <c r="N59" s="338">
        <v>0.2</v>
      </c>
      <c r="O59" s="338">
        <v>0.4</v>
      </c>
      <c r="P59" s="338">
        <v>0.2</v>
      </c>
      <c r="Q59" s="338">
        <v>0</v>
      </c>
      <c r="R59" s="338">
        <v>13.3</v>
      </c>
      <c r="S59" s="338">
        <v>1</v>
      </c>
      <c r="T59" s="338">
        <v>0.1</v>
      </c>
      <c r="U59" s="338">
        <v>0.42</v>
      </c>
      <c r="V59" s="338">
        <v>4.01</v>
      </c>
      <c r="W59" s="338">
        <v>0.22</v>
      </c>
      <c r="X59" s="338">
        <v>0</v>
      </c>
      <c r="Y59" s="338">
        <v>0.47</v>
      </c>
      <c r="Z59" s="338">
        <v>0</v>
      </c>
      <c r="AA59" s="338">
        <v>66</v>
      </c>
      <c r="AB59" s="338">
        <v>2.1</v>
      </c>
      <c r="AC59" s="338">
        <v>263</v>
      </c>
      <c r="AD59" s="338">
        <v>59</v>
      </c>
      <c r="AE59" s="338">
        <v>0</v>
      </c>
      <c r="AF59" s="338">
        <v>21</v>
      </c>
      <c r="AG59" s="338">
        <v>0</v>
      </c>
      <c r="AH59" s="338">
        <v>0</v>
      </c>
      <c r="AI59" s="338">
        <v>0</v>
      </c>
      <c r="AJ59" s="338">
        <v>0</v>
      </c>
      <c r="AK59" s="338">
        <v>0</v>
      </c>
      <c r="AL59" s="338">
        <v>0</v>
      </c>
      <c r="AM59" s="338">
        <v>0</v>
      </c>
      <c r="AN59" s="338">
        <v>0</v>
      </c>
      <c r="AO59" s="338">
        <v>0</v>
      </c>
      <c r="AP59" s="338">
        <v>0</v>
      </c>
      <c r="AQ59" s="338">
        <v>0</v>
      </c>
      <c r="AR59" s="338">
        <v>0</v>
      </c>
      <c r="AS59" s="338">
        <v>0</v>
      </c>
      <c r="AT59" s="338">
        <v>0</v>
      </c>
      <c r="AU59" s="338">
        <v>0</v>
      </c>
      <c r="AV59" s="338">
        <v>0</v>
      </c>
      <c r="AW59" s="338">
        <v>0</v>
      </c>
      <c r="AX59" s="338">
        <v>0</v>
      </c>
      <c r="AY59" s="338">
        <v>0</v>
      </c>
      <c r="AZ59" s="338">
        <v>0</v>
      </c>
    </row>
    <row r="60" spans="1:52" ht="15.75" customHeight="1">
      <c r="A60" s="15"/>
      <c r="B60" s="15"/>
      <c r="C60" s="15"/>
      <c r="D60" s="338" t="s">
        <v>166</v>
      </c>
      <c r="E60" s="338" t="s">
        <v>163</v>
      </c>
      <c r="F60" s="338">
        <v>0</v>
      </c>
      <c r="G60" s="338">
        <v>99</v>
      </c>
      <c r="H60" s="338"/>
      <c r="I60" s="338">
        <v>0</v>
      </c>
      <c r="J60" s="338">
        <v>0</v>
      </c>
      <c r="K60" s="338">
        <v>0</v>
      </c>
      <c r="L60" s="338">
        <v>99</v>
      </c>
      <c r="M60" s="338">
        <v>0</v>
      </c>
      <c r="N60" s="338">
        <v>0</v>
      </c>
      <c r="O60" s="338">
        <v>0</v>
      </c>
      <c r="P60" s="338">
        <v>0</v>
      </c>
      <c r="Q60" s="338">
        <v>0</v>
      </c>
      <c r="R60" s="338">
        <v>99</v>
      </c>
      <c r="S60" s="338">
        <v>0</v>
      </c>
      <c r="T60" s="338">
        <v>0</v>
      </c>
      <c r="U60" s="338">
        <v>0</v>
      </c>
      <c r="V60" s="338">
        <v>0</v>
      </c>
      <c r="W60" s="338">
        <v>0</v>
      </c>
      <c r="X60" s="338">
        <v>0</v>
      </c>
      <c r="Y60" s="338">
        <v>0</v>
      </c>
      <c r="Z60" s="338">
        <v>0</v>
      </c>
      <c r="AA60" s="338">
        <v>0</v>
      </c>
      <c r="AB60" s="338">
        <v>0</v>
      </c>
      <c r="AC60" s="338">
        <v>0</v>
      </c>
      <c r="AD60" s="338">
        <v>0</v>
      </c>
      <c r="AE60" s="338">
        <v>0</v>
      </c>
      <c r="AF60" s="338">
        <v>0</v>
      </c>
      <c r="AG60" s="338">
        <v>0</v>
      </c>
      <c r="AH60" s="338">
        <v>0</v>
      </c>
      <c r="AI60" s="338">
        <v>0</v>
      </c>
      <c r="AJ60" s="338">
        <v>0</v>
      </c>
      <c r="AK60" s="338">
        <v>0</v>
      </c>
      <c r="AL60" s="338">
        <v>0</v>
      </c>
      <c r="AM60" s="338">
        <v>0</v>
      </c>
      <c r="AN60" s="338">
        <v>0</v>
      </c>
      <c r="AO60" s="338">
        <v>0</v>
      </c>
      <c r="AP60" s="338">
        <v>0</v>
      </c>
      <c r="AQ60" s="338">
        <v>0</v>
      </c>
      <c r="AR60" s="338">
        <v>0</v>
      </c>
      <c r="AS60" s="338">
        <v>0</v>
      </c>
      <c r="AT60" s="338">
        <v>0</v>
      </c>
      <c r="AU60" s="338">
        <v>0</v>
      </c>
      <c r="AV60" s="338">
        <v>0</v>
      </c>
      <c r="AW60" s="338">
        <v>0</v>
      </c>
      <c r="AX60" s="338">
        <v>0</v>
      </c>
      <c r="AY60" s="338">
        <v>0</v>
      </c>
      <c r="AZ60" s="338">
        <v>0</v>
      </c>
    </row>
    <row r="61" spans="1:52" ht="15.75" customHeight="1">
      <c r="A61" s="15"/>
      <c r="B61" s="15"/>
      <c r="C61" s="15"/>
      <c r="D61" s="338" t="s">
        <v>167</v>
      </c>
      <c r="E61" s="338" t="s">
        <v>168</v>
      </c>
      <c r="F61" s="338"/>
      <c r="G61" s="338"/>
      <c r="H61" s="338"/>
      <c r="I61" s="338"/>
      <c r="J61" s="338"/>
      <c r="K61" s="338"/>
      <c r="L61" s="338"/>
      <c r="M61" s="338"/>
      <c r="N61" s="338">
        <v>0</v>
      </c>
      <c r="O61" s="338">
        <v>0</v>
      </c>
      <c r="P61" s="338">
        <v>0</v>
      </c>
      <c r="Q61" s="338">
        <v>0</v>
      </c>
      <c r="R61" s="338">
        <v>0</v>
      </c>
      <c r="S61" s="338">
        <v>0</v>
      </c>
      <c r="T61" s="338">
        <v>0</v>
      </c>
      <c r="U61" s="338">
        <v>0</v>
      </c>
      <c r="V61" s="338">
        <v>0</v>
      </c>
      <c r="W61" s="338">
        <v>0</v>
      </c>
      <c r="X61" s="338">
        <v>0</v>
      </c>
      <c r="Y61" s="338">
        <v>0</v>
      </c>
      <c r="Z61" s="338">
        <v>0</v>
      </c>
      <c r="AA61" s="338">
        <v>0</v>
      </c>
      <c r="AB61" s="338">
        <v>0</v>
      </c>
      <c r="AC61" s="338">
        <v>0</v>
      </c>
      <c r="AD61" s="338">
        <v>0</v>
      </c>
      <c r="AE61" s="338">
        <v>0</v>
      </c>
      <c r="AF61" s="338">
        <v>0</v>
      </c>
      <c r="AG61" s="338">
        <v>0</v>
      </c>
      <c r="AH61" s="338">
        <v>0</v>
      </c>
      <c r="AI61" s="338">
        <v>0</v>
      </c>
      <c r="AJ61" s="338">
        <v>0</v>
      </c>
      <c r="AK61" s="338">
        <v>0</v>
      </c>
      <c r="AL61" s="338">
        <v>0</v>
      </c>
      <c r="AM61" s="338">
        <v>0</v>
      </c>
      <c r="AN61" s="338">
        <v>0</v>
      </c>
      <c r="AO61" s="338">
        <v>9500</v>
      </c>
      <c r="AP61" s="338">
        <v>0</v>
      </c>
      <c r="AQ61" s="338">
        <v>0</v>
      </c>
      <c r="AR61" s="338">
        <v>0</v>
      </c>
      <c r="AS61" s="338">
        <v>0</v>
      </c>
      <c r="AT61" s="338">
        <v>0</v>
      </c>
      <c r="AU61" s="338">
        <v>0</v>
      </c>
      <c r="AV61" s="338">
        <v>0</v>
      </c>
      <c r="AW61" s="338">
        <v>0</v>
      </c>
      <c r="AX61" s="338">
        <v>0</v>
      </c>
      <c r="AY61" s="338">
        <v>0</v>
      </c>
      <c r="AZ61" s="338">
        <v>0</v>
      </c>
    </row>
    <row r="62" spans="1:52" ht="15.75" customHeight="1">
      <c r="A62" s="15"/>
      <c r="B62" s="15"/>
      <c r="C62" s="15"/>
      <c r="D62" s="338" t="s">
        <v>169</v>
      </c>
      <c r="E62" s="338" t="s">
        <v>111</v>
      </c>
      <c r="F62" s="338">
        <v>0</v>
      </c>
      <c r="G62" s="338">
        <v>99</v>
      </c>
      <c r="H62" s="338"/>
      <c r="I62" s="338">
        <v>0</v>
      </c>
      <c r="J62" s="338">
        <v>0</v>
      </c>
      <c r="K62" s="338">
        <v>0</v>
      </c>
      <c r="L62" s="338">
        <v>0</v>
      </c>
      <c r="M62" s="338">
        <v>0</v>
      </c>
      <c r="N62" s="338">
        <v>0</v>
      </c>
      <c r="O62" s="338">
        <v>0</v>
      </c>
      <c r="P62" s="338">
        <v>0</v>
      </c>
      <c r="Q62" s="338">
        <v>0</v>
      </c>
      <c r="R62" s="338">
        <v>0</v>
      </c>
      <c r="S62" s="338">
        <v>0</v>
      </c>
      <c r="T62" s="338">
        <v>0</v>
      </c>
      <c r="U62" s="338">
        <v>0</v>
      </c>
      <c r="V62" s="338">
        <v>0</v>
      </c>
      <c r="W62" s="338">
        <v>0</v>
      </c>
      <c r="X62" s="338">
        <v>0</v>
      </c>
      <c r="Y62" s="338">
        <v>0</v>
      </c>
      <c r="Z62" s="338">
        <v>0</v>
      </c>
      <c r="AA62" s="338">
        <v>0</v>
      </c>
      <c r="AB62" s="338">
        <v>0</v>
      </c>
      <c r="AC62" s="338">
        <v>0</v>
      </c>
      <c r="AD62" s="338">
        <v>0</v>
      </c>
      <c r="AE62" s="338">
        <v>0</v>
      </c>
      <c r="AF62" s="338">
        <v>0</v>
      </c>
      <c r="AG62" s="338">
        <v>0</v>
      </c>
      <c r="AH62" s="338">
        <v>0</v>
      </c>
      <c r="AI62" s="338">
        <v>0</v>
      </c>
      <c r="AJ62" s="338">
        <v>0</v>
      </c>
      <c r="AK62" s="338">
        <v>0</v>
      </c>
      <c r="AL62" s="338">
        <v>0</v>
      </c>
      <c r="AM62" s="338">
        <v>0</v>
      </c>
      <c r="AN62" s="338">
        <v>9800</v>
      </c>
      <c r="AO62" s="338">
        <v>0</v>
      </c>
      <c r="AP62" s="338">
        <v>0</v>
      </c>
      <c r="AQ62" s="338">
        <v>0</v>
      </c>
      <c r="AR62" s="338">
        <v>0</v>
      </c>
      <c r="AS62" s="338">
        <v>0</v>
      </c>
      <c r="AT62" s="338">
        <v>0</v>
      </c>
      <c r="AU62" s="338">
        <v>0</v>
      </c>
      <c r="AV62" s="338">
        <v>0</v>
      </c>
      <c r="AW62" s="338">
        <v>0</v>
      </c>
      <c r="AX62" s="338">
        <v>0</v>
      </c>
      <c r="AY62" s="338">
        <v>0</v>
      </c>
      <c r="AZ62" s="338">
        <v>0</v>
      </c>
    </row>
    <row r="63" spans="1:52" ht="15.75" customHeight="1">
      <c r="A63" s="15"/>
      <c r="B63" s="15"/>
      <c r="C63" s="15"/>
      <c r="D63" s="338" t="s">
        <v>170</v>
      </c>
      <c r="E63" s="338" t="s">
        <v>107</v>
      </c>
      <c r="F63" s="338">
        <v>0</v>
      </c>
      <c r="G63" s="338">
        <v>90.2</v>
      </c>
      <c r="H63" s="338">
        <v>2.99</v>
      </c>
      <c r="I63" s="338">
        <v>29.7</v>
      </c>
      <c r="J63" s="338">
        <v>0.67</v>
      </c>
      <c r="K63" s="338">
        <v>0</v>
      </c>
      <c r="L63" s="338">
        <v>0</v>
      </c>
      <c r="M63" s="338">
        <v>0</v>
      </c>
      <c r="N63" s="338">
        <v>10</v>
      </c>
      <c r="O63" s="338">
        <v>38.799999999999997</v>
      </c>
      <c r="P63" s="338">
        <v>19.7</v>
      </c>
      <c r="Q63" s="338">
        <v>0</v>
      </c>
      <c r="R63" s="338">
        <v>5.2</v>
      </c>
      <c r="S63" s="338">
        <v>0.22</v>
      </c>
      <c r="T63" s="338">
        <v>0.83</v>
      </c>
      <c r="U63" s="338">
        <v>0.33</v>
      </c>
      <c r="V63" s="338">
        <v>1.1000000000000001</v>
      </c>
      <c r="W63" s="338">
        <v>0.3</v>
      </c>
      <c r="X63" s="338">
        <v>0.26</v>
      </c>
      <c r="Y63" s="338">
        <v>0.44</v>
      </c>
      <c r="Z63" s="338">
        <v>0</v>
      </c>
      <c r="AA63" s="338">
        <v>8</v>
      </c>
      <c r="AB63" s="338">
        <v>0</v>
      </c>
      <c r="AC63" s="338">
        <v>178</v>
      </c>
      <c r="AD63" s="338">
        <v>27</v>
      </c>
      <c r="AE63" s="338">
        <v>0.39</v>
      </c>
      <c r="AF63" s="338">
        <v>65</v>
      </c>
      <c r="AG63" s="338">
        <v>0</v>
      </c>
      <c r="AH63" s="338">
        <v>0</v>
      </c>
      <c r="AI63" s="338">
        <v>0</v>
      </c>
      <c r="AJ63" s="338">
        <v>0</v>
      </c>
      <c r="AK63" s="338">
        <v>0</v>
      </c>
      <c r="AL63" s="338">
        <v>0</v>
      </c>
      <c r="AM63" s="338">
        <v>0</v>
      </c>
      <c r="AN63" s="338">
        <v>0</v>
      </c>
      <c r="AO63" s="338">
        <v>0</v>
      </c>
      <c r="AP63" s="338">
        <v>0</v>
      </c>
      <c r="AQ63" s="338">
        <v>0</v>
      </c>
      <c r="AR63" s="338">
        <v>0</v>
      </c>
      <c r="AS63" s="338">
        <v>0</v>
      </c>
      <c r="AT63" s="338">
        <v>0</v>
      </c>
      <c r="AU63" s="338">
        <v>0</v>
      </c>
      <c r="AV63" s="338">
        <v>0</v>
      </c>
      <c r="AW63" s="338">
        <v>0</v>
      </c>
      <c r="AX63" s="338">
        <v>0</v>
      </c>
      <c r="AY63" s="338">
        <v>0</v>
      </c>
      <c r="AZ63" s="338">
        <v>0</v>
      </c>
    </row>
    <row r="64" spans="1:52" ht="15.75" customHeight="1">
      <c r="A64" s="15"/>
      <c r="B64" s="15"/>
      <c r="C64" s="15"/>
      <c r="D64" s="338" t="s">
        <v>171</v>
      </c>
      <c r="E64" s="338" t="s">
        <v>107</v>
      </c>
      <c r="F64" s="338">
        <v>0</v>
      </c>
      <c r="G64" s="338">
        <v>86.4</v>
      </c>
      <c r="H64" s="338">
        <v>3.62</v>
      </c>
      <c r="I64" s="338">
        <v>65</v>
      </c>
      <c r="J64" s="338">
        <v>1.1000000000000001</v>
      </c>
      <c r="K64" s="338">
        <v>0</v>
      </c>
      <c r="L64" s="338">
        <v>0</v>
      </c>
      <c r="M64" s="338">
        <v>0</v>
      </c>
      <c r="N64" s="338">
        <v>2.5</v>
      </c>
      <c r="O64" s="338">
        <v>11.1</v>
      </c>
      <c r="P64" s="338">
        <v>8.1999999999999993</v>
      </c>
      <c r="Q64" s="338">
        <v>0</v>
      </c>
      <c r="R64" s="338">
        <v>3.3</v>
      </c>
      <c r="S64" s="338">
        <v>0.06</v>
      </c>
      <c r="T64" s="338">
        <v>0.6</v>
      </c>
      <c r="U64" s="338">
        <v>0.14000000000000001</v>
      </c>
      <c r="V64" s="338">
        <v>0.46</v>
      </c>
      <c r="W64" s="338">
        <v>0.05</v>
      </c>
      <c r="X64" s="338">
        <v>0.11</v>
      </c>
      <c r="Y64" s="338">
        <v>0.86</v>
      </c>
      <c r="Z64" s="338">
        <v>0</v>
      </c>
      <c r="AA64" s="338">
        <v>4</v>
      </c>
      <c r="AB64" s="338">
        <v>0</v>
      </c>
      <c r="AC64" s="338">
        <v>138</v>
      </c>
      <c r="AD64" s="338">
        <v>15</v>
      </c>
      <c r="AE64" s="338">
        <v>0.34</v>
      </c>
      <c r="AF64" s="338">
        <v>49</v>
      </c>
      <c r="AG64" s="338">
        <v>0</v>
      </c>
      <c r="AH64" s="338">
        <v>0</v>
      </c>
      <c r="AI64" s="338">
        <v>0</v>
      </c>
      <c r="AJ64" s="338">
        <v>0</v>
      </c>
      <c r="AK64" s="338">
        <v>0</v>
      </c>
      <c r="AL64" s="338">
        <v>0</v>
      </c>
      <c r="AM64" s="338">
        <v>0</v>
      </c>
      <c r="AN64" s="338">
        <v>0</v>
      </c>
      <c r="AO64" s="338">
        <v>0</v>
      </c>
      <c r="AP64" s="338">
        <v>0</v>
      </c>
      <c r="AQ64" s="338">
        <v>0</v>
      </c>
      <c r="AR64" s="338">
        <v>0</v>
      </c>
      <c r="AS64" s="338">
        <v>0</v>
      </c>
      <c r="AT64" s="338">
        <v>0</v>
      </c>
      <c r="AU64" s="338">
        <v>0</v>
      </c>
      <c r="AV64" s="338">
        <v>0</v>
      </c>
      <c r="AW64" s="338">
        <v>0</v>
      </c>
      <c r="AX64" s="338">
        <v>0</v>
      </c>
      <c r="AY64" s="338">
        <v>0</v>
      </c>
      <c r="AZ64" s="338">
        <v>0</v>
      </c>
    </row>
    <row r="65" spans="1:52" ht="15.75" customHeight="1">
      <c r="A65" s="15"/>
      <c r="B65" s="15"/>
      <c r="C65" s="15"/>
      <c r="D65" s="338" t="s">
        <v>172</v>
      </c>
      <c r="E65" s="338" t="s">
        <v>107</v>
      </c>
      <c r="F65" s="338">
        <v>0</v>
      </c>
      <c r="G65" s="338">
        <v>89.4</v>
      </c>
      <c r="H65" s="338">
        <v>3.4</v>
      </c>
      <c r="I65" s="338">
        <v>23.8</v>
      </c>
      <c r="J65" s="338">
        <v>0.65</v>
      </c>
      <c r="K65" s="338">
        <v>0</v>
      </c>
      <c r="L65" s="338">
        <v>0</v>
      </c>
      <c r="M65" s="338">
        <v>0</v>
      </c>
      <c r="N65" s="338">
        <v>3.5</v>
      </c>
      <c r="O65" s="338">
        <v>35.5</v>
      </c>
      <c r="P65" s="338">
        <v>12.1</v>
      </c>
      <c r="Q65" s="338">
        <v>0</v>
      </c>
      <c r="R65" s="338">
        <v>6.8</v>
      </c>
      <c r="S65" s="338">
        <v>7.0000000000000007E-2</v>
      </c>
      <c r="T65" s="338">
        <v>1</v>
      </c>
      <c r="U65" s="338">
        <v>0.42</v>
      </c>
      <c r="V65" s="338">
        <v>1.46</v>
      </c>
      <c r="W65" s="338">
        <v>0.13</v>
      </c>
      <c r="X65" s="338">
        <v>0.2</v>
      </c>
      <c r="Y65" s="338">
        <v>0.44</v>
      </c>
      <c r="Z65" s="338">
        <v>0</v>
      </c>
      <c r="AA65" s="338">
        <v>6</v>
      </c>
      <c r="AB65" s="338">
        <v>0</v>
      </c>
      <c r="AC65" s="338">
        <v>196</v>
      </c>
      <c r="AD65" s="338">
        <v>23</v>
      </c>
      <c r="AE65" s="338">
        <v>0.19</v>
      </c>
      <c r="AF65" s="338">
        <v>75</v>
      </c>
      <c r="AG65" s="338">
        <v>0</v>
      </c>
      <c r="AH65" s="338">
        <v>0</v>
      </c>
      <c r="AI65" s="338">
        <v>0</v>
      </c>
      <c r="AJ65" s="338">
        <v>0</v>
      </c>
      <c r="AK65" s="338">
        <v>0</v>
      </c>
      <c r="AL65" s="338">
        <v>0</v>
      </c>
      <c r="AM65" s="338">
        <v>0</v>
      </c>
      <c r="AN65" s="338">
        <v>0</v>
      </c>
      <c r="AO65" s="338">
        <v>0</v>
      </c>
      <c r="AP65" s="338">
        <v>0</v>
      </c>
      <c r="AQ65" s="338">
        <v>0</v>
      </c>
      <c r="AR65" s="338">
        <v>0</v>
      </c>
      <c r="AS65" s="338">
        <v>0</v>
      </c>
      <c r="AT65" s="338">
        <v>0</v>
      </c>
      <c r="AU65" s="338">
        <v>0</v>
      </c>
      <c r="AV65" s="338">
        <v>0</v>
      </c>
      <c r="AW65" s="338">
        <v>0</v>
      </c>
      <c r="AX65" s="338">
        <v>0</v>
      </c>
      <c r="AY65" s="338">
        <v>0</v>
      </c>
      <c r="AZ65" s="338">
        <v>0</v>
      </c>
    </row>
    <row r="66" spans="1:52" ht="15.75" customHeight="1">
      <c r="A66" s="15"/>
      <c r="B66" s="15"/>
      <c r="C66" s="15"/>
      <c r="D66" s="338" t="s">
        <v>173</v>
      </c>
      <c r="E66" s="338" t="s">
        <v>107</v>
      </c>
      <c r="F66" s="338">
        <v>0</v>
      </c>
      <c r="G66" s="338">
        <v>88.1</v>
      </c>
      <c r="H66" s="338">
        <v>3.88</v>
      </c>
      <c r="I66" s="338">
        <v>9.4</v>
      </c>
      <c r="J66" s="338">
        <v>0.28999999999999998</v>
      </c>
      <c r="K66" s="338">
        <v>0</v>
      </c>
      <c r="L66" s="338">
        <v>0</v>
      </c>
      <c r="M66" s="338">
        <v>0</v>
      </c>
      <c r="N66" s="338">
        <v>4.2</v>
      </c>
      <c r="O66" s="338">
        <v>9.5</v>
      </c>
      <c r="P66" s="338">
        <v>3.4</v>
      </c>
      <c r="Q66" s="338">
        <v>0</v>
      </c>
      <c r="R66" s="338">
        <v>1.5</v>
      </c>
      <c r="S66" s="338">
        <v>0.04</v>
      </c>
      <c r="T66" s="338">
        <v>0.3</v>
      </c>
      <c r="U66" s="338">
        <v>0.12</v>
      </c>
      <c r="V66" s="338">
        <v>0.42</v>
      </c>
      <c r="W66" s="338">
        <v>0.02</v>
      </c>
      <c r="X66" s="338">
        <v>0.08</v>
      </c>
      <c r="Y66" s="338">
        <v>0.1</v>
      </c>
      <c r="Z66" s="338">
        <v>0</v>
      </c>
      <c r="AA66" s="338">
        <v>3</v>
      </c>
      <c r="AB66" s="338">
        <v>0</v>
      </c>
      <c r="AC66" s="338">
        <v>54</v>
      </c>
      <c r="AD66" s="338">
        <v>11</v>
      </c>
      <c r="AE66" s="338">
        <v>7.0000000000000007E-2</v>
      </c>
      <c r="AF66" s="338">
        <v>27</v>
      </c>
      <c r="AG66" s="338">
        <v>0</v>
      </c>
      <c r="AH66" s="338">
        <v>0</v>
      </c>
      <c r="AI66" s="338">
        <v>0</v>
      </c>
      <c r="AJ66" s="338">
        <v>0</v>
      </c>
      <c r="AK66" s="338">
        <v>0</v>
      </c>
      <c r="AL66" s="338">
        <v>0</v>
      </c>
      <c r="AM66" s="338">
        <v>0</v>
      </c>
      <c r="AN66" s="338">
        <v>0</v>
      </c>
      <c r="AO66" s="338">
        <v>0</v>
      </c>
      <c r="AP66" s="338">
        <v>0</v>
      </c>
      <c r="AQ66" s="338">
        <v>0</v>
      </c>
      <c r="AR66" s="338">
        <v>0</v>
      </c>
      <c r="AS66" s="338">
        <v>0</v>
      </c>
      <c r="AT66" s="338">
        <v>0</v>
      </c>
      <c r="AU66" s="338">
        <v>0</v>
      </c>
      <c r="AV66" s="338">
        <v>0</v>
      </c>
      <c r="AW66" s="338">
        <v>0</v>
      </c>
      <c r="AX66" s="338">
        <v>0</v>
      </c>
      <c r="AY66" s="338">
        <v>0</v>
      </c>
      <c r="AZ66" s="338">
        <v>0</v>
      </c>
    </row>
    <row r="67" spans="1:52" ht="15.75" customHeight="1">
      <c r="A67" s="15"/>
      <c r="B67" s="15"/>
      <c r="C67" s="15"/>
      <c r="D67" s="338" t="s">
        <v>174</v>
      </c>
      <c r="E67" s="338" t="s">
        <v>107</v>
      </c>
      <c r="F67" s="338">
        <v>0</v>
      </c>
      <c r="G67" s="338">
        <v>88.1</v>
      </c>
      <c r="H67" s="338">
        <v>3.88</v>
      </c>
      <c r="I67" s="338">
        <v>9.1</v>
      </c>
      <c r="J67" s="338">
        <v>0.26</v>
      </c>
      <c r="K67" s="338">
        <v>0</v>
      </c>
      <c r="L67" s="338">
        <v>0</v>
      </c>
      <c r="M67" s="338">
        <v>0</v>
      </c>
      <c r="N67" s="338">
        <v>4.2</v>
      </c>
      <c r="O67" s="338">
        <v>9.5</v>
      </c>
      <c r="P67" s="338">
        <v>3.4</v>
      </c>
      <c r="Q67" s="338">
        <v>0</v>
      </c>
      <c r="R67" s="338">
        <v>1.5</v>
      </c>
      <c r="S67" s="338">
        <v>0.04</v>
      </c>
      <c r="T67" s="338">
        <v>0.3</v>
      </c>
      <c r="U67" s="338">
        <v>0.12</v>
      </c>
      <c r="V67" s="338">
        <v>0.42</v>
      </c>
      <c r="W67" s="338">
        <v>0.02</v>
      </c>
      <c r="X67" s="338">
        <v>0.08</v>
      </c>
      <c r="Y67" s="338">
        <v>0.1</v>
      </c>
      <c r="Z67" s="338">
        <v>0</v>
      </c>
      <c r="AA67" s="338">
        <v>3</v>
      </c>
      <c r="AB67" s="338">
        <v>0</v>
      </c>
      <c r="AC67" s="338">
        <v>54</v>
      </c>
      <c r="AD67" s="338">
        <v>11</v>
      </c>
      <c r="AE67" s="338">
        <v>7.0000000000000007E-2</v>
      </c>
      <c r="AF67" s="338">
        <v>27</v>
      </c>
      <c r="AG67" s="338">
        <v>0</v>
      </c>
      <c r="AH67" s="338">
        <v>0</v>
      </c>
      <c r="AI67" s="338">
        <v>0</v>
      </c>
      <c r="AJ67" s="338">
        <v>0</v>
      </c>
      <c r="AK67" s="338">
        <v>0</v>
      </c>
      <c r="AL67" s="338">
        <v>0</v>
      </c>
      <c r="AM67" s="338">
        <v>0</v>
      </c>
      <c r="AN67" s="338">
        <v>0</v>
      </c>
      <c r="AO67" s="338">
        <v>0</v>
      </c>
      <c r="AP67" s="338">
        <v>0</v>
      </c>
      <c r="AQ67" s="338">
        <v>0</v>
      </c>
      <c r="AR67" s="338">
        <v>0</v>
      </c>
      <c r="AS67" s="338">
        <v>0</v>
      </c>
      <c r="AT67" s="338">
        <v>0</v>
      </c>
      <c r="AU67" s="338">
        <v>0</v>
      </c>
      <c r="AV67" s="338">
        <v>0</v>
      </c>
      <c r="AW67" s="338">
        <v>0</v>
      </c>
      <c r="AX67" s="338">
        <v>0</v>
      </c>
      <c r="AY67" s="338">
        <v>0</v>
      </c>
      <c r="AZ67" s="338">
        <v>0</v>
      </c>
    </row>
    <row r="68" spans="1:52" ht="15.75" customHeight="1">
      <c r="A68" s="15"/>
      <c r="B68" s="15"/>
      <c r="C68" s="15"/>
      <c r="D68" s="338" t="s">
        <v>175</v>
      </c>
      <c r="E68" s="338" t="s">
        <v>107</v>
      </c>
      <c r="F68" s="338">
        <v>0</v>
      </c>
      <c r="G68" s="338">
        <v>88.1</v>
      </c>
      <c r="H68" s="338">
        <v>3.88</v>
      </c>
      <c r="I68" s="338">
        <v>9.4</v>
      </c>
      <c r="J68" s="338">
        <v>0.27</v>
      </c>
      <c r="K68" s="338">
        <v>0</v>
      </c>
      <c r="L68" s="338">
        <v>0</v>
      </c>
      <c r="M68" s="338">
        <v>0</v>
      </c>
      <c r="N68" s="338">
        <v>4.2</v>
      </c>
      <c r="O68" s="338">
        <v>9.5</v>
      </c>
      <c r="P68" s="338">
        <v>3.4</v>
      </c>
      <c r="Q68" s="338">
        <v>0</v>
      </c>
      <c r="R68" s="338">
        <v>1.5</v>
      </c>
      <c r="S68" s="338">
        <v>0.04</v>
      </c>
      <c r="T68" s="338">
        <v>0.3</v>
      </c>
      <c r="U68" s="338">
        <v>0.12</v>
      </c>
      <c r="V68" s="338">
        <v>0.42</v>
      </c>
      <c r="W68" s="338">
        <v>0.02</v>
      </c>
      <c r="X68" s="338">
        <v>0.08</v>
      </c>
      <c r="Y68" s="338">
        <v>0.1</v>
      </c>
      <c r="Z68" s="338">
        <v>0</v>
      </c>
      <c r="AA68" s="338">
        <v>3</v>
      </c>
      <c r="AB68" s="338">
        <v>0</v>
      </c>
      <c r="AC68" s="338">
        <v>54</v>
      </c>
      <c r="AD68" s="338">
        <v>11</v>
      </c>
      <c r="AE68" s="338">
        <v>7.0000000000000007E-2</v>
      </c>
      <c r="AF68" s="338">
        <v>27</v>
      </c>
      <c r="AG68" s="338">
        <v>0</v>
      </c>
      <c r="AH68" s="338">
        <v>0</v>
      </c>
      <c r="AI68" s="338">
        <v>0</v>
      </c>
      <c r="AJ68" s="338">
        <v>0</v>
      </c>
      <c r="AK68" s="338">
        <v>0</v>
      </c>
      <c r="AL68" s="338">
        <v>0</v>
      </c>
      <c r="AM68" s="338">
        <v>0</v>
      </c>
      <c r="AN68" s="338">
        <v>0</v>
      </c>
      <c r="AO68" s="338">
        <v>0</v>
      </c>
      <c r="AP68" s="338">
        <v>0</v>
      </c>
      <c r="AQ68" s="338">
        <v>0</v>
      </c>
      <c r="AR68" s="338">
        <v>0</v>
      </c>
      <c r="AS68" s="338">
        <v>0</v>
      </c>
      <c r="AT68" s="338">
        <v>0</v>
      </c>
      <c r="AU68" s="338">
        <v>0</v>
      </c>
      <c r="AV68" s="338">
        <v>0</v>
      </c>
      <c r="AW68" s="338">
        <v>0</v>
      </c>
      <c r="AX68" s="338">
        <v>0</v>
      </c>
      <c r="AY68" s="338">
        <v>0</v>
      </c>
      <c r="AZ68" s="338">
        <v>0</v>
      </c>
    </row>
    <row r="69" spans="1:52" ht="15.75" customHeight="1">
      <c r="A69" s="15"/>
      <c r="B69" s="15"/>
      <c r="C69" s="15"/>
      <c r="D69" s="338" t="s">
        <v>434</v>
      </c>
      <c r="E69" s="338" t="s">
        <v>107</v>
      </c>
      <c r="F69" s="338">
        <v>0</v>
      </c>
      <c r="G69" s="338">
        <v>89.2</v>
      </c>
      <c r="H69" s="338">
        <v>3.63</v>
      </c>
      <c r="I69" s="338">
        <v>8.6</v>
      </c>
      <c r="J69" s="338">
        <v>0.22</v>
      </c>
      <c r="K69" s="338">
        <v>0</v>
      </c>
      <c r="L69" s="338">
        <v>0</v>
      </c>
      <c r="M69" s="338">
        <v>0</v>
      </c>
      <c r="N69" s="338">
        <v>3.9</v>
      </c>
      <c r="O69" s="338">
        <v>21.5</v>
      </c>
      <c r="P69" s="338">
        <v>8</v>
      </c>
      <c r="Q69" s="338">
        <v>0</v>
      </c>
      <c r="R69" s="338">
        <v>1.7</v>
      </c>
      <c r="S69" s="338">
        <v>0.06</v>
      </c>
      <c r="T69" s="338">
        <v>0.28999999999999998</v>
      </c>
      <c r="U69" s="338">
        <v>0.13</v>
      </c>
      <c r="V69" s="338">
        <v>0.49</v>
      </c>
      <c r="W69" s="338">
        <v>0.03</v>
      </c>
      <c r="X69" s="338">
        <v>7.0000000000000007E-2</v>
      </c>
      <c r="Y69" s="338">
        <v>0.1</v>
      </c>
      <c r="Z69" s="338">
        <v>0</v>
      </c>
      <c r="AA69" s="338">
        <v>3</v>
      </c>
      <c r="AB69" s="338">
        <v>0</v>
      </c>
      <c r="AC69" s="338">
        <v>91</v>
      </c>
      <c r="AD69" s="338">
        <v>10</v>
      </c>
      <c r="AE69" s="338">
        <v>7.0000000000000007E-2</v>
      </c>
      <c r="AF69" s="338">
        <v>27</v>
      </c>
      <c r="AG69" s="338">
        <v>0</v>
      </c>
      <c r="AH69" s="338">
        <v>0</v>
      </c>
      <c r="AI69" s="338">
        <v>0</v>
      </c>
      <c r="AJ69" s="338">
        <v>0</v>
      </c>
      <c r="AK69" s="338">
        <v>0</v>
      </c>
      <c r="AL69" s="338">
        <v>0</v>
      </c>
      <c r="AM69" s="338">
        <v>0</v>
      </c>
      <c r="AN69" s="338">
        <v>0</v>
      </c>
      <c r="AO69" s="338">
        <v>0</v>
      </c>
      <c r="AP69" s="338">
        <v>0</v>
      </c>
      <c r="AQ69" s="338">
        <v>0</v>
      </c>
      <c r="AR69" s="338">
        <v>0</v>
      </c>
      <c r="AS69" s="338">
        <v>0</v>
      </c>
      <c r="AT69" s="338">
        <v>0</v>
      </c>
      <c r="AU69" s="338">
        <v>0</v>
      </c>
      <c r="AV69" s="338">
        <v>0</v>
      </c>
      <c r="AW69" s="338">
        <v>0</v>
      </c>
      <c r="AX69" s="338">
        <v>0</v>
      </c>
      <c r="AY69" s="338">
        <v>0</v>
      </c>
      <c r="AZ69" s="338">
        <v>0</v>
      </c>
    </row>
    <row r="70" spans="1:52" ht="15.75" customHeight="1">
      <c r="A70" s="15"/>
      <c r="B70" s="15"/>
      <c r="C70" s="15"/>
      <c r="D70" s="338" t="s">
        <v>176</v>
      </c>
      <c r="E70" s="338" t="s">
        <v>105</v>
      </c>
      <c r="F70" s="338">
        <v>0</v>
      </c>
      <c r="G70" s="338">
        <v>23.5</v>
      </c>
      <c r="H70" s="338">
        <v>2.4500000000000002</v>
      </c>
      <c r="I70" s="338">
        <v>9.6999999999999993</v>
      </c>
      <c r="J70" s="338">
        <v>0.25</v>
      </c>
      <c r="K70" s="338">
        <v>0</v>
      </c>
      <c r="L70" s="338">
        <v>0</v>
      </c>
      <c r="M70" s="338">
        <v>0</v>
      </c>
      <c r="N70" s="338">
        <v>2.5</v>
      </c>
      <c r="O70" s="338">
        <v>54.1</v>
      </c>
      <c r="P70" s="338">
        <v>34.1</v>
      </c>
      <c r="Q70" s="338">
        <v>0</v>
      </c>
      <c r="R70" s="338">
        <v>4.8</v>
      </c>
      <c r="S70" s="338">
        <v>0.28999999999999998</v>
      </c>
      <c r="T70" s="338">
        <v>0.24</v>
      </c>
      <c r="U70" s="338">
        <v>0.19</v>
      </c>
      <c r="V70" s="338">
        <v>1.3</v>
      </c>
      <c r="W70" s="338">
        <v>0.01</v>
      </c>
      <c r="X70" s="338">
        <v>0.3</v>
      </c>
      <c r="Y70" s="338">
        <v>0.14000000000000001</v>
      </c>
      <c r="Z70" s="338">
        <v>0</v>
      </c>
      <c r="AA70" s="338">
        <v>6.2</v>
      </c>
      <c r="AB70" s="338">
        <v>0</v>
      </c>
      <c r="AC70" s="338">
        <v>157</v>
      </c>
      <c r="AD70" s="338">
        <v>46</v>
      </c>
      <c r="AE70" s="338">
        <v>0.04</v>
      </c>
      <c r="AF70" s="338">
        <v>29</v>
      </c>
      <c r="AG70" s="338">
        <v>0</v>
      </c>
      <c r="AH70" s="338">
        <v>0</v>
      </c>
      <c r="AI70" s="338">
        <v>0</v>
      </c>
      <c r="AJ70" s="338">
        <v>0</v>
      </c>
      <c r="AK70" s="338">
        <v>0</v>
      </c>
      <c r="AL70" s="338">
        <v>0</v>
      </c>
      <c r="AM70" s="338">
        <v>0</v>
      </c>
      <c r="AN70" s="338">
        <v>0</v>
      </c>
      <c r="AO70" s="338">
        <v>0</v>
      </c>
      <c r="AP70" s="338">
        <v>0</v>
      </c>
      <c r="AQ70" s="338">
        <v>0</v>
      </c>
      <c r="AR70" s="338">
        <v>0</v>
      </c>
      <c r="AS70" s="338">
        <v>0</v>
      </c>
      <c r="AT70" s="338">
        <v>0</v>
      </c>
      <c r="AU70" s="338">
        <v>0</v>
      </c>
      <c r="AV70" s="338">
        <v>0</v>
      </c>
      <c r="AW70" s="338">
        <v>0</v>
      </c>
      <c r="AX70" s="338">
        <v>0</v>
      </c>
      <c r="AY70" s="338">
        <v>0</v>
      </c>
      <c r="AZ70" s="338">
        <v>0</v>
      </c>
    </row>
    <row r="71" spans="1:52" ht="15.75" customHeight="1">
      <c r="A71" s="15"/>
      <c r="B71" s="15"/>
      <c r="C71" s="15"/>
      <c r="D71" s="338" t="s">
        <v>177</v>
      </c>
      <c r="E71" s="338" t="s">
        <v>105</v>
      </c>
      <c r="F71" s="338">
        <v>0</v>
      </c>
      <c r="G71" s="338">
        <v>44.2</v>
      </c>
      <c r="H71" s="338">
        <v>2.78</v>
      </c>
      <c r="I71" s="338">
        <v>8.5</v>
      </c>
      <c r="J71" s="338">
        <v>0.21</v>
      </c>
      <c r="K71" s="338">
        <v>0</v>
      </c>
      <c r="L71" s="338">
        <v>0</v>
      </c>
      <c r="M71" s="338">
        <v>0</v>
      </c>
      <c r="N71" s="338">
        <v>3.2</v>
      </c>
      <c r="O71" s="338">
        <v>44.5</v>
      </c>
      <c r="P71" s="338">
        <v>27.5</v>
      </c>
      <c r="Q71" s="338">
        <v>0</v>
      </c>
      <c r="R71" s="338">
        <v>4</v>
      </c>
      <c r="S71" s="338">
        <v>0.26</v>
      </c>
      <c r="T71" s="338">
        <v>0.25</v>
      </c>
      <c r="U71" s="338">
        <v>0.16</v>
      </c>
      <c r="V71" s="338">
        <v>1.1000000000000001</v>
      </c>
      <c r="W71" s="338">
        <v>0.01</v>
      </c>
      <c r="X71" s="338">
        <v>0.17</v>
      </c>
      <c r="Y71" s="338">
        <v>0.1</v>
      </c>
      <c r="Z71" s="338">
        <v>0</v>
      </c>
      <c r="AA71" s="338">
        <v>5.5</v>
      </c>
      <c r="AB71" s="338">
        <v>0</v>
      </c>
      <c r="AC71" s="338">
        <v>92</v>
      </c>
      <c r="AD71" s="338">
        <v>36</v>
      </c>
      <c r="AE71" s="338">
        <v>0.04</v>
      </c>
      <c r="AF71" s="338">
        <v>23</v>
      </c>
      <c r="AG71" s="338">
        <v>0</v>
      </c>
      <c r="AH71" s="338">
        <v>0</v>
      </c>
      <c r="AI71" s="338">
        <v>0</v>
      </c>
      <c r="AJ71" s="338">
        <v>0</v>
      </c>
      <c r="AK71" s="338">
        <v>0</v>
      </c>
      <c r="AL71" s="338">
        <v>0</v>
      </c>
      <c r="AM71" s="338">
        <v>0</v>
      </c>
      <c r="AN71" s="338">
        <v>0</v>
      </c>
      <c r="AO71" s="338">
        <v>0</v>
      </c>
      <c r="AP71" s="338">
        <v>0</v>
      </c>
      <c r="AQ71" s="338">
        <v>0</v>
      </c>
      <c r="AR71" s="338">
        <v>0</v>
      </c>
      <c r="AS71" s="338">
        <v>0</v>
      </c>
      <c r="AT71" s="338">
        <v>0</v>
      </c>
      <c r="AU71" s="338">
        <v>0</v>
      </c>
      <c r="AV71" s="338">
        <v>0</v>
      </c>
      <c r="AW71" s="338">
        <v>0</v>
      </c>
      <c r="AX71" s="338">
        <v>0</v>
      </c>
      <c r="AY71" s="338">
        <v>0</v>
      </c>
      <c r="AZ71" s="338">
        <v>0</v>
      </c>
    </row>
    <row r="72" spans="1:52" ht="15.75" customHeight="1">
      <c r="A72" s="15"/>
      <c r="B72" s="15"/>
      <c r="C72" s="15"/>
      <c r="D72" s="338" t="s">
        <v>178</v>
      </c>
      <c r="E72" s="338" t="s">
        <v>105</v>
      </c>
      <c r="F72" s="338">
        <v>0</v>
      </c>
      <c r="G72" s="338">
        <v>35.1</v>
      </c>
      <c r="H72" s="338">
        <v>2.75</v>
      </c>
      <c r="I72" s="338">
        <v>8.8000000000000007</v>
      </c>
      <c r="J72" s="338">
        <v>0.22</v>
      </c>
      <c r="K72" s="338">
        <v>0</v>
      </c>
      <c r="L72" s="338">
        <v>0</v>
      </c>
      <c r="M72" s="338">
        <v>0</v>
      </c>
      <c r="N72" s="338">
        <v>3.2</v>
      </c>
      <c r="O72" s="338">
        <v>45</v>
      </c>
      <c r="P72" s="338">
        <v>28.1</v>
      </c>
      <c r="Q72" s="338">
        <v>0</v>
      </c>
      <c r="R72" s="338">
        <v>4.3</v>
      </c>
      <c r="S72" s="338">
        <v>0.28000000000000003</v>
      </c>
      <c r="T72" s="338">
        <v>0.26</v>
      </c>
      <c r="U72" s="338">
        <v>0.17</v>
      </c>
      <c r="V72" s="338">
        <v>1.2</v>
      </c>
      <c r="W72" s="338">
        <v>0.01</v>
      </c>
      <c r="X72" s="338">
        <v>0.28999999999999998</v>
      </c>
      <c r="Y72" s="338">
        <v>0.14000000000000001</v>
      </c>
      <c r="Z72" s="338">
        <v>0</v>
      </c>
      <c r="AA72" s="338">
        <v>5.7</v>
      </c>
      <c r="AB72" s="338">
        <v>0</v>
      </c>
      <c r="AC72" s="338">
        <v>104</v>
      </c>
      <c r="AD72" s="338">
        <v>36</v>
      </c>
      <c r="AE72" s="338">
        <v>0.04</v>
      </c>
      <c r="AF72" s="338">
        <v>24</v>
      </c>
      <c r="AG72" s="338">
        <v>0</v>
      </c>
      <c r="AH72" s="338">
        <v>0</v>
      </c>
      <c r="AI72" s="338">
        <v>0</v>
      </c>
      <c r="AJ72" s="338">
        <v>0</v>
      </c>
      <c r="AK72" s="338">
        <v>0</v>
      </c>
      <c r="AL72" s="338">
        <v>0</v>
      </c>
      <c r="AM72" s="338">
        <v>0</v>
      </c>
      <c r="AN72" s="338">
        <v>0</v>
      </c>
      <c r="AO72" s="338">
        <v>0</v>
      </c>
      <c r="AP72" s="338">
        <v>0</v>
      </c>
      <c r="AQ72" s="338">
        <v>0</v>
      </c>
      <c r="AR72" s="338">
        <v>0</v>
      </c>
      <c r="AS72" s="338">
        <v>0</v>
      </c>
      <c r="AT72" s="338">
        <v>0</v>
      </c>
      <c r="AU72" s="338">
        <v>0</v>
      </c>
      <c r="AV72" s="338">
        <v>0</v>
      </c>
      <c r="AW72" s="338">
        <v>0</v>
      </c>
      <c r="AX72" s="338">
        <v>0</v>
      </c>
      <c r="AY72" s="338">
        <v>0</v>
      </c>
      <c r="AZ72" s="338">
        <v>0</v>
      </c>
    </row>
    <row r="73" spans="1:52" ht="15.75" customHeight="1">
      <c r="A73" s="15"/>
      <c r="B73" s="15"/>
      <c r="C73" s="15"/>
      <c r="D73" s="338" t="s">
        <v>179</v>
      </c>
      <c r="E73" s="338" t="s">
        <v>105</v>
      </c>
      <c r="F73" s="338">
        <v>0</v>
      </c>
      <c r="G73" s="338">
        <v>90.8</v>
      </c>
      <c r="H73" s="338">
        <v>1.76</v>
      </c>
      <c r="I73" s="338">
        <v>3</v>
      </c>
      <c r="J73" s="338">
        <v>0.08</v>
      </c>
      <c r="K73" s="338">
        <v>0</v>
      </c>
      <c r="L73" s="338">
        <v>0</v>
      </c>
      <c r="M73" s="338">
        <v>0</v>
      </c>
      <c r="N73" s="338">
        <v>0.6</v>
      </c>
      <c r="O73" s="338">
        <v>86.2</v>
      </c>
      <c r="P73" s="338">
        <v>42.2</v>
      </c>
      <c r="Q73" s="338">
        <v>0</v>
      </c>
      <c r="R73" s="338">
        <v>2.2000000000000002</v>
      </c>
      <c r="S73" s="338">
        <v>0.1</v>
      </c>
      <c r="T73" s="338">
        <v>0.06</v>
      </c>
      <c r="U73" s="338">
        <v>0.06</v>
      </c>
      <c r="V73" s="338">
        <v>0.9</v>
      </c>
      <c r="W73" s="338">
        <v>0.04</v>
      </c>
      <c r="X73" s="338">
        <v>0</v>
      </c>
      <c r="Y73" s="338">
        <v>7.0000000000000007E-2</v>
      </c>
      <c r="Z73" s="338">
        <v>0</v>
      </c>
      <c r="AA73" s="338">
        <v>6</v>
      </c>
      <c r="AB73" s="338">
        <v>0</v>
      </c>
      <c r="AC73" s="338">
        <v>254</v>
      </c>
      <c r="AD73" s="338">
        <v>5</v>
      </c>
      <c r="AE73" s="338">
        <v>0.08</v>
      </c>
      <c r="AF73" s="338">
        <v>11</v>
      </c>
      <c r="AG73" s="338">
        <v>0</v>
      </c>
      <c r="AH73" s="338">
        <v>0</v>
      </c>
      <c r="AI73" s="338">
        <v>0</v>
      </c>
      <c r="AJ73" s="338">
        <v>0</v>
      </c>
      <c r="AK73" s="338">
        <v>0</v>
      </c>
      <c r="AL73" s="338">
        <v>0</v>
      </c>
      <c r="AM73" s="338">
        <v>0</v>
      </c>
      <c r="AN73" s="338">
        <v>0</v>
      </c>
      <c r="AO73" s="338">
        <v>0</v>
      </c>
      <c r="AP73" s="338">
        <v>0</v>
      </c>
      <c r="AQ73" s="338">
        <v>0</v>
      </c>
      <c r="AR73" s="338">
        <v>0</v>
      </c>
      <c r="AS73" s="338">
        <v>0</v>
      </c>
      <c r="AT73" s="338">
        <v>0</v>
      </c>
      <c r="AU73" s="338">
        <v>0</v>
      </c>
      <c r="AV73" s="338">
        <v>0</v>
      </c>
      <c r="AW73" s="338">
        <v>0</v>
      </c>
      <c r="AX73" s="338">
        <v>0</v>
      </c>
      <c r="AY73" s="338">
        <v>0</v>
      </c>
      <c r="AZ73" s="338">
        <v>0</v>
      </c>
    </row>
    <row r="74" spans="1:52" ht="15.75" customHeight="1">
      <c r="A74" s="15"/>
      <c r="B74" s="15"/>
      <c r="C74" s="15"/>
      <c r="D74" s="338" t="s">
        <v>180</v>
      </c>
      <c r="E74" s="338" t="s">
        <v>107</v>
      </c>
      <c r="F74" s="338">
        <v>0</v>
      </c>
      <c r="G74" s="338">
        <v>88.5</v>
      </c>
      <c r="H74" s="338">
        <v>3.73</v>
      </c>
      <c r="I74" s="338">
        <v>11.9</v>
      </c>
      <c r="J74" s="338">
        <v>0.44</v>
      </c>
      <c r="K74" s="338">
        <v>0</v>
      </c>
      <c r="L74" s="338">
        <v>0</v>
      </c>
      <c r="M74" s="338">
        <v>0</v>
      </c>
      <c r="N74" s="338">
        <v>4.2</v>
      </c>
      <c r="O74" s="338">
        <v>21.1</v>
      </c>
      <c r="P74" s="338">
        <v>6.2</v>
      </c>
      <c r="Q74" s="338">
        <v>0</v>
      </c>
      <c r="R74" s="338">
        <v>2.7</v>
      </c>
      <c r="S74" s="338">
        <v>0.03</v>
      </c>
      <c r="T74" s="338">
        <v>0.65</v>
      </c>
      <c r="U74" s="338">
        <v>0.26</v>
      </c>
      <c r="V74" s="338">
        <v>0.82</v>
      </c>
      <c r="W74" s="338">
        <v>0.01</v>
      </c>
      <c r="X74" s="338">
        <v>0.1</v>
      </c>
      <c r="Y74" s="338">
        <v>0.12</v>
      </c>
      <c r="Z74" s="338">
        <v>0</v>
      </c>
      <c r="AA74" s="338">
        <v>3</v>
      </c>
      <c r="AB74" s="338">
        <v>0</v>
      </c>
      <c r="AC74" s="338">
        <v>87</v>
      </c>
      <c r="AD74" s="338">
        <v>14</v>
      </c>
      <c r="AE74" s="338">
        <v>0.1</v>
      </c>
      <c r="AF74" s="338">
        <v>49</v>
      </c>
      <c r="AG74" s="338">
        <v>0</v>
      </c>
      <c r="AH74" s="338">
        <v>0</v>
      </c>
      <c r="AI74" s="338">
        <v>0</v>
      </c>
      <c r="AJ74" s="338">
        <v>0</v>
      </c>
      <c r="AK74" s="338">
        <v>0</v>
      </c>
      <c r="AL74" s="338">
        <v>0</v>
      </c>
      <c r="AM74" s="338">
        <v>0</v>
      </c>
      <c r="AN74" s="338">
        <v>0</v>
      </c>
      <c r="AO74" s="338">
        <v>0</v>
      </c>
      <c r="AP74" s="338">
        <v>0</v>
      </c>
      <c r="AQ74" s="338">
        <v>0</v>
      </c>
      <c r="AR74" s="338">
        <v>0</v>
      </c>
      <c r="AS74" s="338">
        <v>0</v>
      </c>
      <c r="AT74" s="338">
        <v>0</v>
      </c>
      <c r="AU74" s="338">
        <v>0</v>
      </c>
      <c r="AV74" s="338">
        <v>0</v>
      </c>
      <c r="AW74" s="338">
        <v>0</v>
      </c>
      <c r="AX74" s="338">
        <v>0</v>
      </c>
      <c r="AY74" s="338">
        <v>0</v>
      </c>
      <c r="AZ74" s="338">
        <v>0</v>
      </c>
    </row>
    <row r="75" spans="1:52" ht="15.75" customHeight="1">
      <c r="A75" s="15"/>
      <c r="B75" s="15"/>
      <c r="C75" s="15"/>
      <c r="D75" s="338" t="s">
        <v>181</v>
      </c>
      <c r="E75" s="338" t="s">
        <v>105</v>
      </c>
      <c r="F75" s="338">
        <v>0</v>
      </c>
      <c r="G75" s="338">
        <v>83.1</v>
      </c>
      <c r="H75" s="338">
        <v>2.46</v>
      </c>
      <c r="I75" s="338">
        <v>19.7</v>
      </c>
      <c r="J75" s="338">
        <v>0.85</v>
      </c>
      <c r="K75" s="338">
        <v>0</v>
      </c>
      <c r="L75" s="338">
        <v>0</v>
      </c>
      <c r="M75" s="338">
        <v>0</v>
      </c>
      <c r="N75" s="338">
        <v>2.5</v>
      </c>
      <c r="O75" s="338">
        <v>45.4</v>
      </c>
      <c r="P75" s="338">
        <v>30.8</v>
      </c>
      <c r="Q75" s="338">
        <v>0</v>
      </c>
      <c r="R75" s="338">
        <v>8.8000000000000007</v>
      </c>
      <c r="S75" s="338">
        <v>1.2</v>
      </c>
      <c r="T75" s="338">
        <v>0.31</v>
      </c>
      <c r="U75" s="338">
        <v>0.28999999999999998</v>
      </c>
      <c r="V75" s="338">
        <v>3.06</v>
      </c>
      <c r="W75" s="338">
        <v>7.0000000000000007E-2</v>
      </c>
      <c r="X75" s="338">
        <v>0.5</v>
      </c>
      <c r="Y75" s="338">
        <v>0.27</v>
      </c>
      <c r="Z75" s="338">
        <v>0</v>
      </c>
      <c r="AA75" s="338">
        <v>10</v>
      </c>
      <c r="AB75" s="338">
        <v>0</v>
      </c>
      <c r="AC75" s="338">
        <v>160</v>
      </c>
      <c r="AD75" s="338">
        <v>59</v>
      </c>
      <c r="AE75" s="338">
        <v>0.12</v>
      </c>
      <c r="AF75" s="338">
        <v>24</v>
      </c>
      <c r="AG75" s="338">
        <v>0</v>
      </c>
      <c r="AH75" s="338">
        <v>0</v>
      </c>
      <c r="AI75" s="338">
        <v>0</v>
      </c>
      <c r="AJ75" s="338">
        <v>0</v>
      </c>
      <c r="AK75" s="338">
        <v>0</v>
      </c>
      <c r="AL75" s="338">
        <v>0</v>
      </c>
      <c r="AM75" s="338">
        <v>0</v>
      </c>
      <c r="AN75" s="338">
        <v>0</v>
      </c>
      <c r="AO75" s="338">
        <v>0</v>
      </c>
      <c r="AP75" s="338">
        <v>0</v>
      </c>
      <c r="AQ75" s="338">
        <v>0</v>
      </c>
      <c r="AR75" s="338">
        <v>0</v>
      </c>
      <c r="AS75" s="338">
        <v>0</v>
      </c>
      <c r="AT75" s="338">
        <v>0</v>
      </c>
      <c r="AU75" s="338">
        <v>0</v>
      </c>
      <c r="AV75" s="338">
        <v>0</v>
      </c>
      <c r="AW75" s="338">
        <v>0</v>
      </c>
      <c r="AX75" s="338">
        <v>0</v>
      </c>
      <c r="AY75" s="338">
        <v>0</v>
      </c>
      <c r="AZ75" s="338">
        <v>0</v>
      </c>
    </row>
    <row r="76" spans="1:52" ht="15.75" customHeight="1">
      <c r="A76" s="15"/>
      <c r="B76" s="15"/>
      <c r="C76" s="15"/>
      <c r="D76" s="338" t="s">
        <v>182</v>
      </c>
      <c r="E76" s="338" t="s">
        <v>105</v>
      </c>
      <c r="F76" s="338">
        <v>0</v>
      </c>
      <c r="G76" s="338">
        <v>89.7</v>
      </c>
      <c r="H76" s="338">
        <v>2.11</v>
      </c>
      <c r="I76" s="338">
        <v>18.2</v>
      </c>
      <c r="J76" s="338">
        <v>0.77</v>
      </c>
      <c r="K76" s="338">
        <v>0</v>
      </c>
      <c r="L76" s="338">
        <v>0</v>
      </c>
      <c r="M76" s="338">
        <v>0</v>
      </c>
      <c r="N76" s="338">
        <v>2</v>
      </c>
      <c r="O76" s="338">
        <v>56</v>
      </c>
      <c r="P76" s="338">
        <v>40.1</v>
      </c>
      <c r="Q76" s="338">
        <v>0</v>
      </c>
      <c r="R76" s="338">
        <v>9.9</v>
      </c>
      <c r="S76" s="338">
        <v>0.97</v>
      </c>
      <c r="T76" s="338">
        <v>0.37</v>
      </c>
      <c r="U76" s="338">
        <v>0.26</v>
      </c>
      <c r="V76" s="338">
        <v>2.2400000000000002</v>
      </c>
      <c r="W76" s="338">
        <v>0.01</v>
      </c>
      <c r="X76" s="338">
        <v>0.93</v>
      </c>
      <c r="Y76" s="338">
        <v>0.28000000000000003</v>
      </c>
      <c r="Z76" s="338">
        <v>0</v>
      </c>
      <c r="AA76" s="338">
        <v>9</v>
      </c>
      <c r="AB76" s="338">
        <v>0</v>
      </c>
      <c r="AC76" s="338">
        <v>403</v>
      </c>
      <c r="AD76" s="338">
        <v>75</v>
      </c>
      <c r="AE76" s="338">
        <v>0.12</v>
      </c>
      <c r="AF76" s="338">
        <v>27</v>
      </c>
      <c r="AG76" s="338">
        <v>0</v>
      </c>
      <c r="AH76" s="338">
        <v>0</v>
      </c>
      <c r="AI76" s="338">
        <v>0</v>
      </c>
      <c r="AJ76" s="338">
        <v>0</v>
      </c>
      <c r="AK76" s="338">
        <v>0</v>
      </c>
      <c r="AL76" s="338">
        <v>0</v>
      </c>
      <c r="AM76" s="338">
        <v>0</v>
      </c>
      <c r="AN76" s="338">
        <v>0</v>
      </c>
      <c r="AO76" s="338">
        <v>0</v>
      </c>
      <c r="AP76" s="338">
        <v>0</v>
      </c>
      <c r="AQ76" s="338">
        <v>0</v>
      </c>
      <c r="AR76" s="338">
        <v>0</v>
      </c>
      <c r="AS76" s="338">
        <v>0</v>
      </c>
      <c r="AT76" s="338">
        <v>0</v>
      </c>
      <c r="AU76" s="338">
        <v>0</v>
      </c>
      <c r="AV76" s="338">
        <v>0</v>
      </c>
      <c r="AW76" s="338">
        <v>0</v>
      </c>
      <c r="AX76" s="338">
        <v>0</v>
      </c>
      <c r="AY76" s="338">
        <v>0</v>
      </c>
      <c r="AZ76" s="338">
        <v>0</v>
      </c>
    </row>
    <row r="77" spans="1:52" ht="15.75" customHeight="1">
      <c r="A77" s="15"/>
      <c r="B77" s="15"/>
      <c r="C77" s="15"/>
      <c r="D77" s="338" t="s">
        <v>183</v>
      </c>
      <c r="E77" s="338" t="s">
        <v>105</v>
      </c>
      <c r="F77" s="338">
        <v>0</v>
      </c>
      <c r="G77" s="338">
        <v>85.3</v>
      </c>
      <c r="H77" s="338">
        <v>2.2999999999999998</v>
      </c>
      <c r="I77" s="338">
        <v>18.399999999999999</v>
      </c>
      <c r="J77" s="338">
        <v>0.79</v>
      </c>
      <c r="K77" s="338">
        <v>0</v>
      </c>
      <c r="L77" s="338">
        <v>0</v>
      </c>
      <c r="M77" s="338">
        <v>0</v>
      </c>
      <c r="N77" s="338">
        <v>2.2999999999999998</v>
      </c>
      <c r="O77" s="338">
        <v>50.8</v>
      </c>
      <c r="P77" s="338">
        <v>35.799999999999997</v>
      </c>
      <c r="Q77" s="338">
        <v>0</v>
      </c>
      <c r="R77" s="338">
        <v>9.3000000000000007</v>
      </c>
      <c r="S77" s="338">
        <v>1.04</v>
      </c>
      <c r="T77" s="338">
        <v>0.32</v>
      </c>
      <c r="U77" s="338">
        <v>0.25</v>
      </c>
      <c r="V77" s="338">
        <v>2.59</v>
      </c>
      <c r="W77" s="338">
        <v>0.03</v>
      </c>
      <c r="X77" s="338">
        <v>0.8</v>
      </c>
      <c r="Y77" s="338">
        <v>0.24</v>
      </c>
      <c r="Z77" s="338">
        <v>0</v>
      </c>
      <c r="AA77" s="338">
        <v>9</v>
      </c>
      <c r="AB77" s="338">
        <v>0</v>
      </c>
      <c r="AC77" s="338">
        <v>197</v>
      </c>
      <c r="AD77" s="338">
        <v>59</v>
      </c>
      <c r="AE77" s="338">
        <v>0.12</v>
      </c>
      <c r="AF77" s="338">
        <v>25</v>
      </c>
      <c r="AG77" s="338">
        <v>0</v>
      </c>
      <c r="AH77" s="338">
        <v>0</v>
      </c>
      <c r="AI77" s="338">
        <v>0</v>
      </c>
      <c r="AJ77" s="338">
        <v>0</v>
      </c>
      <c r="AK77" s="338">
        <v>0</v>
      </c>
      <c r="AL77" s="338">
        <v>0</v>
      </c>
      <c r="AM77" s="338">
        <v>0</v>
      </c>
      <c r="AN77" s="338">
        <v>0</v>
      </c>
      <c r="AO77" s="338">
        <v>0</v>
      </c>
      <c r="AP77" s="338">
        <v>0</v>
      </c>
      <c r="AQ77" s="338">
        <v>0</v>
      </c>
      <c r="AR77" s="338">
        <v>0</v>
      </c>
      <c r="AS77" s="338">
        <v>0</v>
      </c>
      <c r="AT77" s="338">
        <v>0</v>
      </c>
      <c r="AU77" s="338">
        <v>0</v>
      </c>
      <c r="AV77" s="338">
        <v>0</v>
      </c>
      <c r="AW77" s="338">
        <v>0</v>
      </c>
      <c r="AX77" s="338">
        <v>0</v>
      </c>
      <c r="AY77" s="338">
        <v>0</v>
      </c>
      <c r="AZ77" s="338">
        <v>0</v>
      </c>
    </row>
    <row r="78" spans="1:52" ht="15.75" customHeight="1">
      <c r="A78" s="15"/>
      <c r="B78" s="15"/>
      <c r="C78" s="15"/>
      <c r="D78" s="338" t="s">
        <v>184</v>
      </c>
      <c r="E78" s="338" t="s">
        <v>105</v>
      </c>
      <c r="F78" s="338">
        <v>0</v>
      </c>
      <c r="G78" s="338">
        <v>45.9</v>
      </c>
      <c r="H78" s="338">
        <v>2.39</v>
      </c>
      <c r="I78" s="338">
        <v>20.3</v>
      </c>
      <c r="J78" s="338">
        <v>0.78</v>
      </c>
      <c r="K78" s="338">
        <v>0</v>
      </c>
      <c r="L78" s="338">
        <v>0</v>
      </c>
      <c r="M78" s="338">
        <v>0</v>
      </c>
      <c r="N78" s="338">
        <v>2.2999999999999998</v>
      </c>
      <c r="O78" s="338">
        <v>45.3</v>
      </c>
      <c r="P78" s="338">
        <v>30.8</v>
      </c>
      <c r="Q78" s="338">
        <v>0</v>
      </c>
      <c r="R78" s="338">
        <v>9.8000000000000007</v>
      </c>
      <c r="S78" s="338">
        <v>1.08</v>
      </c>
      <c r="T78" s="338">
        <v>0.35</v>
      </c>
      <c r="U78" s="338">
        <v>0.28000000000000003</v>
      </c>
      <c r="V78" s="338">
        <v>2.89</v>
      </c>
      <c r="W78" s="338">
        <v>0.01</v>
      </c>
      <c r="X78" s="338">
        <v>1.77</v>
      </c>
      <c r="Y78" s="338">
        <v>0.16</v>
      </c>
      <c r="Z78" s="338">
        <v>0</v>
      </c>
      <c r="AA78" s="338">
        <v>9</v>
      </c>
      <c r="AB78" s="338">
        <v>0</v>
      </c>
      <c r="AC78" s="338">
        <v>328</v>
      </c>
      <c r="AD78" s="338">
        <v>71</v>
      </c>
      <c r="AE78" s="338">
        <v>0.14000000000000001</v>
      </c>
      <c r="AF78" s="338">
        <v>29</v>
      </c>
      <c r="AG78" s="338">
        <v>0</v>
      </c>
      <c r="AH78" s="338">
        <v>0</v>
      </c>
      <c r="AI78" s="338">
        <v>0</v>
      </c>
      <c r="AJ78" s="338">
        <v>0</v>
      </c>
      <c r="AK78" s="338">
        <v>0</v>
      </c>
      <c r="AL78" s="338">
        <v>0</v>
      </c>
      <c r="AM78" s="338">
        <v>0</v>
      </c>
      <c r="AN78" s="338">
        <v>0</v>
      </c>
      <c r="AO78" s="338">
        <v>0</v>
      </c>
      <c r="AP78" s="338">
        <v>0</v>
      </c>
      <c r="AQ78" s="338">
        <v>0</v>
      </c>
      <c r="AR78" s="338">
        <v>0</v>
      </c>
      <c r="AS78" s="338">
        <v>0</v>
      </c>
      <c r="AT78" s="338">
        <v>0</v>
      </c>
      <c r="AU78" s="338">
        <v>0</v>
      </c>
      <c r="AV78" s="338">
        <v>0</v>
      </c>
      <c r="AW78" s="338">
        <v>0</v>
      </c>
      <c r="AX78" s="338">
        <v>0</v>
      </c>
      <c r="AY78" s="338">
        <v>0</v>
      </c>
      <c r="AZ78" s="338">
        <v>0</v>
      </c>
    </row>
    <row r="79" spans="1:52" ht="15.75" customHeight="1">
      <c r="A79" s="15"/>
      <c r="B79" s="15"/>
      <c r="C79" s="15"/>
      <c r="D79" s="338" t="s">
        <v>185</v>
      </c>
      <c r="E79" s="338" t="s">
        <v>105</v>
      </c>
      <c r="F79" s="338">
        <v>0</v>
      </c>
      <c r="G79" s="338">
        <v>42.8</v>
      </c>
      <c r="H79" s="338">
        <v>2.0699999999999998</v>
      </c>
      <c r="I79" s="338">
        <v>17.399999999999999</v>
      </c>
      <c r="J79" s="338">
        <v>0.67</v>
      </c>
      <c r="K79" s="338">
        <v>0</v>
      </c>
      <c r="L79" s="338">
        <v>0</v>
      </c>
      <c r="M79" s="338">
        <v>0</v>
      </c>
      <c r="N79" s="338">
        <v>2.2999999999999998</v>
      </c>
      <c r="O79" s="338">
        <v>57.4</v>
      </c>
      <c r="P79" s="338">
        <v>42.1</v>
      </c>
      <c r="Q79" s="338">
        <v>0</v>
      </c>
      <c r="R79" s="338">
        <v>9.6</v>
      </c>
      <c r="S79" s="338">
        <v>1.06</v>
      </c>
      <c r="T79" s="338">
        <v>0.33</v>
      </c>
      <c r="U79" s="338">
        <v>0.24</v>
      </c>
      <c r="V79" s="338">
        <v>2.7</v>
      </c>
      <c r="W79" s="338">
        <v>0.02</v>
      </c>
      <c r="X79" s="338">
        <v>0.52</v>
      </c>
      <c r="Y79" s="338">
        <v>0.31</v>
      </c>
      <c r="Z79" s="338">
        <v>0</v>
      </c>
      <c r="AA79" s="338">
        <v>9</v>
      </c>
      <c r="AB79" s="338">
        <v>0</v>
      </c>
      <c r="AC79" s="338">
        <v>262</v>
      </c>
      <c r="AD79" s="338">
        <v>72</v>
      </c>
      <c r="AE79" s="338">
        <v>0.14000000000000001</v>
      </c>
      <c r="AF79" s="338">
        <v>30</v>
      </c>
      <c r="AG79" s="338">
        <v>0</v>
      </c>
      <c r="AH79" s="338">
        <v>0</v>
      </c>
      <c r="AI79" s="338">
        <v>0</v>
      </c>
      <c r="AJ79" s="338">
        <v>0</v>
      </c>
      <c r="AK79" s="338">
        <v>0</v>
      </c>
      <c r="AL79" s="338">
        <v>0</v>
      </c>
      <c r="AM79" s="338">
        <v>0</v>
      </c>
      <c r="AN79" s="338">
        <v>0</v>
      </c>
      <c r="AO79" s="338">
        <v>0</v>
      </c>
      <c r="AP79" s="338">
        <v>0</v>
      </c>
      <c r="AQ79" s="338">
        <v>0</v>
      </c>
      <c r="AR79" s="338">
        <v>0</v>
      </c>
      <c r="AS79" s="338">
        <v>0</v>
      </c>
      <c r="AT79" s="338">
        <v>0</v>
      </c>
      <c r="AU79" s="338">
        <v>0</v>
      </c>
      <c r="AV79" s="338">
        <v>0</v>
      </c>
      <c r="AW79" s="338">
        <v>0</v>
      </c>
      <c r="AX79" s="338">
        <v>0</v>
      </c>
      <c r="AY79" s="338">
        <v>0</v>
      </c>
      <c r="AZ79" s="338">
        <v>0</v>
      </c>
    </row>
    <row r="80" spans="1:52" ht="15.75" customHeight="1">
      <c r="A80" s="27"/>
      <c r="B80" s="27"/>
      <c r="C80" s="27"/>
      <c r="D80" s="338" t="s">
        <v>186</v>
      </c>
      <c r="E80" s="338" t="s">
        <v>105</v>
      </c>
      <c r="F80" s="338">
        <v>0</v>
      </c>
      <c r="G80" s="338">
        <v>44.1</v>
      </c>
      <c r="H80" s="338">
        <v>2.25</v>
      </c>
      <c r="I80" s="338">
        <v>19.100000000000001</v>
      </c>
      <c r="J80" s="338">
        <v>0.74</v>
      </c>
      <c r="K80" s="338">
        <v>0</v>
      </c>
      <c r="L80" s="338">
        <v>0</v>
      </c>
      <c r="M80" s="338">
        <v>0</v>
      </c>
      <c r="N80" s="338">
        <v>2.5</v>
      </c>
      <c r="O80" s="338">
        <v>50.4</v>
      </c>
      <c r="P80" s="338">
        <v>35.4</v>
      </c>
      <c r="Q80" s="338">
        <v>0</v>
      </c>
      <c r="R80" s="338">
        <v>10.1</v>
      </c>
      <c r="S80" s="338">
        <v>1.0900000000000001</v>
      </c>
      <c r="T80" s="338">
        <v>0.35</v>
      </c>
      <c r="U80" s="338">
        <v>0.27</v>
      </c>
      <c r="V80" s="338">
        <v>2.8</v>
      </c>
      <c r="W80" s="338">
        <v>0.01</v>
      </c>
      <c r="X80" s="338">
        <v>1.1000000000000001</v>
      </c>
      <c r="Y80" s="338">
        <v>0.26</v>
      </c>
      <c r="Z80" s="338">
        <v>0</v>
      </c>
      <c r="AA80" s="338">
        <v>9</v>
      </c>
      <c r="AB80" s="338">
        <v>0</v>
      </c>
      <c r="AC80" s="338">
        <v>252</v>
      </c>
      <c r="AD80" s="338">
        <v>71</v>
      </c>
      <c r="AE80" s="338">
        <v>0.14000000000000001</v>
      </c>
      <c r="AF80" s="338">
        <v>31</v>
      </c>
      <c r="AG80" s="338">
        <v>0</v>
      </c>
      <c r="AH80" s="338">
        <v>0</v>
      </c>
      <c r="AI80" s="338">
        <v>0</v>
      </c>
      <c r="AJ80" s="338">
        <v>0</v>
      </c>
      <c r="AK80" s="338">
        <v>0</v>
      </c>
      <c r="AL80" s="338">
        <v>0</v>
      </c>
      <c r="AM80" s="338">
        <v>0</v>
      </c>
      <c r="AN80" s="338">
        <v>0</v>
      </c>
      <c r="AO80" s="338">
        <v>0</v>
      </c>
      <c r="AP80" s="338">
        <v>0</v>
      </c>
      <c r="AQ80" s="338">
        <v>0</v>
      </c>
      <c r="AR80" s="338">
        <v>0</v>
      </c>
      <c r="AS80" s="338">
        <v>0</v>
      </c>
      <c r="AT80" s="338">
        <v>0</v>
      </c>
      <c r="AU80" s="338">
        <v>0</v>
      </c>
      <c r="AV80" s="338">
        <v>0</v>
      </c>
      <c r="AW80" s="338">
        <v>0</v>
      </c>
      <c r="AX80" s="338">
        <v>0</v>
      </c>
      <c r="AY80" s="338">
        <v>0</v>
      </c>
      <c r="AZ80" s="338">
        <v>0</v>
      </c>
    </row>
    <row r="81" spans="1:52" ht="15.75" customHeight="1">
      <c r="A81" s="27"/>
      <c r="B81" s="27"/>
      <c r="C81" s="27"/>
      <c r="D81" s="338" t="s">
        <v>435</v>
      </c>
      <c r="E81" s="338" t="s">
        <v>105</v>
      </c>
      <c r="F81" s="338">
        <v>0</v>
      </c>
      <c r="G81" s="338">
        <v>28</v>
      </c>
      <c r="H81" s="338">
        <v>1.77</v>
      </c>
      <c r="I81" s="338">
        <v>12.6</v>
      </c>
      <c r="J81" s="338">
        <v>0</v>
      </c>
      <c r="K81" s="338">
        <v>0</v>
      </c>
      <c r="L81" s="338">
        <v>0</v>
      </c>
      <c r="M81" s="338">
        <v>0</v>
      </c>
      <c r="N81" s="338">
        <v>2.8</v>
      </c>
      <c r="O81" s="338">
        <v>65.8</v>
      </c>
      <c r="P81" s="338">
        <v>0</v>
      </c>
      <c r="Q81" s="338">
        <v>0.9</v>
      </c>
      <c r="R81" s="338">
        <v>10.8</v>
      </c>
      <c r="S81" s="338">
        <v>0.24</v>
      </c>
      <c r="T81" s="338">
        <v>0.48</v>
      </c>
      <c r="U81" s="338">
        <v>0.19</v>
      </c>
      <c r="V81" s="338">
        <v>3.28</v>
      </c>
      <c r="W81" s="338">
        <v>0</v>
      </c>
      <c r="X81" s="338">
        <v>1.1599999999999999</v>
      </c>
      <c r="Y81" s="338">
        <v>0.19</v>
      </c>
      <c r="Z81" s="338">
        <v>0</v>
      </c>
      <c r="AA81" s="338">
        <v>0</v>
      </c>
      <c r="AB81" s="338">
        <v>0</v>
      </c>
      <c r="AC81" s="338">
        <v>0</v>
      </c>
      <c r="AD81" s="338">
        <v>0</v>
      </c>
      <c r="AE81" s="338">
        <v>0</v>
      </c>
      <c r="AF81" s="338">
        <v>0</v>
      </c>
      <c r="AG81" s="338">
        <v>0</v>
      </c>
      <c r="AH81" s="338">
        <v>0</v>
      </c>
      <c r="AI81" s="338">
        <v>0</v>
      </c>
      <c r="AJ81" s="338">
        <v>0</v>
      </c>
      <c r="AK81" s="338">
        <v>0</v>
      </c>
      <c r="AL81" s="338">
        <v>0</v>
      </c>
      <c r="AM81" s="338">
        <v>0</v>
      </c>
      <c r="AN81" s="338">
        <v>0</v>
      </c>
      <c r="AO81" s="338">
        <v>0</v>
      </c>
      <c r="AP81" s="338">
        <v>0</v>
      </c>
      <c r="AQ81" s="338">
        <v>0</v>
      </c>
      <c r="AR81" s="338">
        <v>0</v>
      </c>
      <c r="AS81" s="338">
        <v>0</v>
      </c>
      <c r="AT81" s="338">
        <v>0</v>
      </c>
      <c r="AU81" s="338">
        <v>0</v>
      </c>
      <c r="AV81" s="338">
        <v>0</v>
      </c>
      <c r="AW81" s="338">
        <v>0</v>
      </c>
      <c r="AX81" s="338">
        <v>0</v>
      </c>
      <c r="AY81" s="338">
        <v>0</v>
      </c>
      <c r="AZ81" s="338">
        <v>0</v>
      </c>
    </row>
    <row r="82" spans="1:52" ht="15.75" customHeight="1">
      <c r="A82" s="27"/>
      <c r="B82" s="27"/>
      <c r="C82" s="27"/>
      <c r="D82" s="338" t="s">
        <v>187</v>
      </c>
      <c r="E82" s="338" t="s">
        <v>158</v>
      </c>
      <c r="F82" s="338">
        <v>0</v>
      </c>
      <c r="G82" s="338">
        <v>100</v>
      </c>
      <c r="H82" s="338">
        <v>9.19</v>
      </c>
      <c r="I82" s="338">
        <v>0</v>
      </c>
      <c r="J82" s="338">
        <v>0</v>
      </c>
      <c r="K82" s="338">
        <v>0</v>
      </c>
      <c r="L82" s="338">
        <v>0</v>
      </c>
      <c r="M82" s="338">
        <v>0</v>
      </c>
      <c r="N82" s="338">
        <v>99.9</v>
      </c>
      <c r="O82" s="338">
        <v>0</v>
      </c>
      <c r="P82" s="338">
        <v>0</v>
      </c>
      <c r="Q82" s="338">
        <v>0</v>
      </c>
      <c r="R82" s="338">
        <v>0</v>
      </c>
      <c r="S82" s="338">
        <v>0</v>
      </c>
      <c r="T82" s="338">
        <v>0</v>
      </c>
      <c r="U82" s="338">
        <v>0</v>
      </c>
      <c r="V82" s="338">
        <v>0</v>
      </c>
      <c r="W82" s="338">
        <v>0</v>
      </c>
      <c r="X82" s="338">
        <v>0</v>
      </c>
      <c r="Y82" s="338">
        <v>0</v>
      </c>
      <c r="Z82" s="338">
        <v>0</v>
      </c>
      <c r="AA82" s="338">
        <v>0</v>
      </c>
      <c r="AB82" s="338">
        <v>0</v>
      </c>
      <c r="AC82" s="338">
        <v>0</v>
      </c>
      <c r="AD82" s="338">
        <v>0</v>
      </c>
      <c r="AE82" s="338">
        <v>0</v>
      </c>
      <c r="AF82" s="338">
        <v>0</v>
      </c>
      <c r="AG82" s="338">
        <v>0</v>
      </c>
      <c r="AH82" s="338">
        <v>0</v>
      </c>
      <c r="AI82" s="338">
        <v>0</v>
      </c>
      <c r="AJ82" s="338">
        <v>0</v>
      </c>
      <c r="AK82" s="338">
        <v>0</v>
      </c>
      <c r="AL82" s="338">
        <v>0</v>
      </c>
      <c r="AM82" s="338">
        <v>0</v>
      </c>
      <c r="AN82" s="338">
        <v>0</v>
      </c>
      <c r="AO82" s="338">
        <v>0</v>
      </c>
      <c r="AP82" s="338">
        <v>0</v>
      </c>
      <c r="AQ82" s="338">
        <v>0</v>
      </c>
      <c r="AR82" s="338">
        <v>0</v>
      </c>
      <c r="AS82" s="338">
        <v>0</v>
      </c>
      <c r="AT82" s="338">
        <v>0</v>
      </c>
      <c r="AU82" s="338">
        <v>0</v>
      </c>
      <c r="AV82" s="338">
        <v>0</v>
      </c>
      <c r="AW82" s="338">
        <v>0</v>
      </c>
      <c r="AX82" s="338">
        <v>0</v>
      </c>
      <c r="AY82" s="338">
        <v>0</v>
      </c>
      <c r="AZ82" s="338">
        <v>0</v>
      </c>
    </row>
    <row r="83" spans="1:52" ht="15.75" customHeight="1">
      <c r="A83" s="27"/>
      <c r="B83" s="27"/>
      <c r="C83" s="27"/>
      <c r="D83" s="338" t="s">
        <v>436</v>
      </c>
      <c r="E83" s="338" t="s">
        <v>120</v>
      </c>
      <c r="F83" s="338"/>
      <c r="G83" s="338">
        <v>97</v>
      </c>
      <c r="H83" s="338"/>
      <c r="I83" s="338">
        <v>37.4</v>
      </c>
      <c r="J83" s="338">
        <v>6.27</v>
      </c>
      <c r="K83" s="338">
        <v>0</v>
      </c>
      <c r="L83" s="338">
        <v>3.4</v>
      </c>
      <c r="M83" s="338">
        <v>1.1000000000000001</v>
      </c>
      <c r="N83" s="338">
        <v>0</v>
      </c>
      <c r="O83" s="338">
        <v>0</v>
      </c>
      <c r="P83" s="338">
        <v>0</v>
      </c>
      <c r="Q83" s="338">
        <v>0</v>
      </c>
      <c r="R83" s="338">
        <v>0</v>
      </c>
      <c r="S83" s="338">
        <v>0</v>
      </c>
      <c r="T83" s="338">
        <v>0</v>
      </c>
      <c r="U83" s="338">
        <v>0</v>
      </c>
      <c r="V83" s="338">
        <v>0</v>
      </c>
      <c r="W83" s="338">
        <v>0</v>
      </c>
      <c r="X83" s="338">
        <v>0</v>
      </c>
      <c r="Y83" s="338">
        <v>0</v>
      </c>
      <c r="Z83" s="338">
        <v>0</v>
      </c>
      <c r="AA83" s="338">
        <v>0</v>
      </c>
      <c r="AB83" s="338">
        <v>0</v>
      </c>
      <c r="AC83" s="338">
        <v>0</v>
      </c>
      <c r="AD83" s="338">
        <v>0</v>
      </c>
      <c r="AE83" s="338">
        <v>0</v>
      </c>
      <c r="AF83" s="338">
        <v>0</v>
      </c>
      <c r="AG83" s="338">
        <v>0</v>
      </c>
      <c r="AH83" s="338">
        <v>0</v>
      </c>
      <c r="AI83" s="338">
        <v>0</v>
      </c>
      <c r="AJ83" s="338">
        <v>0</v>
      </c>
      <c r="AK83" s="338">
        <v>0</v>
      </c>
      <c r="AL83" s="338">
        <v>0</v>
      </c>
      <c r="AM83" s="338">
        <v>0</v>
      </c>
      <c r="AN83" s="338">
        <v>0</v>
      </c>
      <c r="AO83" s="338">
        <v>0</v>
      </c>
      <c r="AP83" s="338">
        <v>0</v>
      </c>
      <c r="AQ83" s="338">
        <v>0</v>
      </c>
      <c r="AR83" s="338">
        <v>0</v>
      </c>
      <c r="AS83" s="338">
        <v>0</v>
      </c>
      <c r="AT83" s="338">
        <v>0</v>
      </c>
      <c r="AU83" s="338">
        <v>0</v>
      </c>
      <c r="AV83" s="338">
        <v>0</v>
      </c>
      <c r="AW83" s="338">
        <v>0</v>
      </c>
      <c r="AX83" s="338">
        <v>0</v>
      </c>
      <c r="AY83" s="338">
        <v>0</v>
      </c>
      <c r="AZ83" s="338">
        <v>0</v>
      </c>
    </row>
    <row r="84" spans="1:52" ht="15.75" customHeight="1">
      <c r="A84" s="27"/>
      <c r="B84" s="27"/>
      <c r="C84" s="27"/>
      <c r="D84" s="338" t="s">
        <v>188</v>
      </c>
      <c r="E84" s="338" t="s">
        <v>124</v>
      </c>
      <c r="F84" s="338">
        <v>0</v>
      </c>
      <c r="G84" s="338">
        <v>99</v>
      </c>
      <c r="H84" s="338"/>
      <c r="I84" s="338">
        <v>0</v>
      </c>
      <c r="J84" s="338">
        <v>0</v>
      </c>
      <c r="K84" s="338">
        <v>0</v>
      </c>
      <c r="L84" s="338">
        <v>0</v>
      </c>
      <c r="M84" s="338">
        <v>0</v>
      </c>
      <c r="N84" s="338">
        <v>0</v>
      </c>
      <c r="O84" s="338">
        <v>0</v>
      </c>
      <c r="P84" s="338">
        <v>0</v>
      </c>
      <c r="Q84" s="338">
        <v>0</v>
      </c>
      <c r="R84" s="338">
        <v>99</v>
      </c>
      <c r="S84" s="338">
        <v>0</v>
      </c>
      <c r="T84" s="338">
        <v>0</v>
      </c>
      <c r="U84" s="338">
        <v>55</v>
      </c>
      <c r="V84" s="338">
        <v>0</v>
      </c>
      <c r="W84" s="338">
        <v>0</v>
      </c>
      <c r="X84" s="338">
        <v>0</v>
      </c>
      <c r="Y84" s="338">
        <v>0</v>
      </c>
      <c r="Z84" s="338">
        <v>0</v>
      </c>
      <c r="AA84" s="338">
        <v>0</v>
      </c>
      <c r="AB84" s="338">
        <v>0</v>
      </c>
      <c r="AC84" s="338">
        <v>0</v>
      </c>
      <c r="AD84" s="338">
        <v>0</v>
      </c>
      <c r="AE84" s="338">
        <v>0</v>
      </c>
      <c r="AF84" s="338">
        <v>0</v>
      </c>
      <c r="AG84" s="338">
        <v>0</v>
      </c>
      <c r="AH84" s="338">
        <v>0</v>
      </c>
      <c r="AI84" s="338">
        <v>0</v>
      </c>
      <c r="AJ84" s="338">
        <v>0</v>
      </c>
      <c r="AK84" s="338">
        <v>0</v>
      </c>
      <c r="AL84" s="338">
        <v>0</v>
      </c>
      <c r="AM84" s="338">
        <v>0</v>
      </c>
      <c r="AN84" s="338">
        <v>0</v>
      </c>
      <c r="AO84" s="338">
        <v>0</v>
      </c>
      <c r="AP84" s="338">
        <v>0</v>
      </c>
      <c r="AQ84" s="338">
        <v>0</v>
      </c>
      <c r="AR84" s="338">
        <v>0</v>
      </c>
      <c r="AS84" s="338">
        <v>0</v>
      </c>
      <c r="AT84" s="338">
        <v>0</v>
      </c>
      <c r="AU84" s="338">
        <v>0</v>
      </c>
      <c r="AV84" s="338">
        <v>0</v>
      </c>
      <c r="AW84" s="338">
        <v>0</v>
      </c>
      <c r="AX84" s="338">
        <v>0</v>
      </c>
      <c r="AY84" s="338">
        <v>0</v>
      </c>
      <c r="AZ84" s="338">
        <v>0</v>
      </c>
    </row>
    <row r="85" spans="1:52" ht="15.75" customHeight="1">
      <c r="A85" s="27"/>
      <c r="B85" s="27"/>
      <c r="C85" s="27"/>
      <c r="D85" s="338" t="s">
        <v>189</v>
      </c>
      <c r="E85" s="338" t="s">
        <v>124</v>
      </c>
      <c r="F85" s="338">
        <v>0</v>
      </c>
      <c r="G85" s="338">
        <v>99</v>
      </c>
      <c r="H85" s="338"/>
      <c r="I85" s="338">
        <v>0</v>
      </c>
      <c r="J85" s="338">
        <v>0</v>
      </c>
      <c r="K85" s="338">
        <v>0</v>
      </c>
      <c r="L85" s="338">
        <v>0</v>
      </c>
      <c r="M85" s="338">
        <v>0</v>
      </c>
      <c r="N85" s="338">
        <v>0</v>
      </c>
      <c r="O85" s="338">
        <v>0</v>
      </c>
      <c r="P85" s="338">
        <v>0</v>
      </c>
      <c r="Q85" s="338">
        <v>0</v>
      </c>
      <c r="R85" s="338">
        <v>99</v>
      </c>
      <c r="S85" s="338">
        <v>0</v>
      </c>
      <c r="T85" s="338">
        <v>0</v>
      </c>
      <c r="U85" s="338">
        <v>0</v>
      </c>
      <c r="V85" s="338">
        <v>0</v>
      </c>
      <c r="W85" s="338">
        <v>0</v>
      </c>
      <c r="X85" s="338">
        <v>0</v>
      </c>
      <c r="Y85" s="338">
        <v>0</v>
      </c>
      <c r="Z85" s="338">
        <v>0</v>
      </c>
      <c r="AA85" s="338">
        <v>0</v>
      </c>
      <c r="AB85" s="338">
        <v>0</v>
      </c>
      <c r="AC85" s="338">
        <v>0</v>
      </c>
      <c r="AD85" s="338">
        <v>0</v>
      </c>
      <c r="AE85" s="338">
        <v>0</v>
      </c>
      <c r="AF85" s="338">
        <v>790000</v>
      </c>
      <c r="AG85" s="338">
        <v>0</v>
      </c>
      <c r="AH85" s="338">
        <v>0</v>
      </c>
      <c r="AI85" s="338">
        <v>0</v>
      </c>
      <c r="AJ85" s="338">
        <v>0</v>
      </c>
      <c r="AK85" s="338">
        <v>0</v>
      </c>
      <c r="AL85" s="338">
        <v>0</v>
      </c>
      <c r="AM85" s="338">
        <v>0</v>
      </c>
      <c r="AN85" s="338">
        <v>0</v>
      </c>
      <c r="AO85" s="338">
        <v>0</v>
      </c>
      <c r="AP85" s="338">
        <v>0</v>
      </c>
      <c r="AQ85" s="338">
        <v>0</v>
      </c>
      <c r="AR85" s="338">
        <v>0</v>
      </c>
      <c r="AS85" s="338">
        <v>0</v>
      </c>
      <c r="AT85" s="338">
        <v>0</v>
      </c>
      <c r="AU85" s="338">
        <v>0</v>
      </c>
      <c r="AV85" s="338">
        <v>0</v>
      </c>
      <c r="AW85" s="338">
        <v>0</v>
      </c>
      <c r="AX85" s="338">
        <v>0</v>
      </c>
      <c r="AY85" s="338">
        <v>0</v>
      </c>
      <c r="AZ85" s="338">
        <v>0</v>
      </c>
    </row>
    <row r="86" spans="1:52" ht="15.75" customHeight="1">
      <c r="A86" s="27"/>
      <c r="B86" s="27"/>
      <c r="C86" s="27"/>
      <c r="D86" s="338" t="s">
        <v>190</v>
      </c>
      <c r="E86" s="338" t="s">
        <v>107</v>
      </c>
      <c r="F86" s="338">
        <v>0</v>
      </c>
      <c r="G86" s="338">
        <v>68.3</v>
      </c>
      <c r="H86" s="338">
        <v>3.9</v>
      </c>
      <c r="I86" s="338">
        <v>15</v>
      </c>
      <c r="J86" s="338">
        <v>0.44</v>
      </c>
      <c r="K86" s="338">
        <v>0</v>
      </c>
      <c r="L86" s="338">
        <v>0</v>
      </c>
      <c r="M86" s="338">
        <v>0</v>
      </c>
      <c r="N86" s="338">
        <v>2.2000000000000002</v>
      </c>
      <c r="O86" s="338">
        <v>8.9</v>
      </c>
      <c r="P86" s="338">
        <v>3.1</v>
      </c>
      <c r="Q86" s="338">
        <v>0</v>
      </c>
      <c r="R86" s="338">
        <v>2.8</v>
      </c>
      <c r="S86" s="338">
        <v>0.14000000000000001</v>
      </c>
      <c r="T86" s="338">
        <v>0.2</v>
      </c>
      <c r="U86" s="338">
        <v>0.05</v>
      </c>
      <c r="V86" s="338">
        <v>0.23</v>
      </c>
      <c r="W86" s="338">
        <v>0.85</v>
      </c>
      <c r="X86" s="338">
        <v>0.94</v>
      </c>
      <c r="Y86" s="338">
        <v>0.17</v>
      </c>
      <c r="Z86" s="338">
        <v>0</v>
      </c>
      <c r="AA86" s="338">
        <v>4</v>
      </c>
      <c r="AB86" s="338">
        <v>0</v>
      </c>
      <c r="AC86" s="338">
        <v>140</v>
      </c>
      <c r="AD86" s="338">
        <v>10</v>
      </c>
      <c r="AE86" s="338">
        <v>0</v>
      </c>
      <c r="AF86" s="338">
        <v>16</v>
      </c>
      <c r="AG86" s="338">
        <v>0</v>
      </c>
      <c r="AH86" s="338">
        <v>0</v>
      </c>
      <c r="AI86" s="338">
        <v>0</v>
      </c>
      <c r="AJ86" s="338">
        <v>0</v>
      </c>
      <c r="AK86" s="338">
        <v>0</v>
      </c>
      <c r="AL86" s="338">
        <v>0</v>
      </c>
      <c r="AM86" s="338">
        <v>0</v>
      </c>
      <c r="AN86" s="338">
        <v>0</v>
      </c>
      <c r="AO86" s="338">
        <v>0</v>
      </c>
      <c r="AP86" s="338">
        <v>0</v>
      </c>
      <c r="AQ86" s="338">
        <v>0</v>
      </c>
      <c r="AR86" s="338">
        <v>0</v>
      </c>
      <c r="AS86" s="338">
        <v>0</v>
      </c>
      <c r="AT86" s="338">
        <v>0</v>
      </c>
      <c r="AU86" s="338">
        <v>0</v>
      </c>
      <c r="AV86" s="338">
        <v>0</v>
      </c>
      <c r="AW86" s="338">
        <v>0</v>
      </c>
      <c r="AX86" s="338">
        <v>0</v>
      </c>
      <c r="AY86" s="338">
        <v>0</v>
      </c>
      <c r="AZ86" s="338">
        <v>0</v>
      </c>
    </row>
    <row r="87" spans="1:52" ht="15.75" customHeight="1">
      <c r="A87" s="27"/>
      <c r="B87" s="27"/>
      <c r="C87" s="27"/>
      <c r="D87" s="338" t="s">
        <v>191</v>
      </c>
      <c r="E87" s="338" t="s">
        <v>105</v>
      </c>
      <c r="F87" s="338">
        <v>0</v>
      </c>
      <c r="G87" s="338">
        <v>20.100000000000001</v>
      </c>
      <c r="H87" s="338">
        <v>2.39</v>
      </c>
      <c r="I87" s="338">
        <v>26.5</v>
      </c>
      <c r="J87" s="338">
        <v>0.92</v>
      </c>
      <c r="K87" s="338">
        <v>0</v>
      </c>
      <c r="L87" s="338">
        <v>0</v>
      </c>
      <c r="M87" s="338">
        <v>0</v>
      </c>
      <c r="N87" s="338">
        <v>2.7</v>
      </c>
      <c r="O87" s="338">
        <v>45.8</v>
      </c>
      <c r="P87" s="338">
        <v>25</v>
      </c>
      <c r="Q87" s="338">
        <v>0</v>
      </c>
      <c r="R87" s="338">
        <v>9.8000000000000007</v>
      </c>
      <c r="S87" s="338">
        <v>0.56000000000000005</v>
      </c>
      <c r="T87" s="338">
        <v>0.44</v>
      </c>
      <c r="U87" s="338">
        <v>0.2</v>
      </c>
      <c r="V87" s="338">
        <v>3.36</v>
      </c>
      <c r="W87" s="338">
        <v>0.02</v>
      </c>
      <c r="X87" s="338">
        <v>0.56000000000000005</v>
      </c>
      <c r="Y87" s="338">
        <v>0.2</v>
      </c>
      <c r="Z87" s="338">
        <v>0</v>
      </c>
      <c r="AA87" s="338">
        <v>10</v>
      </c>
      <c r="AB87" s="338">
        <v>0</v>
      </c>
      <c r="AC87" s="338">
        <v>275</v>
      </c>
      <c r="AD87" s="338">
        <v>75</v>
      </c>
      <c r="AE87" s="338">
        <v>0</v>
      </c>
      <c r="AF87" s="338">
        <v>36</v>
      </c>
      <c r="AG87" s="338">
        <v>0</v>
      </c>
      <c r="AH87" s="338">
        <v>0</v>
      </c>
      <c r="AI87" s="338">
        <v>0</v>
      </c>
      <c r="AJ87" s="338">
        <v>0</v>
      </c>
      <c r="AK87" s="338">
        <v>0</v>
      </c>
      <c r="AL87" s="338">
        <v>0</v>
      </c>
      <c r="AM87" s="338">
        <v>0</v>
      </c>
      <c r="AN87" s="338">
        <v>0</v>
      </c>
      <c r="AO87" s="338">
        <v>0</v>
      </c>
      <c r="AP87" s="338">
        <v>0</v>
      </c>
      <c r="AQ87" s="338">
        <v>0</v>
      </c>
      <c r="AR87" s="338">
        <v>0</v>
      </c>
      <c r="AS87" s="338">
        <v>0</v>
      </c>
      <c r="AT87" s="338">
        <v>0</v>
      </c>
      <c r="AU87" s="338">
        <v>0</v>
      </c>
      <c r="AV87" s="338">
        <v>0</v>
      </c>
      <c r="AW87" s="338">
        <v>0</v>
      </c>
      <c r="AX87" s="338">
        <v>0</v>
      </c>
      <c r="AY87" s="338">
        <v>0</v>
      </c>
      <c r="AZ87" s="338">
        <v>0</v>
      </c>
    </row>
    <row r="88" spans="1:52" ht="15.75" customHeight="1">
      <c r="A88" s="27"/>
      <c r="B88" s="27"/>
      <c r="C88" s="27"/>
      <c r="D88" s="338" t="s">
        <v>192</v>
      </c>
      <c r="E88" s="338" t="s">
        <v>105</v>
      </c>
      <c r="F88" s="338">
        <v>0</v>
      </c>
      <c r="G88" s="338">
        <v>21.4</v>
      </c>
      <c r="H88" s="338">
        <v>2.71</v>
      </c>
      <c r="I88" s="338">
        <v>26.5</v>
      </c>
      <c r="J88" s="338">
        <v>1.37</v>
      </c>
      <c r="K88" s="338">
        <v>0</v>
      </c>
      <c r="L88" s="338">
        <v>0</v>
      </c>
      <c r="M88" s="338">
        <v>0</v>
      </c>
      <c r="N88" s="338">
        <v>3.7</v>
      </c>
      <c r="O88" s="338">
        <v>33.1</v>
      </c>
      <c r="P88" s="338">
        <v>23.9</v>
      </c>
      <c r="Q88" s="338">
        <v>0</v>
      </c>
      <c r="R88" s="338">
        <v>10</v>
      </c>
      <c r="S88" s="338">
        <v>1.31</v>
      </c>
      <c r="T88" s="338">
        <v>0.37</v>
      </c>
      <c r="U88" s="338">
        <v>0.28000000000000003</v>
      </c>
      <c r="V88" s="338">
        <v>3.21</v>
      </c>
      <c r="W88" s="338">
        <v>0.01</v>
      </c>
      <c r="X88" s="338">
        <v>0.6</v>
      </c>
      <c r="Y88" s="338">
        <v>0.31</v>
      </c>
      <c r="Z88" s="338">
        <v>0.44</v>
      </c>
      <c r="AA88" s="338">
        <v>10</v>
      </c>
      <c r="AB88" s="338">
        <v>0</v>
      </c>
      <c r="AC88" s="338">
        <v>215</v>
      </c>
      <c r="AD88" s="338">
        <v>54</v>
      </c>
      <c r="AE88" s="338">
        <v>0.2</v>
      </c>
      <c r="AF88" s="338">
        <v>33</v>
      </c>
      <c r="AG88" s="338">
        <v>0</v>
      </c>
      <c r="AH88" s="338">
        <v>0</v>
      </c>
      <c r="AI88" s="338">
        <v>0</v>
      </c>
      <c r="AJ88" s="338">
        <v>0</v>
      </c>
      <c r="AK88" s="338">
        <v>0</v>
      </c>
      <c r="AL88" s="338">
        <v>0</v>
      </c>
      <c r="AM88" s="338">
        <v>0</v>
      </c>
      <c r="AN88" s="338">
        <v>0</v>
      </c>
      <c r="AO88" s="338">
        <v>0</v>
      </c>
      <c r="AP88" s="338">
        <v>0</v>
      </c>
      <c r="AQ88" s="338">
        <v>0</v>
      </c>
      <c r="AR88" s="338">
        <v>0</v>
      </c>
      <c r="AS88" s="338">
        <v>0</v>
      </c>
      <c r="AT88" s="338">
        <v>0</v>
      </c>
      <c r="AU88" s="338">
        <v>0</v>
      </c>
      <c r="AV88" s="338">
        <v>0</v>
      </c>
      <c r="AW88" s="338">
        <v>0</v>
      </c>
      <c r="AX88" s="338">
        <v>0</v>
      </c>
      <c r="AY88" s="338">
        <v>0</v>
      </c>
      <c r="AZ88" s="338">
        <v>0</v>
      </c>
    </row>
    <row r="89" spans="1:52" ht="15.75" customHeight="1">
      <c r="A89" s="27"/>
      <c r="B89" s="27"/>
      <c r="C89" s="27"/>
      <c r="D89" s="338" t="s">
        <v>193</v>
      </c>
      <c r="E89" s="338" t="s">
        <v>107</v>
      </c>
      <c r="F89" s="338">
        <v>0</v>
      </c>
      <c r="G89" s="338">
        <v>85.8</v>
      </c>
      <c r="H89" s="338">
        <v>2.85</v>
      </c>
      <c r="I89" s="338">
        <v>6.9</v>
      </c>
      <c r="J89" s="338">
        <v>0.18</v>
      </c>
      <c r="K89" s="338">
        <v>0</v>
      </c>
      <c r="L89" s="338">
        <v>0</v>
      </c>
      <c r="M89" s="338">
        <v>0</v>
      </c>
      <c r="N89" s="338">
        <v>4.9000000000000004</v>
      </c>
      <c r="O89" s="338">
        <v>24.2</v>
      </c>
      <c r="P89" s="338">
        <v>22.2</v>
      </c>
      <c r="Q89" s="338">
        <v>0</v>
      </c>
      <c r="R89" s="338">
        <v>7.2</v>
      </c>
      <c r="S89" s="338">
        <v>1.92</v>
      </c>
      <c r="T89" s="338">
        <v>0.12</v>
      </c>
      <c r="U89" s="338">
        <v>0.12</v>
      </c>
      <c r="V89" s="338">
        <v>1.1000000000000001</v>
      </c>
      <c r="W89" s="338">
        <v>0.06</v>
      </c>
      <c r="X89" s="338">
        <v>0.08</v>
      </c>
      <c r="Y89" s="338">
        <v>0.1</v>
      </c>
      <c r="Z89" s="338">
        <v>0</v>
      </c>
      <c r="AA89" s="338">
        <v>8</v>
      </c>
      <c r="AB89" s="338">
        <v>0</v>
      </c>
      <c r="AC89" s="338">
        <v>151</v>
      </c>
      <c r="AD89" s="338">
        <v>9</v>
      </c>
      <c r="AE89" s="338">
        <v>0</v>
      </c>
      <c r="AF89" s="338" t="s">
        <v>194</v>
      </c>
      <c r="AG89" s="338">
        <v>0</v>
      </c>
      <c r="AH89" s="338">
        <v>0</v>
      </c>
      <c r="AI89" s="338">
        <v>0</v>
      </c>
      <c r="AJ89" s="338">
        <v>0</v>
      </c>
      <c r="AK89" s="338">
        <v>0</v>
      </c>
      <c r="AL89" s="338">
        <v>0</v>
      </c>
      <c r="AM89" s="338">
        <v>0</v>
      </c>
      <c r="AN89" s="338">
        <v>0</v>
      </c>
      <c r="AO89" s="338">
        <v>0</v>
      </c>
      <c r="AP89" s="338">
        <v>0</v>
      </c>
      <c r="AQ89" s="338">
        <v>0</v>
      </c>
      <c r="AR89" s="338">
        <v>0</v>
      </c>
      <c r="AS89" s="338">
        <v>0</v>
      </c>
      <c r="AT89" s="338">
        <v>0</v>
      </c>
      <c r="AU89" s="338">
        <v>0</v>
      </c>
      <c r="AV89" s="338">
        <v>0</v>
      </c>
      <c r="AW89" s="338">
        <v>0</v>
      </c>
      <c r="AX89" s="338">
        <v>0</v>
      </c>
      <c r="AY89" s="338">
        <v>0</v>
      </c>
      <c r="AZ89" s="338">
        <v>0</v>
      </c>
    </row>
    <row r="90" spans="1:52" ht="15.75" customHeight="1">
      <c r="A90" s="27"/>
      <c r="B90" s="27"/>
      <c r="C90" s="27"/>
      <c r="D90" s="338" t="s">
        <v>195</v>
      </c>
      <c r="E90" s="338" t="s">
        <v>107</v>
      </c>
      <c r="F90" s="338">
        <v>0</v>
      </c>
      <c r="G90" s="338">
        <v>88</v>
      </c>
      <c r="H90" s="338">
        <v>2.84</v>
      </c>
      <c r="I90" s="338">
        <v>10</v>
      </c>
      <c r="J90" s="338">
        <v>0.42</v>
      </c>
      <c r="K90" s="338">
        <v>0</v>
      </c>
      <c r="L90" s="338">
        <v>0</v>
      </c>
      <c r="M90" s="338">
        <v>0</v>
      </c>
      <c r="N90" s="338">
        <v>1.1000000000000001</v>
      </c>
      <c r="O90" s="338">
        <v>44.4</v>
      </c>
      <c r="P90" s="338">
        <v>22.4</v>
      </c>
      <c r="Q90" s="338">
        <v>0</v>
      </c>
      <c r="R90" s="338">
        <v>7.4</v>
      </c>
      <c r="S90" s="338">
        <v>0.89</v>
      </c>
      <c r="T90" s="338">
        <v>0.09</v>
      </c>
      <c r="U90" s="338">
        <v>0.23</v>
      </c>
      <c r="V90" s="338">
        <v>1.1100000000000001</v>
      </c>
      <c r="W90" s="338">
        <v>0.35</v>
      </c>
      <c r="X90" s="338">
        <v>0.17</v>
      </c>
      <c r="Y90" s="338">
        <v>0.31</v>
      </c>
      <c r="Z90" s="338">
        <v>0</v>
      </c>
      <c r="AA90" s="338">
        <v>11.3</v>
      </c>
      <c r="AB90" s="338">
        <v>0</v>
      </c>
      <c r="AC90" s="338">
        <v>625</v>
      </c>
      <c r="AD90" s="338">
        <v>62</v>
      </c>
      <c r="AE90" s="338">
        <v>0.14000000000000001</v>
      </c>
      <c r="AF90" s="338">
        <v>22</v>
      </c>
      <c r="AG90" s="338">
        <v>0</v>
      </c>
      <c r="AH90" s="338">
        <v>0</v>
      </c>
      <c r="AI90" s="338">
        <v>0</v>
      </c>
      <c r="AJ90" s="338">
        <v>0</v>
      </c>
      <c r="AK90" s="338">
        <v>0</v>
      </c>
      <c r="AL90" s="338">
        <v>0</v>
      </c>
      <c r="AM90" s="338">
        <v>0</v>
      </c>
      <c r="AN90" s="338">
        <v>0</v>
      </c>
      <c r="AO90" s="338">
        <v>0</v>
      </c>
      <c r="AP90" s="338">
        <v>0</v>
      </c>
      <c r="AQ90" s="338">
        <v>0</v>
      </c>
      <c r="AR90" s="338">
        <v>0</v>
      </c>
      <c r="AS90" s="338">
        <v>0</v>
      </c>
      <c r="AT90" s="338">
        <v>0</v>
      </c>
      <c r="AU90" s="338">
        <v>0</v>
      </c>
      <c r="AV90" s="338">
        <v>0</v>
      </c>
      <c r="AW90" s="338">
        <v>0</v>
      </c>
      <c r="AX90" s="338">
        <v>0</v>
      </c>
      <c r="AY90" s="338">
        <v>0</v>
      </c>
      <c r="AZ90" s="338">
        <v>0</v>
      </c>
    </row>
    <row r="91" spans="1:52" ht="15.75" customHeight="1">
      <c r="A91" s="27"/>
      <c r="B91" s="27"/>
      <c r="C91" s="27"/>
      <c r="D91" s="338" t="s">
        <v>196</v>
      </c>
      <c r="E91" s="338" t="s">
        <v>107</v>
      </c>
      <c r="F91" s="338">
        <v>0</v>
      </c>
      <c r="G91" s="338">
        <v>88.3</v>
      </c>
      <c r="H91" s="338">
        <v>2.8</v>
      </c>
      <c r="I91" s="338">
        <v>10</v>
      </c>
      <c r="J91" s="338">
        <v>0.44</v>
      </c>
      <c r="K91" s="338">
        <v>0</v>
      </c>
      <c r="L91" s="338">
        <v>0</v>
      </c>
      <c r="M91" s="338">
        <v>0</v>
      </c>
      <c r="N91" s="338">
        <v>1.1000000000000001</v>
      </c>
      <c r="O91" s="338">
        <v>45.8</v>
      </c>
      <c r="P91" s="338">
        <v>23.1</v>
      </c>
      <c r="Q91" s="338">
        <v>0</v>
      </c>
      <c r="R91" s="338">
        <v>7.3</v>
      </c>
      <c r="S91" s="338">
        <v>0.91</v>
      </c>
      <c r="T91" s="338">
        <v>0.09</v>
      </c>
      <c r="U91" s="338">
        <v>0.23</v>
      </c>
      <c r="V91" s="338">
        <v>0.96</v>
      </c>
      <c r="W91" s="338">
        <v>0.31</v>
      </c>
      <c r="X91" s="338">
        <v>0.18</v>
      </c>
      <c r="Y91" s="338">
        <v>0.3</v>
      </c>
      <c r="Z91" s="338">
        <v>0</v>
      </c>
      <c r="AA91" s="338">
        <v>11</v>
      </c>
      <c r="AB91" s="338">
        <v>0</v>
      </c>
      <c r="AC91" s="338">
        <v>642</v>
      </c>
      <c r="AD91" s="338">
        <v>62</v>
      </c>
      <c r="AE91" s="338">
        <v>0.14000000000000001</v>
      </c>
      <c r="AF91" s="338">
        <v>22</v>
      </c>
      <c r="AG91" s="338">
        <v>0</v>
      </c>
      <c r="AH91" s="338">
        <v>0</v>
      </c>
      <c r="AI91" s="338">
        <v>0</v>
      </c>
      <c r="AJ91" s="338">
        <v>0</v>
      </c>
      <c r="AK91" s="338">
        <v>0</v>
      </c>
      <c r="AL91" s="338">
        <v>0</v>
      </c>
      <c r="AM91" s="338">
        <v>0</v>
      </c>
      <c r="AN91" s="338">
        <v>0</v>
      </c>
      <c r="AO91" s="338">
        <v>0</v>
      </c>
      <c r="AP91" s="338">
        <v>0</v>
      </c>
      <c r="AQ91" s="338">
        <v>0</v>
      </c>
      <c r="AR91" s="338">
        <v>0</v>
      </c>
      <c r="AS91" s="338">
        <v>0</v>
      </c>
      <c r="AT91" s="338">
        <v>0</v>
      </c>
      <c r="AU91" s="338">
        <v>0</v>
      </c>
      <c r="AV91" s="338">
        <v>0</v>
      </c>
      <c r="AW91" s="338">
        <v>0</v>
      </c>
      <c r="AX91" s="338">
        <v>0</v>
      </c>
      <c r="AY91" s="338">
        <v>0</v>
      </c>
      <c r="AZ91" s="338">
        <v>0</v>
      </c>
    </row>
    <row r="92" spans="1:52" ht="15.75" customHeight="1">
      <c r="A92" s="27"/>
      <c r="B92" s="27"/>
      <c r="C92" s="27"/>
      <c r="D92" s="338" t="s">
        <v>437</v>
      </c>
      <c r="E92" s="338" t="s">
        <v>105</v>
      </c>
      <c r="F92" s="338">
        <v>0</v>
      </c>
      <c r="G92" s="338">
        <v>60</v>
      </c>
      <c r="H92" s="338">
        <v>2</v>
      </c>
      <c r="I92" s="338">
        <v>14</v>
      </c>
      <c r="J92" s="338">
        <v>0</v>
      </c>
      <c r="K92" s="338">
        <v>0</v>
      </c>
      <c r="L92" s="338">
        <v>0</v>
      </c>
      <c r="M92" s="338">
        <v>0</v>
      </c>
      <c r="N92" s="338">
        <v>4.3</v>
      </c>
      <c r="O92" s="338">
        <v>64.599999999999994</v>
      </c>
      <c r="P92" s="338">
        <v>0</v>
      </c>
      <c r="Q92" s="338">
        <v>1.6</v>
      </c>
      <c r="R92" s="338">
        <v>0</v>
      </c>
      <c r="S92" s="338">
        <v>0.38</v>
      </c>
      <c r="T92" s="338">
        <v>0.28999999999999998</v>
      </c>
      <c r="U92" s="338">
        <v>0</v>
      </c>
      <c r="V92" s="338">
        <v>0</v>
      </c>
      <c r="W92" s="338">
        <v>0</v>
      </c>
      <c r="X92" s="338">
        <v>0</v>
      </c>
      <c r="Y92" s="338">
        <v>0</v>
      </c>
      <c r="Z92" s="338">
        <v>0</v>
      </c>
      <c r="AA92" s="338">
        <v>0</v>
      </c>
      <c r="AB92" s="338">
        <v>0</v>
      </c>
      <c r="AC92" s="338">
        <v>0</v>
      </c>
      <c r="AD92" s="338">
        <v>0</v>
      </c>
      <c r="AE92" s="338">
        <v>0</v>
      </c>
      <c r="AF92" s="338">
        <v>0</v>
      </c>
      <c r="AG92" s="338">
        <v>0</v>
      </c>
      <c r="AH92" s="338">
        <v>0</v>
      </c>
      <c r="AI92" s="338">
        <v>0</v>
      </c>
      <c r="AJ92" s="338">
        <v>0</v>
      </c>
      <c r="AK92" s="338">
        <v>0</v>
      </c>
      <c r="AL92" s="338">
        <v>0</v>
      </c>
      <c r="AM92" s="338">
        <v>0</v>
      </c>
      <c r="AN92" s="338">
        <v>0</v>
      </c>
      <c r="AO92" s="338">
        <v>0</v>
      </c>
      <c r="AP92" s="338">
        <v>0</v>
      </c>
      <c r="AQ92" s="338">
        <v>0</v>
      </c>
      <c r="AR92" s="338">
        <v>0</v>
      </c>
      <c r="AS92" s="338">
        <v>0</v>
      </c>
      <c r="AT92" s="338">
        <v>0</v>
      </c>
      <c r="AU92" s="338">
        <v>0</v>
      </c>
      <c r="AV92" s="338">
        <v>0</v>
      </c>
      <c r="AW92" s="338">
        <v>0</v>
      </c>
      <c r="AX92" s="338">
        <v>0</v>
      </c>
      <c r="AY92" s="338">
        <v>0</v>
      </c>
      <c r="AZ92" s="338">
        <v>0</v>
      </c>
    </row>
    <row r="93" spans="1:52" ht="15.75" customHeight="1">
      <c r="A93" s="27"/>
      <c r="B93" s="27"/>
      <c r="C93" s="27"/>
      <c r="D93" s="338" t="s">
        <v>197</v>
      </c>
      <c r="E93" s="338" t="s">
        <v>105</v>
      </c>
      <c r="F93" s="338">
        <v>0</v>
      </c>
      <c r="G93" s="338">
        <v>84.7</v>
      </c>
      <c r="H93" s="338">
        <v>2.08</v>
      </c>
      <c r="I93" s="338">
        <v>13.3</v>
      </c>
      <c r="J93" s="338">
        <v>0.51</v>
      </c>
      <c r="K93" s="338">
        <v>0</v>
      </c>
      <c r="L93" s="338">
        <v>0</v>
      </c>
      <c r="M93" s="338">
        <v>0</v>
      </c>
      <c r="N93" s="338">
        <v>2.2999999999999998</v>
      </c>
      <c r="O93" s="338">
        <v>62.5</v>
      </c>
      <c r="P93" s="338">
        <v>42.1</v>
      </c>
      <c r="Q93" s="338">
        <v>0</v>
      </c>
      <c r="R93" s="338">
        <v>7.9</v>
      </c>
      <c r="S93" s="338">
        <v>0.73</v>
      </c>
      <c r="T93" s="338">
        <v>0.27</v>
      </c>
      <c r="U93" s="338">
        <v>0.21</v>
      </c>
      <c r="V93" s="338">
        <v>2.09</v>
      </c>
      <c r="W93" s="338">
        <v>0.1</v>
      </c>
      <c r="X93" s="338">
        <v>0.71</v>
      </c>
      <c r="Y93" s="338">
        <v>0.28999999999999998</v>
      </c>
      <c r="Z93" s="338">
        <v>0</v>
      </c>
      <c r="AA93" s="338">
        <v>8</v>
      </c>
      <c r="AB93" s="338">
        <v>0</v>
      </c>
      <c r="AC93" s="338">
        <v>124</v>
      </c>
      <c r="AD93" s="338">
        <v>74</v>
      </c>
      <c r="AE93" s="338">
        <v>0.09</v>
      </c>
      <c r="AF93" s="338">
        <v>24</v>
      </c>
      <c r="AG93" s="338">
        <v>0</v>
      </c>
      <c r="AH93" s="338">
        <v>0</v>
      </c>
      <c r="AI93" s="338">
        <v>0</v>
      </c>
      <c r="AJ93" s="338">
        <v>0</v>
      </c>
      <c r="AK93" s="338">
        <v>0</v>
      </c>
      <c r="AL93" s="338">
        <v>0</v>
      </c>
      <c r="AM93" s="338">
        <v>0</v>
      </c>
      <c r="AN93" s="338">
        <v>0</v>
      </c>
      <c r="AO93" s="338">
        <v>0</v>
      </c>
      <c r="AP93" s="338">
        <v>0</v>
      </c>
      <c r="AQ93" s="338">
        <v>0</v>
      </c>
      <c r="AR93" s="338">
        <v>0</v>
      </c>
      <c r="AS93" s="338">
        <v>0</v>
      </c>
      <c r="AT93" s="338">
        <v>0</v>
      </c>
      <c r="AU93" s="338">
        <v>0</v>
      </c>
      <c r="AV93" s="338">
        <v>0</v>
      </c>
      <c r="AW93" s="338">
        <v>0</v>
      </c>
      <c r="AX93" s="338">
        <v>0</v>
      </c>
      <c r="AY93" s="338">
        <v>0</v>
      </c>
      <c r="AZ93" s="338">
        <v>0</v>
      </c>
    </row>
    <row r="94" spans="1:52" ht="15.75" customHeight="1">
      <c r="A94" s="27"/>
      <c r="B94" s="27"/>
      <c r="C94" s="27"/>
      <c r="D94" s="338" t="s">
        <v>198</v>
      </c>
      <c r="E94" s="338" t="s">
        <v>105</v>
      </c>
      <c r="F94" s="338">
        <v>0</v>
      </c>
      <c r="G94" s="338">
        <v>84.2</v>
      </c>
      <c r="H94" s="338">
        <v>2.35</v>
      </c>
      <c r="I94" s="338">
        <v>19.100000000000001</v>
      </c>
      <c r="J94" s="338">
        <v>0.9</v>
      </c>
      <c r="K94" s="338">
        <v>0</v>
      </c>
      <c r="L94" s="338">
        <v>0</v>
      </c>
      <c r="M94" s="338">
        <v>0</v>
      </c>
      <c r="N94" s="338">
        <v>2</v>
      </c>
      <c r="O94" s="338">
        <v>47.2</v>
      </c>
      <c r="P94" s="338">
        <v>35.4</v>
      </c>
      <c r="Q94" s="338">
        <v>0</v>
      </c>
      <c r="R94" s="338">
        <v>9.1</v>
      </c>
      <c r="S94" s="338">
        <v>1.17</v>
      </c>
      <c r="T94" s="338">
        <v>0.3</v>
      </c>
      <c r="U94" s="338">
        <v>0.27</v>
      </c>
      <c r="V94" s="338">
        <v>2.34</v>
      </c>
      <c r="W94" s="338">
        <v>0.08</v>
      </c>
      <c r="X94" s="338">
        <v>0.43</v>
      </c>
      <c r="Y94" s="338">
        <v>0.26</v>
      </c>
      <c r="Z94" s="338">
        <v>0</v>
      </c>
      <c r="AA94" s="338">
        <v>9</v>
      </c>
      <c r="AB94" s="338">
        <v>0</v>
      </c>
      <c r="AC94" s="338">
        <v>141</v>
      </c>
      <c r="AD94" s="338">
        <v>49</v>
      </c>
      <c r="AE94" s="338">
        <v>0.15</v>
      </c>
      <c r="AF94" s="338">
        <v>24</v>
      </c>
      <c r="AG94" s="338">
        <v>0</v>
      </c>
      <c r="AH94" s="338">
        <v>0</v>
      </c>
      <c r="AI94" s="338">
        <v>0</v>
      </c>
      <c r="AJ94" s="338">
        <v>0</v>
      </c>
      <c r="AK94" s="338">
        <v>0</v>
      </c>
      <c r="AL94" s="338">
        <v>0</v>
      </c>
      <c r="AM94" s="338">
        <v>0</v>
      </c>
      <c r="AN94" s="338">
        <v>0</v>
      </c>
      <c r="AO94" s="338">
        <v>0</v>
      </c>
      <c r="AP94" s="338">
        <v>0</v>
      </c>
      <c r="AQ94" s="338">
        <v>0</v>
      </c>
      <c r="AR94" s="338">
        <v>0</v>
      </c>
      <c r="AS94" s="338">
        <v>0</v>
      </c>
      <c r="AT94" s="338">
        <v>0</v>
      </c>
      <c r="AU94" s="338">
        <v>0</v>
      </c>
      <c r="AV94" s="338">
        <v>0</v>
      </c>
      <c r="AW94" s="338">
        <v>0</v>
      </c>
      <c r="AX94" s="338">
        <v>0</v>
      </c>
      <c r="AY94" s="338">
        <v>0</v>
      </c>
      <c r="AZ94" s="338">
        <v>0</v>
      </c>
    </row>
    <row r="95" spans="1:52" ht="15.75" customHeight="1">
      <c r="A95" s="27"/>
      <c r="B95" s="27"/>
      <c r="C95" s="27"/>
      <c r="D95" s="338" t="s">
        <v>199</v>
      </c>
      <c r="E95" s="338" t="s">
        <v>105</v>
      </c>
      <c r="F95" s="338">
        <v>0</v>
      </c>
      <c r="G95" s="338">
        <v>83.8</v>
      </c>
      <c r="H95" s="338">
        <v>2.4900000000000002</v>
      </c>
      <c r="I95" s="338">
        <v>20.5</v>
      </c>
      <c r="J95" s="338">
        <v>0.97</v>
      </c>
      <c r="K95" s="338">
        <v>0</v>
      </c>
      <c r="L95" s="338">
        <v>0</v>
      </c>
      <c r="M95" s="338">
        <v>0</v>
      </c>
      <c r="N95" s="338">
        <v>2</v>
      </c>
      <c r="O95" s="338">
        <v>41.7</v>
      </c>
      <c r="P95" s="338">
        <v>30.5</v>
      </c>
      <c r="Q95" s="338">
        <v>0</v>
      </c>
      <c r="R95" s="338">
        <v>9.1999999999999993</v>
      </c>
      <c r="S95" s="338">
        <v>1.3</v>
      </c>
      <c r="T95" s="338">
        <v>0.3</v>
      </c>
      <c r="U95" s="338">
        <v>0.3</v>
      </c>
      <c r="V95" s="338">
        <v>2.41</v>
      </c>
      <c r="W95" s="338">
        <v>0.03</v>
      </c>
      <c r="X95" s="338">
        <v>160</v>
      </c>
      <c r="Y95" s="338">
        <v>0.2</v>
      </c>
      <c r="Z95" s="338">
        <v>0</v>
      </c>
      <c r="AA95" s="338">
        <v>10</v>
      </c>
      <c r="AB95" s="338">
        <v>0</v>
      </c>
      <c r="AC95" s="338">
        <v>167</v>
      </c>
      <c r="AD95" s="338">
        <v>58</v>
      </c>
      <c r="AE95" s="338">
        <v>0.15</v>
      </c>
      <c r="AF95" s="338">
        <v>24</v>
      </c>
      <c r="AG95" s="338">
        <v>0</v>
      </c>
      <c r="AH95" s="338">
        <v>0</v>
      </c>
      <c r="AI95" s="338">
        <v>0</v>
      </c>
      <c r="AJ95" s="338">
        <v>0</v>
      </c>
      <c r="AK95" s="338">
        <v>0</v>
      </c>
      <c r="AL95" s="338">
        <v>0</v>
      </c>
      <c r="AM95" s="338">
        <v>0</v>
      </c>
      <c r="AN95" s="338">
        <v>0</v>
      </c>
      <c r="AO95" s="338">
        <v>0</v>
      </c>
      <c r="AP95" s="338">
        <v>0</v>
      </c>
      <c r="AQ95" s="338">
        <v>0</v>
      </c>
      <c r="AR95" s="338">
        <v>0</v>
      </c>
      <c r="AS95" s="338">
        <v>0</v>
      </c>
      <c r="AT95" s="338">
        <v>0</v>
      </c>
      <c r="AU95" s="338">
        <v>0</v>
      </c>
      <c r="AV95" s="338">
        <v>0</v>
      </c>
      <c r="AW95" s="338">
        <v>0</v>
      </c>
      <c r="AX95" s="338">
        <v>0</v>
      </c>
      <c r="AY95" s="338">
        <v>0</v>
      </c>
      <c r="AZ95" s="338">
        <v>0</v>
      </c>
    </row>
    <row r="96" spans="1:52" ht="15.75" customHeight="1">
      <c r="A96" s="27"/>
      <c r="B96" s="27"/>
      <c r="C96" s="27"/>
      <c r="D96" s="338" t="s">
        <v>200</v>
      </c>
      <c r="E96" s="338" t="s">
        <v>105</v>
      </c>
      <c r="F96" s="338">
        <v>0</v>
      </c>
      <c r="G96" s="338">
        <v>84.3</v>
      </c>
      <c r="H96" s="338">
        <v>2.2000000000000002</v>
      </c>
      <c r="I96" s="338">
        <v>17.2</v>
      </c>
      <c r="J96" s="338">
        <v>0.8</v>
      </c>
      <c r="K96" s="338">
        <v>0</v>
      </c>
      <c r="L96" s="338">
        <v>0</v>
      </c>
      <c r="M96" s="338">
        <v>0</v>
      </c>
      <c r="N96" s="338">
        <v>1.7</v>
      </c>
      <c r="O96" s="338">
        <v>53.6</v>
      </c>
      <c r="P96" s="338">
        <v>41.5</v>
      </c>
      <c r="Q96" s="338">
        <v>0</v>
      </c>
      <c r="R96" s="338">
        <v>8.6999999999999993</v>
      </c>
      <c r="S96" s="338">
        <v>1.0900000000000001</v>
      </c>
      <c r="T96" s="338">
        <v>0.28000000000000003</v>
      </c>
      <c r="U96" s="338">
        <v>0.25</v>
      </c>
      <c r="V96" s="338">
        <v>2.23</v>
      </c>
      <c r="W96" s="338">
        <v>0.01</v>
      </c>
      <c r="X96" s="338">
        <v>0.21</v>
      </c>
      <c r="Y96" s="338">
        <v>0.26</v>
      </c>
      <c r="Z96" s="338">
        <v>0</v>
      </c>
      <c r="AA96" s="338">
        <v>8</v>
      </c>
      <c r="AB96" s="338">
        <v>0</v>
      </c>
      <c r="AC96" s="338">
        <v>141</v>
      </c>
      <c r="AD96" s="338">
        <v>43</v>
      </c>
      <c r="AE96" s="338">
        <v>0.15</v>
      </c>
      <c r="AF96" s="338">
        <v>24</v>
      </c>
      <c r="AG96" s="338">
        <v>0</v>
      </c>
      <c r="AH96" s="338">
        <v>0</v>
      </c>
      <c r="AI96" s="338">
        <v>0</v>
      </c>
      <c r="AJ96" s="338">
        <v>0</v>
      </c>
      <c r="AK96" s="338">
        <v>0</v>
      </c>
      <c r="AL96" s="338">
        <v>0</v>
      </c>
      <c r="AM96" s="338">
        <v>0</v>
      </c>
      <c r="AN96" s="338">
        <v>0</v>
      </c>
      <c r="AO96" s="338">
        <v>0</v>
      </c>
      <c r="AP96" s="338">
        <v>0</v>
      </c>
      <c r="AQ96" s="338">
        <v>0</v>
      </c>
      <c r="AR96" s="338">
        <v>0</v>
      </c>
      <c r="AS96" s="338">
        <v>0</v>
      </c>
      <c r="AT96" s="338">
        <v>0</v>
      </c>
      <c r="AU96" s="338">
        <v>0</v>
      </c>
      <c r="AV96" s="338">
        <v>0</v>
      </c>
      <c r="AW96" s="338">
        <v>0</v>
      </c>
      <c r="AX96" s="338">
        <v>0</v>
      </c>
      <c r="AY96" s="338">
        <v>0</v>
      </c>
      <c r="AZ96" s="338">
        <v>0</v>
      </c>
    </row>
    <row r="97" spans="1:52" ht="15.75" customHeight="1">
      <c r="A97" s="27"/>
      <c r="B97" s="27"/>
      <c r="C97" s="27"/>
      <c r="D97" s="338" t="s">
        <v>201</v>
      </c>
      <c r="E97" s="338" t="s">
        <v>105</v>
      </c>
      <c r="F97" s="338">
        <v>0</v>
      </c>
      <c r="G97" s="338">
        <v>87.3</v>
      </c>
      <c r="H97" s="338">
        <v>2.19</v>
      </c>
      <c r="I97" s="338">
        <v>17.399999999999999</v>
      </c>
      <c r="J97" s="338">
        <v>0.68</v>
      </c>
      <c r="K97" s="338">
        <v>0</v>
      </c>
      <c r="L97" s="338">
        <v>0</v>
      </c>
      <c r="M97" s="338">
        <v>0</v>
      </c>
      <c r="N97" s="338">
        <v>2.6</v>
      </c>
      <c r="O97" s="338">
        <v>55.1</v>
      </c>
      <c r="P97" s="338">
        <v>36.4</v>
      </c>
      <c r="Q97" s="338">
        <v>0</v>
      </c>
      <c r="R97" s="338">
        <v>9.5</v>
      </c>
      <c r="S97" s="338">
        <v>0.88</v>
      </c>
      <c r="T97" s="338">
        <v>0.36</v>
      </c>
      <c r="U97" s="338">
        <v>0.25</v>
      </c>
      <c r="V97" s="338">
        <v>2.4500000000000002</v>
      </c>
      <c r="W97" s="338">
        <v>0.01</v>
      </c>
      <c r="X97" s="338">
        <v>0.77</v>
      </c>
      <c r="Y97" s="338">
        <v>0.27</v>
      </c>
      <c r="Z97" s="338">
        <v>0</v>
      </c>
      <c r="AA97" s="338">
        <v>9</v>
      </c>
      <c r="AB97" s="338">
        <v>0</v>
      </c>
      <c r="AC97" s="338">
        <v>358</v>
      </c>
      <c r="AD97" s="338">
        <v>75</v>
      </c>
      <c r="AE97" s="338">
        <v>0.09</v>
      </c>
      <c r="AF97" s="338">
        <v>26</v>
      </c>
      <c r="AG97" s="338">
        <v>0</v>
      </c>
      <c r="AH97" s="338">
        <v>0</v>
      </c>
      <c r="AI97" s="338">
        <v>0</v>
      </c>
      <c r="AJ97" s="338">
        <v>0</v>
      </c>
      <c r="AK97" s="338">
        <v>0</v>
      </c>
      <c r="AL97" s="338">
        <v>0</v>
      </c>
      <c r="AM97" s="338">
        <v>0</v>
      </c>
      <c r="AN97" s="338">
        <v>0</v>
      </c>
      <c r="AO97" s="338">
        <v>0</v>
      </c>
      <c r="AP97" s="338">
        <v>0</v>
      </c>
      <c r="AQ97" s="338">
        <v>0</v>
      </c>
      <c r="AR97" s="338">
        <v>0</v>
      </c>
      <c r="AS97" s="338">
        <v>0</v>
      </c>
      <c r="AT97" s="338">
        <v>0</v>
      </c>
      <c r="AU97" s="338">
        <v>0</v>
      </c>
      <c r="AV97" s="338">
        <v>0</v>
      </c>
      <c r="AW97" s="338">
        <v>0</v>
      </c>
      <c r="AX97" s="338">
        <v>0</v>
      </c>
      <c r="AY97" s="338">
        <v>0</v>
      </c>
      <c r="AZ97" s="338">
        <v>0</v>
      </c>
    </row>
    <row r="98" spans="1:52" ht="15.75" customHeight="1">
      <c r="A98" s="27"/>
      <c r="B98" s="27"/>
      <c r="C98" s="27"/>
      <c r="D98" s="338" t="s">
        <v>202</v>
      </c>
      <c r="E98" s="338" t="s">
        <v>105</v>
      </c>
      <c r="F98" s="338">
        <v>0</v>
      </c>
      <c r="G98" s="338">
        <v>84.3</v>
      </c>
      <c r="H98" s="338">
        <v>2.35</v>
      </c>
      <c r="I98" s="338">
        <v>18.399999999999999</v>
      </c>
      <c r="J98" s="338">
        <v>0.72</v>
      </c>
      <c r="K98" s="338">
        <v>0</v>
      </c>
      <c r="L98" s="338">
        <v>0</v>
      </c>
      <c r="M98" s="338">
        <v>0</v>
      </c>
      <c r="N98" s="338">
        <v>2.4</v>
      </c>
      <c r="O98" s="338">
        <v>49.6</v>
      </c>
      <c r="P98" s="338">
        <v>31.5</v>
      </c>
      <c r="Q98" s="338">
        <v>0</v>
      </c>
      <c r="R98" s="338">
        <v>9.1999999999999993</v>
      </c>
      <c r="S98" s="338">
        <v>1.01</v>
      </c>
      <c r="T98" s="338">
        <v>0.31</v>
      </c>
      <c r="U98" s="338">
        <v>0.26</v>
      </c>
      <c r="V98" s="338">
        <v>2.83</v>
      </c>
      <c r="W98" s="338">
        <v>0.03</v>
      </c>
      <c r="X98" s="338">
        <v>0.74</v>
      </c>
      <c r="Y98" s="338">
        <v>0.28000000000000003</v>
      </c>
      <c r="Z98" s="338">
        <v>0</v>
      </c>
      <c r="AA98" s="338">
        <v>9</v>
      </c>
      <c r="AB98" s="338">
        <v>0</v>
      </c>
      <c r="AC98" s="338">
        <v>117</v>
      </c>
      <c r="AD98" s="338">
        <v>53</v>
      </c>
      <c r="AE98" s="338">
        <v>0.09</v>
      </c>
      <c r="AF98" s="338">
        <v>25</v>
      </c>
      <c r="AG98" s="338">
        <v>0</v>
      </c>
      <c r="AH98" s="338">
        <v>0</v>
      </c>
      <c r="AI98" s="338">
        <v>0</v>
      </c>
      <c r="AJ98" s="338">
        <v>0</v>
      </c>
      <c r="AK98" s="338">
        <v>0</v>
      </c>
      <c r="AL98" s="338">
        <v>0</v>
      </c>
      <c r="AM98" s="338">
        <v>0</v>
      </c>
      <c r="AN98" s="338">
        <v>0</v>
      </c>
      <c r="AO98" s="338">
        <v>0</v>
      </c>
      <c r="AP98" s="338">
        <v>0</v>
      </c>
      <c r="AQ98" s="338">
        <v>0</v>
      </c>
      <c r="AR98" s="338">
        <v>0</v>
      </c>
      <c r="AS98" s="338">
        <v>0</v>
      </c>
      <c r="AT98" s="338">
        <v>0</v>
      </c>
      <c r="AU98" s="338">
        <v>0</v>
      </c>
      <c r="AV98" s="338">
        <v>0</v>
      </c>
      <c r="AW98" s="338">
        <v>0</v>
      </c>
      <c r="AX98" s="338">
        <v>0</v>
      </c>
      <c r="AY98" s="338">
        <v>0</v>
      </c>
      <c r="AZ98" s="338">
        <v>0</v>
      </c>
    </row>
    <row r="99" spans="1:52" ht="15.75" customHeight="1">
      <c r="A99" s="27"/>
      <c r="B99" s="27"/>
      <c r="C99" s="27"/>
      <c r="D99" s="338" t="s">
        <v>203</v>
      </c>
      <c r="E99" s="338" t="s">
        <v>105</v>
      </c>
      <c r="F99" s="338">
        <v>0</v>
      </c>
      <c r="G99" s="338">
        <v>44.5</v>
      </c>
      <c r="H99" s="338">
        <v>2.19</v>
      </c>
      <c r="I99" s="338">
        <v>17.600000000000001</v>
      </c>
      <c r="J99" s="338">
        <v>0.63</v>
      </c>
      <c r="K99" s="338">
        <v>0</v>
      </c>
      <c r="L99" s="338">
        <v>0</v>
      </c>
      <c r="M99" s="338">
        <v>0</v>
      </c>
      <c r="N99" s="338">
        <v>2.9</v>
      </c>
      <c r="O99" s="338">
        <v>54.5</v>
      </c>
      <c r="P99" s="338">
        <v>35.700000000000003</v>
      </c>
      <c r="Q99" s="338">
        <v>0</v>
      </c>
      <c r="R99" s="338">
        <v>9.5</v>
      </c>
      <c r="S99" s="338">
        <v>0.89</v>
      </c>
      <c r="T99" s="338">
        <v>0.36</v>
      </c>
      <c r="U99" s="338">
        <v>0.26</v>
      </c>
      <c r="V99" s="338">
        <v>2.64</v>
      </c>
      <c r="W99" s="338">
        <v>0.01</v>
      </c>
      <c r="X99" s="338">
        <v>0.45</v>
      </c>
      <c r="Y99" s="338">
        <v>0.25</v>
      </c>
      <c r="Z99" s="338">
        <v>0</v>
      </c>
      <c r="AA99" s="338">
        <v>9</v>
      </c>
      <c r="AB99" s="338">
        <v>0</v>
      </c>
      <c r="AC99" s="338">
        <v>264</v>
      </c>
      <c r="AD99" s="338">
        <v>78</v>
      </c>
      <c r="AE99" s="338">
        <v>0.11</v>
      </c>
      <c r="AF99" s="338">
        <v>30</v>
      </c>
      <c r="AG99" s="338">
        <v>0</v>
      </c>
      <c r="AH99" s="338">
        <v>0</v>
      </c>
      <c r="AI99" s="338">
        <v>0</v>
      </c>
      <c r="AJ99" s="338">
        <v>0</v>
      </c>
      <c r="AK99" s="338">
        <v>0</v>
      </c>
      <c r="AL99" s="338">
        <v>0</v>
      </c>
      <c r="AM99" s="338">
        <v>0</v>
      </c>
      <c r="AN99" s="338">
        <v>0</v>
      </c>
      <c r="AO99" s="338">
        <v>0</v>
      </c>
      <c r="AP99" s="338">
        <v>0</v>
      </c>
      <c r="AQ99" s="338">
        <v>0</v>
      </c>
      <c r="AR99" s="338">
        <v>0</v>
      </c>
      <c r="AS99" s="338">
        <v>0</v>
      </c>
      <c r="AT99" s="338">
        <v>0</v>
      </c>
      <c r="AU99" s="338">
        <v>0</v>
      </c>
      <c r="AV99" s="338">
        <v>0</v>
      </c>
      <c r="AW99" s="338">
        <v>0</v>
      </c>
      <c r="AX99" s="338">
        <v>0</v>
      </c>
      <c r="AY99" s="338">
        <v>0</v>
      </c>
      <c r="AZ99" s="338">
        <v>0</v>
      </c>
    </row>
    <row r="100" spans="1:52" ht="15.75" customHeight="1">
      <c r="A100" s="27"/>
      <c r="B100" s="27"/>
      <c r="C100" s="27"/>
      <c r="D100" s="338" t="s">
        <v>204</v>
      </c>
      <c r="E100" s="338" t="s">
        <v>105</v>
      </c>
      <c r="F100" s="338">
        <v>0</v>
      </c>
      <c r="G100" s="338">
        <v>47.1</v>
      </c>
      <c r="H100" s="338">
        <v>2.34</v>
      </c>
      <c r="I100" s="338">
        <v>18</v>
      </c>
      <c r="J100" s="338">
        <v>0.64</v>
      </c>
      <c r="K100" s="338">
        <v>0</v>
      </c>
      <c r="L100" s="338">
        <v>0</v>
      </c>
      <c r="M100" s="338">
        <v>0</v>
      </c>
      <c r="N100" s="338">
        <v>2.9</v>
      </c>
      <c r="O100" s="338">
        <v>49.9</v>
      </c>
      <c r="P100" s="338">
        <v>31.8</v>
      </c>
      <c r="Q100" s="338">
        <v>0</v>
      </c>
      <c r="R100" s="338">
        <v>9.1</v>
      </c>
      <c r="S100" s="338">
        <v>1.02</v>
      </c>
      <c r="T100" s="338">
        <v>0.34</v>
      </c>
      <c r="U100" s="338">
        <v>0.25</v>
      </c>
      <c r="V100" s="338">
        <v>2.88</v>
      </c>
      <c r="W100" s="338">
        <v>0.03</v>
      </c>
      <c r="X100" s="338">
        <v>0.74</v>
      </c>
      <c r="Y100" s="338">
        <v>0.27</v>
      </c>
      <c r="Z100" s="338">
        <v>0</v>
      </c>
      <c r="AA100" s="338">
        <v>9</v>
      </c>
      <c r="AB100" s="338">
        <v>0</v>
      </c>
      <c r="AC100" s="338">
        <v>234</v>
      </c>
      <c r="AD100" s="338">
        <v>74</v>
      </c>
      <c r="AE100" s="338">
        <v>0.11</v>
      </c>
      <c r="AF100" s="338">
        <v>27</v>
      </c>
      <c r="AG100" s="338">
        <v>0</v>
      </c>
      <c r="AH100" s="338">
        <v>0</v>
      </c>
      <c r="AI100" s="338">
        <v>0</v>
      </c>
      <c r="AJ100" s="338">
        <v>0</v>
      </c>
      <c r="AK100" s="338">
        <v>0</v>
      </c>
      <c r="AL100" s="338">
        <v>0</v>
      </c>
      <c r="AM100" s="338">
        <v>0</v>
      </c>
      <c r="AN100" s="338">
        <v>0</v>
      </c>
      <c r="AO100" s="338">
        <v>0</v>
      </c>
      <c r="AP100" s="338">
        <v>0</v>
      </c>
      <c r="AQ100" s="338">
        <v>0</v>
      </c>
      <c r="AR100" s="338">
        <v>0</v>
      </c>
      <c r="AS100" s="338">
        <v>0</v>
      </c>
      <c r="AT100" s="338">
        <v>0</v>
      </c>
      <c r="AU100" s="338">
        <v>0</v>
      </c>
      <c r="AV100" s="338">
        <v>0</v>
      </c>
      <c r="AW100" s="338">
        <v>0</v>
      </c>
      <c r="AX100" s="338">
        <v>0</v>
      </c>
      <c r="AY100" s="338">
        <v>0</v>
      </c>
      <c r="AZ100" s="338">
        <v>0</v>
      </c>
    </row>
    <row r="101" spans="1:52" ht="15.75" customHeight="1">
      <c r="A101" s="27"/>
      <c r="B101" s="27"/>
      <c r="C101" s="27"/>
      <c r="D101" s="338" t="s">
        <v>205</v>
      </c>
      <c r="E101" s="338" t="s">
        <v>105</v>
      </c>
      <c r="F101" s="338">
        <v>0</v>
      </c>
      <c r="G101" s="338">
        <v>38.5</v>
      </c>
      <c r="H101" s="338">
        <v>2.0099999999999998</v>
      </c>
      <c r="I101" s="338">
        <v>15.4</v>
      </c>
      <c r="J101" s="338">
        <v>0.55000000000000004</v>
      </c>
      <c r="K101" s="338">
        <v>0</v>
      </c>
      <c r="L101" s="338">
        <v>0</v>
      </c>
      <c r="M101" s="338">
        <v>0</v>
      </c>
      <c r="N101" s="338">
        <v>2.6</v>
      </c>
      <c r="O101" s="338">
        <v>61.7</v>
      </c>
      <c r="P101" s="338">
        <v>42.2</v>
      </c>
      <c r="Q101" s="338">
        <v>0</v>
      </c>
      <c r="R101" s="338">
        <v>9</v>
      </c>
      <c r="S101" s="338">
        <v>0.85</v>
      </c>
      <c r="T101" s="338">
        <v>0.33</v>
      </c>
      <c r="U101" s="338">
        <v>0.23</v>
      </c>
      <c r="V101" s="338">
        <v>2.5</v>
      </c>
      <c r="W101" s="338">
        <v>0.1</v>
      </c>
      <c r="X101" s="338">
        <v>0.9</v>
      </c>
      <c r="Y101" s="338">
        <v>0.34</v>
      </c>
      <c r="Z101" s="338">
        <v>0</v>
      </c>
      <c r="AA101" s="338">
        <v>9</v>
      </c>
      <c r="AB101" s="338">
        <v>0</v>
      </c>
      <c r="AC101" s="338">
        <v>241</v>
      </c>
      <c r="AD101" s="338">
        <v>73</v>
      </c>
      <c r="AE101" s="338">
        <v>0.11</v>
      </c>
      <c r="AF101" s="338">
        <v>28</v>
      </c>
      <c r="AG101" s="338">
        <v>0</v>
      </c>
      <c r="AH101" s="338">
        <v>0</v>
      </c>
      <c r="AI101" s="338">
        <v>0</v>
      </c>
      <c r="AJ101" s="338">
        <v>0</v>
      </c>
      <c r="AK101" s="338">
        <v>0</v>
      </c>
      <c r="AL101" s="338">
        <v>0</v>
      </c>
      <c r="AM101" s="338">
        <v>0</v>
      </c>
      <c r="AN101" s="338">
        <v>0</v>
      </c>
      <c r="AO101" s="338">
        <v>0</v>
      </c>
      <c r="AP101" s="338">
        <v>0</v>
      </c>
      <c r="AQ101" s="338">
        <v>0</v>
      </c>
      <c r="AR101" s="338">
        <v>0</v>
      </c>
      <c r="AS101" s="338">
        <v>0</v>
      </c>
      <c r="AT101" s="338">
        <v>0</v>
      </c>
      <c r="AU101" s="338">
        <v>0</v>
      </c>
      <c r="AV101" s="338">
        <v>0</v>
      </c>
      <c r="AW101" s="338">
        <v>0</v>
      </c>
      <c r="AX101" s="338">
        <v>0</v>
      </c>
      <c r="AY101" s="338">
        <v>0</v>
      </c>
      <c r="AZ101" s="338">
        <v>0</v>
      </c>
    </row>
    <row r="102" spans="1:52" ht="15.75" customHeight="1">
      <c r="A102" s="27"/>
      <c r="B102" s="27"/>
      <c r="C102" s="27"/>
      <c r="D102" s="338" t="s">
        <v>206</v>
      </c>
      <c r="E102" s="338" t="s">
        <v>105</v>
      </c>
      <c r="F102" s="338">
        <v>0</v>
      </c>
      <c r="G102" s="338">
        <v>43.3</v>
      </c>
      <c r="H102" s="338">
        <v>2.27</v>
      </c>
      <c r="I102" s="338">
        <v>19</v>
      </c>
      <c r="J102" s="338">
        <v>0.78</v>
      </c>
      <c r="K102" s="338">
        <v>0</v>
      </c>
      <c r="L102" s="338">
        <v>0</v>
      </c>
      <c r="M102" s="338">
        <v>0</v>
      </c>
      <c r="N102" s="338">
        <v>2.1</v>
      </c>
      <c r="O102" s="338">
        <v>47</v>
      </c>
      <c r="P102" s="338">
        <v>35.4</v>
      </c>
      <c r="Q102" s="338">
        <v>0</v>
      </c>
      <c r="R102" s="338">
        <v>10.8</v>
      </c>
      <c r="S102" s="338">
        <v>1.1399999999999999</v>
      </c>
      <c r="T102" s="338">
        <v>0.34</v>
      </c>
      <c r="U102" s="338">
        <v>0.28000000000000003</v>
      </c>
      <c r="V102" s="338">
        <v>2.88</v>
      </c>
      <c r="W102" s="338">
        <v>0.01</v>
      </c>
      <c r="X102" s="338">
        <v>0.6</v>
      </c>
      <c r="Y102" s="338">
        <v>0.25</v>
      </c>
      <c r="Z102" s="338">
        <v>0</v>
      </c>
      <c r="AA102" s="338">
        <v>910</v>
      </c>
      <c r="AB102" s="338">
        <v>0</v>
      </c>
      <c r="AC102" s="338">
        <v>244</v>
      </c>
      <c r="AD102" s="338">
        <v>64</v>
      </c>
      <c r="AE102" s="338">
        <v>0.17</v>
      </c>
      <c r="AF102" s="338">
        <v>28</v>
      </c>
      <c r="AG102" s="338">
        <v>0</v>
      </c>
      <c r="AH102" s="338">
        <v>0</v>
      </c>
      <c r="AI102" s="338">
        <v>0</v>
      </c>
      <c r="AJ102" s="338">
        <v>0</v>
      </c>
      <c r="AK102" s="338">
        <v>0</v>
      </c>
      <c r="AL102" s="338">
        <v>0</v>
      </c>
      <c r="AM102" s="338">
        <v>0</v>
      </c>
      <c r="AN102" s="338">
        <v>0</v>
      </c>
      <c r="AO102" s="338">
        <v>0</v>
      </c>
      <c r="AP102" s="338">
        <v>0</v>
      </c>
      <c r="AQ102" s="338">
        <v>0</v>
      </c>
      <c r="AR102" s="338">
        <v>0</v>
      </c>
      <c r="AS102" s="338">
        <v>0</v>
      </c>
      <c r="AT102" s="338">
        <v>0</v>
      </c>
      <c r="AU102" s="338">
        <v>0</v>
      </c>
      <c r="AV102" s="338">
        <v>0</v>
      </c>
      <c r="AW102" s="338">
        <v>0</v>
      </c>
      <c r="AX102" s="338">
        <v>0</v>
      </c>
      <c r="AY102" s="338">
        <v>0</v>
      </c>
      <c r="AZ102" s="338">
        <v>0</v>
      </c>
    </row>
    <row r="103" spans="1:52" ht="15.75" customHeight="1">
      <c r="A103" s="27"/>
      <c r="B103" s="27"/>
      <c r="C103" s="27"/>
      <c r="D103" s="338" t="s">
        <v>207</v>
      </c>
      <c r="E103" s="338" t="s">
        <v>105</v>
      </c>
      <c r="F103" s="338">
        <v>0</v>
      </c>
      <c r="G103" s="338">
        <v>43.2</v>
      </c>
      <c r="H103" s="338">
        <v>2.38</v>
      </c>
      <c r="I103" s="338">
        <v>20</v>
      </c>
      <c r="J103" s="338">
        <v>0.84</v>
      </c>
      <c r="K103" s="338">
        <v>0</v>
      </c>
      <c r="L103" s="338">
        <v>0</v>
      </c>
      <c r="M103" s="338">
        <v>0</v>
      </c>
      <c r="N103" s="338">
        <v>2.2000000000000002</v>
      </c>
      <c r="O103" s="338">
        <v>42</v>
      </c>
      <c r="P103" s="338">
        <v>31.1</v>
      </c>
      <c r="Q103" s="338">
        <v>0</v>
      </c>
      <c r="R103" s="338">
        <v>11.5</v>
      </c>
      <c r="S103" s="338">
        <v>1.1599999999999999</v>
      </c>
      <c r="T103" s="338">
        <v>0.36</v>
      </c>
      <c r="U103" s="338">
        <v>0.3</v>
      </c>
      <c r="V103" s="338">
        <v>2.95</v>
      </c>
      <c r="W103" s="338">
        <v>0.01</v>
      </c>
      <c r="X103" s="338">
        <v>0.6</v>
      </c>
      <c r="Y103" s="338">
        <v>0.32</v>
      </c>
      <c r="Z103" s="338">
        <v>0</v>
      </c>
      <c r="AA103" s="338">
        <v>11</v>
      </c>
      <c r="AB103" s="338">
        <v>0</v>
      </c>
      <c r="AC103" s="338">
        <v>279</v>
      </c>
      <c r="AD103" s="338">
        <v>70</v>
      </c>
      <c r="AE103" s="338">
        <v>0.17</v>
      </c>
      <c r="AF103" s="338">
        <v>36</v>
      </c>
      <c r="AG103" s="338">
        <v>0</v>
      </c>
      <c r="AH103" s="338">
        <v>0</v>
      </c>
      <c r="AI103" s="338">
        <v>0</v>
      </c>
      <c r="AJ103" s="338">
        <v>0</v>
      </c>
      <c r="AK103" s="338">
        <v>0</v>
      </c>
      <c r="AL103" s="338">
        <v>0</v>
      </c>
      <c r="AM103" s="338">
        <v>0</v>
      </c>
      <c r="AN103" s="338">
        <v>0</v>
      </c>
      <c r="AO103" s="338">
        <v>0</v>
      </c>
      <c r="AP103" s="338">
        <v>0</v>
      </c>
      <c r="AQ103" s="338">
        <v>0</v>
      </c>
      <c r="AR103" s="338">
        <v>0</v>
      </c>
      <c r="AS103" s="338">
        <v>0</v>
      </c>
      <c r="AT103" s="338">
        <v>0</v>
      </c>
      <c r="AU103" s="338">
        <v>0</v>
      </c>
      <c r="AV103" s="338">
        <v>0</v>
      </c>
      <c r="AW103" s="338">
        <v>0</v>
      </c>
      <c r="AX103" s="338">
        <v>0</v>
      </c>
      <c r="AY103" s="338">
        <v>0</v>
      </c>
      <c r="AZ103" s="338">
        <v>0</v>
      </c>
    </row>
    <row r="104" spans="1:52" ht="15.75" customHeight="1">
      <c r="A104" s="27"/>
      <c r="B104" s="27"/>
      <c r="C104" s="27"/>
      <c r="D104" s="338" t="s">
        <v>208</v>
      </c>
      <c r="E104" s="338" t="s">
        <v>105</v>
      </c>
      <c r="F104" s="338">
        <v>0</v>
      </c>
      <c r="G104" s="338">
        <v>42.9</v>
      </c>
      <c r="H104" s="338">
        <v>2.11</v>
      </c>
      <c r="I104" s="338">
        <v>18.3</v>
      </c>
      <c r="J104" s="338">
        <v>0.74</v>
      </c>
      <c r="K104" s="338">
        <v>0</v>
      </c>
      <c r="L104" s="338">
        <v>0</v>
      </c>
      <c r="M104" s="338">
        <v>0</v>
      </c>
      <c r="N104" s="338">
        <v>2</v>
      </c>
      <c r="O104" s="338">
        <v>53.7</v>
      </c>
      <c r="P104" s="338">
        <v>41.6</v>
      </c>
      <c r="Q104" s="338">
        <v>0</v>
      </c>
      <c r="R104" s="338">
        <v>10.199999999999999</v>
      </c>
      <c r="S104" s="338">
        <v>1.17</v>
      </c>
      <c r="T104" s="338">
        <v>0.33</v>
      </c>
      <c r="U104" s="338">
        <v>0.26</v>
      </c>
      <c r="V104" s="338">
        <v>2.77</v>
      </c>
      <c r="W104" s="338">
        <v>0.03</v>
      </c>
      <c r="X104" s="338">
        <v>0.6</v>
      </c>
      <c r="Y104" s="338">
        <v>0.26</v>
      </c>
      <c r="Z104" s="338">
        <v>0</v>
      </c>
      <c r="AA104" s="338">
        <v>9</v>
      </c>
      <c r="AB104" s="338">
        <v>0</v>
      </c>
      <c r="AC104" s="338">
        <v>339</v>
      </c>
      <c r="AD104" s="338">
        <v>66</v>
      </c>
      <c r="AE104" s="338">
        <v>0.17</v>
      </c>
      <c r="AF104" s="338">
        <v>29</v>
      </c>
      <c r="AG104" s="338">
        <v>0</v>
      </c>
      <c r="AH104" s="338">
        <v>0</v>
      </c>
      <c r="AI104" s="338">
        <v>0</v>
      </c>
      <c r="AJ104" s="338">
        <v>0</v>
      </c>
      <c r="AK104" s="338">
        <v>0</v>
      </c>
      <c r="AL104" s="338">
        <v>0</v>
      </c>
      <c r="AM104" s="338">
        <v>0</v>
      </c>
      <c r="AN104" s="338">
        <v>0</v>
      </c>
      <c r="AO104" s="338">
        <v>0</v>
      </c>
      <c r="AP104" s="338">
        <v>0</v>
      </c>
      <c r="AQ104" s="338">
        <v>0</v>
      </c>
      <c r="AR104" s="338">
        <v>0</v>
      </c>
      <c r="AS104" s="338">
        <v>0</v>
      </c>
      <c r="AT104" s="338">
        <v>0</v>
      </c>
      <c r="AU104" s="338">
        <v>0</v>
      </c>
      <c r="AV104" s="338">
        <v>0</v>
      </c>
      <c r="AW104" s="338">
        <v>0</v>
      </c>
      <c r="AX104" s="338">
        <v>0</v>
      </c>
      <c r="AY104" s="338">
        <v>0</v>
      </c>
      <c r="AZ104" s="338">
        <v>0</v>
      </c>
    </row>
    <row r="105" spans="1:52" ht="15.75" customHeight="1">
      <c r="A105" s="27"/>
      <c r="B105" s="27"/>
      <c r="C105" s="27"/>
      <c r="D105" s="338" t="s">
        <v>209</v>
      </c>
      <c r="E105" s="338" t="s">
        <v>107</v>
      </c>
      <c r="F105" s="338"/>
      <c r="G105" s="338">
        <v>89</v>
      </c>
      <c r="H105" s="338">
        <v>1.7075978999999999</v>
      </c>
      <c r="I105" s="338">
        <v>0.13120987006009641</v>
      </c>
      <c r="J105" s="338">
        <v>0.11162423099999999</v>
      </c>
      <c r="K105" s="338">
        <v>0</v>
      </c>
      <c r="L105" s="338">
        <v>0</v>
      </c>
      <c r="M105" s="338">
        <v>0</v>
      </c>
      <c r="N105" s="338">
        <v>0</v>
      </c>
      <c r="O105" s="338">
        <v>0</v>
      </c>
      <c r="P105" s="338">
        <v>1.1834650999999998</v>
      </c>
      <c r="Q105" s="338">
        <v>0</v>
      </c>
      <c r="R105" s="338">
        <v>1.3789002999999997</v>
      </c>
      <c r="S105" s="338">
        <v>0</v>
      </c>
      <c r="T105" s="338">
        <v>0.87788607799999985</v>
      </c>
      <c r="U105" s="338">
        <v>2.9702399300000001E-2</v>
      </c>
      <c r="V105" s="338">
        <v>2.8088394199999998E-2</v>
      </c>
      <c r="W105" s="338">
        <v>1.0734606899999999E-2</v>
      </c>
      <c r="X105" s="338">
        <v>4.6962238999999992E-3</v>
      </c>
      <c r="Y105" s="338">
        <v>1.0598840300000001E-2</v>
      </c>
      <c r="Z105" s="338">
        <v>2.4750000000000001</v>
      </c>
      <c r="AA105" s="338">
        <v>92.52170000000001</v>
      </c>
      <c r="AB105" s="338">
        <v>3.96</v>
      </c>
      <c r="AC105" s="338">
        <v>426.55839999999995</v>
      </c>
      <c r="AD105" s="338">
        <v>360.46090000000004</v>
      </c>
      <c r="AE105" s="338">
        <v>2.7886199999999999</v>
      </c>
      <c r="AF105" s="338">
        <v>457.49149999999997</v>
      </c>
      <c r="AG105" s="338">
        <v>11.88</v>
      </c>
      <c r="AH105" s="338">
        <v>2970</v>
      </c>
      <c r="AI105" s="338">
        <v>71.28</v>
      </c>
      <c r="AJ105" s="338">
        <v>0</v>
      </c>
      <c r="AK105" s="338">
        <v>0</v>
      </c>
      <c r="AL105" s="338">
        <v>0</v>
      </c>
      <c r="AM105" s="338">
        <v>0</v>
      </c>
      <c r="AN105" s="338">
        <v>0</v>
      </c>
      <c r="AO105" s="338">
        <v>0</v>
      </c>
      <c r="AP105" s="338">
        <v>0</v>
      </c>
      <c r="AQ105" s="338">
        <v>0</v>
      </c>
      <c r="AR105" s="338">
        <v>0</v>
      </c>
      <c r="AS105" s="338">
        <v>0</v>
      </c>
      <c r="AT105" s="338">
        <v>0</v>
      </c>
      <c r="AU105" s="338">
        <v>0</v>
      </c>
      <c r="AV105" s="338">
        <v>0</v>
      </c>
      <c r="AW105" s="338">
        <v>0</v>
      </c>
      <c r="AX105" s="338">
        <v>0</v>
      </c>
      <c r="AY105" s="338">
        <v>0</v>
      </c>
      <c r="AZ105" s="338">
        <v>0</v>
      </c>
    </row>
    <row r="106" spans="1:52" ht="15.75" customHeight="1">
      <c r="A106" s="27"/>
      <c r="B106" s="27"/>
      <c r="C106" s="27"/>
      <c r="D106" s="338" t="s">
        <v>210</v>
      </c>
      <c r="E106" s="338" t="s">
        <v>107</v>
      </c>
      <c r="F106" s="338">
        <v>0</v>
      </c>
      <c r="G106" s="338">
        <v>35.4</v>
      </c>
      <c r="H106" s="338">
        <v>3.16</v>
      </c>
      <c r="I106" s="338">
        <v>10.5</v>
      </c>
      <c r="J106" s="338">
        <v>0.44</v>
      </c>
      <c r="K106" s="338">
        <v>0</v>
      </c>
      <c r="L106" s="338">
        <v>0</v>
      </c>
      <c r="M106" s="338">
        <v>0</v>
      </c>
      <c r="N106" s="338">
        <v>10.8</v>
      </c>
      <c r="O106" s="338">
        <v>22.1</v>
      </c>
      <c r="P106" s="338">
        <v>16.5</v>
      </c>
      <c r="Q106" s="338">
        <v>0</v>
      </c>
      <c r="R106" s="338">
        <v>12.8</v>
      </c>
      <c r="S106" s="338">
        <v>0.49</v>
      </c>
      <c r="T106" s="338">
        <v>0.28999999999999998</v>
      </c>
      <c r="U106" s="338">
        <v>0.11</v>
      </c>
      <c r="V106" s="338">
        <v>1.04</v>
      </c>
      <c r="W106" s="338">
        <v>0.26</v>
      </c>
      <c r="X106" s="338">
        <v>0.19</v>
      </c>
      <c r="Y106" s="338">
        <v>0.11</v>
      </c>
      <c r="Z106" s="338">
        <v>0</v>
      </c>
      <c r="AA106" s="338">
        <v>11</v>
      </c>
      <c r="AB106" s="338">
        <v>0</v>
      </c>
      <c r="AC106" s="338">
        <v>1006</v>
      </c>
      <c r="AD106" s="338">
        <v>26</v>
      </c>
      <c r="AE106" s="338">
        <v>0</v>
      </c>
      <c r="AF106" s="338">
        <v>25</v>
      </c>
      <c r="AG106" s="338">
        <v>0</v>
      </c>
      <c r="AH106" s="338">
        <v>0</v>
      </c>
      <c r="AI106" s="338">
        <v>0</v>
      </c>
      <c r="AJ106" s="338">
        <v>0</v>
      </c>
      <c r="AK106" s="338">
        <v>0</v>
      </c>
      <c r="AL106" s="338">
        <v>0</v>
      </c>
      <c r="AM106" s="338">
        <v>0</v>
      </c>
      <c r="AN106" s="338">
        <v>0</v>
      </c>
      <c r="AO106" s="338">
        <v>0</v>
      </c>
      <c r="AP106" s="338">
        <v>0</v>
      </c>
      <c r="AQ106" s="338">
        <v>0</v>
      </c>
      <c r="AR106" s="338">
        <v>0</v>
      </c>
      <c r="AS106" s="338">
        <v>0</v>
      </c>
      <c r="AT106" s="338">
        <v>0</v>
      </c>
      <c r="AU106" s="338">
        <v>0</v>
      </c>
      <c r="AV106" s="338">
        <v>0</v>
      </c>
      <c r="AW106" s="338">
        <v>0</v>
      </c>
      <c r="AX106" s="338">
        <v>0</v>
      </c>
      <c r="AY106" s="338">
        <v>0</v>
      </c>
      <c r="AZ106" s="338">
        <v>0</v>
      </c>
    </row>
    <row r="107" spans="1:52" ht="15.75" customHeight="1">
      <c r="A107" s="27"/>
      <c r="B107" s="27"/>
      <c r="C107" s="27"/>
      <c r="D107" s="338" t="s">
        <v>211</v>
      </c>
      <c r="E107" s="338" t="s">
        <v>124</v>
      </c>
      <c r="F107" s="338">
        <v>0</v>
      </c>
      <c r="G107" s="338">
        <v>99</v>
      </c>
      <c r="H107" s="338"/>
      <c r="I107" s="338">
        <v>0</v>
      </c>
      <c r="J107" s="338">
        <v>0</v>
      </c>
      <c r="K107" s="338">
        <v>0</v>
      </c>
      <c r="L107" s="338">
        <v>0</v>
      </c>
      <c r="M107" s="338">
        <v>0</v>
      </c>
      <c r="N107" s="338">
        <v>0</v>
      </c>
      <c r="O107" s="338">
        <v>0</v>
      </c>
      <c r="P107" s="338">
        <v>0</v>
      </c>
      <c r="Q107" s="338">
        <v>0</v>
      </c>
      <c r="R107" s="338">
        <v>99</v>
      </c>
      <c r="S107" s="338">
        <v>0</v>
      </c>
      <c r="T107" s="338">
        <v>0</v>
      </c>
      <c r="U107" s="338">
        <v>0</v>
      </c>
      <c r="V107" s="338">
        <v>0</v>
      </c>
      <c r="W107" s="338">
        <v>39</v>
      </c>
      <c r="X107" s="338">
        <v>65</v>
      </c>
      <c r="Y107" s="338">
        <v>0</v>
      </c>
      <c r="Z107" s="338">
        <v>0</v>
      </c>
      <c r="AA107" s="338">
        <v>0</v>
      </c>
      <c r="AB107" s="338">
        <v>0</v>
      </c>
      <c r="AC107" s="338">
        <v>0</v>
      </c>
      <c r="AD107" s="338">
        <v>0</v>
      </c>
      <c r="AE107" s="338">
        <v>0</v>
      </c>
      <c r="AF107" s="338">
        <v>0</v>
      </c>
      <c r="AG107" s="338">
        <v>0</v>
      </c>
      <c r="AH107" s="338">
        <v>0</v>
      </c>
      <c r="AI107" s="338">
        <v>0</v>
      </c>
      <c r="AJ107" s="338">
        <v>0</v>
      </c>
      <c r="AK107" s="338">
        <v>0</v>
      </c>
      <c r="AL107" s="338">
        <v>0</v>
      </c>
      <c r="AM107" s="338">
        <v>0</v>
      </c>
      <c r="AN107" s="338">
        <v>0</v>
      </c>
      <c r="AO107" s="338">
        <v>0</v>
      </c>
      <c r="AP107" s="338">
        <v>0</v>
      </c>
      <c r="AQ107" s="338">
        <v>0</v>
      </c>
      <c r="AR107" s="338">
        <v>0</v>
      </c>
      <c r="AS107" s="338">
        <v>0</v>
      </c>
      <c r="AT107" s="338">
        <v>0</v>
      </c>
      <c r="AU107" s="338">
        <v>0</v>
      </c>
      <c r="AV107" s="338">
        <v>0</v>
      </c>
      <c r="AW107" s="338">
        <v>0</v>
      </c>
      <c r="AX107" s="338">
        <v>0</v>
      </c>
      <c r="AY107" s="338">
        <v>0</v>
      </c>
      <c r="AZ107" s="338">
        <v>0</v>
      </c>
    </row>
    <row r="108" spans="1:52" ht="15.75" customHeight="1">
      <c r="A108" s="27"/>
      <c r="B108" s="27"/>
      <c r="C108" s="27"/>
      <c r="D108" s="338" t="s">
        <v>212</v>
      </c>
      <c r="E108" s="338" t="s">
        <v>158</v>
      </c>
      <c r="F108" s="338">
        <v>0</v>
      </c>
      <c r="G108" s="338">
        <v>99.8</v>
      </c>
      <c r="H108" s="338">
        <v>9.18</v>
      </c>
      <c r="I108" s="338">
        <v>0</v>
      </c>
      <c r="J108" s="338">
        <v>0</v>
      </c>
      <c r="K108" s="338">
        <v>0</v>
      </c>
      <c r="L108" s="338">
        <v>0</v>
      </c>
      <c r="M108" s="338">
        <v>0</v>
      </c>
      <c r="N108" s="338">
        <v>99.8</v>
      </c>
      <c r="O108" s="338">
        <v>0</v>
      </c>
      <c r="P108" s="338">
        <v>0</v>
      </c>
      <c r="Q108" s="338">
        <v>0</v>
      </c>
      <c r="R108" s="338">
        <v>0</v>
      </c>
      <c r="S108" s="338">
        <v>0</v>
      </c>
      <c r="T108" s="338">
        <v>0</v>
      </c>
      <c r="U108" s="338">
        <v>0</v>
      </c>
      <c r="V108" s="338">
        <v>0</v>
      </c>
      <c r="W108" s="338">
        <v>0</v>
      </c>
      <c r="X108" s="338">
        <v>0</v>
      </c>
      <c r="Y108" s="338">
        <v>0</v>
      </c>
      <c r="Z108" s="338">
        <v>0</v>
      </c>
      <c r="AA108" s="338">
        <v>0</v>
      </c>
      <c r="AB108" s="338">
        <v>0</v>
      </c>
      <c r="AC108" s="338">
        <v>0</v>
      </c>
      <c r="AD108" s="338">
        <v>0</v>
      </c>
      <c r="AE108" s="338">
        <v>0</v>
      </c>
      <c r="AF108" s="338">
        <v>0</v>
      </c>
      <c r="AG108" s="338">
        <v>0</v>
      </c>
      <c r="AH108" s="338">
        <v>0</v>
      </c>
      <c r="AI108" s="338">
        <v>0</v>
      </c>
      <c r="AJ108" s="338">
        <v>0</v>
      </c>
      <c r="AK108" s="338">
        <v>0</v>
      </c>
      <c r="AL108" s="338">
        <v>0</v>
      </c>
      <c r="AM108" s="338">
        <v>0</v>
      </c>
      <c r="AN108" s="338">
        <v>0</v>
      </c>
      <c r="AO108" s="338">
        <v>0</v>
      </c>
      <c r="AP108" s="338">
        <v>0</v>
      </c>
      <c r="AQ108" s="338">
        <v>0</v>
      </c>
      <c r="AR108" s="338">
        <v>0</v>
      </c>
      <c r="AS108" s="338">
        <v>0</v>
      </c>
      <c r="AT108" s="338">
        <v>0</v>
      </c>
      <c r="AU108" s="338">
        <v>0</v>
      </c>
      <c r="AV108" s="338">
        <v>0</v>
      </c>
      <c r="AW108" s="338">
        <v>0</v>
      </c>
      <c r="AX108" s="338">
        <v>0</v>
      </c>
      <c r="AY108" s="338">
        <v>0</v>
      </c>
      <c r="AZ108" s="338">
        <v>0</v>
      </c>
    </row>
    <row r="109" spans="1:52" ht="15.75" customHeight="1">
      <c r="A109" s="27"/>
      <c r="B109" s="27"/>
      <c r="C109" s="27"/>
      <c r="D109" s="338" t="s">
        <v>213</v>
      </c>
      <c r="E109" s="338" t="s">
        <v>158</v>
      </c>
      <c r="F109" s="338">
        <v>0</v>
      </c>
      <c r="G109" s="338">
        <v>100</v>
      </c>
      <c r="H109" s="338">
        <v>9.15</v>
      </c>
      <c r="I109" s="338">
        <v>0</v>
      </c>
      <c r="J109" s="338">
        <v>0</v>
      </c>
      <c r="K109" s="338">
        <v>0</v>
      </c>
      <c r="L109" s="338">
        <v>0</v>
      </c>
      <c r="M109" s="338">
        <v>0</v>
      </c>
      <c r="N109" s="338">
        <v>99.5</v>
      </c>
      <c r="O109" s="338">
        <v>0</v>
      </c>
      <c r="P109" s="338">
        <v>0</v>
      </c>
      <c r="Q109" s="338">
        <v>0</v>
      </c>
      <c r="R109" s="338">
        <v>0</v>
      </c>
      <c r="S109" s="338">
        <v>0</v>
      </c>
      <c r="T109" s="338">
        <v>0</v>
      </c>
      <c r="U109" s="338">
        <v>0</v>
      </c>
      <c r="V109" s="338">
        <v>0</v>
      </c>
      <c r="W109" s="338">
        <v>0</v>
      </c>
      <c r="X109" s="338">
        <v>0</v>
      </c>
      <c r="Y109" s="338">
        <v>0</v>
      </c>
      <c r="Z109" s="338">
        <v>0</v>
      </c>
      <c r="AA109" s="338">
        <v>0</v>
      </c>
      <c r="AB109" s="338">
        <v>0</v>
      </c>
      <c r="AC109" s="338">
        <v>0</v>
      </c>
      <c r="AD109" s="338">
        <v>0</v>
      </c>
      <c r="AE109" s="338">
        <v>0</v>
      </c>
      <c r="AF109" s="338">
        <v>0</v>
      </c>
      <c r="AG109" s="338">
        <v>0</v>
      </c>
      <c r="AH109" s="338">
        <v>0</v>
      </c>
      <c r="AI109" s="338">
        <v>0</v>
      </c>
      <c r="AJ109" s="338">
        <v>0</v>
      </c>
      <c r="AK109" s="338">
        <v>0</v>
      </c>
      <c r="AL109" s="338">
        <v>0</v>
      </c>
      <c r="AM109" s="338">
        <v>0</v>
      </c>
      <c r="AN109" s="338">
        <v>0</v>
      </c>
      <c r="AO109" s="338">
        <v>0</v>
      </c>
      <c r="AP109" s="338">
        <v>0</v>
      </c>
      <c r="AQ109" s="338">
        <v>0</v>
      </c>
      <c r="AR109" s="338">
        <v>0</v>
      </c>
      <c r="AS109" s="338">
        <v>0</v>
      </c>
      <c r="AT109" s="338">
        <v>0</v>
      </c>
      <c r="AU109" s="338">
        <v>0</v>
      </c>
      <c r="AV109" s="338">
        <v>0</v>
      </c>
      <c r="AW109" s="338">
        <v>0</v>
      </c>
      <c r="AX109" s="338">
        <v>0</v>
      </c>
      <c r="AY109" s="338">
        <v>0</v>
      </c>
      <c r="AZ109" s="338">
        <v>0</v>
      </c>
    </row>
    <row r="110" spans="1:52" ht="15.75" customHeight="1">
      <c r="A110" s="27"/>
      <c r="B110" s="27"/>
      <c r="C110" s="27"/>
      <c r="D110" s="338" t="s">
        <v>214</v>
      </c>
      <c r="E110" s="338" t="s">
        <v>122</v>
      </c>
      <c r="F110" s="338">
        <v>0</v>
      </c>
      <c r="G110" s="338">
        <v>99</v>
      </c>
      <c r="H110" s="338"/>
      <c r="I110" s="338">
        <v>0</v>
      </c>
      <c r="J110" s="338">
        <v>0</v>
      </c>
      <c r="K110" s="338">
        <v>0</v>
      </c>
      <c r="L110" s="338">
        <v>0</v>
      </c>
      <c r="M110" s="338">
        <v>0</v>
      </c>
      <c r="N110" s="338">
        <v>0</v>
      </c>
      <c r="O110" s="338">
        <v>0</v>
      </c>
      <c r="P110" s="338">
        <v>0</v>
      </c>
      <c r="Q110" s="338">
        <v>0</v>
      </c>
      <c r="R110" s="338">
        <v>99</v>
      </c>
      <c r="S110" s="338">
        <v>0</v>
      </c>
      <c r="T110" s="338">
        <v>0</v>
      </c>
      <c r="U110" s="338">
        <v>0</v>
      </c>
      <c r="V110" s="338">
        <v>0</v>
      </c>
      <c r="W110" s="338">
        <v>0</v>
      </c>
      <c r="X110" s="338">
        <v>0</v>
      </c>
      <c r="Y110" s="338">
        <v>0</v>
      </c>
      <c r="Z110" s="338">
        <v>0</v>
      </c>
      <c r="AA110" s="338">
        <v>0</v>
      </c>
      <c r="AB110" s="338">
        <v>0</v>
      </c>
      <c r="AC110" s="338">
        <v>0</v>
      </c>
      <c r="AD110" s="338">
        <v>0</v>
      </c>
      <c r="AE110" s="338">
        <v>450000</v>
      </c>
      <c r="AF110" s="338">
        <v>0</v>
      </c>
      <c r="AG110" s="338">
        <v>0</v>
      </c>
      <c r="AH110" s="338">
        <v>0</v>
      </c>
      <c r="AI110" s="338">
        <v>0</v>
      </c>
      <c r="AJ110" s="338">
        <v>0</v>
      </c>
      <c r="AK110" s="338">
        <v>0</v>
      </c>
      <c r="AL110" s="338">
        <v>0</v>
      </c>
      <c r="AM110" s="338">
        <v>0</v>
      </c>
      <c r="AN110" s="338">
        <v>0</v>
      </c>
      <c r="AO110" s="338">
        <v>0</v>
      </c>
      <c r="AP110" s="338">
        <v>0</v>
      </c>
      <c r="AQ110" s="338">
        <v>0</v>
      </c>
      <c r="AR110" s="338">
        <v>0</v>
      </c>
      <c r="AS110" s="338">
        <v>0</v>
      </c>
      <c r="AT110" s="338">
        <v>0</v>
      </c>
      <c r="AU110" s="338">
        <v>0</v>
      </c>
      <c r="AV110" s="338">
        <v>0</v>
      </c>
      <c r="AW110" s="338">
        <v>0</v>
      </c>
      <c r="AX110" s="338">
        <v>0</v>
      </c>
      <c r="AY110" s="338">
        <v>0</v>
      </c>
      <c r="AZ110" s="338">
        <v>0</v>
      </c>
    </row>
    <row r="111" spans="1:52" ht="15.75" customHeight="1">
      <c r="A111" s="27"/>
      <c r="B111" s="27"/>
      <c r="C111" s="27"/>
      <c r="D111" s="338" t="s">
        <v>215</v>
      </c>
      <c r="E111" s="338" t="s">
        <v>105</v>
      </c>
      <c r="F111" s="338">
        <v>0</v>
      </c>
      <c r="G111" s="338">
        <v>90.1</v>
      </c>
      <c r="H111" s="338">
        <v>2.89</v>
      </c>
      <c r="I111" s="338">
        <v>23.5</v>
      </c>
      <c r="J111" s="338">
        <v>1.02</v>
      </c>
      <c r="K111" s="338">
        <v>0</v>
      </c>
      <c r="L111" s="338">
        <v>0</v>
      </c>
      <c r="M111" s="338">
        <v>0</v>
      </c>
      <c r="N111" s="338">
        <v>19.3</v>
      </c>
      <c r="O111" s="338">
        <v>50.3</v>
      </c>
      <c r="P111" s="338">
        <v>40.1</v>
      </c>
      <c r="Q111" s="338">
        <v>0</v>
      </c>
      <c r="R111" s="338">
        <v>4.2</v>
      </c>
      <c r="S111" s="338">
        <v>0.17</v>
      </c>
      <c r="T111" s="338">
        <v>0.6</v>
      </c>
      <c r="U111" s="338">
        <v>0.37</v>
      </c>
      <c r="V111" s="338">
        <v>1.1299999999999999</v>
      </c>
      <c r="W111" s="338">
        <v>0.02</v>
      </c>
      <c r="X111" s="338">
        <v>0.06</v>
      </c>
      <c r="Y111" s="338">
        <v>0.23</v>
      </c>
      <c r="Z111" s="338">
        <v>0</v>
      </c>
      <c r="AA111" s="338">
        <v>7</v>
      </c>
      <c r="AB111" s="338">
        <v>0</v>
      </c>
      <c r="AC111" s="338">
        <v>94</v>
      </c>
      <c r="AD111" s="338">
        <v>18</v>
      </c>
      <c r="AE111" s="338">
        <v>0.14000000000000001</v>
      </c>
      <c r="AF111" s="338">
        <v>37</v>
      </c>
      <c r="AG111" s="338">
        <v>0</v>
      </c>
      <c r="AH111" s="338">
        <v>0</v>
      </c>
      <c r="AI111" s="338">
        <v>0</v>
      </c>
      <c r="AJ111" s="338">
        <v>0</v>
      </c>
      <c r="AK111" s="338">
        <v>0</v>
      </c>
      <c r="AL111" s="338">
        <v>0</v>
      </c>
      <c r="AM111" s="338">
        <v>0</v>
      </c>
      <c r="AN111" s="338">
        <v>0</v>
      </c>
      <c r="AO111" s="338">
        <v>0</v>
      </c>
      <c r="AP111" s="338">
        <v>0</v>
      </c>
      <c r="AQ111" s="338">
        <v>0</v>
      </c>
      <c r="AR111" s="338">
        <v>0</v>
      </c>
      <c r="AS111" s="338">
        <v>0</v>
      </c>
      <c r="AT111" s="338">
        <v>0</v>
      </c>
      <c r="AU111" s="338">
        <v>0</v>
      </c>
      <c r="AV111" s="338">
        <v>0</v>
      </c>
      <c r="AW111" s="338">
        <v>0</v>
      </c>
      <c r="AX111" s="338">
        <v>0</v>
      </c>
      <c r="AY111" s="338">
        <v>0</v>
      </c>
      <c r="AZ111" s="338">
        <v>0</v>
      </c>
    </row>
    <row r="112" spans="1:52" ht="15.75" customHeight="1">
      <c r="A112" s="27"/>
      <c r="B112" s="27"/>
      <c r="C112" s="27"/>
      <c r="D112" s="338" t="s">
        <v>216</v>
      </c>
      <c r="E112" s="338" t="s">
        <v>105</v>
      </c>
      <c r="F112" s="338">
        <v>0</v>
      </c>
      <c r="G112" s="338">
        <v>89</v>
      </c>
      <c r="H112" s="338">
        <v>1.69</v>
      </c>
      <c r="I112" s="338">
        <v>6.2</v>
      </c>
      <c r="J112" s="338">
        <v>0.28999999999999998</v>
      </c>
      <c r="K112" s="338">
        <v>0</v>
      </c>
      <c r="L112" s="338">
        <v>0</v>
      </c>
      <c r="M112" s="338">
        <v>0</v>
      </c>
      <c r="N112" s="338">
        <v>2.5</v>
      </c>
      <c r="O112" s="338">
        <v>85</v>
      </c>
      <c r="P112" s="338">
        <v>64.900000000000006</v>
      </c>
      <c r="Q112" s="338">
        <v>0</v>
      </c>
      <c r="R112" s="338">
        <v>2.8</v>
      </c>
      <c r="S112" s="338">
        <v>0.18</v>
      </c>
      <c r="T112" s="338">
        <v>0.12</v>
      </c>
      <c r="U112" s="338">
        <v>0.17</v>
      </c>
      <c r="V112" s="338">
        <v>1.1599999999999999</v>
      </c>
      <c r="W112" s="338">
        <v>0.02</v>
      </c>
      <c r="X112" s="338">
        <v>0.06</v>
      </c>
      <c r="Y112" s="338">
        <v>7.0000000000000007E-2</v>
      </c>
      <c r="Z112" s="338">
        <v>0</v>
      </c>
      <c r="AA112" s="338">
        <v>5</v>
      </c>
      <c r="AB112" s="338">
        <v>0</v>
      </c>
      <c r="AC112" s="338">
        <v>68</v>
      </c>
      <c r="AD112" s="338">
        <v>22</v>
      </c>
      <c r="AE112" s="338">
        <v>0</v>
      </c>
      <c r="AF112" s="338">
        <v>17</v>
      </c>
      <c r="AG112" s="338">
        <v>0</v>
      </c>
      <c r="AH112" s="338">
        <v>0</v>
      </c>
      <c r="AI112" s="338">
        <v>0</v>
      </c>
      <c r="AJ112" s="338">
        <v>0</v>
      </c>
      <c r="AK112" s="338">
        <v>0</v>
      </c>
      <c r="AL112" s="338">
        <v>0</v>
      </c>
      <c r="AM112" s="338">
        <v>0</v>
      </c>
      <c r="AN112" s="338">
        <v>0</v>
      </c>
      <c r="AO112" s="338">
        <v>0</v>
      </c>
      <c r="AP112" s="338">
        <v>0</v>
      </c>
      <c r="AQ112" s="338">
        <v>0</v>
      </c>
      <c r="AR112" s="338">
        <v>0</v>
      </c>
      <c r="AS112" s="338">
        <v>0</v>
      </c>
      <c r="AT112" s="338">
        <v>0</v>
      </c>
      <c r="AU112" s="338">
        <v>0</v>
      </c>
      <c r="AV112" s="338">
        <v>0</v>
      </c>
      <c r="AW112" s="338">
        <v>0</v>
      </c>
      <c r="AX112" s="338">
        <v>0</v>
      </c>
      <c r="AY112" s="338">
        <v>0</v>
      </c>
      <c r="AZ112" s="338">
        <v>0</v>
      </c>
    </row>
    <row r="113" spans="1:52" ht="15.75" customHeight="1">
      <c r="A113" s="27"/>
      <c r="B113" s="27"/>
      <c r="C113" s="27"/>
      <c r="D113" s="338" t="s">
        <v>217</v>
      </c>
      <c r="E113" s="338" t="s">
        <v>105</v>
      </c>
      <c r="F113" s="338">
        <v>0</v>
      </c>
      <c r="G113" s="338">
        <v>42</v>
      </c>
      <c r="H113" s="338">
        <v>2.16</v>
      </c>
      <c r="I113" s="338">
        <v>16.8</v>
      </c>
      <c r="J113" s="338">
        <v>0.55000000000000004</v>
      </c>
      <c r="K113" s="338">
        <v>0</v>
      </c>
      <c r="L113" s="338">
        <v>0</v>
      </c>
      <c r="M113" s="338">
        <v>0</v>
      </c>
      <c r="N113" s="338">
        <v>2.4</v>
      </c>
      <c r="O113" s="338">
        <v>58.2</v>
      </c>
      <c r="P113" s="338">
        <v>35.200000000000003</v>
      </c>
      <c r="Q113" s="338">
        <v>0</v>
      </c>
      <c r="R113" s="338">
        <v>8.6999999999999993</v>
      </c>
      <c r="S113" s="338">
        <v>0.6</v>
      </c>
      <c r="T113" s="338">
        <v>0.36</v>
      </c>
      <c r="U113" s="338">
        <v>0.21</v>
      </c>
      <c r="V113" s="338">
        <v>2.78</v>
      </c>
      <c r="W113" s="338">
        <v>0.05</v>
      </c>
      <c r="X113" s="338">
        <v>0.67</v>
      </c>
      <c r="Y113" s="338">
        <v>0.21</v>
      </c>
      <c r="Z113" s="338">
        <v>0</v>
      </c>
      <c r="AA113" s="338">
        <v>9</v>
      </c>
      <c r="AB113" s="338">
        <v>0</v>
      </c>
      <c r="AC113" s="338">
        <v>275</v>
      </c>
      <c r="AD113" s="338">
        <v>79</v>
      </c>
      <c r="AE113" s="338">
        <v>0.09</v>
      </c>
      <c r="AF113" s="338">
        <v>31</v>
      </c>
      <c r="AG113" s="338">
        <v>0</v>
      </c>
      <c r="AH113" s="338">
        <v>0</v>
      </c>
      <c r="AI113" s="338">
        <v>0</v>
      </c>
      <c r="AJ113" s="338">
        <v>0</v>
      </c>
      <c r="AK113" s="338">
        <v>0</v>
      </c>
      <c r="AL113" s="338">
        <v>0</v>
      </c>
      <c r="AM113" s="338">
        <v>0</v>
      </c>
      <c r="AN113" s="338">
        <v>0</v>
      </c>
      <c r="AO113" s="338">
        <v>0</v>
      </c>
      <c r="AP113" s="338">
        <v>0</v>
      </c>
      <c r="AQ113" s="338">
        <v>0</v>
      </c>
      <c r="AR113" s="338">
        <v>0</v>
      </c>
      <c r="AS113" s="338">
        <v>0</v>
      </c>
      <c r="AT113" s="338">
        <v>0</v>
      </c>
      <c r="AU113" s="338">
        <v>0</v>
      </c>
      <c r="AV113" s="338">
        <v>0</v>
      </c>
      <c r="AW113" s="338">
        <v>0</v>
      </c>
      <c r="AX113" s="338">
        <v>0</v>
      </c>
      <c r="AY113" s="338">
        <v>0</v>
      </c>
      <c r="AZ113" s="338">
        <v>0</v>
      </c>
    </row>
    <row r="114" spans="1:52" ht="15.75" customHeight="1">
      <c r="A114" s="27"/>
      <c r="B114" s="27"/>
      <c r="C114" s="27"/>
      <c r="D114" s="338" t="s">
        <v>218</v>
      </c>
      <c r="E114" s="338" t="s">
        <v>105</v>
      </c>
      <c r="F114" s="338">
        <v>0</v>
      </c>
      <c r="G114" s="338">
        <v>36.200000000000003</v>
      </c>
      <c r="H114" s="338">
        <v>2.2999999999999998</v>
      </c>
      <c r="I114" s="338">
        <v>16.8</v>
      </c>
      <c r="J114" s="338">
        <v>0.55000000000000004</v>
      </c>
      <c r="K114" s="338">
        <v>0</v>
      </c>
      <c r="L114" s="338">
        <v>0</v>
      </c>
      <c r="M114" s="338">
        <v>0</v>
      </c>
      <c r="N114" s="338">
        <v>2.8</v>
      </c>
      <c r="O114" s="338">
        <v>51</v>
      </c>
      <c r="P114" s="338">
        <v>32.9</v>
      </c>
      <c r="Q114" s="338">
        <v>0</v>
      </c>
      <c r="R114" s="338">
        <v>9.9</v>
      </c>
      <c r="S114" s="338">
        <v>0.56999999999999995</v>
      </c>
      <c r="T114" s="338">
        <v>0.36</v>
      </c>
      <c r="U114" s="338">
        <v>0.22</v>
      </c>
      <c r="V114" s="338">
        <v>3.11</v>
      </c>
      <c r="W114" s="338">
        <v>0.05</v>
      </c>
      <c r="X114" s="338">
        <v>0.67</v>
      </c>
      <c r="Y114" s="338">
        <v>0.21</v>
      </c>
      <c r="Z114" s="338">
        <v>0</v>
      </c>
      <c r="AA114" s="338">
        <v>9</v>
      </c>
      <c r="AB114" s="338">
        <v>0</v>
      </c>
      <c r="AC114" s="338">
        <v>280</v>
      </c>
      <c r="AD114" s="338">
        <v>56</v>
      </c>
      <c r="AE114" s="338">
        <v>0.09</v>
      </c>
      <c r="AF114" s="338">
        <v>31</v>
      </c>
      <c r="AG114" s="338">
        <v>0</v>
      </c>
      <c r="AH114" s="338">
        <v>0</v>
      </c>
      <c r="AI114" s="338">
        <v>0</v>
      </c>
      <c r="AJ114" s="338">
        <v>0</v>
      </c>
      <c r="AK114" s="338">
        <v>0</v>
      </c>
      <c r="AL114" s="338">
        <v>0</v>
      </c>
      <c r="AM114" s="338">
        <v>0</v>
      </c>
      <c r="AN114" s="338">
        <v>0</v>
      </c>
      <c r="AO114" s="338">
        <v>0</v>
      </c>
      <c r="AP114" s="338">
        <v>0</v>
      </c>
      <c r="AQ114" s="338">
        <v>0</v>
      </c>
      <c r="AR114" s="338">
        <v>0</v>
      </c>
      <c r="AS114" s="338">
        <v>0</v>
      </c>
      <c r="AT114" s="338">
        <v>0</v>
      </c>
      <c r="AU114" s="338">
        <v>0</v>
      </c>
      <c r="AV114" s="338">
        <v>0</v>
      </c>
      <c r="AW114" s="338">
        <v>0</v>
      </c>
      <c r="AX114" s="338">
        <v>0</v>
      </c>
      <c r="AY114" s="338">
        <v>0</v>
      </c>
      <c r="AZ114" s="338">
        <v>0</v>
      </c>
    </row>
    <row r="115" spans="1:52" ht="15.75" customHeight="1">
      <c r="A115" s="27"/>
      <c r="B115" s="27"/>
      <c r="C115" s="27"/>
      <c r="D115" s="338" t="s">
        <v>219</v>
      </c>
      <c r="E115" s="338" t="s">
        <v>105</v>
      </c>
      <c r="F115" s="338">
        <v>0</v>
      </c>
      <c r="G115" s="338">
        <v>38.700000000000003</v>
      </c>
      <c r="H115" s="338">
        <v>1.98</v>
      </c>
      <c r="I115" s="338">
        <v>12.7</v>
      </c>
      <c r="J115" s="338">
        <v>0.43</v>
      </c>
      <c r="K115" s="338">
        <v>0</v>
      </c>
      <c r="L115" s="338">
        <v>0</v>
      </c>
      <c r="M115" s="338">
        <v>0</v>
      </c>
      <c r="N115" s="338">
        <v>3</v>
      </c>
      <c r="O115" s="338">
        <v>66.599999999999994</v>
      </c>
      <c r="P115" s="338">
        <v>41.1</v>
      </c>
      <c r="Q115" s="338">
        <v>0</v>
      </c>
      <c r="R115" s="338">
        <v>8</v>
      </c>
      <c r="S115" s="338">
        <v>0.56000000000000005</v>
      </c>
      <c r="T115" s="338">
        <v>0.31</v>
      </c>
      <c r="U115" s="338">
        <v>0.2</v>
      </c>
      <c r="V115" s="338">
        <v>2.42</v>
      </c>
      <c r="W115" s="338">
        <v>0.05</v>
      </c>
      <c r="X115" s="338">
        <v>0.89</v>
      </c>
      <c r="Y115" s="338">
        <v>0.2</v>
      </c>
      <c r="Z115" s="338">
        <v>0</v>
      </c>
      <c r="AA115" s="338">
        <v>9</v>
      </c>
      <c r="AB115" s="338">
        <v>0</v>
      </c>
      <c r="AC115" s="338">
        <v>327</v>
      </c>
      <c r="AD115" s="338">
        <v>90</v>
      </c>
      <c r="AE115" s="338">
        <v>0.09</v>
      </c>
      <c r="AF115" s="338">
        <v>30</v>
      </c>
      <c r="AG115" s="338">
        <v>0</v>
      </c>
      <c r="AH115" s="338">
        <v>0</v>
      </c>
      <c r="AI115" s="338">
        <v>0</v>
      </c>
      <c r="AJ115" s="338">
        <v>0</v>
      </c>
      <c r="AK115" s="338">
        <v>0</v>
      </c>
      <c r="AL115" s="338">
        <v>0</v>
      </c>
      <c r="AM115" s="338">
        <v>0</v>
      </c>
      <c r="AN115" s="338">
        <v>0</v>
      </c>
      <c r="AO115" s="338">
        <v>0</v>
      </c>
      <c r="AP115" s="338">
        <v>0</v>
      </c>
      <c r="AQ115" s="338">
        <v>0</v>
      </c>
      <c r="AR115" s="338">
        <v>0</v>
      </c>
      <c r="AS115" s="338">
        <v>0</v>
      </c>
      <c r="AT115" s="338">
        <v>0</v>
      </c>
      <c r="AU115" s="338">
        <v>0</v>
      </c>
      <c r="AV115" s="338">
        <v>0</v>
      </c>
      <c r="AW115" s="338">
        <v>0</v>
      </c>
      <c r="AX115" s="338">
        <v>0</v>
      </c>
      <c r="AY115" s="338">
        <v>0</v>
      </c>
      <c r="AZ115" s="338">
        <v>0</v>
      </c>
    </row>
    <row r="116" spans="1:52" ht="15.75" customHeight="1">
      <c r="A116" s="27"/>
      <c r="B116" s="27"/>
      <c r="C116" s="27"/>
      <c r="D116" s="338" t="s">
        <v>220</v>
      </c>
      <c r="E116" s="338" t="s">
        <v>105</v>
      </c>
      <c r="F116" s="338">
        <v>0</v>
      </c>
      <c r="G116" s="338">
        <v>35.5</v>
      </c>
      <c r="H116" s="338">
        <v>2.2799999999999998</v>
      </c>
      <c r="I116" s="338">
        <v>12</v>
      </c>
      <c r="J116" s="338">
        <v>0.28000000000000003</v>
      </c>
      <c r="K116" s="338">
        <v>0</v>
      </c>
      <c r="L116" s="338">
        <v>0</v>
      </c>
      <c r="M116" s="338">
        <v>0</v>
      </c>
      <c r="N116" s="338">
        <v>3.5</v>
      </c>
      <c r="O116" s="338">
        <v>56.3</v>
      </c>
      <c r="P116" s="338">
        <v>34.5</v>
      </c>
      <c r="Q116" s="338">
        <v>0</v>
      </c>
      <c r="R116" s="338">
        <v>7.5</v>
      </c>
      <c r="S116" s="338">
        <v>0.48</v>
      </c>
      <c r="T116" s="338">
        <v>0.3</v>
      </c>
      <c r="U116" s="338">
        <v>0.18</v>
      </c>
      <c r="V116" s="338">
        <v>2.4300000000000002</v>
      </c>
      <c r="W116" s="338">
        <v>0.13</v>
      </c>
      <c r="X116" s="338">
        <v>0.72</v>
      </c>
      <c r="Y116" s="338">
        <v>0.17</v>
      </c>
      <c r="Z116" s="338">
        <v>0.72</v>
      </c>
      <c r="AA116" s="338">
        <v>7</v>
      </c>
      <c r="AB116" s="338">
        <v>0</v>
      </c>
      <c r="AC116" s="338">
        <v>343</v>
      </c>
      <c r="AD116" s="338">
        <v>43</v>
      </c>
      <c r="AE116" s="338">
        <v>0.12</v>
      </c>
      <c r="AF116" s="338">
        <v>30</v>
      </c>
      <c r="AG116" s="338">
        <v>0</v>
      </c>
      <c r="AH116" s="338">
        <v>0</v>
      </c>
      <c r="AI116" s="338">
        <v>0</v>
      </c>
      <c r="AJ116" s="338">
        <v>0</v>
      </c>
      <c r="AK116" s="338">
        <v>0</v>
      </c>
      <c r="AL116" s="338">
        <v>0</v>
      </c>
      <c r="AM116" s="338">
        <v>0</v>
      </c>
      <c r="AN116" s="338">
        <v>0</v>
      </c>
      <c r="AO116" s="338">
        <v>0</v>
      </c>
      <c r="AP116" s="338">
        <v>0</v>
      </c>
      <c r="AQ116" s="338">
        <v>0</v>
      </c>
      <c r="AR116" s="338">
        <v>0</v>
      </c>
      <c r="AS116" s="338">
        <v>0</v>
      </c>
      <c r="AT116" s="338">
        <v>0</v>
      </c>
      <c r="AU116" s="338">
        <v>0</v>
      </c>
      <c r="AV116" s="338">
        <v>0</v>
      </c>
      <c r="AW116" s="338">
        <v>0</v>
      </c>
      <c r="AX116" s="338">
        <v>0</v>
      </c>
      <c r="AY116" s="338">
        <v>0</v>
      </c>
      <c r="AZ116" s="338">
        <v>0</v>
      </c>
    </row>
    <row r="117" spans="1:52" ht="15.75" customHeight="1">
      <c r="A117" s="27"/>
      <c r="B117" s="27"/>
      <c r="C117" s="27"/>
      <c r="D117" s="338" t="s">
        <v>221</v>
      </c>
      <c r="E117" s="338" t="s">
        <v>105</v>
      </c>
      <c r="F117" s="338">
        <v>0</v>
      </c>
      <c r="G117" s="338">
        <v>42.9</v>
      </c>
      <c r="H117" s="338">
        <v>2.35</v>
      </c>
      <c r="I117" s="338">
        <v>21.9</v>
      </c>
      <c r="J117" s="338">
        <v>0.97</v>
      </c>
      <c r="K117" s="338">
        <v>0</v>
      </c>
      <c r="L117" s="338">
        <v>0</v>
      </c>
      <c r="M117" s="338">
        <v>0</v>
      </c>
      <c r="N117" s="338">
        <v>2.2000000000000002</v>
      </c>
      <c r="O117" s="338">
        <v>43.2</v>
      </c>
      <c r="P117" s="338">
        <v>35.200000000000003</v>
      </c>
      <c r="Q117" s="338">
        <v>0</v>
      </c>
      <c r="R117" s="338">
        <v>10.8</v>
      </c>
      <c r="S117" s="338">
        <v>1.36</v>
      </c>
      <c r="T117" s="338">
        <v>0.35</v>
      </c>
      <c r="U117" s="338">
        <v>0.28000000000000003</v>
      </c>
      <c r="V117" s="338">
        <v>3</v>
      </c>
      <c r="W117" s="338">
        <v>0.02</v>
      </c>
      <c r="X117" s="338">
        <v>0.61</v>
      </c>
      <c r="Y117" s="338">
        <v>0.28000000000000003</v>
      </c>
      <c r="Z117" s="338">
        <v>0.65</v>
      </c>
      <c r="AA117" s="338">
        <v>9</v>
      </c>
      <c r="AB117" s="338">
        <v>0</v>
      </c>
      <c r="AC117" s="338">
        <v>395</v>
      </c>
      <c r="AD117" s="338">
        <v>64</v>
      </c>
      <c r="AE117" s="338">
        <v>0.18</v>
      </c>
      <c r="AF117" s="338">
        <v>30</v>
      </c>
      <c r="AG117" s="338">
        <v>0</v>
      </c>
      <c r="AH117" s="338">
        <v>0</v>
      </c>
      <c r="AI117" s="338">
        <v>0</v>
      </c>
      <c r="AJ117" s="338">
        <v>0</v>
      </c>
      <c r="AK117" s="338">
        <v>0</v>
      </c>
      <c r="AL117" s="338">
        <v>0</v>
      </c>
      <c r="AM117" s="338">
        <v>0</v>
      </c>
      <c r="AN117" s="338">
        <v>0</v>
      </c>
      <c r="AO117" s="338">
        <v>0</v>
      </c>
      <c r="AP117" s="338">
        <v>0</v>
      </c>
      <c r="AQ117" s="338">
        <v>0</v>
      </c>
      <c r="AR117" s="338">
        <v>0</v>
      </c>
      <c r="AS117" s="338">
        <v>0</v>
      </c>
      <c r="AT117" s="338">
        <v>0</v>
      </c>
      <c r="AU117" s="338">
        <v>0</v>
      </c>
      <c r="AV117" s="338">
        <v>0</v>
      </c>
      <c r="AW117" s="338">
        <v>0</v>
      </c>
      <c r="AX117" s="338">
        <v>0</v>
      </c>
      <c r="AY117" s="338">
        <v>0</v>
      </c>
      <c r="AZ117" s="338">
        <v>0</v>
      </c>
    </row>
    <row r="118" spans="1:52" ht="15.75" customHeight="1">
      <c r="A118" s="27"/>
      <c r="B118" s="27"/>
      <c r="C118" s="27"/>
      <c r="D118" s="338" t="s">
        <v>222</v>
      </c>
      <c r="E118" s="338" t="s">
        <v>105</v>
      </c>
      <c r="F118" s="338">
        <v>0</v>
      </c>
      <c r="G118" s="338">
        <v>41.2</v>
      </c>
      <c r="H118" s="338">
        <v>2.52</v>
      </c>
      <c r="I118" s="338">
        <v>23.2</v>
      </c>
      <c r="J118" s="338">
        <v>1.04</v>
      </c>
      <c r="K118" s="338">
        <v>0</v>
      </c>
      <c r="L118" s="338">
        <v>0</v>
      </c>
      <c r="M118" s="338">
        <v>0</v>
      </c>
      <c r="N118" s="338">
        <v>2.2999999999999998</v>
      </c>
      <c r="O118" s="338">
        <v>36.700000000000003</v>
      </c>
      <c r="P118" s="338">
        <v>30.2</v>
      </c>
      <c r="Q118" s="338">
        <v>0</v>
      </c>
      <c r="R118" s="338">
        <v>11.1</v>
      </c>
      <c r="S118" s="338">
        <v>1.39</v>
      </c>
      <c r="T118" s="338">
        <v>0.36</v>
      </c>
      <c r="U118" s="338">
        <v>0.3</v>
      </c>
      <c r="V118" s="338">
        <v>3.03</v>
      </c>
      <c r="W118" s="338">
        <v>0.03</v>
      </c>
      <c r="X118" s="338">
        <v>0.55000000000000004</v>
      </c>
      <c r="Y118" s="338">
        <v>0.3</v>
      </c>
      <c r="Z118" s="338" t="s">
        <v>223</v>
      </c>
      <c r="AA118" s="338">
        <v>9</v>
      </c>
      <c r="AB118" s="338">
        <v>0</v>
      </c>
      <c r="AC118" s="338">
        <v>401</v>
      </c>
      <c r="AD118" s="338">
        <v>67</v>
      </c>
      <c r="AE118" s="338">
        <v>0.18</v>
      </c>
      <c r="AF118" s="338">
        <v>31</v>
      </c>
      <c r="AG118" s="338">
        <v>0</v>
      </c>
      <c r="AH118" s="338">
        <v>0</v>
      </c>
      <c r="AI118" s="338">
        <v>0</v>
      </c>
      <c r="AJ118" s="338">
        <v>0</v>
      </c>
      <c r="AK118" s="338">
        <v>0</v>
      </c>
      <c r="AL118" s="338">
        <v>0</v>
      </c>
      <c r="AM118" s="338">
        <v>0</v>
      </c>
      <c r="AN118" s="338">
        <v>0</v>
      </c>
      <c r="AO118" s="338">
        <v>0</v>
      </c>
      <c r="AP118" s="338">
        <v>0</v>
      </c>
      <c r="AQ118" s="338">
        <v>0</v>
      </c>
      <c r="AR118" s="338">
        <v>0</v>
      </c>
      <c r="AS118" s="338">
        <v>0</v>
      </c>
      <c r="AT118" s="338">
        <v>0</v>
      </c>
      <c r="AU118" s="338">
        <v>0</v>
      </c>
      <c r="AV118" s="338">
        <v>0</v>
      </c>
      <c r="AW118" s="338">
        <v>0</v>
      </c>
      <c r="AX118" s="338">
        <v>0</v>
      </c>
      <c r="AY118" s="338">
        <v>0</v>
      </c>
      <c r="AZ118" s="338">
        <v>0</v>
      </c>
    </row>
    <row r="119" spans="1:52" ht="15.75" customHeight="1">
      <c r="A119" s="27"/>
      <c r="B119" s="27"/>
      <c r="C119" s="27"/>
      <c r="D119" s="338" t="s">
        <v>224</v>
      </c>
      <c r="E119" s="338" t="s">
        <v>105</v>
      </c>
      <c r="F119" s="338">
        <v>0</v>
      </c>
      <c r="G119" s="338">
        <v>42.6</v>
      </c>
      <c r="H119" s="338">
        <v>2.19</v>
      </c>
      <c r="I119" s="338">
        <v>20.3</v>
      </c>
      <c r="J119" s="338">
        <v>0.87</v>
      </c>
      <c r="K119" s="338">
        <v>0</v>
      </c>
      <c r="L119" s="338">
        <v>0</v>
      </c>
      <c r="M119" s="338">
        <v>0</v>
      </c>
      <c r="N119" s="338">
        <v>2.1</v>
      </c>
      <c r="O119" s="338">
        <v>50</v>
      </c>
      <c r="P119" s="338">
        <v>40.9</v>
      </c>
      <c r="Q119" s="338">
        <v>0</v>
      </c>
      <c r="R119" s="338">
        <v>10.3</v>
      </c>
      <c r="S119" s="338">
        <v>1.3</v>
      </c>
      <c r="T119" s="338">
        <v>0.33</v>
      </c>
      <c r="U119" s="338">
        <v>0.26</v>
      </c>
      <c r="V119" s="338">
        <v>2.87</v>
      </c>
      <c r="W119" s="338">
        <v>0.02</v>
      </c>
      <c r="X119" s="338">
        <v>0.48</v>
      </c>
      <c r="Y119" s="338">
        <v>0.28000000000000003</v>
      </c>
      <c r="Z119" s="338">
        <v>0.65</v>
      </c>
      <c r="AA119" s="338">
        <v>9</v>
      </c>
      <c r="AB119" s="338">
        <v>0</v>
      </c>
      <c r="AC119" s="338">
        <v>403</v>
      </c>
      <c r="AD119" s="338">
        <v>63</v>
      </c>
      <c r="AE119" s="338">
        <v>0.18</v>
      </c>
      <c r="AF119" s="338">
        <v>29</v>
      </c>
      <c r="AG119" s="338">
        <v>0</v>
      </c>
      <c r="AH119" s="338">
        <v>0</v>
      </c>
      <c r="AI119" s="338">
        <v>0</v>
      </c>
      <c r="AJ119" s="338">
        <v>0</v>
      </c>
      <c r="AK119" s="338">
        <v>0</v>
      </c>
      <c r="AL119" s="338">
        <v>0</v>
      </c>
      <c r="AM119" s="338">
        <v>0</v>
      </c>
      <c r="AN119" s="338">
        <v>0</v>
      </c>
      <c r="AO119" s="338">
        <v>0</v>
      </c>
      <c r="AP119" s="338">
        <v>0</v>
      </c>
      <c r="AQ119" s="338">
        <v>0</v>
      </c>
      <c r="AR119" s="338">
        <v>0</v>
      </c>
      <c r="AS119" s="338">
        <v>0</v>
      </c>
      <c r="AT119" s="338">
        <v>0</v>
      </c>
      <c r="AU119" s="338">
        <v>0</v>
      </c>
      <c r="AV119" s="338">
        <v>0</v>
      </c>
      <c r="AW119" s="338">
        <v>0</v>
      </c>
      <c r="AX119" s="338">
        <v>0</v>
      </c>
      <c r="AY119" s="338">
        <v>0</v>
      </c>
      <c r="AZ119" s="338">
        <v>0</v>
      </c>
    </row>
    <row r="120" spans="1:52" ht="15.75" customHeight="1">
      <c r="A120" s="27"/>
      <c r="B120" s="27"/>
      <c r="C120" s="27"/>
      <c r="D120" s="338" t="s">
        <v>225</v>
      </c>
      <c r="E120" s="338" t="s">
        <v>105</v>
      </c>
      <c r="F120" s="338">
        <v>0</v>
      </c>
      <c r="G120" s="338">
        <v>33.299999999999997</v>
      </c>
      <c r="H120" s="338">
        <v>2.11</v>
      </c>
      <c r="I120" s="338">
        <v>12</v>
      </c>
      <c r="J120" s="338">
        <v>0.51</v>
      </c>
      <c r="K120" s="338">
        <v>0</v>
      </c>
      <c r="L120" s="338">
        <v>0</v>
      </c>
      <c r="M120" s="338">
        <v>0</v>
      </c>
      <c r="N120" s="338">
        <v>3.2</v>
      </c>
      <c r="O120" s="338">
        <v>59.9</v>
      </c>
      <c r="P120" s="338">
        <v>37.6</v>
      </c>
      <c r="Q120" s="338">
        <v>0</v>
      </c>
      <c r="R120" s="338">
        <v>8.6</v>
      </c>
      <c r="S120" s="338">
        <v>0.38</v>
      </c>
      <c r="T120" s="338">
        <v>0.28999999999999998</v>
      </c>
      <c r="U120" s="338">
        <v>0.16</v>
      </c>
      <c r="V120" s="338">
        <v>2.2799999999999998</v>
      </c>
      <c r="W120" s="338">
        <v>7.0000000000000007E-2</v>
      </c>
      <c r="X120" s="338">
        <v>0.83</v>
      </c>
      <c r="Y120" s="338">
        <v>0.17</v>
      </c>
      <c r="Z120" s="338">
        <v>0</v>
      </c>
      <c r="AA120" s="338">
        <v>7</v>
      </c>
      <c r="AB120" s="338">
        <v>0</v>
      </c>
      <c r="AC120" s="338">
        <v>391</v>
      </c>
      <c r="AD120" s="338">
        <v>72</v>
      </c>
      <c r="AE120" s="338">
        <v>0</v>
      </c>
      <c r="AF120" s="338">
        <v>27</v>
      </c>
      <c r="AG120" s="338">
        <v>0</v>
      </c>
      <c r="AH120" s="338">
        <v>0</v>
      </c>
      <c r="AI120" s="338">
        <v>0</v>
      </c>
      <c r="AJ120" s="338">
        <v>0</v>
      </c>
      <c r="AK120" s="338">
        <v>0</v>
      </c>
      <c r="AL120" s="338">
        <v>0</v>
      </c>
      <c r="AM120" s="338">
        <v>0</v>
      </c>
      <c r="AN120" s="338">
        <v>0</v>
      </c>
      <c r="AO120" s="338">
        <v>0</v>
      </c>
      <c r="AP120" s="338">
        <v>0</v>
      </c>
      <c r="AQ120" s="338">
        <v>0</v>
      </c>
      <c r="AR120" s="338">
        <v>0</v>
      </c>
      <c r="AS120" s="338">
        <v>0</v>
      </c>
      <c r="AT120" s="338">
        <v>0</v>
      </c>
      <c r="AU120" s="338">
        <v>0</v>
      </c>
      <c r="AV120" s="338">
        <v>0</v>
      </c>
      <c r="AW120" s="338">
        <v>0</v>
      </c>
      <c r="AX120" s="338">
        <v>0</v>
      </c>
      <c r="AY120" s="338">
        <v>0</v>
      </c>
      <c r="AZ120" s="338">
        <v>0</v>
      </c>
    </row>
    <row r="121" spans="1:52" ht="15.75" customHeight="1">
      <c r="A121" s="27"/>
      <c r="B121" s="27"/>
      <c r="C121" s="27"/>
      <c r="D121" s="338" t="s">
        <v>226</v>
      </c>
      <c r="E121" s="338" t="s">
        <v>105</v>
      </c>
      <c r="F121" s="338">
        <v>0</v>
      </c>
      <c r="G121" s="338">
        <v>32</v>
      </c>
      <c r="H121" s="338">
        <v>2.0699999999999998</v>
      </c>
      <c r="I121" s="338">
        <v>13.8</v>
      </c>
      <c r="J121" s="338">
        <v>0.25</v>
      </c>
      <c r="K121" s="338">
        <v>0</v>
      </c>
      <c r="L121" s="338">
        <v>0</v>
      </c>
      <c r="M121" s="338">
        <v>0</v>
      </c>
      <c r="N121" s="338">
        <v>3.8</v>
      </c>
      <c r="O121" s="338">
        <v>59.7</v>
      </c>
      <c r="P121" s="338">
        <v>39.6</v>
      </c>
      <c r="Q121" s="338">
        <v>0</v>
      </c>
      <c r="R121" s="338">
        <v>9.6999999999999993</v>
      </c>
      <c r="S121" s="338">
        <v>0.56999999999999995</v>
      </c>
      <c r="T121" s="338">
        <v>0.33</v>
      </c>
      <c r="U121" s="338">
        <v>0.19</v>
      </c>
      <c r="V121" s="338">
        <v>3.01</v>
      </c>
      <c r="W121" s="338">
        <v>0.05</v>
      </c>
      <c r="X121" s="338">
        <v>0</v>
      </c>
      <c r="Y121" s="338">
        <v>0.21</v>
      </c>
      <c r="Z121" s="338">
        <v>0</v>
      </c>
      <c r="AA121" s="338">
        <v>7</v>
      </c>
      <c r="AB121" s="338">
        <v>0</v>
      </c>
      <c r="AC121" s="338">
        <v>404</v>
      </c>
      <c r="AD121" s="338">
        <v>66</v>
      </c>
      <c r="AE121" s="338">
        <v>0</v>
      </c>
      <c r="AF121" s="338">
        <v>37</v>
      </c>
      <c r="AG121" s="338">
        <v>0</v>
      </c>
      <c r="AH121" s="338">
        <v>0</v>
      </c>
      <c r="AI121" s="338">
        <v>0</v>
      </c>
      <c r="AJ121" s="338">
        <v>0</v>
      </c>
      <c r="AK121" s="338">
        <v>0</v>
      </c>
      <c r="AL121" s="338">
        <v>0</v>
      </c>
      <c r="AM121" s="338">
        <v>0</v>
      </c>
      <c r="AN121" s="338">
        <v>0</v>
      </c>
      <c r="AO121" s="338">
        <v>0</v>
      </c>
      <c r="AP121" s="338">
        <v>0</v>
      </c>
      <c r="AQ121" s="338">
        <v>0</v>
      </c>
      <c r="AR121" s="338">
        <v>0</v>
      </c>
      <c r="AS121" s="338">
        <v>0</v>
      </c>
      <c r="AT121" s="338">
        <v>0</v>
      </c>
      <c r="AU121" s="338">
        <v>0</v>
      </c>
      <c r="AV121" s="338">
        <v>0</v>
      </c>
      <c r="AW121" s="338">
        <v>0</v>
      </c>
      <c r="AX121" s="338">
        <v>0</v>
      </c>
      <c r="AY121" s="338">
        <v>0</v>
      </c>
      <c r="AZ121" s="338">
        <v>0</v>
      </c>
    </row>
    <row r="122" spans="1:52" ht="15.75" customHeight="1">
      <c r="A122" s="27"/>
      <c r="B122" s="27"/>
      <c r="C122" s="27"/>
      <c r="D122" s="338" t="s">
        <v>227</v>
      </c>
      <c r="E122" s="338" t="s">
        <v>107</v>
      </c>
      <c r="F122" s="338">
        <v>0</v>
      </c>
      <c r="G122" s="338">
        <v>91</v>
      </c>
      <c r="H122" s="338">
        <v>3.26</v>
      </c>
      <c r="I122" s="338">
        <v>43</v>
      </c>
      <c r="J122" s="338">
        <v>2.57</v>
      </c>
      <c r="K122" s="338">
        <v>0</v>
      </c>
      <c r="L122" s="338">
        <v>0</v>
      </c>
      <c r="M122" s="338">
        <v>0</v>
      </c>
      <c r="N122" s="338">
        <v>19</v>
      </c>
      <c r="O122" s="338">
        <v>22.1</v>
      </c>
      <c r="P122" s="338">
        <v>14.7</v>
      </c>
      <c r="Q122" s="338">
        <v>0</v>
      </c>
      <c r="R122" s="338">
        <v>5</v>
      </c>
      <c r="S122" s="338">
        <v>0.26</v>
      </c>
      <c r="T122" s="338">
        <v>0.64</v>
      </c>
      <c r="U122" s="338">
        <v>0.25</v>
      </c>
      <c r="V122" s="338">
        <v>1.99</v>
      </c>
      <c r="W122" s="338">
        <v>0.01</v>
      </c>
      <c r="X122" s="338">
        <v>0.06</v>
      </c>
      <c r="Y122" s="338">
        <v>0.32</v>
      </c>
      <c r="Z122" s="338">
        <v>0</v>
      </c>
      <c r="AA122" s="338">
        <v>15</v>
      </c>
      <c r="AB122" s="338">
        <v>0</v>
      </c>
      <c r="AC122" s="338">
        <v>142</v>
      </c>
      <c r="AD122" s="338">
        <v>29</v>
      </c>
      <c r="AE122" s="338">
        <v>0.28000000000000003</v>
      </c>
      <c r="AF122" s="338">
        <v>48</v>
      </c>
      <c r="AG122" s="338">
        <v>0</v>
      </c>
      <c r="AH122" s="338">
        <v>0</v>
      </c>
      <c r="AI122" s="338">
        <v>0</v>
      </c>
      <c r="AJ122" s="338">
        <v>0</v>
      </c>
      <c r="AK122" s="338">
        <v>0</v>
      </c>
      <c r="AL122" s="338">
        <v>0</v>
      </c>
      <c r="AM122" s="338">
        <v>0</v>
      </c>
      <c r="AN122" s="338">
        <v>0</v>
      </c>
      <c r="AO122" s="338">
        <v>0</v>
      </c>
      <c r="AP122" s="338">
        <v>0</v>
      </c>
      <c r="AQ122" s="338">
        <v>0</v>
      </c>
      <c r="AR122" s="338">
        <v>0</v>
      </c>
      <c r="AS122" s="338">
        <v>0</v>
      </c>
      <c r="AT122" s="338">
        <v>0</v>
      </c>
      <c r="AU122" s="338">
        <v>0</v>
      </c>
      <c r="AV122" s="338">
        <v>0</v>
      </c>
      <c r="AW122" s="338">
        <v>0</v>
      </c>
      <c r="AX122" s="338">
        <v>0</v>
      </c>
      <c r="AY122" s="338">
        <v>0</v>
      </c>
      <c r="AZ122" s="338">
        <v>0</v>
      </c>
    </row>
    <row r="123" spans="1:52" ht="15.75" customHeight="1">
      <c r="A123" s="27"/>
      <c r="B123" s="27"/>
      <c r="C123" s="27"/>
      <c r="D123" s="338" t="s">
        <v>228</v>
      </c>
      <c r="E123" s="338" t="s">
        <v>105</v>
      </c>
      <c r="F123" s="338">
        <v>0</v>
      </c>
      <c r="G123" s="338">
        <v>90.9</v>
      </c>
      <c r="H123" s="338">
        <v>2.25</v>
      </c>
      <c r="I123" s="338">
        <v>13.9</v>
      </c>
      <c r="J123" s="338">
        <v>0.87</v>
      </c>
      <c r="K123" s="338">
        <v>0</v>
      </c>
      <c r="L123" s="338">
        <v>0</v>
      </c>
      <c r="M123" s="338">
        <v>0</v>
      </c>
      <c r="N123" s="338">
        <v>2.7</v>
      </c>
      <c r="O123" s="338">
        <v>60.3</v>
      </c>
      <c r="P123" s="338">
        <v>44.6</v>
      </c>
      <c r="Q123" s="338">
        <v>0</v>
      </c>
      <c r="R123" s="338">
        <v>4.8</v>
      </c>
      <c r="S123" s="338">
        <v>0.63</v>
      </c>
      <c r="T123" s="338">
        <v>0.17</v>
      </c>
      <c r="U123" s="338">
        <v>0.25</v>
      </c>
      <c r="V123" s="338">
        <v>1.51</v>
      </c>
      <c r="W123" s="338">
        <v>0.01</v>
      </c>
      <c r="X123" s="338">
        <v>0.05</v>
      </c>
      <c r="Y123" s="338">
        <v>0.12</v>
      </c>
      <c r="Z123" s="338">
        <v>0.12</v>
      </c>
      <c r="AA123" s="338">
        <v>10</v>
      </c>
      <c r="AB123" s="338">
        <v>0</v>
      </c>
      <c r="AC123" s="338">
        <v>604</v>
      </c>
      <c r="AD123" s="338">
        <v>26</v>
      </c>
      <c r="AE123" s="338">
        <v>0.21</v>
      </c>
      <c r="AF123" s="338">
        <v>35</v>
      </c>
      <c r="AG123" s="338">
        <v>0</v>
      </c>
      <c r="AH123" s="338">
        <v>0</v>
      </c>
      <c r="AI123" s="338">
        <v>0</v>
      </c>
      <c r="AJ123" s="338">
        <v>0</v>
      </c>
      <c r="AK123" s="338">
        <v>0</v>
      </c>
      <c r="AL123" s="338">
        <v>0</v>
      </c>
      <c r="AM123" s="338">
        <v>0</v>
      </c>
      <c r="AN123" s="338">
        <v>0</v>
      </c>
      <c r="AO123" s="338">
        <v>0</v>
      </c>
      <c r="AP123" s="338">
        <v>0</v>
      </c>
      <c r="AQ123" s="338">
        <v>0</v>
      </c>
      <c r="AR123" s="338">
        <v>0</v>
      </c>
      <c r="AS123" s="338">
        <v>0</v>
      </c>
      <c r="AT123" s="338">
        <v>0</v>
      </c>
      <c r="AU123" s="338">
        <v>0</v>
      </c>
      <c r="AV123" s="338">
        <v>0</v>
      </c>
      <c r="AW123" s="338">
        <v>0</v>
      </c>
      <c r="AX123" s="338">
        <v>0</v>
      </c>
      <c r="AY123" s="338">
        <v>0</v>
      </c>
      <c r="AZ123" s="338">
        <v>0</v>
      </c>
    </row>
    <row r="124" spans="1:52" ht="15.75" customHeight="1">
      <c r="A124" s="27"/>
      <c r="B124" s="27"/>
      <c r="C124" s="27"/>
      <c r="D124" s="338" t="s">
        <v>229</v>
      </c>
      <c r="E124" s="338" t="s">
        <v>107</v>
      </c>
      <c r="F124" s="338">
        <v>0</v>
      </c>
      <c r="G124" s="338">
        <v>89.1</v>
      </c>
      <c r="H124" s="338">
        <v>3.52</v>
      </c>
      <c r="I124" s="338">
        <v>49.9</v>
      </c>
      <c r="J124" s="338">
        <v>3.13</v>
      </c>
      <c r="K124" s="338">
        <v>0</v>
      </c>
      <c r="L124" s="338">
        <v>0</v>
      </c>
      <c r="M124" s="338">
        <v>0</v>
      </c>
      <c r="N124" s="338">
        <v>1.6</v>
      </c>
      <c r="O124" s="338">
        <v>14.9</v>
      </c>
      <c r="P124" s="338">
        <v>10</v>
      </c>
      <c r="Q124" s="338">
        <v>0</v>
      </c>
      <c r="R124" s="338">
        <v>6.6</v>
      </c>
      <c r="S124" s="338">
        <v>0.4</v>
      </c>
      <c r="T124" s="338">
        <v>0.71</v>
      </c>
      <c r="U124" s="338">
        <v>0.31</v>
      </c>
      <c r="V124" s="338">
        <v>2.2200000000000002</v>
      </c>
      <c r="W124" s="338">
        <v>0.04</v>
      </c>
      <c r="X124" s="338">
        <v>0.13</v>
      </c>
      <c r="Y124" s="338">
        <v>0.46</v>
      </c>
      <c r="Z124" s="338">
        <v>0</v>
      </c>
      <c r="AA124" s="338">
        <v>22</v>
      </c>
      <c r="AB124" s="338">
        <v>0</v>
      </c>
      <c r="AC124" s="338">
        <v>185</v>
      </c>
      <c r="AD124" s="338">
        <v>35</v>
      </c>
      <c r="AE124" s="338">
        <v>0.14000000000000001</v>
      </c>
      <c r="AF124" s="338">
        <v>57</v>
      </c>
      <c r="AG124" s="338">
        <v>0</v>
      </c>
      <c r="AH124" s="338">
        <v>0</v>
      </c>
      <c r="AI124" s="338">
        <v>0</v>
      </c>
      <c r="AJ124" s="338">
        <v>0</v>
      </c>
      <c r="AK124" s="338">
        <v>0</v>
      </c>
      <c r="AL124" s="338">
        <v>0</v>
      </c>
      <c r="AM124" s="338">
        <v>0</v>
      </c>
      <c r="AN124" s="338">
        <v>0</v>
      </c>
      <c r="AO124" s="338">
        <v>0</v>
      </c>
      <c r="AP124" s="338">
        <v>0</v>
      </c>
      <c r="AQ124" s="338">
        <v>0</v>
      </c>
      <c r="AR124" s="338">
        <v>0</v>
      </c>
      <c r="AS124" s="338">
        <v>0</v>
      </c>
      <c r="AT124" s="338">
        <v>0</v>
      </c>
      <c r="AU124" s="338">
        <v>0</v>
      </c>
      <c r="AV124" s="338">
        <v>0</v>
      </c>
      <c r="AW124" s="338">
        <v>0</v>
      </c>
      <c r="AX124" s="338">
        <v>0</v>
      </c>
      <c r="AY124" s="338">
        <v>0</v>
      </c>
      <c r="AZ124" s="338">
        <v>0</v>
      </c>
    </row>
    <row r="125" spans="1:52" ht="15.75" customHeight="1">
      <c r="A125" s="27"/>
      <c r="B125" s="27"/>
      <c r="C125" s="27"/>
      <c r="D125" s="338" t="s">
        <v>230</v>
      </c>
      <c r="E125" s="338" t="s">
        <v>107</v>
      </c>
      <c r="F125" s="338">
        <v>0</v>
      </c>
      <c r="G125" s="338">
        <v>89.5</v>
      </c>
      <c r="H125" s="338">
        <v>3.73</v>
      </c>
      <c r="I125" s="338">
        <v>51.4</v>
      </c>
      <c r="J125" s="338">
        <v>3.38</v>
      </c>
      <c r="K125" s="338">
        <v>0</v>
      </c>
      <c r="L125" s="338">
        <v>0</v>
      </c>
      <c r="M125" s="338">
        <v>0</v>
      </c>
      <c r="N125" s="338">
        <v>1.1000000000000001</v>
      </c>
      <c r="O125" s="338">
        <v>9.8000000000000007</v>
      </c>
      <c r="P125" s="338">
        <v>6.2</v>
      </c>
      <c r="Q125" s="338">
        <v>0</v>
      </c>
      <c r="R125" s="338">
        <v>6.4</v>
      </c>
      <c r="S125" s="338">
        <v>0.35</v>
      </c>
      <c r="T125" s="338">
        <v>0.7</v>
      </c>
      <c r="U125" s="338">
        <v>0.28999999999999998</v>
      </c>
      <c r="V125" s="338">
        <v>2.41</v>
      </c>
      <c r="W125" s="338">
        <v>0.03</v>
      </c>
      <c r="X125" s="338">
        <v>0.13</v>
      </c>
      <c r="Y125" s="338">
        <v>0.39</v>
      </c>
      <c r="Z125" s="338">
        <v>0</v>
      </c>
      <c r="AA125" s="338">
        <v>16</v>
      </c>
      <c r="AB125" s="338">
        <v>0</v>
      </c>
      <c r="AC125" s="338">
        <v>206</v>
      </c>
      <c r="AD125" s="338">
        <v>40</v>
      </c>
      <c r="AE125" s="338">
        <v>0.13</v>
      </c>
      <c r="AF125" s="338">
        <v>58</v>
      </c>
      <c r="AG125" s="338">
        <v>0</v>
      </c>
      <c r="AH125" s="338">
        <v>0</v>
      </c>
      <c r="AI125" s="338">
        <v>0</v>
      </c>
      <c r="AJ125" s="338">
        <v>0</v>
      </c>
      <c r="AK125" s="338">
        <v>0</v>
      </c>
      <c r="AL125" s="338">
        <v>0</v>
      </c>
      <c r="AM125" s="338">
        <v>0</v>
      </c>
      <c r="AN125" s="338">
        <v>0</v>
      </c>
      <c r="AO125" s="338">
        <v>0</v>
      </c>
      <c r="AP125" s="338">
        <v>0</v>
      </c>
      <c r="AQ125" s="338">
        <v>0</v>
      </c>
      <c r="AR125" s="338">
        <v>0</v>
      </c>
      <c r="AS125" s="338">
        <v>0</v>
      </c>
      <c r="AT125" s="338">
        <v>0</v>
      </c>
      <c r="AU125" s="338">
        <v>0</v>
      </c>
      <c r="AV125" s="338">
        <v>0</v>
      </c>
      <c r="AW125" s="338">
        <v>0</v>
      </c>
      <c r="AX125" s="338">
        <v>0</v>
      </c>
      <c r="AY125" s="338">
        <v>0</v>
      </c>
      <c r="AZ125" s="338">
        <v>0</v>
      </c>
    </row>
    <row r="126" spans="1:52" ht="15.75" customHeight="1">
      <c r="A126" s="27"/>
      <c r="B126" s="27"/>
      <c r="C126" s="27"/>
      <c r="D126" s="338" t="s">
        <v>231</v>
      </c>
      <c r="E126" s="338" t="s">
        <v>107</v>
      </c>
      <c r="F126" s="338">
        <v>0</v>
      </c>
      <c r="G126" s="338">
        <v>89.5</v>
      </c>
      <c r="H126" s="338">
        <v>3.73</v>
      </c>
      <c r="I126" s="338">
        <v>53.8</v>
      </c>
      <c r="J126" s="338">
        <v>3.38</v>
      </c>
      <c r="K126" s="338">
        <v>0</v>
      </c>
      <c r="L126" s="338">
        <v>0</v>
      </c>
      <c r="M126" s="338">
        <v>0</v>
      </c>
      <c r="N126" s="338">
        <v>1.1000000000000001</v>
      </c>
      <c r="O126" s="338">
        <v>9.8000000000000007</v>
      </c>
      <c r="P126" s="338">
        <v>6.2</v>
      </c>
      <c r="Q126" s="338">
        <v>0</v>
      </c>
      <c r="R126" s="338">
        <v>6.4</v>
      </c>
      <c r="S126" s="338">
        <v>0.35</v>
      </c>
      <c r="T126" s="338">
        <v>0.7</v>
      </c>
      <c r="U126" s="338">
        <v>0.28999999999999998</v>
      </c>
      <c r="V126" s="338">
        <v>2.41</v>
      </c>
      <c r="W126" s="338">
        <v>0.03</v>
      </c>
      <c r="X126" s="338">
        <v>0.13</v>
      </c>
      <c r="Y126" s="338">
        <v>0.39</v>
      </c>
      <c r="Z126" s="338">
        <v>0</v>
      </c>
      <c r="AA126" s="338">
        <v>16</v>
      </c>
      <c r="AB126" s="338">
        <v>0</v>
      </c>
      <c r="AC126" s="338">
        <v>206</v>
      </c>
      <c r="AD126" s="338">
        <v>40</v>
      </c>
      <c r="AE126" s="338">
        <v>0.13</v>
      </c>
      <c r="AF126" s="338">
        <v>58</v>
      </c>
      <c r="AG126" s="338">
        <v>0</v>
      </c>
      <c r="AH126" s="338">
        <v>0</v>
      </c>
      <c r="AI126" s="338">
        <v>0</v>
      </c>
      <c r="AJ126" s="338">
        <v>0</v>
      </c>
      <c r="AK126" s="338">
        <v>0</v>
      </c>
      <c r="AL126" s="338">
        <v>0</v>
      </c>
      <c r="AM126" s="338">
        <v>0</v>
      </c>
      <c r="AN126" s="338">
        <v>0</v>
      </c>
      <c r="AO126" s="338">
        <v>0</v>
      </c>
      <c r="AP126" s="338">
        <v>0</v>
      </c>
      <c r="AQ126" s="338">
        <v>0</v>
      </c>
      <c r="AR126" s="338">
        <v>0</v>
      </c>
      <c r="AS126" s="338">
        <v>0</v>
      </c>
      <c r="AT126" s="338">
        <v>0</v>
      </c>
      <c r="AU126" s="338">
        <v>0</v>
      </c>
      <c r="AV126" s="338">
        <v>0</v>
      </c>
      <c r="AW126" s="338">
        <v>0</v>
      </c>
      <c r="AX126" s="338">
        <v>0</v>
      </c>
      <c r="AY126" s="338">
        <v>0</v>
      </c>
      <c r="AZ126" s="338">
        <v>0</v>
      </c>
    </row>
    <row r="127" spans="1:52" ht="15.75" customHeight="1">
      <c r="A127" s="27"/>
      <c r="B127" s="27"/>
      <c r="C127" s="27"/>
      <c r="D127" s="338" t="s">
        <v>232</v>
      </c>
      <c r="E127" s="338" t="s">
        <v>107</v>
      </c>
      <c r="F127" s="338">
        <v>0</v>
      </c>
      <c r="G127" s="338">
        <v>89.6</v>
      </c>
      <c r="H127" s="338">
        <v>3.5</v>
      </c>
      <c r="I127" s="338">
        <v>46.3</v>
      </c>
      <c r="J127" s="338">
        <v>2.9</v>
      </c>
      <c r="K127" s="338">
        <v>0</v>
      </c>
      <c r="L127" s="338">
        <v>0</v>
      </c>
      <c r="M127" s="338">
        <v>0</v>
      </c>
      <c r="N127" s="338">
        <v>8.1</v>
      </c>
      <c r="O127" s="338">
        <v>21.7</v>
      </c>
      <c r="P127" s="338">
        <v>10.4</v>
      </c>
      <c r="Q127" s="338">
        <v>0</v>
      </c>
      <c r="R127" s="338">
        <v>5.5</v>
      </c>
      <c r="S127" s="338">
        <v>0.36</v>
      </c>
      <c r="T127" s="338">
        <v>0.66</v>
      </c>
      <c r="U127" s="338">
        <v>0.3</v>
      </c>
      <c r="V127" s="338">
        <v>2.12</v>
      </c>
      <c r="W127" s="338">
        <v>0.04</v>
      </c>
      <c r="X127" s="338">
        <v>0.1</v>
      </c>
      <c r="Y127" s="338">
        <v>0.34</v>
      </c>
      <c r="Z127" s="338">
        <v>0</v>
      </c>
      <c r="AA127" s="338">
        <v>17</v>
      </c>
      <c r="AB127" s="338">
        <v>0.12</v>
      </c>
      <c r="AC127" s="338">
        <v>169</v>
      </c>
      <c r="AD127" s="338">
        <v>39</v>
      </c>
      <c r="AE127" s="338">
        <v>0</v>
      </c>
      <c r="AF127" s="338">
        <v>72</v>
      </c>
      <c r="AG127" s="338">
        <v>0</v>
      </c>
      <c r="AH127" s="338">
        <v>0</v>
      </c>
      <c r="AI127" s="338">
        <v>0</v>
      </c>
      <c r="AJ127" s="338">
        <v>0</v>
      </c>
      <c r="AK127" s="338">
        <v>0</v>
      </c>
      <c r="AL127" s="338">
        <v>0</v>
      </c>
      <c r="AM127" s="338">
        <v>0</v>
      </c>
      <c r="AN127" s="338">
        <v>0</v>
      </c>
      <c r="AO127" s="338">
        <v>0</v>
      </c>
      <c r="AP127" s="338">
        <v>0</v>
      </c>
      <c r="AQ127" s="338">
        <v>0</v>
      </c>
      <c r="AR127" s="338">
        <v>0</v>
      </c>
      <c r="AS127" s="338">
        <v>0</v>
      </c>
      <c r="AT127" s="338">
        <v>0</v>
      </c>
      <c r="AU127" s="338">
        <v>0</v>
      </c>
      <c r="AV127" s="338">
        <v>0</v>
      </c>
      <c r="AW127" s="338">
        <v>0</v>
      </c>
      <c r="AX127" s="338">
        <v>0</v>
      </c>
      <c r="AY127" s="338">
        <v>0</v>
      </c>
      <c r="AZ127" s="338">
        <v>0</v>
      </c>
    </row>
    <row r="128" spans="1:52" ht="15.75" customHeight="1">
      <c r="A128" s="27"/>
      <c r="B128" s="27"/>
      <c r="C128" s="27"/>
      <c r="D128" s="338" t="s">
        <v>233</v>
      </c>
      <c r="E128" s="338" t="s">
        <v>107</v>
      </c>
      <c r="F128" s="338">
        <v>0</v>
      </c>
      <c r="G128" s="338">
        <v>90</v>
      </c>
      <c r="H128" s="338">
        <v>3.35</v>
      </c>
      <c r="I128" s="338">
        <v>39.200000000000003</v>
      </c>
      <c r="J128" s="338">
        <v>2.34</v>
      </c>
      <c r="K128" s="338">
        <v>0</v>
      </c>
      <c r="L128" s="338">
        <v>0</v>
      </c>
      <c r="M128" s="338">
        <v>0</v>
      </c>
      <c r="N128" s="338">
        <v>19.2</v>
      </c>
      <c r="O128" s="338">
        <v>19.5</v>
      </c>
      <c r="P128" s="338">
        <v>13.1</v>
      </c>
      <c r="Q128" s="338">
        <v>0</v>
      </c>
      <c r="R128" s="338">
        <v>5.9</v>
      </c>
      <c r="S128" s="338">
        <v>0.32</v>
      </c>
      <c r="T128" s="338">
        <v>160</v>
      </c>
      <c r="U128" s="338">
        <v>0.25</v>
      </c>
      <c r="V128" s="338">
        <v>1.99</v>
      </c>
      <c r="W128" s="338">
        <v>0.01</v>
      </c>
      <c r="X128" s="338">
        <v>0.04</v>
      </c>
      <c r="Y128" s="338">
        <v>0.31</v>
      </c>
      <c r="Z128" s="338">
        <v>0</v>
      </c>
      <c r="AA128" s="338">
        <v>13</v>
      </c>
      <c r="AB128" s="338">
        <v>0</v>
      </c>
      <c r="AC128" s="338">
        <v>148</v>
      </c>
      <c r="AD128" s="338">
        <v>29</v>
      </c>
      <c r="AE128" s="338">
        <v>0.11</v>
      </c>
      <c r="AF128" s="338">
        <v>49</v>
      </c>
      <c r="AG128" s="338">
        <v>0</v>
      </c>
      <c r="AH128" s="338">
        <v>0</v>
      </c>
      <c r="AI128" s="338">
        <v>0</v>
      </c>
      <c r="AJ128" s="338">
        <v>0</v>
      </c>
      <c r="AK128" s="338">
        <v>0</v>
      </c>
      <c r="AL128" s="338">
        <v>0</v>
      </c>
      <c r="AM128" s="338">
        <v>0</v>
      </c>
      <c r="AN128" s="338">
        <v>0</v>
      </c>
      <c r="AO128" s="338">
        <v>0</v>
      </c>
      <c r="AP128" s="338">
        <v>0</v>
      </c>
      <c r="AQ128" s="338">
        <v>0</v>
      </c>
      <c r="AR128" s="338">
        <v>0</v>
      </c>
      <c r="AS128" s="338">
        <v>0</v>
      </c>
      <c r="AT128" s="338">
        <v>0</v>
      </c>
      <c r="AU128" s="338">
        <v>0</v>
      </c>
      <c r="AV128" s="338">
        <v>0</v>
      </c>
      <c r="AW128" s="338">
        <v>0</v>
      </c>
      <c r="AX128" s="338">
        <v>0</v>
      </c>
      <c r="AY128" s="338">
        <v>0</v>
      </c>
      <c r="AZ128" s="338">
        <v>0</v>
      </c>
    </row>
    <row r="129" spans="1:52" ht="15.75" customHeight="1">
      <c r="A129" s="27"/>
      <c r="B129" s="27"/>
      <c r="C129" s="27"/>
      <c r="D129" s="338" t="s">
        <v>234</v>
      </c>
      <c r="E129" s="338" t="s">
        <v>105</v>
      </c>
      <c r="F129" s="338">
        <v>0</v>
      </c>
      <c r="G129" s="338">
        <v>40.4</v>
      </c>
      <c r="H129" s="338">
        <v>2.2599999999999998</v>
      </c>
      <c r="I129" s="338">
        <v>17.399999999999999</v>
      </c>
      <c r="J129" s="338">
        <v>0.78</v>
      </c>
      <c r="K129" s="338">
        <v>0</v>
      </c>
      <c r="L129" s="338">
        <v>0</v>
      </c>
      <c r="M129" s="338">
        <v>0</v>
      </c>
      <c r="N129" s="338">
        <v>5.7</v>
      </c>
      <c r="O129" s="338">
        <v>46.6</v>
      </c>
      <c r="P129" s="338">
        <v>36.9</v>
      </c>
      <c r="Q129" s="338">
        <v>0</v>
      </c>
      <c r="R129" s="338">
        <v>1</v>
      </c>
      <c r="S129" s="338">
        <v>1.07</v>
      </c>
      <c r="T129" s="338">
        <v>0.37</v>
      </c>
      <c r="U129" s="338">
        <v>0.35</v>
      </c>
      <c r="V129" s="338">
        <v>2.25</v>
      </c>
      <c r="W129" s="338">
        <v>0.01</v>
      </c>
      <c r="X129" s="338">
        <v>0</v>
      </c>
      <c r="Y129" s="338">
        <v>0.22</v>
      </c>
      <c r="Z129" s="338">
        <v>0</v>
      </c>
      <c r="AA129" s="338">
        <v>14</v>
      </c>
      <c r="AB129" s="338">
        <v>0</v>
      </c>
      <c r="AC129" s="338">
        <v>656</v>
      </c>
      <c r="AD129" s="338">
        <v>75</v>
      </c>
      <c r="AE129" s="338">
        <v>0</v>
      </c>
      <c r="AF129" s="338">
        <v>42</v>
      </c>
      <c r="AG129" s="338">
        <v>0</v>
      </c>
      <c r="AH129" s="338">
        <v>0</v>
      </c>
      <c r="AI129" s="338">
        <v>0</v>
      </c>
      <c r="AJ129" s="338">
        <v>0</v>
      </c>
      <c r="AK129" s="338">
        <v>0</v>
      </c>
      <c r="AL129" s="338">
        <v>0</v>
      </c>
      <c r="AM129" s="338">
        <v>0</v>
      </c>
      <c r="AN129" s="338">
        <v>0</v>
      </c>
      <c r="AO129" s="338">
        <v>0</v>
      </c>
      <c r="AP129" s="338">
        <v>0</v>
      </c>
      <c r="AQ129" s="338">
        <v>0</v>
      </c>
      <c r="AR129" s="338">
        <v>0</v>
      </c>
      <c r="AS129" s="338">
        <v>0</v>
      </c>
      <c r="AT129" s="338">
        <v>0</v>
      </c>
      <c r="AU129" s="338">
        <v>0</v>
      </c>
      <c r="AV129" s="338">
        <v>0</v>
      </c>
      <c r="AW129" s="338">
        <v>0</v>
      </c>
      <c r="AX129" s="338">
        <v>0</v>
      </c>
      <c r="AY129" s="338">
        <v>0</v>
      </c>
      <c r="AZ129" s="338">
        <v>0</v>
      </c>
    </row>
    <row r="130" spans="1:52" ht="15.75" customHeight="1">
      <c r="A130" s="27"/>
      <c r="B130" s="27"/>
      <c r="C130" s="27"/>
      <c r="D130" s="338" t="s">
        <v>235</v>
      </c>
      <c r="E130" s="338" t="s">
        <v>107</v>
      </c>
      <c r="F130" s="338">
        <v>0</v>
      </c>
      <c r="G130" s="338">
        <v>88.6</v>
      </c>
      <c r="H130" s="338">
        <v>3.75</v>
      </c>
      <c r="I130" s="338">
        <v>11.6</v>
      </c>
      <c r="J130" s="338">
        <v>0.28000000000000003</v>
      </c>
      <c r="K130" s="338">
        <v>0</v>
      </c>
      <c r="L130" s="338">
        <v>0</v>
      </c>
      <c r="M130" s="338">
        <v>0</v>
      </c>
      <c r="N130" s="338">
        <v>3.1</v>
      </c>
      <c r="O130" s="338">
        <v>10.9</v>
      </c>
      <c r="P130" s="338">
        <v>5.9</v>
      </c>
      <c r="Q130" s="338">
        <v>0</v>
      </c>
      <c r="R130" s="338">
        <v>2</v>
      </c>
      <c r="S130" s="338">
        <v>7.0000000000000007E-2</v>
      </c>
      <c r="T130" s="338">
        <v>0.35</v>
      </c>
      <c r="U130" s="338">
        <v>0.17</v>
      </c>
      <c r="V130" s="338">
        <v>0.47</v>
      </c>
      <c r="W130" s="338">
        <v>0.01</v>
      </c>
      <c r="X130" s="338">
        <v>0.06</v>
      </c>
      <c r="Y130" s="338">
        <v>0.11</v>
      </c>
      <c r="Z130" s="338">
        <v>0</v>
      </c>
      <c r="AA130" s="338">
        <v>6</v>
      </c>
      <c r="AB130" s="338">
        <v>0</v>
      </c>
      <c r="AC130" s="338">
        <v>89</v>
      </c>
      <c r="AD130" s="338">
        <v>21</v>
      </c>
      <c r="AE130" s="338">
        <v>0.46</v>
      </c>
      <c r="AF130" s="338">
        <v>25</v>
      </c>
      <c r="AG130" s="338">
        <v>0</v>
      </c>
      <c r="AH130" s="338">
        <v>0</v>
      </c>
      <c r="AI130" s="338">
        <v>0</v>
      </c>
      <c r="AJ130" s="338">
        <v>0</v>
      </c>
      <c r="AK130" s="338">
        <v>0</v>
      </c>
      <c r="AL130" s="338">
        <v>0</v>
      </c>
      <c r="AM130" s="338">
        <v>0</v>
      </c>
      <c r="AN130" s="338">
        <v>0</v>
      </c>
      <c r="AO130" s="338">
        <v>0</v>
      </c>
      <c r="AP130" s="338">
        <v>0</v>
      </c>
      <c r="AQ130" s="338">
        <v>0</v>
      </c>
      <c r="AR130" s="338">
        <v>0</v>
      </c>
      <c r="AS130" s="338">
        <v>0</v>
      </c>
      <c r="AT130" s="338">
        <v>0</v>
      </c>
      <c r="AU130" s="338">
        <v>0</v>
      </c>
      <c r="AV130" s="338">
        <v>0</v>
      </c>
      <c r="AW130" s="338">
        <v>0</v>
      </c>
      <c r="AX130" s="338">
        <v>0</v>
      </c>
      <c r="AY130" s="338">
        <v>0</v>
      </c>
      <c r="AZ130" s="338">
        <v>0</v>
      </c>
    </row>
    <row r="131" spans="1:52" ht="15.75" customHeight="1">
      <c r="A131" s="27"/>
      <c r="B131" s="27"/>
      <c r="C131" s="27"/>
      <c r="D131" s="338" t="s">
        <v>236</v>
      </c>
      <c r="E131" s="338" t="s">
        <v>107</v>
      </c>
      <c r="F131" s="338">
        <v>0</v>
      </c>
      <c r="G131" s="338">
        <v>88.6</v>
      </c>
      <c r="H131" s="338">
        <v>3.75</v>
      </c>
      <c r="I131" s="338">
        <v>11.6</v>
      </c>
      <c r="J131" s="338">
        <v>0.28000000000000003</v>
      </c>
      <c r="K131" s="338">
        <v>0</v>
      </c>
      <c r="L131" s="338">
        <v>0</v>
      </c>
      <c r="M131" s="338">
        <v>0</v>
      </c>
      <c r="N131" s="338">
        <v>3.1</v>
      </c>
      <c r="O131" s="338">
        <v>10.9</v>
      </c>
      <c r="P131" s="338">
        <v>5.9</v>
      </c>
      <c r="Q131" s="338">
        <v>0</v>
      </c>
      <c r="R131" s="338">
        <v>2</v>
      </c>
      <c r="S131" s="338">
        <v>7.0000000000000007E-2</v>
      </c>
      <c r="T131" s="338">
        <v>0.35</v>
      </c>
      <c r="U131" s="338">
        <v>0.17</v>
      </c>
      <c r="V131" s="338">
        <v>0.47</v>
      </c>
      <c r="W131" s="338">
        <v>0.01</v>
      </c>
      <c r="X131" s="338">
        <v>0.06</v>
      </c>
      <c r="Y131" s="338">
        <v>0.11</v>
      </c>
      <c r="Z131" s="338">
        <v>0</v>
      </c>
      <c r="AA131" s="338">
        <v>6</v>
      </c>
      <c r="AB131" s="338">
        <v>0</v>
      </c>
      <c r="AC131" s="338">
        <v>89</v>
      </c>
      <c r="AD131" s="338">
        <v>21</v>
      </c>
      <c r="AE131" s="341" t="s">
        <v>237</v>
      </c>
      <c r="AF131" s="338">
        <v>25</v>
      </c>
      <c r="AG131" s="338">
        <v>0</v>
      </c>
      <c r="AH131" s="338">
        <v>0</v>
      </c>
      <c r="AI131" s="338">
        <v>0</v>
      </c>
      <c r="AJ131" s="338">
        <v>0</v>
      </c>
      <c r="AK131" s="338">
        <v>0</v>
      </c>
      <c r="AL131" s="338">
        <v>0</v>
      </c>
      <c r="AM131" s="338">
        <v>0</v>
      </c>
      <c r="AN131" s="338">
        <v>0</v>
      </c>
      <c r="AO131" s="338">
        <v>0</v>
      </c>
      <c r="AP131" s="338">
        <v>0</v>
      </c>
      <c r="AQ131" s="338">
        <v>0</v>
      </c>
      <c r="AR131" s="338">
        <v>0</v>
      </c>
      <c r="AS131" s="338">
        <v>0</v>
      </c>
      <c r="AT131" s="338">
        <v>0</v>
      </c>
      <c r="AU131" s="338">
        <v>0</v>
      </c>
      <c r="AV131" s="338">
        <v>0</v>
      </c>
      <c r="AW131" s="338">
        <v>0</v>
      </c>
      <c r="AX131" s="338">
        <v>0</v>
      </c>
      <c r="AY131" s="338">
        <v>0</v>
      </c>
      <c r="AZ131" s="338">
        <v>0</v>
      </c>
    </row>
    <row r="132" spans="1:52" ht="15.75" customHeight="1">
      <c r="A132" s="27"/>
      <c r="B132" s="27"/>
      <c r="C132" s="27"/>
      <c r="D132" s="338" t="s">
        <v>238</v>
      </c>
      <c r="E132" s="338" t="s">
        <v>105</v>
      </c>
      <c r="F132" s="338">
        <v>0</v>
      </c>
      <c r="G132" s="338">
        <v>28.8</v>
      </c>
      <c r="H132" s="338">
        <v>2.17</v>
      </c>
      <c r="I132" s="338">
        <v>9.1</v>
      </c>
      <c r="J132" s="338">
        <v>0.24</v>
      </c>
      <c r="K132" s="338">
        <v>0</v>
      </c>
      <c r="L132" s="338">
        <v>0</v>
      </c>
      <c r="M132" s="338">
        <v>0</v>
      </c>
      <c r="N132" s="338">
        <v>2.9</v>
      </c>
      <c r="O132" s="338">
        <v>60.7</v>
      </c>
      <c r="P132" s="338">
        <v>38.700000000000003</v>
      </c>
      <c r="Q132" s="338">
        <v>0</v>
      </c>
      <c r="R132" s="338">
        <v>7.5</v>
      </c>
      <c r="S132" s="338">
        <v>0.5</v>
      </c>
      <c r="T132" s="338">
        <v>0.21</v>
      </c>
      <c r="U132" s="338">
        <v>0.27</v>
      </c>
      <c r="V132" s="338">
        <v>1.75</v>
      </c>
      <c r="W132" s="338">
        <v>0.02</v>
      </c>
      <c r="X132" s="338">
        <v>0.6</v>
      </c>
      <c r="Y132" s="338">
        <v>0.12</v>
      </c>
      <c r="Z132" s="338">
        <v>0</v>
      </c>
      <c r="AA132" s="338">
        <v>9</v>
      </c>
      <c r="AB132" s="338">
        <v>0</v>
      </c>
      <c r="AC132" s="338">
        <v>392</v>
      </c>
      <c r="AD132" s="338">
        <v>65</v>
      </c>
      <c r="AE132" s="338">
        <v>0.03</v>
      </c>
      <c r="AF132" s="338">
        <v>31</v>
      </c>
      <c r="AG132" s="338">
        <v>0</v>
      </c>
      <c r="AH132" s="338">
        <v>0</v>
      </c>
      <c r="AI132" s="338">
        <v>0</v>
      </c>
      <c r="AJ132" s="338">
        <v>0</v>
      </c>
      <c r="AK132" s="338">
        <v>0</v>
      </c>
      <c r="AL132" s="338">
        <v>0</v>
      </c>
      <c r="AM132" s="338">
        <v>0</v>
      </c>
      <c r="AN132" s="338">
        <v>0</v>
      </c>
      <c r="AO132" s="338">
        <v>0</v>
      </c>
      <c r="AP132" s="338">
        <v>0</v>
      </c>
      <c r="AQ132" s="338">
        <v>0</v>
      </c>
      <c r="AR132" s="338">
        <v>0</v>
      </c>
      <c r="AS132" s="338">
        <v>0</v>
      </c>
      <c r="AT132" s="338">
        <v>0</v>
      </c>
      <c r="AU132" s="338">
        <v>0</v>
      </c>
      <c r="AV132" s="338">
        <v>0</v>
      </c>
      <c r="AW132" s="338">
        <v>0</v>
      </c>
      <c r="AX132" s="338">
        <v>0</v>
      </c>
      <c r="AY132" s="338">
        <v>0</v>
      </c>
      <c r="AZ132" s="338">
        <v>0</v>
      </c>
    </row>
    <row r="133" spans="1:52" ht="15.75" customHeight="1">
      <c r="A133" s="27"/>
      <c r="B133" s="27"/>
      <c r="C133" s="27"/>
      <c r="D133" s="338" t="s">
        <v>239</v>
      </c>
      <c r="E133" s="338" t="s">
        <v>105</v>
      </c>
      <c r="F133" s="338">
        <v>0</v>
      </c>
      <c r="G133" s="338">
        <v>86.5</v>
      </c>
      <c r="H133" s="338">
        <v>2</v>
      </c>
      <c r="I133" s="338">
        <v>9.4</v>
      </c>
      <c r="J133" s="338">
        <v>0.33</v>
      </c>
      <c r="K133" s="338">
        <v>0</v>
      </c>
      <c r="L133" s="338">
        <v>0</v>
      </c>
      <c r="M133" s="338">
        <v>0</v>
      </c>
      <c r="N133" s="338">
        <v>2.2999999999999998</v>
      </c>
      <c r="O133" s="338">
        <v>64.8</v>
      </c>
      <c r="P133" s="338">
        <v>40</v>
      </c>
      <c r="Q133" s="338">
        <v>0</v>
      </c>
      <c r="R133" s="338">
        <v>8.6999999999999993</v>
      </c>
      <c r="S133" s="338">
        <v>0.54</v>
      </c>
      <c r="T133" s="338">
        <v>0.2</v>
      </c>
      <c r="U133" s="338">
        <v>0.32</v>
      </c>
      <c r="V133" s="338">
        <v>2.36</v>
      </c>
      <c r="W133" s="338">
        <v>0.03</v>
      </c>
      <c r="X133" s="338">
        <v>1.1599999999999999</v>
      </c>
      <c r="Y133" s="338">
        <v>0.13</v>
      </c>
      <c r="Z133" s="338">
        <v>0</v>
      </c>
      <c r="AA133" s="338">
        <v>10</v>
      </c>
      <c r="AB133" s="338">
        <v>0</v>
      </c>
      <c r="AC133" s="338">
        <v>284</v>
      </c>
      <c r="AD133" s="338">
        <v>44</v>
      </c>
      <c r="AE133" s="338">
        <v>0</v>
      </c>
      <c r="AF133" s="338">
        <v>34</v>
      </c>
      <c r="AG133" s="338">
        <v>0</v>
      </c>
      <c r="AH133" s="338">
        <v>0</v>
      </c>
      <c r="AI133" s="338">
        <v>0</v>
      </c>
      <c r="AJ133" s="338">
        <v>0</v>
      </c>
      <c r="AK133" s="338">
        <v>0</v>
      </c>
      <c r="AL133" s="338">
        <v>0</v>
      </c>
      <c r="AM133" s="338">
        <v>0</v>
      </c>
      <c r="AN133" s="338">
        <v>0</v>
      </c>
      <c r="AO133" s="338">
        <v>0</v>
      </c>
      <c r="AP133" s="338">
        <v>0</v>
      </c>
      <c r="AQ133" s="338">
        <v>0</v>
      </c>
      <c r="AR133" s="338">
        <v>0</v>
      </c>
      <c r="AS133" s="338">
        <v>0</v>
      </c>
      <c r="AT133" s="338">
        <v>0</v>
      </c>
      <c r="AU133" s="338">
        <v>0</v>
      </c>
      <c r="AV133" s="338">
        <v>0</v>
      </c>
      <c r="AW133" s="338">
        <v>0</v>
      </c>
      <c r="AX133" s="338">
        <v>0</v>
      </c>
      <c r="AY133" s="338">
        <v>0</v>
      </c>
      <c r="AZ133" s="338">
        <v>0</v>
      </c>
    </row>
    <row r="134" spans="1:52" ht="15.75" customHeight="1">
      <c r="A134" s="27"/>
      <c r="B134" s="27"/>
      <c r="C134" s="27"/>
      <c r="D134" s="338" t="s">
        <v>240</v>
      </c>
      <c r="E134" s="338" t="s">
        <v>105</v>
      </c>
      <c r="F134" s="338">
        <v>0</v>
      </c>
      <c r="G134" s="338">
        <v>28.8</v>
      </c>
      <c r="H134" s="338">
        <v>1.95</v>
      </c>
      <c r="I134" s="338">
        <v>10.8</v>
      </c>
      <c r="J134" s="338">
        <v>0.36</v>
      </c>
      <c r="K134" s="338">
        <v>0</v>
      </c>
      <c r="L134" s="338">
        <v>0</v>
      </c>
      <c r="M134" s="338">
        <v>0</v>
      </c>
      <c r="N134" s="338">
        <v>3.6</v>
      </c>
      <c r="O134" s="338">
        <v>63.3</v>
      </c>
      <c r="P134" s="338">
        <v>40.700000000000003</v>
      </c>
      <c r="Q134" s="338">
        <v>0</v>
      </c>
      <c r="R134" s="338">
        <v>10.9</v>
      </c>
      <c r="S134" s="338">
        <v>0.64</v>
      </c>
      <c r="T134" s="338">
        <v>0.24</v>
      </c>
      <c r="U134" s="338">
        <v>0.31</v>
      </c>
      <c r="V134" s="338">
        <v>2.57</v>
      </c>
      <c r="W134" s="338">
        <v>0.03</v>
      </c>
      <c r="X134" s="338">
        <v>0.56000000000000005</v>
      </c>
      <c r="Y134" s="338">
        <v>0.15</v>
      </c>
      <c r="Z134" s="338">
        <v>0</v>
      </c>
      <c r="AA134" s="338">
        <v>11</v>
      </c>
      <c r="AB134" s="338">
        <v>0</v>
      </c>
      <c r="AC134" s="338">
        <v>990</v>
      </c>
      <c r="AD134" s="338">
        <v>79</v>
      </c>
      <c r="AE134" s="338">
        <v>0</v>
      </c>
      <c r="AF134" s="338">
        <v>33</v>
      </c>
      <c r="AG134" s="338">
        <v>0</v>
      </c>
      <c r="AH134" s="338">
        <v>0</v>
      </c>
      <c r="AI134" s="338">
        <v>0</v>
      </c>
      <c r="AJ134" s="338">
        <v>0</v>
      </c>
      <c r="AK134" s="338">
        <v>0</v>
      </c>
      <c r="AL134" s="338">
        <v>0</v>
      </c>
      <c r="AM134" s="338">
        <v>0</v>
      </c>
      <c r="AN134" s="338">
        <v>0</v>
      </c>
      <c r="AO134" s="338">
        <v>0</v>
      </c>
      <c r="AP134" s="338">
        <v>0</v>
      </c>
      <c r="AQ134" s="338">
        <v>0</v>
      </c>
      <c r="AR134" s="338">
        <v>0</v>
      </c>
      <c r="AS134" s="338">
        <v>0</v>
      </c>
      <c r="AT134" s="338">
        <v>0</v>
      </c>
      <c r="AU134" s="338">
        <v>0</v>
      </c>
      <c r="AV134" s="338">
        <v>0</v>
      </c>
      <c r="AW134" s="338">
        <v>0</v>
      </c>
      <c r="AX134" s="338">
        <v>0</v>
      </c>
      <c r="AY134" s="338">
        <v>0</v>
      </c>
      <c r="AZ134" s="338">
        <v>0</v>
      </c>
    </row>
    <row r="135" spans="1:52" ht="15.75" customHeight="1">
      <c r="A135" s="27"/>
      <c r="B135" s="27"/>
      <c r="C135" s="27"/>
      <c r="D135" s="338" t="s">
        <v>241</v>
      </c>
      <c r="E135" s="338" t="s">
        <v>107</v>
      </c>
      <c r="F135" s="338">
        <v>0</v>
      </c>
      <c r="G135" s="338">
        <v>88.5</v>
      </c>
      <c r="H135" s="338">
        <v>3.86</v>
      </c>
      <c r="I135" s="338">
        <v>9.1</v>
      </c>
      <c r="J135" s="338">
        <v>0.37</v>
      </c>
      <c r="K135" s="338">
        <v>0</v>
      </c>
      <c r="L135" s="338">
        <v>0</v>
      </c>
      <c r="M135" s="338">
        <v>0</v>
      </c>
      <c r="N135" s="338">
        <v>3.5</v>
      </c>
      <c r="O135" s="338">
        <v>10</v>
      </c>
      <c r="P135" s="338">
        <v>3.9</v>
      </c>
      <c r="Q135" s="338">
        <v>0</v>
      </c>
      <c r="R135" s="338">
        <v>3.2</v>
      </c>
      <c r="S135" s="338">
        <v>0.17</v>
      </c>
      <c r="T135" s="338">
        <v>0.28999999999999998</v>
      </c>
      <c r="U135" s="338">
        <v>0.1</v>
      </c>
      <c r="V135" s="338">
        <v>0.33</v>
      </c>
      <c r="W135" s="338">
        <v>0.59</v>
      </c>
      <c r="X135" s="338">
        <v>0.69</v>
      </c>
      <c r="Y135" s="338">
        <v>0.1</v>
      </c>
      <c r="Z135" s="338">
        <v>0</v>
      </c>
      <c r="AA135" s="338">
        <v>4</v>
      </c>
      <c r="AB135" s="338">
        <v>0</v>
      </c>
      <c r="AC135" s="338">
        <v>252</v>
      </c>
      <c r="AD135" s="338">
        <v>26</v>
      </c>
      <c r="AE135" s="338">
        <v>0</v>
      </c>
      <c r="AF135" s="338">
        <v>80</v>
      </c>
      <c r="AG135" s="338">
        <v>0</v>
      </c>
      <c r="AH135" s="338">
        <v>0</v>
      </c>
      <c r="AI135" s="338">
        <v>0</v>
      </c>
      <c r="AJ135" s="338">
        <v>0</v>
      </c>
      <c r="AK135" s="338">
        <v>0</v>
      </c>
      <c r="AL135" s="338">
        <v>0</v>
      </c>
      <c r="AM135" s="338">
        <v>0</v>
      </c>
      <c r="AN135" s="338">
        <v>0</v>
      </c>
      <c r="AO135" s="338">
        <v>0</v>
      </c>
      <c r="AP135" s="338">
        <v>0</v>
      </c>
      <c r="AQ135" s="338">
        <v>0</v>
      </c>
      <c r="AR135" s="338">
        <v>0</v>
      </c>
      <c r="AS135" s="338">
        <v>0</v>
      </c>
      <c r="AT135" s="338">
        <v>0</v>
      </c>
      <c r="AU135" s="338">
        <v>0</v>
      </c>
      <c r="AV135" s="338">
        <v>0</v>
      </c>
      <c r="AW135" s="338">
        <v>0</v>
      </c>
      <c r="AX135" s="338">
        <v>0</v>
      </c>
      <c r="AY135" s="338">
        <v>0</v>
      </c>
      <c r="AZ135" s="338">
        <v>0</v>
      </c>
    </row>
    <row r="136" spans="1:52" ht="15.75" customHeight="1">
      <c r="A136" s="27"/>
      <c r="B136" s="27"/>
      <c r="C136" s="27"/>
      <c r="D136" s="338" t="s">
        <v>242</v>
      </c>
      <c r="E136" s="338" t="s">
        <v>122</v>
      </c>
      <c r="F136" s="338">
        <v>0</v>
      </c>
      <c r="G136" s="338">
        <v>99</v>
      </c>
      <c r="H136" s="338"/>
      <c r="I136" s="338">
        <v>0</v>
      </c>
      <c r="J136" s="338">
        <v>0</v>
      </c>
      <c r="K136" s="338">
        <v>0</v>
      </c>
      <c r="L136" s="338">
        <v>0</v>
      </c>
      <c r="M136" s="338">
        <v>0</v>
      </c>
      <c r="N136" s="338">
        <v>0</v>
      </c>
      <c r="O136" s="338">
        <v>0</v>
      </c>
      <c r="P136" s="338">
        <v>0</v>
      </c>
      <c r="Q136" s="338">
        <v>0</v>
      </c>
      <c r="R136" s="338">
        <v>99</v>
      </c>
      <c r="S136" s="338">
        <v>0</v>
      </c>
      <c r="T136" s="338">
        <v>0</v>
      </c>
      <c r="U136" s="338">
        <v>0</v>
      </c>
      <c r="V136" s="338">
        <v>0</v>
      </c>
      <c r="W136" s="338">
        <v>0</v>
      </c>
      <c r="X136" s="338">
        <v>0</v>
      </c>
      <c r="Y136" s="338">
        <v>0</v>
      </c>
      <c r="Z136" s="338">
        <v>0</v>
      </c>
      <c r="AA136" s="338">
        <v>200000</v>
      </c>
      <c r="AB136" s="338">
        <v>0</v>
      </c>
      <c r="AC136" s="338">
        <v>0</v>
      </c>
      <c r="AD136" s="338">
        <v>0</v>
      </c>
      <c r="AE136" s="338">
        <v>0</v>
      </c>
      <c r="AF136" s="338">
        <v>0</v>
      </c>
      <c r="AG136" s="338">
        <v>0</v>
      </c>
      <c r="AH136" s="338">
        <v>0</v>
      </c>
      <c r="AI136" s="338">
        <v>0</v>
      </c>
      <c r="AJ136" s="338">
        <v>0</v>
      </c>
      <c r="AK136" s="338">
        <v>0</v>
      </c>
      <c r="AL136" s="338">
        <v>0</v>
      </c>
      <c r="AM136" s="338">
        <v>0</v>
      </c>
      <c r="AN136" s="338">
        <v>0</v>
      </c>
      <c r="AO136" s="338">
        <v>0</v>
      </c>
      <c r="AP136" s="338">
        <v>0</v>
      </c>
      <c r="AQ136" s="338">
        <v>0</v>
      </c>
      <c r="AR136" s="338">
        <v>0</v>
      </c>
      <c r="AS136" s="338">
        <v>0</v>
      </c>
      <c r="AT136" s="338">
        <v>0</v>
      </c>
      <c r="AU136" s="338">
        <v>0</v>
      </c>
      <c r="AV136" s="338">
        <v>0</v>
      </c>
      <c r="AW136" s="338">
        <v>0</v>
      </c>
      <c r="AX136" s="338">
        <v>0</v>
      </c>
      <c r="AY136" s="338">
        <v>0</v>
      </c>
      <c r="AZ136" s="338">
        <v>0</v>
      </c>
    </row>
    <row r="137" spans="1:52" ht="15.75" customHeight="1">
      <c r="A137" s="27"/>
      <c r="B137" s="27"/>
      <c r="C137" s="27"/>
      <c r="D137" s="338" t="s">
        <v>243</v>
      </c>
      <c r="E137" s="338" t="s">
        <v>124</v>
      </c>
      <c r="F137" s="338">
        <v>0</v>
      </c>
      <c r="G137" s="338">
        <v>99</v>
      </c>
      <c r="H137" s="338"/>
      <c r="I137" s="338">
        <v>0</v>
      </c>
      <c r="J137" s="338">
        <v>0</v>
      </c>
      <c r="K137" s="338">
        <v>0</v>
      </c>
      <c r="L137" s="338">
        <v>0</v>
      </c>
      <c r="M137" s="338">
        <v>0</v>
      </c>
      <c r="N137" s="338">
        <v>0</v>
      </c>
      <c r="O137" s="338">
        <v>0</v>
      </c>
      <c r="P137" s="338">
        <v>0</v>
      </c>
      <c r="Q137" s="338">
        <v>0</v>
      </c>
      <c r="R137" s="338">
        <v>99</v>
      </c>
      <c r="S137" s="338">
        <v>0</v>
      </c>
      <c r="T137" s="338">
        <v>0</v>
      </c>
      <c r="U137" s="338">
        <v>0</v>
      </c>
      <c r="V137" s="338">
        <v>0</v>
      </c>
      <c r="W137" s="338">
        <v>0</v>
      </c>
      <c r="X137" s="338">
        <v>0</v>
      </c>
      <c r="Y137" s="338">
        <v>0</v>
      </c>
      <c r="Z137" s="338">
        <v>0</v>
      </c>
      <c r="AA137" s="338">
        <v>250000</v>
      </c>
      <c r="AB137" s="338">
        <v>0</v>
      </c>
      <c r="AC137" s="338">
        <v>0</v>
      </c>
      <c r="AD137" s="338">
        <v>0</v>
      </c>
      <c r="AE137" s="338">
        <v>0</v>
      </c>
      <c r="AF137" s="338">
        <v>0</v>
      </c>
      <c r="AG137" s="338">
        <v>0</v>
      </c>
      <c r="AH137" s="338">
        <v>0</v>
      </c>
      <c r="AI137" s="338">
        <v>0</v>
      </c>
      <c r="AJ137" s="338">
        <v>0</v>
      </c>
      <c r="AK137" s="338">
        <v>0</v>
      </c>
      <c r="AL137" s="338">
        <v>0</v>
      </c>
      <c r="AM137" s="338">
        <v>0</v>
      </c>
      <c r="AN137" s="338">
        <v>0</v>
      </c>
      <c r="AO137" s="338">
        <v>0</v>
      </c>
      <c r="AP137" s="338">
        <v>0</v>
      </c>
      <c r="AQ137" s="338">
        <v>0</v>
      </c>
      <c r="AR137" s="338">
        <v>0</v>
      </c>
      <c r="AS137" s="338">
        <v>0</v>
      </c>
      <c r="AT137" s="338">
        <v>0</v>
      </c>
      <c r="AU137" s="338">
        <v>0</v>
      </c>
      <c r="AV137" s="338">
        <v>0</v>
      </c>
      <c r="AW137" s="338">
        <v>0</v>
      </c>
      <c r="AX137" s="338">
        <v>0</v>
      </c>
      <c r="AY137" s="338">
        <v>0</v>
      </c>
      <c r="AZ137" s="338">
        <v>0</v>
      </c>
    </row>
    <row r="138" spans="1:52" ht="15.75" customHeight="1">
      <c r="A138" s="27"/>
      <c r="B138" s="27"/>
      <c r="C138" s="27"/>
      <c r="D138" s="338" t="s">
        <v>244</v>
      </c>
      <c r="E138" s="341" t="s">
        <v>120</v>
      </c>
      <c r="F138" s="371"/>
      <c r="G138" s="338"/>
      <c r="H138" s="338"/>
      <c r="I138" s="338"/>
      <c r="J138" s="338"/>
      <c r="K138" s="338"/>
      <c r="L138" s="338"/>
      <c r="M138" s="338"/>
      <c r="N138" s="338">
        <v>0</v>
      </c>
      <c r="O138" s="338">
        <v>0</v>
      </c>
      <c r="P138" s="338">
        <v>0</v>
      </c>
      <c r="Q138" s="338">
        <v>0</v>
      </c>
      <c r="R138" s="338">
        <v>0</v>
      </c>
      <c r="S138" s="338">
        <v>0</v>
      </c>
      <c r="T138" s="338">
        <v>0</v>
      </c>
      <c r="U138" s="338">
        <v>0</v>
      </c>
      <c r="V138" s="338">
        <v>0</v>
      </c>
      <c r="W138" s="338">
        <v>0</v>
      </c>
      <c r="X138" s="338">
        <v>0</v>
      </c>
      <c r="Y138" s="338">
        <v>0</v>
      </c>
      <c r="Z138" s="338">
        <v>0</v>
      </c>
      <c r="AA138" s="338">
        <v>0</v>
      </c>
      <c r="AB138" s="338">
        <v>0</v>
      </c>
      <c r="AC138" s="338">
        <v>0</v>
      </c>
      <c r="AD138" s="338">
        <v>0</v>
      </c>
      <c r="AE138" s="338">
        <v>0</v>
      </c>
      <c r="AF138" s="338">
        <v>0</v>
      </c>
      <c r="AG138" s="338">
        <v>0</v>
      </c>
      <c r="AH138" s="338">
        <v>0</v>
      </c>
      <c r="AI138" s="338">
        <v>0</v>
      </c>
      <c r="AJ138" s="338">
        <v>0</v>
      </c>
      <c r="AK138" s="338">
        <v>0</v>
      </c>
      <c r="AL138" s="338">
        <v>0</v>
      </c>
      <c r="AM138" s="338">
        <v>0</v>
      </c>
      <c r="AN138" s="338">
        <v>0</v>
      </c>
      <c r="AO138" s="338">
        <v>0</v>
      </c>
      <c r="AP138" s="338">
        <v>9000</v>
      </c>
      <c r="AQ138" s="338">
        <v>0</v>
      </c>
      <c r="AR138" s="338">
        <v>0</v>
      </c>
      <c r="AS138" s="338">
        <v>0</v>
      </c>
      <c r="AT138" s="338">
        <v>0</v>
      </c>
      <c r="AU138" s="338">
        <v>0</v>
      </c>
      <c r="AV138" s="338">
        <v>0</v>
      </c>
      <c r="AW138" s="338">
        <v>0</v>
      </c>
      <c r="AX138" s="338">
        <v>0</v>
      </c>
      <c r="AY138" s="338">
        <v>0</v>
      </c>
      <c r="AZ138" s="338">
        <v>0</v>
      </c>
    </row>
    <row r="139" spans="1:52" ht="15.75" customHeight="1">
      <c r="A139" s="27"/>
      <c r="B139" s="27"/>
      <c r="C139" s="27"/>
      <c r="D139" s="338" t="s">
        <v>245</v>
      </c>
      <c r="E139" s="338" t="s">
        <v>122</v>
      </c>
      <c r="F139" s="338">
        <v>0</v>
      </c>
      <c r="G139" s="338">
        <v>99</v>
      </c>
      <c r="H139" s="338"/>
      <c r="I139" s="338">
        <v>0</v>
      </c>
      <c r="J139" s="338">
        <v>0</v>
      </c>
      <c r="K139" s="338">
        <v>0</v>
      </c>
      <c r="L139" s="338">
        <v>0</v>
      </c>
      <c r="M139" s="338">
        <v>0</v>
      </c>
      <c r="N139" s="338">
        <v>0</v>
      </c>
      <c r="O139" s="338">
        <v>0</v>
      </c>
      <c r="P139" s="338">
        <v>0</v>
      </c>
      <c r="Q139" s="338">
        <v>0</v>
      </c>
      <c r="R139" s="338">
        <v>99</v>
      </c>
      <c r="S139" s="338">
        <v>0</v>
      </c>
      <c r="T139" s="338">
        <v>0</v>
      </c>
      <c r="U139" s="338">
        <v>0</v>
      </c>
      <c r="V139" s="338">
        <v>0</v>
      </c>
      <c r="W139" s="338">
        <v>0</v>
      </c>
      <c r="X139" s="338">
        <v>0</v>
      </c>
      <c r="Y139" s="338">
        <v>0</v>
      </c>
      <c r="Z139" s="338">
        <v>0</v>
      </c>
      <c r="AA139" s="338">
        <v>0</v>
      </c>
      <c r="AB139" s="338">
        <v>0</v>
      </c>
      <c r="AC139" s="338">
        <v>0</v>
      </c>
      <c r="AD139" s="338">
        <v>260000</v>
      </c>
      <c r="AE139" s="338">
        <v>0</v>
      </c>
      <c r="AF139" s="338">
        <v>0</v>
      </c>
      <c r="AG139" s="338">
        <v>0</v>
      </c>
      <c r="AH139" s="338">
        <v>0</v>
      </c>
      <c r="AI139" s="338">
        <v>0</v>
      </c>
      <c r="AJ139" s="338">
        <v>0</v>
      </c>
      <c r="AK139" s="338">
        <v>0</v>
      </c>
      <c r="AL139" s="338">
        <v>0</v>
      </c>
      <c r="AM139" s="338">
        <v>0</v>
      </c>
      <c r="AN139" s="338">
        <v>0</v>
      </c>
      <c r="AO139" s="338">
        <v>0</v>
      </c>
      <c r="AP139" s="338">
        <v>0</v>
      </c>
      <c r="AQ139" s="338">
        <v>0</v>
      </c>
      <c r="AR139" s="338">
        <v>0</v>
      </c>
      <c r="AS139" s="338">
        <v>0</v>
      </c>
      <c r="AT139" s="338">
        <v>0</v>
      </c>
      <c r="AU139" s="338">
        <v>0</v>
      </c>
      <c r="AV139" s="338">
        <v>0</v>
      </c>
      <c r="AW139" s="338">
        <v>0</v>
      </c>
      <c r="AX139" s="338">
        <v>0</v>
      </c>
      <c r="AY139" s="338">
        <v>0</v>
      </c>
      <c r="AZ139" s="338">
        <v>0</v>
      </c>
    </row>
    <row r="140" spans="1:52" ht="15.75" customHeight="1">
      <c r="A140" s="27"/>
      <c r="B140" s="27"/>
      <c r="C140" s="27"/>
      <c r="D140" s="338" t="s">
        <v>246</v>
      </c>
      <c r="E140" s="338" t="s">
        <v>122</v>
      </c>
      <c r="F140" s="338">
        <v>0</v>
      </c>
      <c r="G140" s="338">
        <v>99</v>
      </c>
      <c r="H140" s="338"/>
      <c r="I140" s="338">
        <v>0</v>
      </c>
      <c r="J140" s="338">
        <v>0</v>
      </c>
      <c r="K140" s="338">
        <v>0</v>
      </c>
      <c r="L140" s="338">
        <v>0</v>
      </c>
      <c r="M140" s="338">
        <v>0</v>
      </c>
      <c r="N140" s="338">
        <v>0</v>
      </c>
      <c r="O140" s="338">
        <v>0</v>
      </c>
      <c r="P140" s="338">
        <v>0</v>
      </c>
      <c r="Q140" s="338">
        <v>0</v>
      </c>
      <c r="R140" s="338">
        <v>99</v>
      </c>
      <c r="S140" s="338">
        <v>0</v>
      </c>
      <c r="T140" s="338">
        <v>0</v>
      </c>
      <c r="U140" s="338">
        <v>0</v>
      </c>
      <c r="V140" s="338">
        <v>0</v>
      </c>
      <c r="W140" s="338">
        <v>0</v>
      </c>
      <c r="X140" s="338">
        <v>0</v>
      </c>
      <c r="Y140" s="338">
        <v>0</v>
      </c>
      <c r="Z140" s="338">
        <v>0</v>
      </c>
      <c r="AA140" s="338">
        <v>0</v>
      </c>
      <c r="AB140" s="338">
        <v>0</v>
      </c>
      <c r="AC140" s="338">
        <v>300000</v>
      </c>
      <c r="AD140" s="338">
        <v>0</v>
      </c>
      <c r="AE140" s="338">
        <v>0</v>
      </c>
      <c r="AF140" s="338">
        <v>0</v>
      </c>
      <c r="AG140" s="338">
        <v>0</v>
      </c>
      <c r="AH140" s="338">
        <v>0</v>
      </c>
      <c r="AI140" s="338">
        <v>0</v>
      </c>
      <c r="AJ140" s="338">
        <v>0</v>
      </c>
      <c r="AK140" s="338">
        <v>0</v>
      </c>
      <c r="AL140" s="338">
        <v>0</v>
      </c>
      <c r="AM140" s="338">
        <v>0</v>
      </c>
      <c r="AN140" s="338">
        <v>0</v>
      </c>
      <c r="AO140" s="338">
        <v>0</v>
      </c>
      <c r="AP140" s="338">
        <v>0</v>
      </c>
      <c r="AQ140" s="338">
        <v>0</v>
      </c>
      <c r="AR140" s="338">
        <v>0</v>
      </c>
      <c r="AS140" s="338">
        <v>0</v>
      </c>
      <c r="AT140" s="338">
        <v>0</v>
      </c>
      <c r="AU140" s="338">
        <v>0</v>
      </c>
      <c r="AV140" s="338">
        <v>0</v>
      </c>
      <c r="AW140" s="338">
        <v>0</v>
      </c>
      <c r="AX140" s="338">
        <v>0</v>
      </c>
      <c r="AY140" s="338">
        <v>0</v>
      </c>
      <c r="AZ140" s="338">
        <v>0</v>
      </c>
    </row>
    <row r="141" spans="1:52" ht="15.75" customHeight="1">
      <c r="A141" s="27"/>
      <c r="B141" s="27"/>
      <c r="C141" s="27"/>
      <c r="D141" s="338" t="s">
        <v>247</v>
      </c>
      <c r="E141" s="338" t="s">
        <v>107</v>
      </c>
      <c r="F141" s="338"/>
      <c r="G141" s="338">
        <v>98</v>
      </c>
      <c r="H141" s="338"/>
      <c r="I141" s="338">
        <v>0</v>
      </c>
      <c r="J141" s="338">
        <v>0</v>
      </c>
      <c r="K141" s="338">
        <v>0</v>
      </c>
      <c r="L141" s="338">
        <v>0</v>
      </c>
      <c r="M141" s="338">
        <v>0</v>
      </c>
      <c r="N141" s="338">
        <v>0</v>
      </c>
      <c r="O141" s="338">
        <v>0</v>
      </c>
      <c r="P141" s="338">
        <v>0</v>
      </c>
      <c r="Q141" s="338">
        <v>0</v>
      </c>
      <c r="R141" s="338">
        <v>98</v>
      </c>
      <c r="S141" s="338">
        <v>13</v>
      </c>
      <c r="T141" s="338">
        <v>7.5</v>
      </c>
      <c r="U141" s="338">
        <v>0</v>
      </c>
      <c r="V141" s="338">
        <v>0</v>
      </c>
      <c r="W141" s="338">
        <v>15</v>
      </c>
      <c r="X141" s="338">
        <v>0</v>
      </c>
      <c r="Y141" s="338">
        <v>0.5</v>
      </c>
      <c r="Z141" s="338">
        <v>14</v>
      </c>
      <c r="AA141" s="338">
        <v>1000</v>
      </c>
      <c r="AB141" s="338">
        <v>90</v>
      </c>
      <c r="AC141" s="338">
        <v>2500</v>
      </c>
      <c r="AD141" s="338">
        <v>2000</v>
      </c>
      <c r="AE141" s="338">
        <v>11</v>
      </c>
      <c r="AF141" s="338">
        <v>3700</v>
      </c>
      <c r="AG141" s="338">
        <v>0</v>
      </c>
      <c r="AH141" s="338">
        <v>0</v>
      </c>
      <c r="AI141" s="338">
        <v>0</v>
      </c>
      <c r="AJ141" s="338">
        <v>0</v>
      </c>
      <c r="AK141" s="338">
        <v>0</v>
      </c>
      <c r="AL141" s="338">
        <v>0</v>
      </c>
      <c r="AM141" s="338">
        <v>0</v>
      </c>
      <c r="AN141" s="338">
        <v>0</v>
      </c>
      <c r="AO141" s="338">
        <v>0</v>
      </c>
      <c r="AP141" s="338">
        <v>0</v>
      </c>
      <c r="AQ141" s="338">
        <v>0</v>
      </c>
      <c r="AR141" s="338">
        <v>0</v>
      </c>
      <c r="AS141" s="338">
        <v>0</v>
      </c>
      <c r="AT141" s="338">
        <v>0</v>
      </c>
      <c r="AU141" s="338">
        <v>0</v>
      </c>
      <c r="AV141" s="338">
        <v>0</v>
      </c>
      <c r="AW141" s="338">
        <v>0</v>
      </c>
      <c r="AX141" s="338">
        <v>0</v>
      </c>
      <c r="AY141" s="338">
        <v>0</v>
      </c>
      <c r="AZ141" s="338">
        <v>0</v>
      </c>
    </row>
    <row r="142" spans="1:52" ht="15.75" customHeight="1">
      <c r="A142" s="27"/>
      <c r="B142" s="27"/>
      <c r="C142" s="27"/>
      <c r="D142" s="338" t="s">
        <v>248</v>
      </c>
      <c r="E142" s="338" t="s">
        <v>163</v>
      </c>
      <c r="F142" s="338">
        <v>0</v>
      </c>
      <c r="G142" s="338">
        <v>99</v>
      </c>
      <c r="H142" s="338"/>
      <c r="I142" s="338">
        <v>0</v>
      </c>
      <c r="J142" s="338">
        <v>0</v>
      </c>
      <c r="K142" s="338">
        <v>99</v>
      </c>
      <c r="L142" s="338">
        <v>0</v>
      </c>
      <c r="M142" s="338">
        <v>0</v>
      </c>
      <c r="N142" s="338">
        <v>0</v>
      </c>
      <c r="O142" s="338">
        <v>0</v>
      </c>
      <c r="P142" s="338">
        <v>0</v>
      </c>
      <c r="Q142" s="338">
        <v>0</v>
      </c>
      <c r="R142" s="338">
        <v>99</v>
      </c>
      <c r="S142" s="338">
        <v>0</v>
      </c>
      <c r="T142" s="338">
        <v>0</v>
      </c>
      <c r="U142" s="338">
        <v>0</v>
      </c>
      <c r="V142" s="338">
        <v>0</v>
      </c>
      <c r="W142" s="338">
        <v>0</v>
      </c>
      <c r="X142" s="338">
        <v>0</v>
      </c>
      <c r="Y142" s="338">
        <v>0</v>
      </c>
      <c r="Z142" s="338">
        <v>0</v>
      </c>
      <c r="AA142" s="338">
        <v>0</v>
      </c>
      <c r="AB142" s="338">
        <v>0</v>
      </c>
      <c r="AC142" s="338">
        <v>0</v>
      </c>
      <c r="AD142" s="338">
        <v>0</v>
      </c>
      <c r="AE142" s="338">
        <v>0</v>
      </c>
      <c r="AF142" s="338">
        <v>0</v>
      </c>
      <c r="AG142" s="338">
        <v>0</v>
      </c>
      <c r="AH142" s="338">
        <v>0</v>
      </c>
      <c r="AI142" s="338">
        <v>0</v>
      </c>
      <c r="AJ142" s="338">
        <v>0</v>
      </c>
      <c r="AK142" s="338">
        <v>0</v>
      </c>
      <c r="AL142" s="338">
        <v>0</v>
      </c>
      <c r="AM142" s="338">
        <v>0</v>
      </c>
      <c r="AN142" s="338">
        <v>0</v>
      </c>
      <c r="AO142" s="338">
        <v>0</v>
      </c>
      <c r="AP142" s="338">
        <v>0</v>
      </c>
      <c r="AQ142" s="338">
        <v>0</v>
      </c>
      <c r="AR142" s="338">
        <v>0</v>
      </c>
      <c r="AS142" s="338">
        <v>0</v>
      </c>
      <c r="AT142" s="338">
        <v>0</v>
      </c>
      <c r="AU142" s="338">
        <v>0</v>
      </c>
      <c r="AV142" s="338">
        <v>0</v>
      </c>
      <c r="AW142" s="338">
        <v>0</v>
      </c>
      <c r="AX142" s="338">
        <v>0</v>
      </c>
      <c r="AY142" s="338">
        <v>0</v>
      </c>
      <c r="AZ142" s="338">
        <v>0</v>
      </c>
    </row>
    <row r="143" spans="1:52" ht="15.75" customHeight="1">
      <c r="A143" s="27"/>
      <c r="B143" s="27"/>
      <c r="C143" s="27"/>
      <c r="D143" s="338" t="s">
        <v>249</v>
      </c>
      <c r="E143" s="338" t="s">
        <v>163</v>
      </c>
      <c r="F143" s="338">
        <v>0</v>
      </c>
      <c r="G143" s="338">
        <v>99</v>
      </c>
      <c r="H143" s="338"/>
      <c r="I143" s="338">
        <v>0</v>
      </c>
      <c r="J143" s="338">
        <v>0</v>
      </c>
      <c r="K143" s="338">
        <v>0</v>
      </c>
      <c r="L143" s="338">
        <v>0</v>
      </c>
      <c r="M143" s="338">
        <v>99</v>
      </c>
      <c r="N143" s="338">
        <v>0</v>
      </c>
      <c r="O143" s="338">
        <v>0</v>
      </c>
      <c r="P143" s="338">
        <v>0</v>
      </c>
      <c r="Q143" s="338">
        <v>0</v>
      </c>
      <c r="R143" s="338">
        <v>99</v>
      </c>
      <c r="S143" s="338">
        <v>0</v>
      </c>
      <c r="T143" s="338">
        <v>0</v>
      </c>
      <c r="U143" s="338">
        <v>0</v>
      </c>
      <c r="V143" s="338">
        <v>0</v>
      </c>
      <c r="W143" s="338">
        <v>0</v>
      </c>
      <c r="X143" s="338">
        <v>0</v>
      </c>
      <c r="Y143" s="338">
        <v>0</v>
      </c>
      <c r="Z143" s="338">
        <v>0</v>
      </c>
      <c r="AA143" s="338">
        <v>0</v>
      </c>
      <c r="AB143" s="338">
        <v>0</v>
      </c>
      <c r="AC143" s="338">
        <v>0</v>
      </c>
      <c r="AD143" s="338">
        <v>0</v>
      </c>
      <c r="AE143" s="338">
        <v>0</v>
      </c>
      <c r="AF143" s="338">
        <v>0</v>
      </c>
      <c r="AG143" s="338">
        <v>0</v>
      </c>
      <c r="AH143" s="338">
        <v>0</v>
      </c>
      <c r="AI143" s="338">
        <v>0</v>
      </c>
      <c r="AJ143" s="338">
        <v>0</v>
      </c>
      <c r="AK143" s="338">
        <v>0</v>
      </c>
      <c r="AL143" s="338">
        <v>0</v>
      </c>
      <c r="AM143" s="338">
        <v>0</v>
      </c>
      <c r="AN143" s="338">
        <v>0</v>
      </c>
      <c r="AO143" s="338">
        <v>0</v>
      </c>
      <c r="AP143" s="338">
        <v>0</v>
      </c>
      <c r="AQ143" s="338">
        <v>0</v>
      </c>
      <c r="AR143" s="338">
        <v>0</v>
      </c>
      <c r="AS143" s="338">
        <v>0</v>
      </c>
      <c r="AT143" s="338">
        <v>0</v>
      </c>
      <c r="AU143" s="338">
        <v>0</v>
      </c>
      <c r="AV143" s="338">
        <v>0</v>
      </c>
      <c r="AW143" s="338">
        <v>0</v>
      </c>
      <c r="AX143" s="338">
        <v>0</v>
      </c>
      <c r="AY143" s="338">
        <v>0</v>
      </c>
      <c r="AZ143" s="338">
        <v>0</v>
      </c>
    </row>
    <row r="144" spans="1:52" ht="15.75" customHeight="1">
      <c r="A144" s="27"/>
      <c r="B144" s="27"/>
      <c r="C144" s="27"/>
      <c r="D144" s="338" t="s">
        <v>438</v>
      </c>
      <c r="E144" s="338" t="s">
        <v>120</v>
      </c>
      <c r="F144" s="338"/>
      <c r="G144" s="338">
        <v>60</v>
      </c>
      <c r="H144" s="338"/>
      <c r="I144" s="338"/>
      <c r="J144" s="338"/>
      <c r="K144" s="338"/>
      <c r="L144" s="338"/>
      <c r="M144" s="338"/>
      <c r="N144" s="338">
        <v>0</v>
      </c>
      <c r="O144" s="338">
        <v>0</v>
      </c>
      <c r="P144" s="338">
        <v>0</v>
      </c>
      <c r="Q144" s="338">
        <v>0</v>
      </c>
      <c r="R144" s="338">
        <v>0</v>
      </c>
      <c r="S144" s="338">
        <v>0</v>
      </c>
      <c r="T144" s="338">
        <v>0</v>
      </c>
      <c r="U144" s="338">
        <v>0</v>
      </c>
      <c r="V144" s="338">
        <v>0</v>
      </c>
      <c r="W144" s="338">
        <v>0</v>
      </c>
      <c r="X144" s="338">
        <v>0</v>
      </c>
      <c r="Y144" s="338">
        <v>0</v>
      </c>
      <c r="Z144" s="338">
        <v>0</v>
      </c>
      <c r="AA144" s="338">
        <v>0</v>
      </c>
      <c r="AB144" s="338">
        <v>0</v>
      </c>
      <c r="AC144" s="338">
        <v>0</v>
      </c>
      <c r="AD144" s="338">
        <v>0</v>
      </c>
      <c r="AE144" s="338">
        <v>0</v>
      </c>
      <c r="AF144" s="338">
        <v>0</v>
      </c>
      <c r="AG144" s="338">
        <v>0</v>
      </c>
      <c r="AH144" s="338">
        <v>0</v>
      </c>
      <c r="AI144" s="338">
        <v>0</v>
      </c>
      <c r="AJ144" s="338">
        <v>0</v>
      </c>
      <c r="AK144" s="338">
        <v>0</v>
      </c>
      <c r="AL144" s="338">
        <v>0</v>
      </c>
      <c r="AM144" s="338">
        <v>0</v>
      </c>
      <c r="AN144" s="338">
        <v>0</v>
      </c>
      <c r="AO144" s="338">
        <v>0</v>
      </c>
      <c r="AP144" s="338">
        <v>0</v>
      </c>
      <c r="AQ144" s="338">
        <v>0</v>
      </c>
      <c r="AR144" s="338">
        <v>0</v>
      </c>
      <c r="AS144" s="338">
        <v>0</v>
      </c>
      <c r="AT144" s="338">
        <v>0</v>
      </c>
      <c r="AU144" s="338">
        <v>0</v>
      </c>
      <c r="AV144" s="338">
        <v>0</v>
      </c>
      <c r="AW144" s="338">
        <v>0</v>
      </c>
      <c r="AX144" s="338">
        <v>0</v>
      </c>
      <c r="AY144" s="338">
        <v>0</v>
      </c>
      <c r="AZ144" s="338">
        <v>0</v>
      </c>
    </row>
    <row r="145" spans="1:52" ht="15.75" customHeight="1">
      <c r="A145" s="27"/>
      <c r="B145" s="27"/>
      <c r="C145" s="27"/>
      <c r="D145" s="338" t="s">
        <v>439</v>
      </c>
      <c r="E145" s="338" t="s">
        <v>120</v>
      </c>
      <c r="F145" s="338"/>
      <c r="G145" s="338">
        <v>97</v>
      </c>
      <c r="H145" s="338"/>
      <c r="I145" s="338">
        <v>22</v>
      </c>
      <c r="J145" s="338">
        <v>18.91</v>
      </c>
      <c r="K145" s="338">
        <v>12.36</v>
      </c>
      <c r="L145" s="338">
        <v>3.48</v>
      </c>
      <c r="M145" s="338">
        <v>0.21</v>
      </c>
      <c r="N145" s="338">
        <v>0</v>
      </c>
      <c r="O145" s="338">
        <v>0</v>
      </c>
      <c r="P145" s="338">
        <v>0</v>
      </c>
      <c r="Q145" s="338">
        <v>0</v>
      </c>
      <c r="R145" s="338">
        <v>0</v>
      </c>
      <c r="S145" s="338">
        <v>7</v>
      </c>
      <c r="T145" s="338">
        <v>3.8</v>
      </c>
      <c r="U145" s="338">
        <v>0.3</v>
      </c>
      <c r="V145" s="338">
        <v>0.35</v>
      </c>
      <c r="W145" s="338">
        <v>0.28000000000000003</v>
      </c>
      <c r="X145" s="338">
        <v>4.7</v>
      </c>
      <c r="Y145" s="338">
        <v>3.48</v>
      </c>
      <c r="Z145" s="338">
        <v>200</v>
      </c>
      <c r="AA145" s="338">
        <v>601</v>
      </c>
      <c r="AB145" s="338">
        <v>75.12</v>
      </c>
      <c r="AC145" s="338">
        <v>2520</v>
      </c>
      <c r="AD145" s="338">
        <v>427</v>
      </c>
      <c r="AE145" s="338">
        <v>13.5</v>
      </c>
      <c r="AF145" s="338">
        <v>2250</v>
      </c>
      <c r="AG145" s="338">
        <v>10000</v>
      </c>
      <c r="AH145" s="338">
        <v>15000</v>
      </c>
      <c r="AI145" s="338">
        <v>300</v>
      </c>
      <c r="AJ145" s="338">
        <v>250</v>
      </c>
      <c r="AK145" s="338">
        <v>200</v>
      </c>
      <c r="AL145" s="338">
        <v>0</v>
      </c>
      <c r="AM145" s="338">
        <v>0</v>
      </c>
      <c r="AN145" s="338">
        <v>0</v>
      </c>
      <c r="AO145" s="338">
        <v>0</v>
      </c>
      <c r="AP145" s="338">
        <v>0</v>
      </c>
      <c r="AQ145" s="338">
        <v>0</v>
      </c>
      <c r="AR145" s="338">
        <v>0</v>
      </c>
      <c r="AS145" s="338">
        <v>0</v>
      </c>
      <c r="AT145" s="338">
        <v>0</v>
      </c>
      <c r="AU145" s="338">
        <v>0</v>
      </c>
      <c r="AV145" s="338">
        <v>0</v>
      </c>
      <c r="AW145" s="338">
        <v>0</v>
      </c>
      <c r="AX145" s="338">
        <v>0</v>
      </c>
      <c r="AY145" s="338">
        <v>0</v>
      </c>
      <c r="AZ145" s="338">
        <v>0</v>
      </c>
    </row>
    <row r="146" spans="1:52" ht="15.75" customHeight="1">
      <c r="A146" s="27"/>
      <c r="B146" s="27"/>
      <c r="C146" s="27"/>
      <c r="D146" s="338" t="s">
        <v>440</v>
      </c>
      <c r="E146" s="338" t="s">
        <v>120</v>
      </c>
      <c r="F146" s="338"/>
      <c r="G146" s="338">
        <v>60</v>
      </c>
      <c r="H146" s="338"/>
      <c r="I146" s="338"/>
      <c r="J146" s="338">
        <v>2.8</v>
      </c>
      <c r="K146" s="338">
        <v>0.03</v>
      </c>
      <c r="L146" s="338">
        <v>0</v>
      </c>
      <c r="M146" s="338">
        <v>0.05</v>
      </c>
      <c r="N146" s="338">
        <v>0</v>
      </c>
      <c r="O146" s="338">
        <v>0</v>
      </c>
      <c r="P146" s="338">
        <v>0</v>
      </c>
      <c r="Q146" s="338">
        <v>0</v>
      </c>
      <c r="R146" s="338">
        <v>0</v>
      </c>
      <c r="S146" s="338">
        <v>0</v>
      </c>
      <c r="T146" s="338">
        <v>0</v>
      </c>
      <c r="U146" s="338">
        <v>0</v>
      </c>
      <c r="V146" s="338">
        <v>0</v>
      </c>
      <c r="W146" s="338">
        <v>0</v>
      </c>
      <c r="X146" s="338">
        <v>0</v>
      </c>
      <c r="Y146" s="338">
        <v>0</v>
      </c>
      <c r="Z146" s="338">
        <v>0</v>
      </c>
      <c r="AA146" s="338">
        <v>0</v>
      </c>
      <c r="AB146" s="338">
        <v>0</v>
      </c>
      <c r="AC146" s="338">
        <v>0</v>
      </c>
      <c r="AD146" s="338">
        <v>0</v>
      </c>
      <c r="AE146" s="338">
        <v>0</v>
      </c>
      <c r="AF146" s="338">
        <v>0</v>
      </c>
      <c r="AG146" s="338">
        <v>0</v>
      </c>
      <c r="AH146" s="338">
        <v>0</v>
      </c>
      <c r="AI146" s="338">
        <v>0</v>
      </c>
      <c r="AJ146" s="338">
        <v>0</v>
      </c>
      <c r="AK146" s="338">
        <v>0</v>
      </c>
      <c r="AL146" s="338">
        <v>0</v>
      </c>
      <c r="AM146" s="338">
        <v>0</v>
      </c>
      <c r="AN146" s="338">
        <v>0</v>
      </c>
      <c r="AO146" s="338">
        <v>0</v>
      </c>
      <c r="AP146" s="338"/>
      <c r="AQ146" s="338">
        <v>0</v>
      </c>
      <c r="AR146" s="338">
        <v>0</v>
      </c>
      <c r="AS146" s="338">
        <v>0</v>
      </c>
      <c r="AT146" s="338">
        <v>0</v>
      </c>
      <c r="AU146" s="338">
        <v>0</v>
      </c>
      <c r="AV146" s="338">
        <v>0</v>
      </c>
      <c r="AW146" s="338">
        <v>0</v>
      </c>
      <c r="AX146" s="338">
        <v>0</v>
      </c>
      <c r="AY146" s="338">
        <v>0</v>
      </c>
      <c r="AZ146" s="338">
        <v>0</v>
      </c>
    </row>
    <row r="147" spans="1:52" ht="15.75" customHeight="1">
      <c r="A147" s="27"/>
      <c r="B147" s="27"/>
      <c r="C147" s="27"/>
      <c r="D147" s="338" t="s">
        <v>441</v>
      </c>
      <c r="E147" s="338" t="s">
        <v>120</v>
      </c>
      <c r="F147" s="338"/>
      <c r="G147" s="338">
        <v>60</v>
      </c>
      <c r="H147" s="338"/>
      <c r="I147" s="338"/>
      <c r="J147" s="338">
        <v>3.9</v>
      </c>
      <c r="K147" s="338">
        <v>0</v>
      </c>
      <c r="L147" s="338">
        <v>0</v>
      </c>
      <c r="M147" s="338">
        <v>0</v>
      </c>
      <c r="N147" s="338">
        <v>0</v>
      </c>
      <c r="O147" s="338">
        <v>0</v>
      </c>
      <c r="P147" s="338">
        <v>0</v>
      </c>
      <c r="Q147" s="338">
        <v>0</v>
      </c>
      <c r="R147" s="338">
        <v>0</v>
      </c>
      <c r="S147" s="338">
        <v>0</v>
      </c>
      <c r="T147" s="338">
        <v>0</v>
      </c>
      <c r="U147" s="338">
        <v>0</v>
      </c>
      <c r="V147" s="338">
        <v>0</v>
      </c>
      <c r="W147" s="338">
        <v>0</v>
      </c>
      <c r="X147" s="338">
        <v>0</v>
      </c>
      <c r="Y147" s="338">
        <v>0</v>
      </c>
      <c r="Z147" s="338">
        <v>100</v>
      </c>
      <c r="AA147" s="338">
        <v>507</v>
      </c>
      <c r="AB147" s="338">
        <v>0</v>
      </c>
      <c r="AC147" s="338">
        <v>9000</v>
      </c>
      <c r="AD147" s="338">
        <v>0</v>
      </c>
      <c r="AE147" s="338">
        <v>0</v>
      </c>
      <c r="AF147" s="338">
        <v>5000</v>
      </c>
      <c r="AG147" s="338">
        <v>0</v>
      </c>
      <c r="AH147" s="338">
        <v>0</v>
      </c>
      <c r="AI147" s="338">
        <v>0</v>
      </c>
      <c r="AJ147" s="338">
        <v>0</v>
      </c>
      <c r="AK147" s="338">
        <v>0</v>
      </c>
      <c r="AL147" s="338">
        <v>0</v>
      </c>
      <c r="AM147" s="338">
        <v>0</v>
      </c>
      <c r="AN147" s="338">
        <v>0</v>
      </c>
      <c r="AO147" s="338">
        <v>0</v>
      </c>
      <c r="AP147" s="338">
        <v>0</v>
      </c>
      <c r="AQ147" s="338">
        <v>0</v>
      </c>
      <c r="AR147" s="338">
        <v>0</v>
      </c>
      <c r="AS147" s="338">
        <v>0</v>
      </c>
      <c r="AT147" s="338">
        <v>0</v>
      </c>
      <c r="AU147" s="338">
        <v>0</v>
      </c>
      <c r="AV147" s="338">
        <v>0</v>
      </c>
      <c r="AW147" s="338">
        <v>0</v>
      </c>
      <c r="AX147" s="338">
        <v>0</v>
      </c>
      <c r="AY147" s="338">
        <v>0</v>
      </c>
      <c r="AZ147" s="338">
        <v>0</v>
      </c>
    </row>
    <row r="148" spans="1:52" ht="15.75" customHeight="1">
      <c r="A148" s="27"/>
      <c r="B148" s="27"/>
      <c r="C148" s="27"/>
      <c r="D148" s="368" t="s">
        <v>428</v>
      </c>
      <c r="E148" s="338"/>
      <c r="F148" s="338"/>
      <c r="G148" s="372">
        <f>MAX(G2:G147)</f>
        <v>100</v>
      </c>
      <c r="H148" s="372">
        <f>MAX(H2:H147)</f>
        <v>9.19</v>
      </c>
      <c r="I148" s="372">
        <f>MAX(I2:I147)</f>
        <v>71.2</v>
      </c>
      <c r="J148" s="372">
        <f t="shared" ref="J148" si="0">MAX(J2,J147)</f>
        <v>3.9</v>
      </c>
      <c r="K148" s="372">
        <f t="shared" ref="K148:M148" si="1">MAX(K2:K147)</f>
        <v>99</v>
      </c>
      <c r="L148" s="372">
        <f t="shared" si="1"/>
        <v>99</v>
      </c>
      <c r="M148" s="372">
        <f t="shared" si="1"/>
        <v>99</v>
      </c>
      <c r="N148" s="372">
        <f>MAX(N2:N147)</f>
        <v>99.9</v>
      </c>
      <c r="O148" s="372">
        <f t="shared" ref="O148:Q148" si="2">MAX(O2:O147)</f>
        <v>86.2</v>
      </c>
      <c r="P148" s="372">
        <f t="shared" si="2"/>
        <v>64.900000000000006</v>
      </c>
      <c r="Q148" s="372">
        <f t="shared" si="2"/>
        <v>45</v>
      </c>
      <c r="R148" s="372">
        <f>MAX(R2:R147)</f>
        <v>99</v>
      </c>
      <c r="S148" s="372">
        <f t="shared" ref="S148:U148" si="3">MAX(S2:S147)</f>
        <v>45</v>
      </c>
      <c r="T148" s="372">
        <f t="shared" si="3"/>
        <v>160</v>
      </c>
      <c r="U148" s="372">
        <f t="shared" si="3"/>
        <v>55</v>
      </c>
      <c r="V148" s="372">
        <f>MAX(V2:V147)</f>
        <v>6.06</v>
      </c>
      <c r="W148" s="372">
        <f t="shared" ref="W148:Y148" si="4">MAX(W2:W147)</f>
        <v>39</v>
      </c>
      <c r="X148" s="372">
        <f t="shared" si="4"/>
        <v>160</v>
      </c>
      <c r="Y148" s="372">
        <f t="shared" si="4"/>
        <v>99</v>
      </c>
      <c r="Z148" s="372">
        <f>MAX(Z2:Z147)</f>
        <v>200</v>
      </c>
      <c r="AA148" s="372">
        <f t="shared" ref="AA148:AC148" si="5">MAX(AA2:AA147)</f>
        <v>250000</v>
      </c>
      <c r="AB148" s="372">
        <f t="shared" si="5"/>
        <v>560000</v>
      </c>
      <c r="AC148" s="372">
        <f t="shared" si="5"/>
        <v>300000</v>
      </c>
      <c r="AD148" s="372">
        <f>MAX(AD2:AD147)</f>
        <v>260000</v>
      </c>
      <c r="AE148" s="372">
        <f t="shared" ref="AE148:AG148" si="6">MAX(AE2:AE147)</f>
        <v>450000</v>
      </c>
      <c r="AF148" s="372">
        <f t="shared" si="6"/>
        <v>790000</v>
      </c>
      <c r="AG148" s="372">
        <f t="shared" si="6"/>
        <v>10000</v>
      </c>
      <c r="AH148" s="372">
        <f>MAX(AH2:AH147)</f>
        <v>30000</v>
      </c>
      <c r="AI148" s="372">
        <f t="shared" ref="AI148:AK148" si="7">MAX(AI2:AI147)</f>
        <v>3167</v>
      </c>
      <c r="AJ148" s="372">
        <f t="shared" si="7"/>
        <v>250</v>
      </c>
      <c r="AK148" s="372">
        <f t="shared" si="7"/>
        <v>200</v>
      </c>
      <c r="AL148" s="372">
        <f>MAX(AL2:AL147)</f>
        <v>10000</v>
      </c>
      <c r="AM148" s="372">
        <f t="shared" ref="AM148:AO148" si="8">MAX(AM2:AM147)</f>
        <v>10000</v>
      </c>
      <c r="AN148" s="372">
        <f t="shared" si="8"/>
        <v>9800</v>
      </c>
      <c r="AO148" s="372">
        <f t="shared" si="8"/>
        <v>9500</v>
      </c>
      <c r="AP148" s="372">
        <f>MAX(AP2:AP147)</f>
        <v>9000</v>
      </c>
      <c r="AQ148" s="338">
        <v>0</v>
      </c>
      <c r="AR148" s="338">
        <v>0</v>
      </c>
      <c r="AS148" s="338">
        <v>0</v>
      </c>
      <c r="AT148" s="338">
        <v>0</v>
      </c>
      <c r="AU148" s="338">
        <v>0</v>
      </c>
      <c r="AV148" s="338">
        <v>0</v>
      </c>
      <c r="AW148" s="338">
        <v>0</v>
      </c>
      <c r="AX148" s="338">
        <v>0</v>
      </c>
      <c r="AY148" s="338">
        <v>0</v>
      </c>
      <c r="AZ148" s="338">
        <v>0</v>
      </c>
    </row>
    <row r="149" spans="1:52" ht="15.75" customHeight="1">
      <c r="A149" s="14"/>
      <c r="B149" s="14"/>
      <c r="C149" s="14"/>
      <c r="D149" s="341" t="s">
        <v>429</v>
      </c>
      <c r="E149" s="338"/>
      <c r="F149" s="338"/>
      <c r="G149" s="338"/>
      <c r="H149" s="338"/>
      <c r="I149" s="338"/>
      <c r="J149" s="338"/>
      <c r="K149" s="338"/>
      <c r="L149" s="338"/>
      <c r="M149" s="338"/>
      <c r="N149" s="338">
        <v>0</v>
      </c>
      <c r="O149" s="338">
        <v>0</v>
      </c>
      <c r="P149" s="338">
        <v>0</v>
      </c>
      <c r="Q149" s="338">
        <v>0</v>
      </c>
      <c r="R149" s="338">
        <v>0</v>
      </c>
      <c r="S149" s="338">
        <v>0</v>
      </c>
      <c r="T149" s="338">
        <v>0</v>
      </c>
      <c r="U149" s="338">
        <v>0</v>
      </c>
      <c r="V149" s="338">
        <v>0</v>
      </c>
      <c r="W149" s="338">
        <v>0</v>
      </c>
      <c r="X149" s="338">
        <v>0</v>
      </c>
      <c r="Y149" s="338">
        <v>0</v>
      </c>
      <c r="Z149" s="338">
        <v>0</v>
      </c>
      <c r="AA149" s="338">
        <v>0</v>
      </c>
      <c r="AB149" s="338">
        <v>0</v>
      </c>
      <c r="AC149" s="338">
        <v>0</v>
      </c>
      <c r="AD149" s="338">
        <v>0</v>
      </c>
      <c r="AE149" s="338">
        <v>0</v>
      </c>
      <c r="AF149" s="338">
        <v>0</v>
      </c>
      <c r="AG149" s="338">
        <v>0</v>
      </c>
      <c r="AH149" s="338">
        <v>0</v>
      </c>
      <c r="AI149" s="338">
        <v>0</v>
      </c>
      <c r="AJ149" s="338">
        <v>0</v>
      </c>
      <c r="AK149" s="338">
        <v>0</v>
      </c>
      <c r="AL149" s="338">
        <v>0</v>
      </c>
      <c r="AM149" s="338">
        <v>0</v>
      </c>
      <c r="AN149" s="338">
        <v>0</v>
      </c>
      <c r="AO149" s="338">
        <v>0</v>
      </c>
      <c r="AP149" s="338">
        <v>0</v>
      </c>
      <c r="AQ149" s="341" t="s">
        <v>442</v>
      </c>
      <c r="AR149" s="338">
        <v>0</v>
      </c>
      <c r="AS149" s="338">
        <v>0</v>
      </c>
      <c r="AT149" s="338">
        <v>0</v>
      </c>
      <c r="AU149" s="338">
        <v>0</v>
      </c>
      <c r="AV149" s="338">
        <v>0</v>
      </c>
      <c r="AW149" s="338">
        <v>0</v>
      </c>
      <c r="AX149" s="338">
        <v>0</v>
      </c>
      <c r="AY149" s="338">
        <v>0</v>
      </c>
      <c r="AZ149" s="338">
        <v>0</v>
      </c>
    </row>
    <row r="150" spans="1:52" ht="15.75" customHeight="1">
      <c r="A150" s="14"/>
      <c r="B150" s="14"/>
      <c r="C150" s="14"/>
      <c r="D150" s="338">
        <f>MAX(G148:AP148)</f>
        <v>790000</v>
      </c>
      <c r="E150" s="338"/>
      <c r="F150" s="338"/>
      <c r="G150" s="338"/>
      <c r="H150" s="338"/>
      <c r="I150" s="338"/>
      <c r="J150" s="338"/>
      <c r="K150" s="338"/>
      <c r="L150" s="338"/>
      <c r="M150" s="338"/>
      <c r="N150" s="338">
        <v>0</v>
      </c>
      <c r="O150" s="338">
        <v>0</v>
      </c>
      <c r="P150" s="338">
        <v>0</v>
      </c>
      <c r="Q150" s="338">
        <v>0</v>
      </c>
      <c r="R150" s="338">
        <v>0</v>
      </c>
      <c r="S150" s="338">
        <v>0</v>
      </c>
      <c r="T150" s="338">
        <v>0</v>
      </c>
      <c r="U150" s="338">
        <v>0</v>
      </c>
      <c r="V150" s="338">
        <v>0</v>
      </c>
      <c r="W150" s="338">
        <v>0</v>
      </c>
      <c r="X150" s="338">
        <v>0</v>
      </c>
      <c r="Y150" s="338">
        <v>0</v>
      </c>
      <c r="Z150" s="338">
        <v>0</v>
      </c>
      <c r="AA150" s="338">
        <v>0</v>
      </c>
      <c r="AB150" s="338">
        <v>0</v>
      </c>
      <c r="AC150" s="338">
        <v>0</v>
      </c>
      <c r="AD150" s="338">
        <v>0</v>
      </c>
      <c r="AE150" s="338">
        <v>0</v>
      </c>
      <c r="AF150" s="338">
        <v>0</v>
      </c>
      <c r="AG150" s="338">
        <v>0</v>
      </c>
      <c r="AH150" s="338">
        <v>0</v>
      </c>
      <c r="AI150" s="338">
        <v>0</v>
      </c>
      <c r="AJ150" s="338">
        <v>0</v>
      </c>
      <c r="AK150" s="338">
        <v>0</v>
      </c>
      <c r="AL150" s="338">
        <v>0</v>
      </c>
      <c r="AM150" s="338">
        <v>0</v>
      </c>
      <c r="AN150" s="338">
        <v>0</v>
      </c>
      <c r="AO150" s="338">
        <v>0</v>
      </c>
      <c r="AP150" s="338">
        <v>0</v>
      </c>
      <c r="AQ150" s="338">
        <v>0</v>
      </c>
      <c r="AR150" s="338">
        <v>0</v>
      </c>
      <c r="AS150" s="338">
        <v>0</v>
      </c>
      <c r="AT150" s="338">
        <v>0</v>
      </c>
      <c r="AU150" s="338">
        <v>0</v>
      </c>
      <c r="AV150" s="338">
        <v>0</v>
      </c>
      <c r="AW150" s="338">
        <v>0</v>
      </c>
      <c r="AX150" s="338">
        <v>0</v>
      </c>
      <c r="AY150" s="338">
        <v>0</v>
      </c>
      <c r="AZ150" s="338">
        <v>0</v>
      </c>
    </row>
    <row r="151" spans="1:52" ht="15.75" customHeight="1">
      <c r="A151" s="14"/>
      <c r="B151" s="14"/>
      <c r="C151" s="14"/>
      <c r="D151" s="338">
        <f>MIN(G151:AP151)</f>
        <v>4.6962238999999992E-3</v>
      </c>
      <c r="E151" s="338"/>
      <c r="F151" s="338"/>
      <c r="G151" s="373" cm="1">
        <f t="array" ref="G151">MIN(IF(G2:G147&gt;0, G2:G147))</f>
        <v>20.100000000000001</v>
      </c>
      <c r="H151" s="373" cm="1">
        <f t="array" ref="H151">MIN(IF(H2:H147&gt;0, H2:H147))</f>
        <v>1.69</v>
      </c>
      <c r="I151" s="373" cm="1">
        <f t="array" ref="I151">MIN(IF(I2:I147&gt;0, I2:I147))</f>
        <v>0.13120987006009641</v>
      </c>
      <c r="J151" s="373" cm="1">
        <f t="array" ref="J151">MIN(IF(J2:J147&gt;0, J2:J147))</f>
        <v>0.06</v>
      </c>
      <c r="K151" s="373" cm="1">
        <f t="array" ref="K151">MIN(IF(K2:K147&gt;0, K2:K147))</f>
        <v>0.03</v>
      </c>
      <c r="L151" s="373" cm="1">
        <f t="array" ref="L151">MIN(IF(L2:L147&gt;0, L2:L147))</f>
        <v>0.12</v>
      </c>
      <c r="M151" s="373" cm="1">
        <f t="array" ref="M151">MIN(IF(M2:M147&gt;0, M2:M147))</f>
        <v>0.05</v>
      </c>
      <c r="N151" s="373" cm="1">
        <f t="array" ref="N151">MIN(IF(N2:N147&gt;0, N2:N147))</f>
        <v>0.2</v>
      </c>
      <c r="O151" s="373" cm="1">
        <f t="array" ref="O151">MIN(IF(O2:O147&gt;0, O2:O147))</f>
        <v>0.1</v>
      </c>
      <c r="P151" s="373" cm="1">
        <f t="array" ref="P151">MIN(IF(P2:P147&gt;0, P2:P147))</f>
        <v>0.1</v>
      </c>
      <c r="Q151" s="373" cm="1">
        <f t="array" ref="Q151">MIN(IF(Q2:Q147&gt;0, Q2:Q147))</f>
        <v>0.9</v>
      </c>
      <c r="R151" s="373" cm="1">
        <f t="array" ref="R151">MIN(IF(R2:R147&gt;0, R2:R147))</f>
        <v>1</v>
      </c>
      <c r="S151" s="373" cm="1">
        <f t="array" ref="S151">MIN(IF(S2:S147&gt;0, S2:S147))</f>
        <v>0.01</v>
      </c>
      <c r="T151" s="373" cm="1">
        <f t="array" ref="T151">MIN(IF(T2:T147&gt;0, T2:T147))</f>
        <v>0.03</v>
      </c>
      <c r="U151" s="373" cm="1">
        <f t="array" ref="U151">MIN(IF(U2:U147&gt;0, U2:U147))</f>
        <v>2.9702399300000001E-2</v>
      </c>
      <c r="V151" s="373" cm="1">
        <f t="array" ref="V151">MIN(IF(V2:V147&gt;0, V2:V147))</f>
        <v>2.8088394199999998E-2</v>
      </c>
      <c r="W151" s="373" cm="1">
        <f t="array" ref="W151">MIN(IF(W2:W147&gt;0, W2:W147))</f>
        <v>0.01</v>
      </c>
      <c r="X151" s="373" cm="1">
        <f t="array" ref="X151">MIN(IF(X2:X147&gt;0, X2:X147))</f>
        <v>4.6962238999999992E-3</v>
      </c>
      <c r="Y151" s="373" cm="1">
        <f t="array" ref="Y151">MIN(IF(Y2:Y147&gt;0, Y2:Y147))</f>
        <v>1.0598840300000001E-2</v>
      </c>
      <c r="Z151" s="373" cm="1">
        <f t="array" ref="Z151">MIN(IF(Z2:Z147&gt;0, Z2:Z147))</f>
        <v>0.06</v>
      </c>
      <c r="AA151" s="373" cm="1">
        <f t="array" ref="AA151">MIN(IF(AA2:AA147&gt;0, AA2:AA147))</f>
        <v>3</v>
      </c>
      <c r="AB151" s="373" cm="1">
        <f t="array" ref="AB151">MIN(IF(AB2:AB147&gt;0, AB2:AB147))</f>
        <v>0.05</v>
      </c>
      <c r="AC151" s="373" cm="1">
        <f t="array" ref="AC151">MIN(IF(AC2:AC147&gt;0, AC2:AC147))</f>
        <v>14.84</v>
      </c>
      <c r="AD151" s="373" cm="1">
        <f t="array" ref="AD151">MIN(IF(AD2:AD147&gt;0, AD2:AD147))</f>
        <v>5</v>
      </c>
      <c r="AE151" s="373" cm="1">
        <f t="array" ref="AE151">MIN(IF(AE2:AE147&gt;0, AE2:AE147))</f>
        <v>0.03</v>
      </c>
      <c r="AF151" s="373" cm="1">
        <f t="array" ref="AF151">MIN(IF(AF2:AF147&gt;0, AF2:AF147))</f>
        <v>9</v>
      </c>
      <c r="AG151" s="373" cm="1">
        <f t="array" ref="AG151">MIN(IF(AG2:AG147&gt;0, AG2:AG147))</f>
        <v>0.2</v>
      </c>
      <c r="AH151" s="373" cm="1">
        <f t="array" ref="AH151">MIN(IF(AH2:AH147&gt;0, AH2:AH147))</f>
        <v>500</v>
      </c>
      <c r="AI151" s="373" cm="1">
        <f t="array" ref="AI151">MIN(IF(AI2:AI147&gt;0, AI2:AI147))</f>
        <v>15</v>
      </c>
      <c r="AJ151" s="373" cm="1">
        <f t="array" ref="AJ151">MIN(IF(AJ2:AJ147&gt;0, AJ2:AJ147))</f>
        <v>0.9</v>
      </c>
      <c r="AK151" s="373" cm="1">
        <f t="array" ref="AK151">MIN(IF(AK2:AK147&gt;0, AK2:AK147))</f>
        <v>0.9</v>
      </c>
      <c r="AL151" s="373" cm="1">
        <f t="array" ref="AL151">MIN(IF(AL2:AL147&gt;0, AL2:AL147))</f>
        <v>10000</v>
      </c>
      <c r="AM151" s="373" cm="1">
        <f t="array" ref="AM151">MIN(IF(AM2:AM147&gt;0, AM2:AM147))</f>
        <v>10000</v>
      </c>
      <c r="AN151" s="373" cm="1">
        <f t="array" ref="AN151">MIN(IF(AN2:AN147&gt;0, AN2:AN147))</f>
        <v>9800</v>
      </c>
      <c r="AO151" s="373" cm="1">
        <f t="array" ref="AO151">MIN(IF(AO2:AO147&gt;0, AO2:AO147))</f>
        <v>9500</v>
      </c>
      <c r="AP151" s="373" cm="1">
        <f t="array" ref="AP151">MIN(IF(AP2:AP147&gt;0, AP2:AP147))</f>
        <v>9000</v>
      </c>
      <c r="AQ151" s="338">
        <v>0</v>
      </c>
      <c r="AR151" s="338">
        <v>0</v>
      </c>
      <c r="AS151" s="338">
        <v>0</v>
      </c>
      <c r="AT151" s="338">
        <v>0</v>
      </c>
      <c r="AU151" s="338">
        <v>0</v>
      </c>
      <c r="AV151" s="338">
        <v>0</v>
      </c>
      <c r="AW151" s="338">
        <v>0</v>
      </c>
      <c r="AX151" s="338">
        <v>0</v>
      </c>
      <c r="AY151" s="338">
        <v>0</v>
      </c>
      <c r="AZ151" s="338">
        <v>0</v>
      </c>
    </row>
    <row r="152" spans="1:52" ht="15.75" customHeight="1">
      <c r="A152" s="14"/>
      <c r="B152" s="14"/>
      <c r="C152" s="14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>
        <v>0</v>
      </c>
      <c r="O152" s="338">
        <v>0</v>
      </c>
      <c r="P152" s="338">
        <v>0</v>
      </c>
      <c r="Q152" s="338">
        <v>0</v>
      </c>
      <c r="R152" s="338">
        <v>0</v>
      </c>
      <c r="S152" s="338">
        <v>0</v>
      </c>
      <c r="T152" s="338">
        <v>0</v>
      </c>
      <c r="U152" s="338">
        <v>0</v>
      </c>
      <c r="V152" s="338">
        <v>0</v>
      </c>
      <c r="W152" s="338">
        <v>0</v>
      </c>
      <c r="X152" s="338">
        <v>0</v>
      </c>
      <c r="Y152" s="338">
        <v>0</v>
      </c>
      <c r="Z152" s="338">
        <v>0</v>
      </c>
      <c r="AA152" s="338">
        <v>0</v>
      </c>
      <c r="AB152" s="338">
        <v>0</v>
      </c>
      <c r="AC152" s="338">
        <v>0</v>
      </c>
      <c r="AD152" s="338">
        <v>0</v>
      </c>
      <c r="AE152" s="338">
        <v>0</v>
      </c>
      <c r="AF152" s="338">
        <v>0</v>
      </c>
      <c r="AG152" s="338">
        <v>0</v>
      </c>
      <c r="AH152" s="338">
        <v>0</v>
      </c>
      <c r="AI152" s="338">
        <v>0</v>
      </c>
      <c r="AJ152" s="338">
        <v>0</v>
      </c>
      <c r="AK152" s="338">
        <v>0</v>
      </c>
      <c r="AL152" s="338">
        <v>0</v>
      </c>
      <c r="AM152" s="338">
        <v>0</v>
      </c>
      <c r="AN152" s="338">
        <v>0</v>
      </c>
      <c r="AO152" s="338">
        <v>0</v>
      </c>
      <c r="AP152" s="338">
        <v>0</v>
      </c>
      <c r="AQ152" s="338">
        <v>0</v>
      </c>
      <c r="AR152" s="338">
        <v>0</v>
      </c>
      <c r="AS152" s="338">
        <v>0</v>
      </c>
      <c r="AT152" s="338">
        <v>0</v>
      </c>
      <c r="AU152" s="338">
        <v>0</v>
      </c>
      <c r="AV152" s="338">
        <v>0</v>
      </c>
      <c r="AW152" s="338">
        <v>0</v>
      </c>
      <c r="AX152" s="338">
        <v>0</v>
      </c>
      <c r="AY152" s="338">
        <v>0</v>
      </c>
      <c r="AZ152" s="338">
        <v>0</v>
      </c>
    </row>
    <row r="153" spans="1:52" ht="15.75" customHeight="1">
      <c r="A153" s="14"/>
      <c r="B153" s="14"/>
      <c r="C153" s="14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>
        <v>0</v>
      </c>
      <c r="O153" s="338">
        <v>0</v>
      </c>
      <c r="P153" s="338">
        <v>0</v>
      </c>
      <c r="Q153" s="338">
        <v>0</v>
      </c>
      <c r="R153" s="338">
        <v>0</v>
      </c>
      <c r="S153" s="338">
        <v>0</v>
      </c>
      <c r="T153" s="338">
        <v>0</v>
      </c>
      <c r="U153" s="338">
        <v>0</v>
      </c>
      <c r="V153" s="338">
        <v>0</v>
      </c>
      <c r="W153" s="338">
        <v>0</v>
      </c>
      <c r="X153" s="338">
        <v>0</v>
      </c>
      <c r="Y153" s="338">
        <v>0</v>
      </c>
      <c r="Z153" s="338">
        <v>0</v>
      </c>
      <c r="AA153" s="338">
        <v>0</v>
      </c>
      <c r="AB153" s="338">
        <v>0</v>
      </c>
      <c r="AC153" s="338">
        <v>0</v>
      </c>
      <c r="AD153" s="338">
        <v>0</v>
      </c>
      <c r="AE153" s="338">
        <v>0</v>
      </c>
      <c r="AF153" s="338">
        <v>0</v>
      </c>
      <c r="AG153" s="338">
        <v>0</v>
      </c>
      <c r="AH153" s="338">
        <v>0</v>
      </c>
      <c r="AI153" s="338">
        <v>0</v>
      </c>
      <c r="AJ153" s="338">
        <v>0</v>
      </c>
      <c r="AK153" s="338">
        <v>0</v>
      </c>
      <c r="AL153" s="338">
        <v>0</v>
      </c>
      <c r="AM153" s="338">
        <v>0</v>
      </c>
      <c r="AN153" s="338">
        <v>0</v>
      </c>
      <c r="AO153" s="338">
        <v>0</v>
      </c>
      <c r="AP153" s="338">
        <v>0</v>
      </c>
      <c r="AQ153" s="338">
        <v>0</v>
      </c>
      <c r="AR153" s="338">
        <v>0</v>
      </c>
      <c r="AS153" s="338">
        <v>0</v>
      </c>
      <c r="AT153" s="338">
        <v>0</v>
      </c>
      <c r="AU153" s="338">
        <v>0</v>
      </c>
      <c r="AV153" s="338">
        <v>0</v>
      </c>
      <c r="AW153" s="338">
        <v>0</v>
      </c>
      <c r="AX153" s="338">
        <v>0</v>
      </c>
      <c r="AY153" s="338">
        <v>0</v>
      </c>
      <c r="AZ153" s="338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7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7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7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7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7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7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7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7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7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7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7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7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7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7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7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7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7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7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7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7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7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7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7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7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7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7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7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7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7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7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7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7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7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7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7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7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7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7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7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7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7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7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7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7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7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7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7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7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7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7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7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7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7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7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7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7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7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7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7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7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7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7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7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7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7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7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7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7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7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7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7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7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7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7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7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7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7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7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7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7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7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7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7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7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7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7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7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7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7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7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7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7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7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7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7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7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7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7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7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7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7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7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7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7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7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7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7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7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7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7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7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7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7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7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7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7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7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7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7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7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7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7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7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7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7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7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7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7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7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7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7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7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7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7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7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7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7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7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7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7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7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7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7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7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7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7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7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7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7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7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7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7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7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7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7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7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7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7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7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7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7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7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7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7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7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7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7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7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7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7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7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7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7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7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7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7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7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7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7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7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7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7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7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7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7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7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7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7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7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7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7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7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7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7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7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7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7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7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7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7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7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7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7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7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7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7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7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7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7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7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7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7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7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7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7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7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7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7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7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7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7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7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7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7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7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7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7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7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7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7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7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7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7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7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7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7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7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7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7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7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7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7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7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7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7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7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7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7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7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7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7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7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7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7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7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7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7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7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7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7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7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7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7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7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7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7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7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7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7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7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7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7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7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7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7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7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7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7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7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7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7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7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7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7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7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7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7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7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7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7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7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7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7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7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7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7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7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7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7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7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7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7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7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7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7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7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7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7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7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7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7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7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7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7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7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7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7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7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7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7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7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7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7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7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7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7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7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7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7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7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7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7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7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7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7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7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7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7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7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7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7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7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7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7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7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7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7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7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7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7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7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7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7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7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7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7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7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7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7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7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7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7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7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7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7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7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7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7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7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7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7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7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7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7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7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7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7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7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7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7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7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7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7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7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7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7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7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7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7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7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7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7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7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7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7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7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7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7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7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7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7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7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7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7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7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7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7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7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7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7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7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7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7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7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7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7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7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7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7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7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7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7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7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7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7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7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7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7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7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7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7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7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7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7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7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7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7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7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7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7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7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7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7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7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7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7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7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7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7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7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7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7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7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7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7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7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7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7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7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7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7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7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7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7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7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7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7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7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7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7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7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7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7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7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7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7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7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7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7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7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7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7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7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7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7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7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7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7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7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7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7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7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7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7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7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7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7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7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7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7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7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7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7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7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7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7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7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7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7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7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7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7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7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7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7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7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7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7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7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7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7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7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7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7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7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7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7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7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7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7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7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7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7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7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7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7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7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7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7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7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7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7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7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7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7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7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7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7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7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7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7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7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7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7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7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7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7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7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7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7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7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7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7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7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7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7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7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7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7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7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7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7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7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7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7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7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7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7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7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7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7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7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7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7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7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7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7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7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7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7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7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7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7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7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7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7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7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7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7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7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7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7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7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7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7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7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7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7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7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7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7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7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7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7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7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7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7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7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7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7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7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7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7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7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7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7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7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7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7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7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7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7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7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7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7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7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7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7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7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7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7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7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7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7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7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7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7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7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7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7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7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7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7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7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7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7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7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7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7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7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7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7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7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7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7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7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7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7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7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7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7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7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7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7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7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7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7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7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7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7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7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7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7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7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7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7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7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7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7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7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7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7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7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7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7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7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7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7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7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7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7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7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7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7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7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7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7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7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7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7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7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7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7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7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7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7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7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7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7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7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7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7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7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7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7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7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7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7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7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7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7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7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7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7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7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7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7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7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7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7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7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7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7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7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7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7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7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7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7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7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7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7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7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7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7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7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7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7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7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7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7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7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7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7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7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7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7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7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7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7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7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7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7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7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7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7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7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7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7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7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7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7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7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7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7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7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7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7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7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7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7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7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7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7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7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7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7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7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7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7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7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7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7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7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7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7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7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7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7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7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7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7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7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7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7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7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7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7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7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7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7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7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7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7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7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7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7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7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7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7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7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7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7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7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7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7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7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7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7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7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7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7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7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7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7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7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118" zoomScaleNormal="112" zoomScalePageLayoutView="26" workbookViewId="0">
      <pane xSplit="1" topLeftCell="B1" activePane="topRight" state="frozen"/>
      <selection activeCell="G15" sqref="G15"/>
      <selection pane="topRight" activeCell="D114" sqref="D114:D137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5" customFormat="1" ht="15" customHeight="1">
      <c r="B1" s="339" t="s">
        <v>1</v>
      </c>
      <c r="C1" s="340" t="s">
        <v>357</v>
      </c>
      <c r="D1" s="339" t="s">
        <v>2</v>
      </c>
      <c r="E1" s="339" t="s">
        <v>3</v>
      </c>
      <c r="F1" s="339" t="s">
        <v>4</v>
      </c>
      <c r="G1" s="339" t="s">
        <v>5</v>
      </c>
      <c r="H1" s="339" t="s">
        <v>6</v>
      </c>
      <c r="I1" s="339" t="s">
        <v>7</v>
      </c>
      <c r="J1" s="339" t="s">
        <v>8</v>
      </c>
      <c r="K1" s="339" t="s">
        <v>9</v>
      </c>
      <c r="L1" s="339" t="s">
        <v>10</v>
      </c>
      <c r="M1" s="339" t="s">
        <v>11</v>
      </c>
      <c r="N1" s="339" t="s">
        <v>12</v>
      </c>
      <c r="O1" s="339" t="s">
        <v>13</v>
      </c>
      <c r="P1" s="339" t="s">
        <v>14</v>
      </c>
      <c r="Q1" s="339" t="s">
        <v>15</v>
      </c>
      <c r="R1" s="339" t="s">
        <v>16</v>
      </c>
      <c r="S1" s="339" t="s">
        <v>17</v>
      </c>
      <c r="T1" s="339" t="s">
        <v>18</v>
      </c>
      <c r="U1" s="339" t="s">
        <v>19</v>
      </c>
      <c r="V1" s="339" t="s">
        <v>20</v>
      </c>
      <c r="W1" s="339" t="s">
        <v>21</v>
      </c>
      <c r="X1" s="339" t="s">
        <v>22</v>
      </c>
      <c r="Y1" s="339" t="s">
        <v>23</v>
      </c>
      <c r="Z1" s="339" t="s">
        <v>24</v>
      </c>
      <c r="AA1" s="339" t="s">
        <v>25</v>
      </c>
      <c r="AB1" s="339" t="s">
        <v>26</v>
      </c>
      <c r="AC1" s="339" t="s">
        <v>27</v>
      </c>
      <c r="AD1" s="339" t="s">
        <v>28</v>
      </c>
      <c r="AE1" s="339" t="s">
        <v>29</v>
      </c>
      <c r="AF1" s="339" t="s">
        <v>30</v>
      </c>
      <c r="AG1" s="339" t="s">
        <v>31</v>
      </c>
      <c r="AH1" s="339" t="s">
        <v>32</v>
      </c>
    </row>
    <row r="2" spans="2:34" ht="15" customHeight="1">
      <c r="B2" s="338" t="s">
        <v>399</v>
      </c>
      <c r="C2" s="342">
        <v>200</v>
      </c>
      <c r="D2" s="343">
        <v>0</v>
      </c>
      <c r="E2" s="343">
        <v>7.3</v>
      </c>
      <c r="F2" s="343">
        <v>288</v>
      </c>
      <c r="G2" s="343">
        <v>12.4</v>
      </c>
      <c r="H2" s="343">
        <f>G2*0.61</f>
        <v>7.5640000000000001</v>
      </c>
      <c r="I2" s="343">
        <f>G2*0.27</f>
        <v>3.3480000000000003</v>
      </c>
      <c r="J2" s="343">
        <f>G2*0.2</f>
        <v>2.4800000000000004</v>
      </c>
      <c r="K2" s="343">
        <f t="shared" ref="K2:K33" si="0">C2*0.7</f>
        <v>140</v>
      </c>
      <c r="L2" s="343">
        <v>0</v>
      </c>
      <c r="M2" s="343">
        <v>0</v>
      </c>
      <c r="N2" s="343">
        <f t="shared" ref="N2:N33" si="1">(C2*0.1%)*1000</f>
        <v>200</v>
      </c>
      <c r="O2" s="343">
        <v>0</v>
      </c>
      <c r="P2" s="343">
        <v>8</v>
      </c>
      <c r="Q2" s="343">
        <v>5.6</v>
      </c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3"/>
      <c r="AG2" s="343"/>
      <c r="AH2" s="343"/>
    </row>
    <row r="3" spans="2:34" ht="15" customHeight="1">
      <c r="B3" s="338" t="s">
        <v>399</v>
      </c>
      <c r="C3" s="342">
        <v>400</v>
      </c>
      <c r="D3" s="343">
        <v>0</v>
      </c>
      <c r="E3" s="343">
        <v>14.5</v>
      </c>
      <c r="F3" s="343">
        <v>576</v>
      </c>
      <c r="G3" s="343">
        <v>24.8</v>
      </c>
      <c r="H3" s="343">
        <f>G3*0.61</f>
        <v>15.128</v>
      </c>
      <c r="I3" s="343">
        <f>G3*0.27</f>
        <v>6.6960000000000006</v>
      </c>
      <c r="J3" s="343">
        <f>G3*0.2</f>
        <v>4.9600000000000009</v>
      </c>
      <c r="K3" s="343">
        <f t="shared" si="0"/>
        <v>280</v>
      </c>
      <c r="L3" s="343">
        <v>0</v>
      </c>
      <c r="M3" s="343">
        <v>0</v>
      </c>
      <c r="N3" s="343">
        <f t="shared" si="1"/>
        <v>400</v>
      </c>
      <c r="O3" s="343">
        <v>0</v>
      </c>
      <c r="P3" s="343">
        <v>16</v>
      </c>
      <c r="Q3" s="343">
        <v>11.2</v>
      </c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</row>
    <row r="4" spans="2:34" ht="15" customHeight="1">
      <c r="B4" s="338" t="s">
        <v>399</v>
      </c>
      <c r="C4" s="342">
        <v>500</v>
      </c>
      <c r="D4" s="343">
        <v>0</v>
      </c>
      <c r="E4" s="343">
        <v>18.2</v>
      </c>
      <c r="F4" s="343">
        <v>720</v>
      </c>
      <c r="G4" s="343">
        <v>31</v>
      </c>
      <c r="H4" s="343">
        <f>G4*0.61</f>
        <v>18.91</v>
      </c>
      <c r="I4" s="343">
        <f>G4*0.27</f>
        <v>8.370000000000001</v>
      </c>
      <c r="J4" s="343">
        <f>G4*0.2</f>
        <v>6.2</v>
      </c>
      <c r="K4" s="343">
        <f t="shared" si="0"/>
        <v>350</v>
      </c>
      <c r="L4" s="343">
        <v>0</v>
      </c>
      <c r="M4" s="343">
        <v>0</v>
      </c>
      <c r="N4" s="343">
        <f t="shared" si="1"/>
        <v>500</v>
      </c>
      <c r="O4" s="343">
        <v>0</v>
      </c>
      <c r="P4" s="343">
        <v>20</v>
      </c>
      <c r="Q4" s="343">
        <v>14</v>
      </c>
      <c r="R4" s="343">
        <v>7.5</v>
      </c>
      <c r="S4" s="343">
        <v>25</v>
      </c>
      <c r="T4" s="343">
        <v>10</v>
      </c>
      <c r="U4" s="343">
        <v>40</v>
      </c>
      <c r="V4" s="343">
        <v>15</v>
      </c>
      <c r="W4" s="343">
        <v>0.5</v>
      </c>
      <c r="X4" s="343">
        <v>100</v>
      </c>
      <c r="Y4" s="343">
        <v>3.5</v>
      </c>
      <c r="Z4" s="343">
        <v>400</v>
      </c>
      <c r="AA4" s="343">
        <v>400</v>
      </c>
      <c r="AB4" s="343">
        <v>1</v>
      </c>
      <c r="AC4" s="343">
        <v>400</v>
      </c>
      <c r="AD4" s="343">
        <v>15</v>
      </c>
      <c r="AE4" s="343">
        <v>3300</v>
      </c>
      <c r="AF4" s="343">
        <v>500</v>
      </c>
      <c r="AG4" s="343">
        <v>30</v>
      </c>
      <c r="AH4" s="343">
        <v>20</v>
      </c>
    </row>
    <row r="5" spans="2:34" ht="15" customHeight="1">
      <c r="B5" s="341" t="s">
        <v>399</v>
      </c>
      <c r="C5" s="342">
        <v>600</v>
      </c>
      <c r="D5" s="343">
        <v>0</v>
      </c>
      <c r="E5" s="343"/>
      <c r="F5" s="343"/>
      <c r="G5" s="343"/>
      <c r="H5" s="343"/>
      <c r="I5" s="343"/>
      <c r="J5" s="343"/>
      <c r="K5" s="343">
        <f t="shared" si="0"/>
        <v>420</v>
      </c>
      <c r="L5" s="343"/>
      <c r="M5" s="343"/>
      <c r="N5" s="343">
        <f t="shared" si="1"/>
        <v>600</v>
      </c>
      <c r="O5" s="343"/>
      <c r="P5" s="343"/>
      <c r="Q5" s="343"/>
      <c r="R5" s="343"/>
      <c r="S5" s="343"/>
      <c r="T5" s="343"/>
      <c r="U5" s="343"/>
      <c r="V5" s="343"/>
      <c r="W5" s="343"/>
      <c r="X5" s="343"/>
      <c r="Y5" s="343"/>
      <c r="Z5" s="343"/>
      <c r="AA5" s="343"/>
      <c r="AB5" s="343"/>
      <c r="AC5" s="343"/>
      <c r="AD5" s="343"/>
      <c r="AE5" s="343"/>
      <c r="AF5" s="343"/>
      <c r="AG5" s="343"/>
      <c r="AH5" s="343"/>
    </row>
    <row r="6" spans="2:34" ht="15" customHeight="1">
      <c r="B6" s="338" t="s">
        <v>34</v>
      </c>
      <c r="C6" s="342">
        <v>200</v>
      </c>
      <c r="D6" s="343">
        <v>0</v>
      </c>
      <c r="E6" s="343">
        <v>6.7</v>
      </c>
      <c r="F6" s="343">
        <v>252</v>
      </c>
      <c r="G6" s="343">
        <v>10.8</v>
      </c>
      <c r="H6" s="343">
        <f>G6*0.61</f>
        <v>6.5880000000000001</v>
      </c>
      <c r="I6" s="343">
        <f>G6*0.27</f>
        <v>2.9160000000000004</v>
      </c>
      <c r="J6" s="343">
        <f>G6*0.2</f>
        <v>2.16</v>
      </c>
      <c r="K6" s="343">
        <f t="shared" si="0"/>
        <v>140</v>
      </c>
      <c r="L6" s="343">
        <v>0</v>
      </c>
      <c r="M6" s="343">
        <v>0</v>
      </c>
      <c r="N6" s="343">
        <f t="shared" si="1"/>
        <v>200</v>
      </c>
      <c r="O6" s="343">
        <v>0</v>
      </c>
      <c r="P6" s="343">
        <v>8</v>
      </c>
      <c r="Q6" s="343">
        <v>5.6</v>
      </c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343"/>
      <c r="AH6" s="343"/>
    </row>
    <row r="7" spans="2:34" ht="15" customHeight="1">
      <c r="B7" s="338" t="s">
        <v>34</v>
      </c>
      <c r="C7" s="342">
        <v>400</v>
      </c>
      <c r="D7" s="343">
        <v>0</v>
      </c>
      <c r="E7" s="343">
        <v>13.3</v>
      </c>
      <c r="F7" s="343">
        <v>504</v>
      </c>
      <c r="G7" s="343">
        <v>21.7</v>
      </c>
      <c r="H7" s="343">
        <f>G7*0.61</f>
        <v>13.237</v>
      </c>
      <c r="I7" s="343">
        <f>G7*0.27</f>
        <v>5.859</v>
      </c>
      <c r="J7" s="343">
        <f>G7*0.2</f>
        <v>4.34</v>
      </c>
      <c r="K7" s="343">
        <f t="shared" si="0"/>
        <v>280</v>
      </c>
      <c r="L7" s="343">
        <v>0</v>
      </c>
      <c r="M7" s="343">
        <v>0</v>
      </c>
      <c r="N7" s="343">
        <f t="shared" si="1"/>
        <v>400</v>
      </c>
      <c r="O7" s="343">
        <v>0</v>
      </c>
      <c r="P7" s="343">
        <v>16</v>
      </c>
      <c r="Q7" s="343">
        <v>11.2</v>
      </c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</row>
    <row r="8" spans="2:34" ht="15" customHeight="1">
      <c r="B8" s="341" t="s">
        <v>34</v>
      </c>
      <c r="C8" s="342">
        <v>500</v>
      </c>
      <c r="D8" s="343">
        <v>0</v>
      </c>
      <c r="E8" s="343">
        <v>16.7</v>
      </c>
      <c r="F8" s="343">
        <v>630</v>
      </c>
      <c r="G8" s="343">
        <v>27.1</v>
      </c>
      <c r="H8" s="343">
        <f>G8*0.61</f>
        <v>16.530999999999999</v>
      </c>
      <c r="I8" s="343">
        <f>G8*0.27</f>
        <v>7.3170000000000011</v>
      </c>
      <c r="J8" s="343">
        <f>G8*0.2</f>
        <v>5.4200000000000008</v>
      </c>
      <c r="K8" s="343">
        <f t="shared" si="0"/>
        <v>350</v>
      </c>
      <c r="L8" s="343">
        <v>0</v>
      </c>
      <c r="M8" s="343">
        <v>0</v>
      </c>
      <c r="N8" s="343">
        <f t="shared" si="1"/>
        <v>500</v>
      </c>
      <c r="O8" s="343">
        <v>0</v>
      </c>
      <c r="P8" s="343">
        <v>20</v>
      </c>
      <c r="Q8" s="343">
        <v>14</v>
      </c>
      <c r="R8" s="343">
        <v>7.5</v>
      </c>
      <c r="S8" s="343">
        <v>25</v>
      </c>
      <c r="T8" s="343">
        <v>10</v>
      </c>
      <c r="U8" s="343">
        <v>40</v>
      </c>
      <c r="V8" s="343">
        <v>15</v>
      </c>
      <c r="W8" s="343">
        <v>0.5</v>
      </c>
      <c r="X8" s="343">
        <v>100</v>
      </c>
      <c r="Y8" s="343">
        <v>3.5</v>
      </c>
      <c r="Z8" s="343">
        <v>400</v>
      </c>
      <c r="AA8" s="343">
        <v>400</v>
      </c>
      <c r="AB8" s="343">
        <v>1</v>
      </c>
      <c r="AC8" s="343">
        <v>400</v>
      </c>
      <c r="AD8" s="343">
        <v>15</v>
      </c>
      <c r="AE8" s="343">
        <v>3300</v>
      </c>
      <c r="AF8" s="343">
        <v>500</v>
      </c>
      <c r="AG8" s="343">
        <v>30</v>
      </c>
      <c r="AH8" s="343">
        <v>20</v>
      </c>
    </row>
    <row r="9" spans="2:34" ht="15" customHeight="1">
      <c r="B9" s="338" t="s">
        <v>34</v>
      </c>
      <c r="C9" s="342">
        <v>600</v>
      </c>
      <c r="D9" s="343">
        <v>0</v>
      </c>
      <c r="E9" s="343"/>
      <c r="F9" s="343"/>
      <c r="G9" s="343"/>
      <c r="H9" s="343"/>
      <c r="I9" s="343"/>
      <c r="J9" s="343"/>
      <c r="K9" s="343">
        <f t="shared" si="0"/>
        <v>420</v>
      </c>
      <c r="L9" s="343"/>
      <c r="M9" s="343"/>
      <c r="N9" s="343">
        <f t="shared" si="1"/>
        <v>600</v>
      </c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3"/>
      <c r="AA9" s="343"/>
      <c r="AB9" s="343"/>
      <c r="AC9" s="343"/>
      <c r="AD9" s="343"/>
      <c r="AE9" s="343"/>
      <c r="AF9" s="343"/>
      <c r="AG9" s="343"/>
      <c r="AH9" s="343"/>
    </row>
    <row r="10" spans="2:34" ht="15" customHeight="1">
      <c r="B10" s="338" t="s">
        <v>33</v>
      </c>
      <c r="C10" s="342">
        <v>200</v>
      </c>
      <c r="D10" s="343">
        <v>0</v>
      </c>
      <c r="E10" s="343">
        <v>6.1</v>
      </c>
      <c r="F10" s="343">
        <v>216</v>
      </c>
      <c r="G10" s="343">
        <v>9.3000000000000007</v>
      </c>
      <c r="H10" s="343">
        <f>G10*0.61</f>
        <v>5.673</v>
      </c>
      <c r="I10" s="343">
        <f>G10*0.27</f>
        <v>2.5110000000000006</v>
      </c>
      <c r="J10" s="343">
        <f>G10*0.2</f>
        <v>1.8600000000000003</v>
      </c>
      <c r="K10" s="343">
        <f t="shared" si="0"/>
        <v>140</v>
      </c>
      <c r="L10" s="343">
        <v>0</v>
      </c>
      <c r="M10" s="343">
        <v>0</v>
      </c>
      <c r="N10" s="343">
        <f t="shared" si="1"/>
        <v>200</v>
      </c>
      <c r="O10" s="343">
        <v>0</v>
      </c>
      <c r="P10" s="343">
        <v>8</v>
      </c>
      <c r="Q10" s="343">
        <v>5.6</v>
      </c>
      <c r="R10" s="343"/>
      <c r="S10" s="343"/>
      <c r="T10" s="343"/>
      <c r="U10" s="343"/>
      <c r="V10" s="343"/>
      <c r="W10" s="343"/>
      <c r="X10" s="343"/>
      <c r="Y10" s="343"/>
      <c r="Z10" s="343"/>
      <c r="AA10" s="343"/>
      <c r="AB10" s="343"/>
      <c r="AC10" s="343"/>
      <c r="AD10" s="343"/>
      <c r="AE10" s="343"/>
      <c r="AF10" s="343"/>
      <c r="AG10" s="343"/>
      <c r="AH10" s="343"/>
    </row>
    <row r="11" spans="2:34" ht="15" customHeight="1">
      <c r="B11" s="338" t="s">
        <v>33</v>
      </c>
      <c r="C11" s="342">
        <v>400</v>
      </c>
      <c r="D11" s="343">
        <v>0</v>
      </c>
      <c r="E11" s="343">
        <v>12.1</v>
      </c>
      <c r="F11" s="343">
        <v>432</v>
      </c>
      <c r="G11" s="343">
        <v>18.600000000000001</v>
      </c>
      <c r="H11" s="343">
        <f>G11*0.61</f>
        <v>11.346</v>
      </c>
      <c r="I11" s="343">
        <f>G11*0.27</f>
        <v>5.0220000000000011</v>
      </c>
      <c r="J11" s="343">
        <f>G11*0.2</f>
        <v>3.7200000000000006</v>
      </c>
      <c r="K11" s="343">
        <f t="shared" si="0"/>
        <v>280</v>
      </c>
      <c r="L11" s="343">
        <v>0</v>
      </c>
      <c r="M11" s="343">
        <v>0</v>
      </c>
      <c r="N11" s="343">
        <f t="shared" si="1"/>
        <v>400</v>
      </c>
      <c r="O11" s="343">
        <v>0</v>
      </c>
      <c r="P11" s="343">
        <v>16</v>
      </c>
      <c r="Q11" s="343">
        <v>11.2</v>
      </c>
      <c r="R11" s="343"/>
      <c r="S11" s="343"/>
      <c r="T11" s="343"/>
      <c r="U11" s="343"/>
      <c r="V11" s="343"/>
      <c r="W11" s="343"/>
      <c r="X11" s="343"/>
      <c r="Y11" s="343"/>
      <c r="Z11" s="343"/>
      <c r="AA11" s="343"/>
      <c r="AB11" s="343"/>
      <c r="AC11" s="343"/>
      <c r="AD11" s="343"/>
      <c r="AE11" s="343"/>
      <c r="AF11" s="343"/>
      <c r="AG11" s="343"/>
      <c r="AH11" s="343"/>
    </row>
    <row r="12" spans="2:34" ht="15" customHeight="1">
      <c r="B12" s="341" t="s">
        <v>33</v>
      </c>
      <c r="C12" s="342">
        <v>500</v>
      </c>
      <c r="D12" s="343">
        <v>0</v>
      </c>
      <c r="E12" s="343">
        <v>15.2</v>
      </c>
      <c r="F12" s="343">
        <v>540</v>
      </c>
      <c r="G12" s="343">
        <v>23.2</v>
      </c>
      <c r="H12" s="343">
        <f>G12*0.61</f>
        <v>14.151999999999999</v>
      </c>
      <c r="I12" s="343">
        <f>G12*0.27</f>
        <v>6.2640000000000002</v>
      </c>
      <c r="J12" s="343">
        <f>G12*0.2</f>
        <v>4.6399999999999997</v>
      </c>
      <c r="K12" s="343">
        <f t="shared" si="0"/>
        <v>350</v>
      </c>
      <c r="L12" s="343">
        <v>0</v>
      </c>
      <c r="M12" s="343">
        <v>0</v>
      </c>
      <c r="N12" s="343">
        <f t="shared" si="1"/>
        <v>500</v>
      </c>
      <c r="O12" s="343">
        <v>0</v>
      </c>
      <c r="P12" s="343">
        <v>20</v>
      </c>
      <c r="Q12" s="343">
        <v>14</v>
      </c>
      <c r="R12" s="343">
        <v>7.5</v>
      </c>
      <c r="S12" s="343">
        <v>25</v>
      </c>
      <c r="T12" s="343">
        <v>10</v>
      </c>
      <c r="U12" s="343">
        <v>40</v>
      </c>
      <c r="V12" s="343">
        <v>15</v>
      </c>
      <c r="W12" s="343">
        <v>0.5</v>
      </c>
      <c r="X12" s="343">
        <v>100</v>
      </c>
      <c r="Y12" s="343">
        <v>3.5</v>
      </c>
      <c r="Z12" s="343">
        <v>400</v>
      </c>
      <c r="AA12" s="343">
        <v>400</v>
      </c>
      <c r="AB12" s="343">
        <v>1</v>
      </c>
      <c r="AC12" s="343">
        <v>400</v>
      </c>
      <c r="AD12" s="343">
        <v>15</v>
      </c>
      <c r="AE12" s="343">
        <v>3300</v>
      </c>
      <c r="AF12" s="343">
        <v>500</v>
      </c>
      <c r="AG12" s="343">
        <v>30</v>
      </c>
      <c r="AH12" s="343">
        <v>20</v>
      </c>
    </row>
    <row r="13" spans="2:34" ht="15" customHeight="1">
      <c r="B13" s="338" t="s">
        <v>33</v>
      </c>
      <c r="C13" s="342">
        <v>600</v>
      </c>
      <c r="D13" s="343">
        <v>0</v>
      </c>
      <c r="E13" s="343"/>
      <c r="F13" s="343"/>
      <c r="G13" s="343"/>
      <c r="H13" s="343"/>
      <c r="I13" s="343"/>
      <c r="J13" s="343"/>
      <c r="K13" s="343">
        <f t="shared" si="0"/>
        <v>420</v>
      </c>
      <c r="L13" s="343"/>
      <c r="M13" s="343"/>
      <c r="N13" s="343">
        <f t="shared" si="1"/>
        <v>600</v>
      </c>
      <c r="O13" s="343"/>
      <c r="P13" s="343"/>
      <c r="Q13" s="343"/>
      <c r="R13" s="343"/>
      <c r="S13" s="343"/>
      <c r="T13" s="343"/>
      <c r="U13" s="343"/>
      <c r="V13" s="343"/>
      <c r="W13" s="343"/>
      <c r="X13" s="343"/>
      <c r="Y13" s="343"/>
      <c r="Z13" s="343"/>
      <c r="AA13" s="343"/>
      <c r="AB13" s="343"/>
      <c r="AC13" s="343"/>
      <c r="AD13" s="343"/>
      <c r="AE13" s="343"/>
      <c r="AF13" s="343"/>
      <c r="AG13" s="343"/>
      <c r="AH13" s="343"/>
    </row>
    <row r="14" spans="2:34" ht="15" customHeight="1">
      <c r="B14" s="338" t="s">
        <v>55</v>
      </c>
      <c r="C14" s="342">
        <v>67</v>
      </c>
      <c r="D14" s="343">
        <v>0.34</v>
      </c>
      <c r="E14" s="343">
        <v>5.3</v>
      </c>
      <c r="F14" s="343">
        <v>268</v>
      </c>
      <c r="G14" s="343">
        <v>11.5</v>
      </c>
      <c r="H14" s="343">
        <f>G14*0.61</f>
        <v>7.0149999999999997</v>
      </c>
      <c r="I14" s="343">
        <f>G14*0.27</f>
        <v>3.1050000000000004</v>
      </c>
      <c r="J14" s="343">
        <f>G14*0.2</f>
        <v>2.3000000000000003</v>
      </c>
      <c r="K14" s="343">
        <f t="shared" si="0"/>
        <v>46.9</v>
      </c>
      <c r="L14" s="343">
        <v>0</v>
      </c>
      <c r="M14" s="343">
        <v>0</v>
      </c>
      <c r="N14" s="343">
        <f t="shared" si="1"/>
        <v>67</v>
      </c>
      <c r="O14" s="343">
        <v>0</v>
      </c>
      <c r="P14" s="343">
        <v>15.6</v>
      </c>
      <c r="Q14" s="343">
        <v>8.6999999999999993</v>
      </c>
      <c r="R14" s="343"/>
      <c r="S14" s="343"/>
      <c r="T14" s="343"/>
      <c r="U14" s="343"/>
      <c r="V14" s="343"/>
      <c r="W14" s="343"/>
      <c r="X14" s="343"/>
      <c r="Y14" s="343"/>
      <c r="Z14" s="343"/>
      <c r="AA14" s="343"/>
      <c r="AB14" s="343"/>
      <c r="AC14" s="343"/>
      <c r="AD14" s="343"/>
      <c r="AE14" s="343"/>
      <c r="AF14" s="343"/>
      <c r="AG14" s="343"/>
      <c r="AH14" s="343"/>
    </row>
    <row r="15" spans="2:34" ht="15" customHeight="1">
      <c r="B15" s="338" t="s">
        <v>55</v>
      </c>
      <c r="C15" s="342">
        <v>135</v>
      </c>
      <c r="D15" s="343">
        <v>0.67</v>
      </c>
      <c r="E15" s="343">
        <v>10.6</v>
      </c>
      <c r="F15" s="343">
        <v>535</v>
      </c>
      <c r="G15" s="343">
        <v>23</v>
      </c>
      <c r="H15" s="343">
        <f>G15*0.61</f>
        <v>14.03</v>
      </c>
      <c r="I15" s="343">
        <f>G15*0.27</f>
        <v>6.2100000000000009</v>
      </c>
      <c r="J15" s="343">
        <f>G15*0.2</f>
        <v>4.6000000000000005</v>
      </c>
      <c r="K15" s="343">
        <f t="shared" si="0"/>
        <v>94.5</v>
      </c>
      <c r="L15" s="343">
        <v>0</v>
      </c>
      <c r="M15" s="343">
        <v>0</v>
      </c>
      <c r="N15" s="343">
        <f t="shared" si="1"/>
        <v>135</v>
      </c>
      <c r="O15" s="343">
        <v>0</v>
      </c>
      <c r="P15" s="343">
        <v>31.3</v>
      </c>
      <c r="Q15" s="343">
        <v>17.399999999999999</v>
      </c>
      <c r="R15" s="343"/>
      <c r="S15" s="343"/>
      <c r="T15" s="343"/>
      <c r="U15" s="343"/>
      <c r="V15" s="343"/>
      <c r="W15" s="343"/>
      <c r="X15" s="343"/>
      <c r="Y15" s="343"/>
      <c r="Z15" s="343"/>
      <c r="AA15" s="343"/>
      <c r="AB15" s="343"/>
      <c r="AC15" s="343"/>
      <c r="AD15" s="343"/>
      <c r="AE15" s="343"/>
      <c r="AF15" s="343"/>
      <c r="AG15" s="343"/>
      <c r="AH15" s="343"/>
    </row>
    <row r="16" spans="2:34" ht="15" customHeight="1">
      <c r="B16" s="338" t="s">
        <v>55</v>
      </c>
      <c r="C16" s="342">
        <v>168</v>
      </c>
      <c r="D16" s="343">
        <v>0.84</v>
      </c>
      <c r="E16" s="343">
        <v>13.3</v>
      </c>
      <c r="F16" s="343">
        <v>669</v>
      </c>
      <c r="G16" s="343">
        <v>28.8</v>
      </c>
      <c r="H16" s="343">
        <f>G16*0.61</f>
        <v>17.568000000000001</v>
      </c>
      <c r="I16" s="343">
        <f>G16*0.27</f>
        <v>7.7760000000000007</v>
      </c>
      <c r="J16" s="343">
        <f>G16*0.2</f>
        <v>5.7600000000000007</v>
      </c>
      <c r="K16" s="343">
        <f t="shared" si="0"/>
        <v>117.6</v>
      </c>
      <c r="L16" s="343">
        <v>0</v>
      </c>
      <c r="M16" s="343">
        <v>0</v>
      </c>
      <c r="N16" s="343">
        <f t="shared" si="1"/>
        <v>168</v>
      </c>
      <c r="O16" s="343">
        <v>0</v>
      </c>
      <c r="P16" s="343">
        <v>39.1</v>
      </c>
      <c r="Q16" s="343">
        <v>21.7</v>
      </c>
      <c r="R16" s="343">
        <v>3.6</v>
      </c>
      <c r="S16" s="343">
        <v>10.9</v>
      </c>
      <c r="T16" s="343">
        <v>4.2</v>
      </c>
      <c r="U16" s="343">
        <v>15.7</v>
      </c>
      <c r="V16" s="343">
        <v>6.3</v>
      </c>
      <c r="W16" s="343">
        <v>0.2</v>
      </c>
      <c r="X16" s="343">
        <v>42.1</v>
      </c>
      <c r="Y16" s="343">
        <v>1.5</v>
      </c>
      <c r="Z16" s="343">
        <v>210.6</v>
      </c>
      <c r="AA16" s="343">
        <v>168.5</v>
      </c>
      <c r="AB16" s="343">
        <v>0.42</v>
      </c>
      <c r="AC16" s="343">
        <v>168.5</v>
      </c>
      <c r="AD16" s="343">
        <v>7.6</v>
      </c>
      <c r="AE16" s="343">
        <v>3740</v>
      </c>
      <c r="AF16" s="343">
        <v>337</v>
      </c>
      <c r="AG16" s="343">
        <v>12.6</v>
      </c>
      <c r="AH16" s="343">
        <v>8.4</v>
      </c>
    </row>
    <row r="17" spans="2:34" ht="15" customHeight="1">
      <c r="B17" s="338" t="s">
        <v>55</v>
      </c>
      <c r="C17" s="342">
        <v>202</v>
      </c>
      <c r="D17" s="343"/>
      <c r="E17" s="343"/>
      <c r="F17" s="343"/>
      <c r="G17" s="343"/>
      <c r="H17" s="343"/>
      <c r="I17" s="343"/>
      <c r="J17" s="343"/>
      <c r="K17" s="343">
        <f t="shared" si="0"/>
        <v>141.39999999999998</v>
      </c>
      <c r="L17" s="343"/>
      <c r="M17" s="343"/>
      <c r="N17" s="343">
        <f t="shared" si="1"/>
        <v>202</v>
      </c>
      <c r="O17" s="343"/>
      <c r="P17" s="343"/>
      <c r="Q17" s="343"/>
      <c r="R17" s="343"/>
      <c r="S17" s="343"/>
      <c r="T17" s="343"/>
      <c r="U17" s="343"/>
      <c r="V17" s="343"/>
      <c r="W17" s="343"/>
      <c r="X17" s="343"/>
      <c r="Y17" s="343"/>
      <c r="Z17" s="343"/>
      <c r="AA17" s="343"/>
      <c r="AB17" s="343"/>
      <c r="AC17" s="343"/>
      <c r="AD17" s="343"/>
      <c r="AE17" s="343"/>
      <c r="AF17" s="343"/>
      <c r="AG17" s="343"/>
      <c r="AH17" s="343"/>
    </row>
    <row r="18" spans="2:34" ht="15" customHeight="1">
      <c r="B18" s="338" t="s">
        <v>37</v>
      </c>
      <c r="C18" s="342">
        <v>128</v>
      </c>
      <c r="D18" s="343">
        <v>0.18</v>
      </c>
      <c r="E18" s="343">
        <v>7.5</v>
      </c>
      <c r="F18" s="343">
        <v>338</v>
      </c>
      <c r="G18" s="343">
        <v>14.5</v>
      </c>
      <c r="H18" s="343">
        <f>G18*0.61</f>
        <v>8.8450000000000006</v>
      </c>
      <c r="I18" s="343">
        <f>G18*0.27</f>
        <v>3.915</v>
      </c>
      <c r="J18" s="343">
        <f>G18*0.2</f>
        <v>2.9000000000000004</v>
      </c>
      <c r="K18" s="343">
        <f t="shared" si="0"/>
        <v>89.6</v>
      </c>
      <c r="L18" s="343">
        <v>0</v>
      </c>
      <c r="M18" s="343">
        <v>0</v>
      </c>
      <c r="N18" s="343">
        <f t="shared" si="1"/>
        <v>128</v>
      </c>
      <c r="O18" s="343">
        <v>0</v>
      </c>
      <c r="P18" s="343">
        <v>15.1</v>
      </c>
      <c r="Q18" s="343">
        <v>8.4</v>
      </c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3"/>
      <c r="AF18" s="343"/>
      <c r="AG18" s="343"/>
      <c r="AH18" s="343"/>
    </row>
    <row r="19" spans="2:34" ht="15" customHeight="1">
      <c r="B19" s="338" t="s">
        <v>37</v>
      </c>
      <c r="C19" s="342">
        <v>257</v>
      </c>
      <c r="D19" s="343">
        <v>0.36</v>
      </c>
      <c r="E19" s="343">
        <v>15</v>
      </c>
      <c r="F19" s="343">
        <v>677</v>
      </c>
      <c r="G19" s="343">
        <v>29.1</v>
      </c>
      <c r="H19" s="343">
        <f>G19*0.61</f>
        <v>17.751000000000001</v>
      </c>
      <c r="I19" s="343">
        <f>G19*0.27</f>
        <v>7.8570000000000011</v>
      </c>
      <c r="J19" s="343">
        <f>G19*0.2</f>
        <v>5.82</v>
      </c>
      <c r="K19" s="343">
        <f t="shared" si="0"/>
        <v>179.89999999999998</v>
      </c>
      <c r="L19" s="343">
        <v>0</v>
      </c>
      <c r="M19" s="343">
        <v>0</v>
      </c>
      <c r="N19" s="343">
        <f t="shared" si="1"/>
        <v>257</v>
      </c>
      <c r="O19" s="343">
        <v>0</v>
      </c>
      <c r="P19" s="343">
        <v>30.1</v>
      </c>
      <c r="Q19" s="343">
        <v>16.7</v>
      </c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  <c r="AF19" s="343"/>
      <c r="AG19" s="343"/>
      <c r="AH19" s="343"/>
    </row>
    <row r="20" spans="2:34" ht="15" customHeight="1">
      <c r="B20" s="338" t="s">
        <v>37</v>
      </c>
      <c r="C20" s="342">
        <v>321</v>
      </c>
      <c r="D20" s="343">
        <v>0.45</v>
      </c>
      <c r="E20" s="343">
        <v>18.8</v>
      </c>
      <c r="F20" s="343">
        <v>846</v>
      </c>
      <c r="G20" s="343">
        <v>36.4</v>
      </c>
      <c r="H20" s="343">
        <f>G20*0.61</f>
        <v>22.203999999999997</v>
      </c>
      <c r="I20" s="343">
        <f>G20*0.27</f>
        <v>9.8279999999999994</v>
      </c>
      <c r="J20" s="343">
        <f>G20*0.2</f>
        <v>7.28</v>
      </c>
      <c r="K20" s="343">
        <f t="shared" si="0"/>
        <v>224.7</v>
      </c>
      <c r="L20" s="343">
        <v>0</v>
      </c>
      <c r="M20" s="343">
        <v>0</v>
      </c>
      <c r="N20" s="343">
        <f t="shared" si="1"/>
        <v>321</v>
      </c>
      <c r="O20" s="343">
        <v>0</v>
      </c>
      <c r="P20" s="343">
        <v>37.700000000000003</v>
      </c>
      <c r="Q20" s="343">
        <v>20.9</v>
      </c>
      <c r="R20" s="343">
        <v>5.4</v>
      </c>
      <c r="S20" s="343">
        <v>17.399999999999999</v>
      </c>
      <c r="T20" s="343">
        <v>6.9</v>
      </c>
      <c r="U20" s="343">
        <v>26.5</v>
      </c>
      <c r="V20" s="343">
        <v>12</v>
      </c>
      <c r="W20" s="343">
        <v>0.4</v>
      </c>
      <c r="X20" s="343">
        <v>80.3</v>
      </c>
      <c r="Y20" s="343">
        <v>2.8</v>
      </c>
      <c r="Z20" s="343">
        <v>401.5</v>
      </c>
      <c r="AA20" s="343">
        <v>321.2</v>
      </c>
      <c r="AB20" s="343">
        <v>0.8</v>
      </c>
      <c r="AC20" s="343">
        <v>321.2</v>
      </c>
      <c r="AD20" s="343">
        <v>14.5</v>
      </c>
      <c r="AE20" s="343">
        <v>5589</v>
      </c>
      <c r="AF20" s="343">
        <v>642</v>
      </c>
      <c r="AG20" s="343">
        <v>24.1</v>
      </c>
      <c r="AH20" s="343">
        <v>16.100000000000001</v>
      </c>
    </row>
    <row r="21" spans="2:34" ht="15" customHeight="1">
      <c r="B21" s="338" t="s">
        <v>37</v>
      </c>
      <c r="C21" s="342">
        <v>385</v>
      </c>
      <c r="D21" s="343"/>
      <c r="E21" s="343"/>
      <c r="F21" s="343"/>
      <c r="G21" s="343"/>
      <c r="H21" s="343"/>
      <c r="I21" s="343"/>
      <c r="J21" s="343"/>
      <c r="K21" s="343">
        <f t="shared" si="0"/>
        <v>269.5</v>
      </c>
      <c r="L21" s="343"/>
      <c r="M21" s="343"/>
      <c r="N21" s="343">
        <f t="shared" si="1"/>
        <v>385</v>
      </c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</row>
    <row r="22" spans="2:34" ht="15" customHeight="1">
      <c r="B22" s="338" t="s">
        <v>57</v>
      </c>
      <c r="C22" s="342">
        <v>155</v>
      </c>
      <c r="D22" s="343">
        <v>0.11</v>
      </c>
      <c r="E22" s="343">
        <v>7.7</v>
      </c>
      <c r="F22" s="343">
        <v>320</v>
      </c>
      <c r="G22" s="343">
        <v>13.7</v>
      </c>
      <c r="H22" s="343">
        <f>G22*0.61</f>
        <v>8.3569999999999993</v>
      </c>
      <c r="I22" s="343">
        <f>G22*0.27</f>
        <v>3.6989999999999998</v>
      </c>
      <c r="J22" s="343">
        <f>G22*0.2</f>
        <v>2.74</v>
      </c>
      <c r="K22" s="343">
        <f t="shared" si="0"/>
        <v>108.5</v>
      </c>
      <c r="L22" s="343">
        <v>0</v>
      </c>
      <c r="M22" s="343">
        <v>0</v>
      </c>
      <c r="N22" s="343">
        <f t="shared" si="1"/>
        <v>155</v>
      </c>
      <c r="O22" s="343">
        <v>0</v>
      </c>
      <c r="P22" s="343">
        <v>14.8</v>
      </c>
      <c r="Q22" s="343">
        <v>8.1999999999999993</v>
      </c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</row>
    <row r="23" spans="2:34" ht="15" customHeight="1">
      <c r="B23" s="338" t="s">
        <v>57</v>
      </c>
      <c r="C23" s="342">
        <v>310</v>
      </c>
      <c r="D23" s="343">
        <v>0.23</v>
      </c>
      <c r="E23" s="343">
        <v>15.4</v>
      </c>
      <c r="F23" s="343">
        <v>639</v>
      </c>
      <c r="G23" s="343">
        <v>27.5</v>
      </c>
      <c r="H23" s="343">
        <f>G23*0.61</f>
        <v>16.774999999999999</v>
      </c>
      <c r="I23" s="343">
        <f>G23*0.27</f>
        <v>7.4250000000000007</v>
      </c>
      <c r="J23" s="343">
        <f>G23*0.2</f>
        <v>5.5</v>
      </c>
      <c r="K23" s="343">
        <f t="shared" si="0"/>
        <v>217</v>
      </c>
      <c r="L23" s="343">
        <v>0</v>
      </c>
      <c r="M23" s="343">
        <v>0</v>
      </c>
      <c r="N23" s="343">
        <f t="shared" si="1"/>
        <v>310</v>
      </c>
      <c r="O23" s="343">
        <v>0</v>
      </c>
      <c r="P23" s="343">
        <v>29.6</v>
      </c>
      <c r="Q23" s="343">
        <v>16.5</v>
      </c>
      <c r="R23" s="343"/>
      <c r="S23" s="343"/>
      <c r="T23" s="343"/>
      <c r="U23" s="343"/>
      <c r="V23" s="343"/>
      <c r="W23" s="343"/>
      <c r="X23" s="343"/>
      <c r="Y23" s="343"/>
      <c r="Z23" s="343"/>
      <c r="AA23" s="343"/>
      <c r="AB23" s="343"/>
      <c r="AC23" s="343"/>
      <c r="AD23" s="343"/>
      <c r="AE23" s="343"/>
      <c r="AF23" s="343"/>
      <c r="AG23" s="343"/>
      <c r="AH23" s="343"/>
    </row>
    <row r="24" spans="2:34" ht="15" customHeight="1">
      <c r="B24" s="338" t="s">
        <v>57</v>
      </c>
      <c r="C24" s="342">
        <v>387</v>
      </c>
      <c r="D24" s="343">
        <v>0.28999999999999998</v>
      </c>
      <c r="E24" s="343">
        <v>19.2</v>
      </c>
      <c r="F24" s="343">
        <v>799</v>
      </c>
      <c r="G24" s="343">
        <v>34.4</v>
      </c>
      <c r="H24" s="343">
        <f>G24*0.61</f>
        <v>20.983999999999998</v>
      </c>
      <c r="I24" s="343">
        <f>G24*0.27</f>
        <v>9.2880000000000003</v>
      </c>
      <c r="J24" s="343">
        <f>G24*0.2</f>
        <v>6.88</v>
      </c>
      <c r="K24" s="343">
        <f t="shared" si="0"/>
        <v>270.89999999999998</v>
      </c>
      <c r="L24" s="343">
        <v>0</v>
      </c>
      <c r="M24" s="343">
        <v>0</v>
      </c>
      <c r="N24" s="343">
        <f t="shared" si="1"/>
        <v>387</v>
      </c>
      <c r="O24" s="343">
        <v>0</v>
      </c>
      <c r="P24" s="343">
        <v>37</v>
      </c>
      <c r="Q24" s="343">
        <v>20.6</v>
      </c>
      <c r="R24" s="343">
        <v>6.2</v>
      </c>
      <c r="S24" s="343">
        <v>20.2</v>
      </c>
      <c r="T24" s="343">
        <v>8</v>
      </c>
      <c r="U24" s="343">
        <v>32</v>
      </c>
      <c r="V24" s="343">
        <v>14.5</v>
      </c>
      <c r="W24" s="343">
        <v>0.5</v>
      </c>
      <c r="X24" s="343">
        <v>96.9</v>
      </c>
      <c r="Y24" s="343">
        <v>3.4</v>
      </c>
      <c r="Z24" s="343">
        <v>484.4</v>
      </c>
      <c r="AA24" s="343">
        <v>387.5</v>
      </c>
      <c r="AB24" s="343">
        <v>0.97</v>
      </c>
      <c r="AC24" s="343">
        <v>387.5</v>
      </c>
      <c r="AD24" s="343">
        <v>17.399999999999999</v>
      </c>
      <c r="AE24" s="343">
        <v>6161</v>
      </c>
      <c r="AF24" s="343">
        <v>775</v>
      </c>
      <c r="AG24" s="343">
        <v>29.1</v>
      </c>
      <c r="AH24" s="343">
        <v>19.399999999999999</v>
      </c>
    </row>
    <row r="25" spans="2:34" ht="15" customHeight="1">
      <c r="B25" s="338" t="s">
        <v>57</v>
      </c>
      <c r="C25" s="342">
        <v>465</v>
      </c>
      <c r="D25" s="343"/>
      <c r="E25" s="343"/>
      <c r="F25" s="343"/>
      <c r="G25" s="343"/>
      <c r="H25" s="343"/>
      <c r="I25" s="343"/>
      <c r="J25" s="343"/>
      <c r="K25" s="343">
        <f t="shared" si="0"/>
        <v>325.5</v>
      </c>
      <c r="L25" s="343"/>
      <c r="M25" s="343"/>
      <c r="N25" s="343">
        <f t="shared" si="1"/>
        <v>465</v>
      </c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</row>
    <row r="26" spans="2:34" ht="15" customHeight="1">
      <c r="B26" s="338" t="s">
        <v>58</v>
      </c>
      <c r="C26" s="342">
        <v>155</v>
      </c>
      <c r="D26" s="343">
        <v>0.11</v>
      </c>
      <c r="E26" s="343">
        <v>8.8000000000000007</v>
      </c>
      <c r="F26" s="343">
        <v>341</v>
      </c>
      <c r="G26" s="343">
        <v>14.7</v>
      </c>
      <c r="H26" s="343">
        <f>G26*0.61</f>
        <v>8.9669999999999987</v>
      </c>
      <c r="I26" s="343">
        <f>G26*0.27</f>
        <v>3.9689999999999999</v>
      </c>
      <c r="J26" s="343">
        <f>G26*0.2</f>
        <v>2.94</v>
      </c>
      <c r="K26" s="343">
        <f t="shared" si="0"/>
        <v>108.5</v>
      </c>
      <c r="L26" s="343">
        <v>0</v>
      </c>
      <c r="M26" s="343">
        <v>0</v>
      </c>
      <c r="N26" s="343">
        <f t="shared" si="1"/>
        <v>155</v>
      </c>
      <c r="O26" s="343">
        <v>0</v>
      </c>
      <c r="P26" s="343">
        <v>14.8</v>
      </c>
      <c r="Q26" s="343">
        <v>8.1999999999999993</v>
      </c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43"/>
      <c r="AG26" s="343"/>
      <c r="AH26" s="343"/>
    </row>
    <row r="27" spans="2:34" ht="15" customHeight="1">
      <c r="B27" s="338" t="s">
        <v>58</v>
      </c>
      <c r="C27" s="342">
        <v>310</v>
      </c>
      <c r="D27" s="343">
        <v>0.23</v>
      </c>
      <c r="E27" s="343">
        <v>17.7</v>
      </c>
      <c r="F27" s="343">
        <v>682</v>
      </c>
      <c r="G27" s="343">
        <v>29.3</v>
      </c>
      <c r="H27" s="343">
        <f>G27*0.61</f>
        <v>17.873000000000001</v>
      </c>
      <c r="I27" s="343">
        <f>G27*0.27</f>
        <v>7.9110000000000005</v>
      </c>
      <c r="J27" s="343">
        <f>G27*0.2</f>
        <v>5.86</v>
      </c>
      <c r="K27" s="343">
        <f t="shared" si="0"/>
        <v>217</v>
      </c>
      <c r="L27" s="343">
        <v>0</v>
      </c>
      <c r="M27" s="343">
        <v>0</v>
      </c>
      <c r="N27" s="343">
        <f t="shared" si="1"/>
        <v>310</v>
      </c>
      <c r="O27" s="343">
        <v>0</v>
      </c>
      <c r="P27" s="343">
        <v>29.6</v>
      </c>
      <c r="Q27" s="343">
        <v>16.5</v>
      </c>
      <c r="R27" s="343"/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</row>
    <row r="28" spans="2:34" ht="15" customHeight="1">
      <c r="B28" s="338" t="s">
        <v>58</v>
      </c>
      <c r="C28" s="342">
        <v>387</v>
      </c>
      <c r="D28" s="343">
        <v>0.28999999999999998</v>
      </c>
      <c r="E28" s="343">
        <v>22.1</v>
      </c>
      <c r="F28" s="343">
        <v>853</v>
      </c>
      <c r="G28" s="343">
        <v>36.700000000000003</v>
      </c>
      <c r="H28" s="343">
        <f>G28*0.61</f>
        <v>22.387</v>
      </c>
      <c r="I28" s="343">
        <f>G28*0.27</f>
        <v>9.9090000000000007</v>
      </c>
      <c r="J28" s="343">
        <f>G28*0.2</f>
        <v>7.3400000000000007</v>
      </c>
      <c r="K28" s="343">
        <f t="shared" si="0"/>
        <v>270.89999999999998</v>
      </c>
      <c r="L28" s="343">
        <v>0</v>
      </c>
      <c r="M28" s="343">
        <v>0</v>
      </c>
      <c r="N28" s="343">
        <f t="shared" si="1"/>
        <v>387</v>
      </c>
      <c r="O28" s="343">
        <v>0</v>
      </c>
      <c r="P28" s="343">
        <v>37</v>
      </c>
      <c r="Q28" s="343">
        <v>20.6</v>
      </c>
      <c r="R28" s="343">
        <v>11.6</v>
      </c>
      <c r="S28" s="343">
        <v>22.9</v>
      </c>
      <c r="T28" s="343">
        <v>11</v>
      </c>
      <c r="U28" s="343">
        <v>37.1</v>
      </c>
      <c r="V28" s="343">
        <v>14.5</v>
      </c>
      <c r="W28" s="343">
        <v>0.5</v>
      </c>
      <c r="X28" s="343">
        <v>96.9</v>
      </c>
      <c r="Y28" s="343">
        <v>3.4</v>
      </c>
      <c r="Z28" s="343">
        <v>484.4</v>
      </c>
      <c r="AA28" s="343">
        <v>387.5</v>
      </c>
      <c r="AB28" s="343">
        <v>0.97</v>
      </c>
      <c r="AC28" s="343">
        <v>387.5</v>
      </c>
      <c r="AD28" s="343">
        <v>17.399999999999999</v>
      </c>
      <c r="AE28" s="343">
        <v>6161</v>
      </c>
      <c r="AF28" s="343">
        <v>775</v>
      </c>
      <c r="AG28" s="343">
        <v>29.1</v>
      </c>
      <c r="AH28" s="343">
        <v>19.399999999999999</v>
      </c>
    </row>
    <row r="29" spans="2:34" ht="15" customHeight="1">
      <c r="B29" s="338" t="s">
        <v>58</v>
      </c>
      <c r="C29" s="342">
        <v>465</v>
      </c>
      <c r="D29" s="343"/>
      <c r="E29" s="343"/>
      <c r="F29" s="343"/>
      <c r="G29" s="343"/>
      <c r="H29" s="343"/>
      <c r="I29" s="343"/>
      <c r="J29" s="343"/>
      <c r="K29" s="343">
        <f t="shared" si="0"/>
        <v>325.5</v>
      </c>
      <c r="L29" s="343"/>
      <c r="M29" s="343"/>
      <c r="N29" s="343">
        <f t="shared" si="1"/>
        <v>465</v>
      </c>
      <c r="O29" s="343"/>
      <c r="P29" s="343"/>
      <c r="Q29" s="343"/>
      <c r="R29" s="343"/>
      <c r="S29" s="343"/>
      <c r="T29" s="343"/>
      <c r="U29" s="343"/>
      <c r="V29" s="343"/>
      <c r="W29" s="343"/>
      <c r="X29" s="343"/>
      <c r="Y29" s="343"/>
      <c r="Z29" s="343"/>
      <c r="AA29" s="343"/>
      <c r="AB29" s="343"/>
      <c r="AC29" s="343"/>
      <c r="AD29" s="343"/>
      <c r="AE29" s="343"/>
      <c r="AF29" s="343"/>
      <c r="AG29" s="343"/>
      <c r="AH29" s="343"/>
    </row>
    <row r="30" spans="2:34" ht="15" customHeight="1">
      <c r="B30" s="338" t="s">
        <v>59</v>
      </c>
      <c r="C30" s="342">
        <v>172</v>
      </c>
      <c r="D30" s="343">
        <v>0.11</v>
      </c>
      <c r="E30" s="343">
        <v>10</v>
      </c>
      <c r="F30" s="343">
        <v>362</v>
      </c>
      <c r="G30" s="343">
        <v>15.6</v>
      </c>
      <c r="H30" s="343">
        <f>G30*0.61</f>
        <v>9.516</v>
      </c>
      <c r="I30" s="343">
        <f>G30*0.27</f>
        <v>4.2119999999999997</v>
      </c>
      <c r="J30" s="343">
        <f>G30*0.2</f>
        <v>3.12</v>
      </c>
      <c r="K30" s="343">
        <f t="shared" si="0"/>
        <v>120.39999999999999</v>
      </c>
      <c r="L30" s="343">
        <v>0</v>
      </c>
      <c r="M30" s="343">
        <v>0</v>
      </c>
      <c r="N30" s="343">
        <f t="shared" si="1"/>
        <v>172</v>
      </c>
      <c r="O30" s="343">
        <v>0</v>
      </c>
      <c r="P30" s="343">
        <v>14.8</v>
      </c>
      <c r="Q30" s="343">
        <v>8.1999999999999993</v>
      </c>
      <c r="R30" s="343"/>
      <c r="S30" s="343"/>
      <c r="T30" s="343"/>
      <c r="U30" s="343"/>
      <c r="V30" s="343"/>
      <c r="W30" s="343"/>
      <c r="X30" s="343"/>
      <c r="Y30" s="343"/>
      <c r="Z30" s="343"/>
      <c r="AA30" s="343"/>
      <c r="AB30" s="343"/>
      <c r="AC30" s="343"/>
      <c r="AD30" s="343"/>
      <c r="AE30" s="343"/>
      <c r="AF30" s="343"/>
      <c r="AG30" s="343"/>
      <c r="AH30" s="343"/>
    </row>
    <row r="31" spans="2:34" ht="15" customHeight="1">
      <c r="B31" s="338" t="s">
        <v>59</v>
      </c>
      <c r="C31" s="342">
        <v>343</v>
      </c>
      <c r="D31" s="343">
        <v>0.23</v>
      </c>
      <c r="E31" s="343">
        <v>20</v>
      </c>
      <c r="F31" s="343">
        <v>725</v>
      </c>
      <c r="G31" s="343">
        <v>31.2</v>
      </c>
      <c r="H31" s="343">
        <f>G31*0.61</f>
        <v>19.032</v>
      </c>
      <c r="I31" s="343">
        <f>G31*0.27</f>
        <v>8.4239999999999995</v>
      </c>
      <c r="J31" s="343">
        <f>G31*0.2</f>
        <v>6.24</v>
      </c>
      <c r="K31" s="343">
        <f t="shared" si="0"/>
        <v>240.1</v>
      </c>
      <c r="L31" s="343">
        <v>0</v>
      </c>
      <c r="M31" s="343">
        <v>0</v>
      </c>
      <c r="N31" s="343">
        <f t="shared" si="1"/>
        <v>343</v>
      </c>
      <c r="O31" s="343">
        <v>0</v>
      </c>
      <c r="P31" s="343">
        <v>29.6</v>
      </c>
      <c r="Q31" s="343">
        <v>16.5</v>
      </c>
      <c r="R31" s="343"/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43"/>
      <c r="AF31" s="343"/>
      <c r="AG31" s="343"/>
      <c r="AH31" s="343"/>
    </row>
    <row r="32" spans="2:34" ht="15" customHeight="1">
      <c r="B32" s="338" t="s">
        <v>59</v>
      </c>
      <c r="C32" s="342">
        <v>387</v>
      </c>
      <c r="D32" s="343">
        <v>0.28999999999999998</v>
      </c>
      <c r="E32" s="343">
        <v>25</v>
      </c>
      <c r="F32" s="343">
        <v>906</v>
      </c>
      <c r="G32" s="343">
        <v>39</v>
      </c>
      <c r="H32" s="343">
        <f>G32*0.61</f>
        <v>23.79</v>
      </c>
      <c r="I32" s="343">
        <f>G32*0.27</f>
        <v>10.530000000000001</v>
      </c>
      <c r="J32" s="343">
        <f>G32*0.2</f>
        <v>7.8000000000000007</v>
      </c>
      <c r="K32" s="343">
        <f t="shared" si="0"/>
        <v>270.89999999999998</v>
      </c>
      <c r="L32" s="343">
        <v>0</v>
      </c>
      <c r="M32" s="343">
        <v>0</v>
      </c>
      <c r="N32" s="343">
        <f t="shared" si="1"/>
        <v>387</v>
      </c>
      <c r="O32" s="343">
        <v>0</v>
      </c>
      <c r="P32" s="343">
        <v>37</v>
      </c>
      <c r="Q32" s="343">
        <v>20.6</v>
      </c>
      <c r="R32" s="343">
        <v>11.6</v>
      </c>
      <c r="S32" s="343">
        <v>25.7</v>
      </c>
      <c r="T32" s="343">
        <v>14</v>
      </c>
      <c r="U32" s="343">
        <v>42.2</v>
      </c>
      <c r="V32" s="343">
        <v>14.5</v>
      </c>
      <c r="W32" s="343">
        <v>0.5</v>
      </c>
      <c r="X32" s="343">
        <v>96.9</v>
      </c>
      <c r="Y32" s="343">
        <v>3.4</v>
      </c>
      <c r="Z32" s="343">
        <v>484.4</v>
      </c>
      <c r="AA32" s="343">
        <v>387.5</v>
      </c>
      <c r="AB32" s="343">
        <v>0.97</v>
      </c>
      <c r="AC32" s="343">
        <v>387.5</v>
      </c>
      <c r="AD32" s="343">
        <v>17.399999999999999</v>
      </c>
      <c r="AE32" s="343">
        <v>6161</v>
      </c>
      <c r="AF32" s="343">
        <v>775</v>
      </c>
      <c r="AG32" s="343">
        <v>29.1</v>
      </c>
      <c r="AH32" s="343">
        <v>19.399999999999999</v>
      </c>
    </row>
    <row r="33" spans="2:34" ht="15" customHeight="1">
      <c r="B33" s="338" t="s">
        <v>59</v>
      </c>
      <c r="C33" s="342">
        <v>465</v>
      </c>
      <c r="D33" s="343"/>
      <c r="E33" s="343"/>
      <c r="F33" s="343"/>
      <c r="G33" s="343"/>
      <c r="H33" s="343"/>
      <c r="I33" s="343"/>
      <c r="J33" s="343"/>
      <c r="K33" s="343">
        <f t="shared" si="0"/>
        <v>325.5</v>
      </c>
      <c r="L33" s="343"/>
      <c r="M33" s="343"/>
      <c r="N33" s="343">
        <f t="shared" si="1"/>
        <v>465</v>
      </c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43"/>
      <c r="AF33" s="343"/>
      <c r="AG33" s="343"/>
      <c r="AH33" s="343"/>
    </row>
    <row r="34" spans="2:34" ht="15" customHeight="1">
      <c r="B34" s="338" t="s">
        <v>60</v>
      </c>
      <c r="C34" s="342">
        <v>172</v>
      </c>
      <c r="D34" s="343">
        <v>7.0000000000000007E-2</v>
      </c>
      <c r="E34" s="343">
        <v>7.5</v>
      </c>
      <c r="F34" s="343">
        <v>308</v>
      </c>
      <c r="G34" s="343">
        <v>13.2</v>
      </c>
      <c r="H34" s="343">
        <f>G34*0.61</f>
        <v>8.0519999999999996</v>
      </c>
      <c r="I34" s="343">
        <f>G34*0.27</f>
        <v>3.5640000000000001</v>
      </c>
      <c r="J34" s="343">
        <f>G34*0.2</f>
        <v>2.64</v>
      </c>
      <c r="K34" s="343">
        <f t="shared" ref="K34:K65" si="2">C34*0.7</f>
        <v>120.39999999999999</v>
      </c>
      <c r="L34" s="343">
        <v>0</v>
      </c>
      <c r="M34" s="343">
        <v>0</v>
      </c>
      <c r="N34" s="343">
        <f t="shared" ref="N34:N65" si="3">(C34*0.1%)*1000</f>
        <v>172</v>
      </c>
      <c r="O34" s="343">
        <v>0</v>
      </c>
      <c r="P34" s="343">
        <v>14.7</v>
      </c>
      <c r="Q34" s="343">
        <v>8.1</v>
      </c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43"/>
      <c r="AG34" s="343"/>
      <c r="AH34" s="343"/>
    </row>
    <row r="35" spans="2:34" ht="15" customHeight="1">
      <c r="B35" s="338" t="s">
        <v>60</v>
      </c>
      <c r="C35" s="342">
        <v>343</v>
      </c>
      <c r="D35" s="343">
        <v>0.14000000000000001</v>
      </c>
      <c r="E35" s="343">
        <v>15</v>
      </c>
      <c r="F35" s="343">
        <v>616</v>
      </c>
      <c r="G35" s="343">
        <v>26.5</v>
      </c>
      <c r="H35" s="343">
        <f>G35*0.61</f>
        <v>16.164999999999999</v>
      </c>
      <c r="I35" s="343">
        <f>G35*0.27</f>
        <v>7.1550000000000002</v>
      </c>
      <c r="J35" s="343">
        <f>G35*0.2</f>
        <v>5.3000000000000007</v>
      </c>
      <c r="K35" s="343">
        <f t="shared" si="2"/>
        <v>240.1</v>
      </c>
      <c r="L35" s="343">
        <v>0</v>
      </c>
      <c r="M35" s="343">
        <v>0</v>
      </c>
      <c r="N35" s="343">
        <f t="shared" si="3"/>
        <v>343</v>
      </c>
      <c r="O35" s="343">
        <v>0</v>
      </c>
      <c r="P35" s="343">
        <v>29.3</v>
      </c>
      <c r="Q35" s="343">
        <v>16.3</v>
      </c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43"/>
      <c r="AG35" s="343"/>
      <c r="AH35" s="343"/>
    </row>
    <row r="36" spans="2:34" ht="15" customHeight="1">
      <c r="B36" s="338" t="s">
        <v>60</v>
      </c>
      <c r="C36" s="342">
        <v>429</v>
      </c>
      <c r="D36" s="343">
        <v>0.18</v>
      </c>
      <c r="E36" s="343">
        <v>18.7</v>
      </c>
      <c r="F36" s="343">
        <v>770</v>
      </c>
      <c r="G36" s="343">
        <v>33.1</v>
      </c>
      <c r="H36" s="343">
        <f>G36*0.61</f>
        <v>20.190999999999999</v>
      </c>
      <c r="I36" s="343">
        <f>G36*0.27</f>
        <v>8.9370000000000012</v>
      </c>
      <c r="J36" s="343">
        <f>G36*0.2</f>
        <v>6.620000000000001</v>
      </c>
      <c r="K36" s="343">
        <f t="shared" si="2"/>
        <v>300.29999999999995</v>
      </c>
      <c r="L36" s="343">
        <v>0</v>
      </c>
      <c r="M36" s="343">
        <v>0</v>
      </c>
      <c r="N36" s="343">
        <f t="shared" si="3"/>
        <v>429</v>
      </c>
      <c r="O36" s="343">
        <v>0</v>
      </c>
      <c r="P36" s="343">
        <v>36.700000000000003</v>
      </c>
      <c r="Q36" s="343">
        <v>20.399999999999999</v>
      </c>
      <c r="R36" s="343">
        <v>6.7</v>
      </c>
      <c r="S36" s="343">
        <v>22</v>
      </c>
      <c r="T36" s="343">
        <v>8.8000000000000007</v>
      </c>
      <c r="U36" s="343">
        <v>35.4</v>
      </c>
      <c r="V36" s="343">
        <v>16.100000000000001</v>
      </c>
      <c r="W36" s="343">
        <v>0.5</v>
      </c>
      <c r="X36" s="343">
        <v>107.3</v>
      </c>
      <c r="Y36" s="343">
        <v>3.8</v>
      </c>
      <c r="Z36" s="343">
        <v>536.5</v>
      </c>
      <c r="AA36" s="343">
        <v>429.2</v>
      </c>
      <c r="AB36" s="343">
        <v>1.07</v>
      </c>
      <c r="AC36" s="343">
        <v>429.2</v>
      </c>
      <c r="AD36" s="343">
        <v>19.3</v>
      </c>
      <c r="AE36" s="343">
        <v>5880</v>
      </c>
      <c r="AF36" s="343">
        <v>858</v>
      </c>
      <c r="AG36" s="343">
        <v>321</v>
      </c>
      <c r="AH36" s="343">
        <v>21.5</v>
      </c>
    </row>
    <row r="37" spans="2:34" ht="15" customHeight="1">
      <c r="B37" s="338" t="s">
        <v>60</v>
      </c>
      <c r="C37" s="342">
        <v>515</v>
      </c>
      <c r="D37" s="343"/>
      <c r="E37" s="343"/>
      <c r="F37" s="343"/>
      <c r="G37" s="343"/>
      <c r="H37" s="343"/>
      <c r="I37" s="343"/>
      <c r="J37" s="343"/>
      <c r="K37" s="343">
        <f t="shared" si="2"/>
        <v>360.5</v>
      </c>
      <c r="L37" s="343"/>
      <c r="M37" s="343"/>
      <c r="N37" s="343">
        <f t="shared" si="3"/>
        <v>515</v>
      </c>
      <c r="O37" s="343"/>
      <c r="P37" s="343"/>
      <c r="Q37" s="343"/>
      <c r="R37" s="343"/>
      <c r="S37" s="343"/>
      <c r="T37" s="343"/>
      <c r="U37" s="343"/>
      <c r="V37" s="343"/>
      <c r="W37" s="343"/>
      <c r="X37" s="343"/>
      <c r="Y37" s="343"/>
      <c r="Z37" s="343"/>
      <c r="AA37" s="343"/>
      <c r="AB37" s="343"/>
      <c r="AC37" s="343"/>
      <c r="AD37" s="343"/>
      <c r="AE37" s="343"/>
      <c r="AF37" s="343"/>
      <c r="AG37" s="343"/>
      <c r="AH37" s="343"/>
    </row>
    <row r="38" spans="2:34" ht="15" customHeight="1">
      <c r="B38" s="338" t="s">
        <v>63</v>
      </c>
      <c r="C38" s="342">
        <v>172</v>
      </c>
      <c r="D38" s="343">
        <v>7.0000000000000007E-2</v>
      </c>
      <c r="E38" s="343">
        <v>11.2</v>
      </c>
      <c r="F38" s="343">
        <v>387</v>
      </c>
      <c r="G38" s="343">
        <v>16.7</v>
      </c>
      <c r="H38" s="343">
        <f>G38*0.61</f>
        <v>10.186999999999999</v>
      </c>
      <c r="I38" s="343">
        <f>G38*0.27</f>
        <v>4.5090000000000003</v>
      </c>
      <c r="J38" s="343">
        <f>G38*0.2</f>
        <v>3.34</v>
      </c>
      <c r="K38" s="343">
        <f t="shared" si="2"/>
        <v>120.39999999999999</v>
      </c>
      <c r="L38" s="343">
        <v>0</v>
      </c>
      <c r="M38" s="343">
        <v>0</v>
      </c>
      <c r="N38" s="343">
        <f t="shared" si="3"/>
        <v>172</v>
      </c>
      <c r="O38" s="343">
        <v>0</v>
      </c>
      <c r="P38" s="343">
        <v>14.7</v>
      </c>
      <c r="Q38" s="343">
        <v>8.1</v>
      </c>
      <c r="R38" s="343"/>
      <c r="S38" s="343"/>
      <c r="T38" s="343"/>
      <c r="U38" s="343"/>
      <c r="V38" s="343"/>
      <c r="W38" s="343"/>
      <c r="X38" s="343"/>
      <c r="Y38" s="343"/>
      <c r="Z38" s="343"/>
      <c r="AA38" s="343"/>
      <c r="AB38" s="343"/>
      <c r="AC38" s="343"/>
      <c r="AD38" s="343"/>
      <c r="AE38" s="343"/>
      <c r="AF38" s="343"/>
      <c r="AG38" s="343"/>
      <c r="AH38" s="343"/>
    </row>
    <row r="39" spans="2:34" ht="15" customHeight="1">
      <c r="B39" s="338" t="s">
        <v>63</v>
      </c>
      <c r="C39" s="342">
        <v>343</v>
      </c>
      <c r="D39" s="343">
        <v>0.14000000000000001</v>
      </c>
      <c r="E39" s="343">
        <v>22.3</v>
      </c>
      <c r="F39" s="343">
        <v>775</v>
      </c>
      <c r="G39" s="343">
        <v>33.299999999999997</v>
      </c>
      <c r="H39" s="343">
        <f>G39*0.61</f>
        <v>20.312999999999999</v>
      </c>
      <c r="I39" s="343">
        <f>G39*0.27</f>
        <v>8.9909999999999997</v>
      </c>
      <c r="J39" s="343">
        <f>G39*0.2</f>
        <v>6.66</v>
      </c>
      <c r="K39" s="343">
        <f t="shared" si="2"/>
        <v>240.1</v>
      </c>
      <c r="L39" s="343">
        <v>0</v>
      </c>
      <c r="M39" s="343">
        <v>0</v>
      </c>
      <c r="N39" s="343">
        <f t="shared" si="3"/>
        <v>343</v>
      </c>
      <c r="O39" s="343">
        <v>0</v>
      </c>
      <c r="P39" s="343">
        <v>29.3</v>
      </c>
      <c r="Q39" s="343">
        <v>16.3</v>
      </c>
      <c r="R39" s="343"/>
      <c r="S39" s="343"/>
      <c r="T39" s="343"/>
      <c r="U39" s="343"/>
      <c r="V39" s="343"/>
      <c r="W39" s="343"/>
      <c r="X39" s="343"/>
      <c r="Y39" s="343"/>
      <c r="Z39" s="343"/>
      <c r="AA39" s="343"/>
      <c r="AB39" s="343"/>
      <c r="AC39" s="343"/>
      <c r="AD39" s="343"/>
      <c r="AE39" s="343"/>
      <c r="AF39" s="343"/>
      <c r="AG39" s="343"/>
      <c r="AH39" s="343"/>
    </row>
    <row r="40" spans="2:34" ht="15" customHeight="1">
      <c r="B40" s="338" t="s">
        <v>63</v>
      </c>
      <c r="C40" s="342">
        <v>429</v>
      </c>
      <c r="D40" s="343">
        <v>0.18</v>
      </c>
      <c r="E40" s="343">
        <v>27.9</v>
      </c>
      <c r="F40" s="343">
        <v>969</v>
      </c>
      <c r="G40" s="343">
        <v>41.7</v>
      </c>
      <c r="H40" s="343">
        <f>G40*0.61</f>
        <v>25.437000000000001</v>
      </c>
      <c r="I40" s="343">
        <f>G40*0.27</f>
        <v>11.259000000000002</v>
      </c>
      <c r="J40" s="343">
        <f>G40*0.2</f>
        <v>8.3400000000000016</v>
      </c>
      <c r="K40" s="343">
        <f t="shared" si="2"/>
        <v>300.29999999999995</v>
      </c>
      <c r="L40" s="343">
        <v>0</v>
      </c>
      <c r="M40" s="343">
        <v>0</v>
      </c>
      <c r="N40" s="343">
        <f t="shared" si="3"/>
        <v>429</v>
      </c>
      <c r="O40" s="343">
        <v>0</v>
      </c>
      <c r="P40" s="343">
        <v>36.700000000000003</v>
      </c>
      <c r="Q40" s="343">
        <v>20.399999999999999</v>
      </c>
      <c r="R40" s="343">
        <v>12.9</v>
      </c>
      <c r="S40" s="343">
        <v>34</v>
      </c>
      <c r="T40" s="343">
        <v>22.1</v>
      </c>
      <c r="U40" s="343">
        <v>58.2</v>
      </c>
      <c r="V40" s="343">
        <v>16.100000000000001</v>
      </c>
      <c r="W40" s="343">
        <v>0.5</v>
      </c>
      <c r="X40" s="343">
        <v>107.3</v>
      </c>
      <c r="Y40" s="343">
        <v>3.8</v>
      </c>
      <c r="Z40" s="343">
        <v>536.5</v>
      </c>
      <c r="AA40" s="343">
        <v>429.2</v>
      </c>
      <c r="AB40" s="343">
        <v>1.07</v>
      </c>
      <c r="AC40" s="343">
        <v>429.2</v>
      </c>
      <c r="AD40" s="343">
        <v>19.3</v>
      </c>
      <c r="AE40" s="343">
        <v>5880</v>
      </c>
      <c r="AF40" s="343">
        <v>858</v>
      </c>
      <c r="AG40" s="343">
        <v>32.200000000000003</v>
      </c>
      <c r="AH40" s="343">
        <v>21.5</v>
      </c>
    </row>
    <row r="41" spans="2:34" ht="15" customHeight="1">
      <c r="B41" s="338" t="s">
        <v>63</v>
      </c>
      <c r="C41" s="342">
        <v>515</v>
      </c>
      <c r="D41" s="343"/>
      <c r="E41" s="343"/>
      <c r="F41" s="343"/>
      <c r="G41" s="343"/>
      <c r="H41" s="343"/>
      <c r="I41" s="343"/>
      <c r="J41" s="343"/>
      <c r="K41" s="343">
        <f t="shared" si="2"/>
        <v>360.5</v>
      </c>
      <c r="L41" s="343"/>
      <c r="M41" s="343"/>
      <c r="N41" s="343">
        <f t="shared" si="3"/>
        <v>515</v>
      </c>
      <c r="O41" s="343"/>
      <c r="P41" s="343"/>
      <c r="Q41" s="343"/>
      <c r="R41" s="343"/>
      <c r="S41" s="343"/>
      <c r="T41" s="343"/>
      <c r="U41" s="343"/>
      <c r="V41" s="343"/>
      <c r="W41" s="343"/>
      <c r="X41" s="343"/>
      <c r="Y41" s="343"/>
      <c r="Z41" s="343"/>
      <c r="AA41" s="343"/>
      <c r="AB41" s="343"/>
      <c r="AC41" s="343"/>
      <c r="AD41" s="343"/>
      <c r="AE41" s="343"/>
      <c r="AF41" s="343"/>
      <c r="AG41" s="343"/>
      <c r="AH41" s="343"/>
    </row>
    <row r="42" spans="2:34" ht="15" customHeight="1">
      <c r="B42" s="338" t="s">
        <v>62</v>
      </c>
      <c r="C42" s="342">
        <v>172</v>
      </c>
      <c r="D42" s="343">
        <v>7.0000000000000007E-2</v>
      </c>
      <c r="E42" s="343">
        <v>9.9</v>
      </c>
      <c r="F42" s="343">
        <v>355</v>
      </c>
      <c r="G42" s="343">
        <v>15.3</v>
      </c>
      <c r="H42" s="343">
        <f>G42*0.61</f>
        <v>9.3330000000000002</v>
      </c>
      <c r="I42" s="343">
        <f>G42*0.27</f>
        <v>4.1310000000000002</v>
      </c>
      <c r="J42" s="343">
        <f>G42*0.2</f>
        <v>3.0600000000000005</v>
      </c>
      <c r="K42" s="343">
        <f t="shared" si="2"/>
        <v>120.39999999999999</v>
      </c>
      <c r="L42" s="343">
        <v>0</v>
      </c>
      <c r="M42" s="343">
        <v>0</v>
      </c>
      <c r="N42" s="343">
        <f t="shared" si="3"/>
        <v>172</v>
      </c>
      <c r="O42" s="343">
        <v>0</v>
      </c>
      <c r="P42" s="343">
        <v>14.7</v>
      </c>
      <c r="Q42" s="343">
        <v>8.1</v>
      </c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  <c r="AF42" s="343"/>
      <c r="AG42" s="343"/>
      <c r="AH42" s="343"/>
    </row>
    <row r="43" spans="2:34" ht="15" customHeight="1">
      <c r="B43" s="338" t="s">
        <v>62</v>
      </c>
      <c r="C43" s="342">
        <v>343</v>
      </c>
      <c r="D43" s="343">
        <v>0.14000000000000001</v>
      </c>
      <c r="E43" s="343">
        <v>19.899999999999999</v>
      </c>
      <c r="F43" s="343">
        <v>710</v>
      </c>
      <c r="G43" s="343">
        <v>30.6</v>
      </c>
      <c r="H43" s="343">
        <f>G43*0.61</f>
        <v>18.666</v>
      </c>
      <c r="I43" s="343">
        <f>G43*0.27</f>
        <v>8.2620000000000005</v>
      </c>
      <c r="J43" s="343">
        <f>G43*0.2</f>
        <v>6.120000000000001</v>
      </c>
      <c r="K43" s="343">
        <f t="shared" si="2"/>
        <v>240.1</v>
      </c>
      <c r="L43" s="343">
        <v>0</v>
      </c>
      <c r="M43" s="343">
        <v>0</v>
      </c>
      <c r="N43" s="343">
        <f t="shared" si="3"/>
        <v>343</v>
      </c>
      <c r="O43" s="343">
        <v>0</v>
      </c>
      <c r="P43" s="343">
        <v>29.3</v>
      </c>
      <c r="Q43" s="343">
        <v>16.3</v>
      </c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</row>
    <row r="44" spans="2:34" ht="15" customHeight="1">
      <c r="B44" s="338" t="s">
        <v>62</v>
      </c>
      <c r="C44" s="342">
        <v>429</v>
      </c>
      <c r="D44" s="343">
        <v>0.18</v>
      </c>
      <c r="E44" s="343">
        <v>24.8</v>
      </c>
      <c r="F44" s="343">
        <v>888</v>
      </c>
      <c r="G44" s="343">
        <v>38.200000000000003</v>
      </c>
      <c r="H44" s="343">
        <f>G44*0.61</f>
        <v>23.302</v>
      </c>
      <c r="I44" s="343">
        <f>G44*0.27</f>
        <v>10.314000000000002</v>
      </c>
      <c r="J44" s="343">
        <f>G44*0.2</f>
        <v>7.6400000000000006</v>
      </c>
      <c r="K44" s="343">
        <f t="shared" si="2"/>
        <v>300.29999999999995</v>
      </c>
      <c r="L44" s="343">
        <v>0</v>
      </c>
      <c r="M44" s="343">
        <v>0</v>
      </c>
      <c r="N44" s="343">
        <f t="shared" si="3"/>
        <v>429</v>
      </c>
      <c r="O44" s="343">
        <v>0</v>
      </c>
      <c r="P44" s="343">
        <v>36.700000000000003</v>
      </c>
      <c r="Q44" s="343">
        <v>20.399999999999999</v>
      </c>
      <c r="R44" s="343">
        <v>12.9</v>
      </c>
      <c r="S44" s="343">
        <v>28</v>
      </c>
      <c r="T44" s="343">
        <v>15.4</v>
      </c>
      <c r="U44" s="343">
        <v>46.8</v>
      </c>
      <c r="V44" s="343">
        <v>16.100000000000001</v>
      </c>
      <c r="W44" s="343">
        <v>0.5</v>
      </c>
      <c r="X44" s="343">
        <v>107.3</v>
      </c>
      <c r="Y44" s="343">
        <v>3.8</v>
      </c>
      <c r="Z44" s="343">
        <v>536.5</v>
      </c>
      <c r="AA44" s="343">
        <v>429.2</v>
      </c>
      <c r="AB44" s="343">
        <v>1.07</v>
      </c>
      <c r="AC44" s="343">
        <v>429.2</v>
      </c>
      <c r="AD44" s="343">
        <v>19.3</v>
      </c>
      <c r="AE44" s="343">
        <v>5880</v>
      </c>
      <c r="AF44" s="343">
        <v>858</v>
      </c>
      <c r="AG44" s="343">
        <v>32.200000000000003</v>
      </c>
      <c r="AH44" s="343">
        <v>21.5</v>
      </c>
    </row>
    <row r="45" spans="2:34" ht="15" customHeight="1">
      <c r="B45" s="338" t="s">
        <v>62</v>
      </c>
      <c r="C45" s="342">
        <v>515</v>
      </c>
      <c r="D45" s="343"/>
      <c r="E45" s="343"/>
      <c r="F45" s="343"/>
      <c r="G45" s="343"/>
      <c r="H45" s="343"/>
      <c r="I45" s="343"/>
      <c r="J45" s="343"/>
      <c r="K45" s="343">
        <f t="shared" si="2"/>
        <v>360.5</v>
      </c>
      <c r="L45" s="343"/>
      <c r="M45" s="343"/>
      <c r="N45" s="343">
        <f t="shared" si="3"/>
        <v>515</v>
      </c>
      <c r="O45" s="343"/>
      <c r="P45" s="343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3"/>
      <c r="AD45" s="343"/>
      <c r="AE45" s="343"/>
      <c r="AF45" s="343"/>
      <c r="AG45" s="343"/>
      <c r="AH45" s="343"/>
    </row>
    <row r="46" spans="2:34" ht="15" customHeight="1">
      <c r="B46" s="338" t="s">
        <v>64</v>
      </c>
      <c r="C46" s="342">
        <v>172</v>
      </c>
      <c r="D46" s="343">
        <v>7.0000000000000007E-2</v>
      </c>
      <c r="E46" s="343">
        <v>13</v>
      </c>
      <c r="F46" s="343">
        <v>436</v>
      </c>
      <c r="G46" s="343">
        <v>18.8</v>
      </c>
      <c r="H46" s="343">
        <f>G46*0.61</f>
        <v>11.468</v>
      </c>
      <c r="I46" s="343">
        <f>G46*0.27</f>
        <v>5.0760000000000005</v>
      </c>
      <c r="J46" s="343">
        <f>G46*0.2</f>
        <v>3.7600000000000002</v>
      </c>
      <c r="K46" s="343">
        <f t="shared" si="2"/>
        <v>120.39999999999999</v>
      </c>
      <c r="L46" s="343">
        <v>0</v>
      </c>
      <c r="M46" s="343">
        <v>0</v>
      </c>
      <c r="N46" s="343">
        <f t="shared" si="3"/>
        <v>172</v>
      </c>
      <c r="O46" s="343">
        <v>0</v>
      </c>
      <c r="P46" s="343">
        <v>14.7</v>
      </c>
      <c r="Q46" s="343">
        <v>8.1</v>
      </c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</row>
    <row r="47" spans="2:34" ht="15" customHeight="1">
      <c r="B47" s="338" t="s">
        <v>64</v>
      </c>
      <c r="C47" s="342">
        <v>343</v>
      </c>
      <c r="D47" s="343">
        <v>0.14000000000000001</v>
      </c>
      <c r="E47" s="343">
        <v>26</v>
      </c>
      <c r="F47" s="343">
        <v>873</v>
      </c>
      <c r="G47" s="343">
        <v>37.5</v>
      </c>
      <c r="H47" s="343">
        <f>G47*0.61</f>
        <v>22.875</v>
      </c>
      <c r="I47" s="343">
        <f>G47*0.27</f>
        <v>10.125</v>
      </c>
      <c r="J47" s="343">
        <f>G47*0.2</f>
        <v>7.5</v>
      </c>
      <c r="K47" s="343">
        <f t="shared" si="2"/>
        <v>240.1</v>
      </c>
      <c r="L47" s="343">
        <v>0</v>
      </c>
      <c r="M47" s="343">
        <v>0</v>
      </c>
      <c r="N47" s="343">
        <f t="shared" si="3"/>
        <v>343</v>
      </c>
      <c r="O47" s="343">
        <v>0</v>
      </c>
      <c r="P47" s="343">
        <v>29.3</v>
      </c>
      <c r="Q47" s="343">
        <v>16.3</v>
      </c>
      <c r="R47" s="343"/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</row>
    <row r="48" spans="2:34" ht="15" customHeight="1">
      <c r="B48" s="338" t="s">
        <v>64</v>
      </c>
      <c r="C48" s="342">
        <v>429</v>
      </c>
      <c r="D48" s="343">
        <v>0.18</v>
      </c>
      <c r="E48" s="343">
        <v>32.5</v>
      </c>
      <c r="F48" s="343">
        <v>1091</v>
      </c>
      <c r="G48" s="343">
        <v>46.9</v>
      </c>
      <c r="H48" s="343">
        <f>G48*0.61</f>
        <v>28.608999999999998</v>
      </c>
      <c r="I48" s="343">
        <f>G48*0.27</f>
        <v>12.663</v>
      </c>
      <c r="J48" s="343">
        <f>G48*0.2</f>
        <v>9.3800000000000008</v>
      </c>
      <c r="K48" s="343">
        <f t="shared" si="2"/>
        <v>300.29999999999995</v>
      </c>
      <c r="L48" s="343">
        <v>0</v>
      </c>
      <c r="M48" s="343">
        <v>0</v>
      </c>
      <c r="N48" s="343">
        <f t="shared" si="3"/>
        <v>429</v>
      </c>
      <c r="O48" s="343">
        <v>0</v>
      </c>
      <c r="P48" s="343">
        <v>36.700000000000003</v>
      </c>
      <c r="Q48" s="343">
        <v>20.399999999999999</v>
      </c>
      <c r="R48" s="343">
        <v>12.9</v>
      </c>
      <c r="S48" s="343">
        <v>46</v>
      </c>
      <c r="T48" s="343">
        <v>35.4</v>
      </c>
      <c r="U48" s="343">
        <v>80.900000000000006</v>
      </c>
      <c r="V48" s="343">
        <v>16.100000000000001</v>
      </c>
      <c r="W48" s="343">
        <v>0.5</v>
      </c>
      <c r="X48" s="343">
        <v>107.3</v>
      </c>
      <c r="Y48" s="343">
        <v>3.8</v>
      </c>
      <c r="Z48" s="343">
        <v>536.5</v>
      </c>
      <c r="AA48" s="343">
        <v>429.2</v>
      </c>
      <c r="AB48" s="343">
        <v>1.07</v>
      </c>
      <c r="AC48" s="343">
        <v>429.2</v>
      </c>
      <c r="AD48" s="343">
        <v>19.3</v>
      </c>
      <c r="AE48" s="343">
        <v>5880</v>
      </c>
      <c r="AF48" s="343">
        <v>858</v>
      </c>
      <c r="AG48" s="343">
        <v>32.200000000000003</v>
      </c>
      <c r="AH48" s="343">
        <v>21.5</v>
      </c>
    </row>
    <row r="49" spans="2:34" ht="15" customHeight="1">
      <c r="B49" s="338" t="s">
        <v>64</v>
      </c>
      <c r="C49" s="342">
        <v>515</v>
      </c>
      <c r="D49" s="343"/>
      <c r="E49" s="343"/>
      <c r="F49" s="343"/>
      <c r="G49" s="343"/>
      <c r="H49" s="343"/>
      <c r="I49" s="343"/>
      <c r="J49" s="343"/>
      <c r="K49" s="343">
        <f t="shared" si="2"/>
        <v>360.5</v>
      </c>
      <c r="L49" s="343"/>
      <c r="M49" s="343"/>
      <c r="N49" s="343">
        <f t="shared" si="3"/>
        <v>515</v>
      </c>
      <c r="O49" s="343"/>
      <c r="P49" s="343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</row>
    <row r="50" spans="2:34" ht="15" customHeight="1">
      <c r="B50" s="338" t="s">
        <v>61</v>
      </c>
      <c r="C50" s="342">
        <v>172</v>
      </c>
      <c r="D50" s="343">
        <v>7.0000000000000007E-2</v>
      </c>
      <c r="E50" s="343">
        <v>8.6999999999999993</v>
      </c>
      <c r="F50" s="343">
        <v>332</v>
      </c>
      <c r="G50" s="343">
        <v>14.3</v>
      </c>
      <c r="H50" s="343">
        <f>G50*0.61</f>
        <v>8.7230000000000008</v>
      </c>
      <c r="I50" s="343">
        <f>G50*0.27</f>
        <v>3.8610000000000007</v>
      </c>
      <c r="J50" s="343">
        <f>G50*0.2</f>
        <v>2.8600000000000003</v>
      </c>
      <c r="K50" s="343">
        <f t="shared" si="2"/>
        <v>120.39999999999999</v>
      </c>
      <c r="L50" s="343">
        <v>0</v>
      </c>
      <c r="M50" s="343">
        <v>0</v>
      </c>
      <c r="N50" s="343">
        <f t="shared" si="3"/>
        <v>172</v>
      </c>
      <c r="O50" s="343">
        <v>0</v>
      </c>
      <c r="P50" s="343">
        <v>14.7</v>
      </c>
      <c r="Q50" s="343">
        <v>8.1</v>
      </c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</row>
    <row r="51" spans="2:34" ht="15" customHeight="1">
      <c r="B51" s="338" t="s">
        <v>61</v>
      </c>
      <c r="C51" s="342">
        <v>343</v>
      </c>
      <c r="D51" s="343">
        <v>0.14000000000000001</v>
      </c>
      <c r="E51" s="343">
        <v>17.399999999999999</v>
      </c>
      <c r="F51" s="343">
        <v>663</v>
      </c>
      <c r="G51" s="343">
        <v>28.5</v>
      </c>
      <c r="H51" s="343">
        <f>G51*0.61</f>
        <v>17.384999999999998</v>
      </c>
      <c r="I51" s="343">
        <f>G51*0.27</f>
        <v>7.6950000000000003</v>
      </c>
      <c r="J51" s="343">
        <f>G51*0.2</f>
        <v>5.7</v>
      </c>
      <c r="K51" s="343">
        <f t="shared" si="2"/>
        <v>240.1</v>
      </c>
      <c r="L51" s="343">
        <v>0</v>
      </c>
      <c r="M51" s="343">
        <v>0</v>
      </c>
      <c r="N51" s="343">
        <f t="shared" si="3"/>
        <v>343</v>
      </c>
      <c r="O51" s="343">
        <v>0</v>
      </c>
      <c r="P51" s="343">
        <v>29.3</v>
      </c>
      <c r="Q51" s="343">
        <v>16.3</v>
      </c>
      <c r="R51" s="343"/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</row>
    <row r="52" spans="2:34" ht="15" customHeight="1">
      <c r="B52" s="338" t="s">
        <v>61</v>
      </c>
      <c r="C52" s="342">
        <v>429</v>
      </c>
      <c r="D52" s="343">
        <v>0.18</v>
      </c>
      <c r="E52" s="343">
        <v>21.8</v>
      </c>
      <c r="F52" s="343">
        <v>829</v>
      </c>
      <c r="G52" s="343">
        <v>35.700000000000003</v>
      </c>
      <c r="H52" s="343">
        <f>G52*0.61</f>
        <v>21.777000000000001</v>
      </c>
      <c r="I52" s="343">
        <f>G52*0.27</f>
        <v>9.6390000000000011</v>
      </c>
      <c r="J52" s="343">
        <f>G52*0.2</f>
        <v>7.1400000000000006</v>
      </c>
      <c r="K52" s="343">
        <f t="shared" si="2"/>
        <v>300.29999999999995</v>
      </c>
      <c r="L52" s="343">
        <v>0</v>
      </c>
      <c r="M52" s="343">
        <v>0</v>
      </c>
      <c r="N52" s="343">
        <f t="shared" si="3"/>
        <v>429</v>
      </c>
      <c r="O52" s="343">
        <v>0</v>
      </c>
      <c r="P52" s="343">
        <v>36.700000000000003</v>
      </c>
      <c r="Q52" s="343">
        <v>20.399999999999999</v>
      </c>
      <c r="R52" s="343">
        <v>12.9</v>
      </c>
      <c r="S52" s="343">
        <v>25</v>
      </c>
      <c r="T52" s="343">
        <v>12.1</v>
      </c>
      <c r="U52" s="343">
        <v>41.1</v>
      </c>
      <c r="V52" s="343">
        <v>16.100000000000001</v>
      </c>
      <c r="W52" s="343">
        <v>0.5</v>
      </c>
      <c r="X52" s="343">
        <v>107.3</v>
      </c>
      <c r="Y52" s="343">
        <v>3.8</v>
      </c>
      <c r="Z52" s="343">
        <v>536.5</v>
      </c>
      <c r="AA52" s="343">
        <v>429.2</v>
      </c>
      <c r="AB52" s="343">
        <v>1.07</v>
      </c>
      <c r="AC52" s="343">
        <v>429.2</v>
      </c>
      <c r="AD52" s="343">
        <v>19.3</v>
      </c>
      <c r="AE52" s="343">
        <v>5880</v>
      </c>
      <c r="AF52" s="343">
        <v>858</v>
      </c>
      <c r="AG52" s="343">
        <v>32.200000000000003</v>
      </c>
      <c r="AH52" s="343">
        <v>21.5</v>
      </c>
    </row>
    <row r="53" spans="2:34" ht="15" customHeight="1">
      <c r="B53" s="338" t="s">
        <v>61</v>
      </c>
      <c r="C53" s="342">
        <v>515</v>
      </c>
      <c r="D53" s="343"/>
      <c r="E53" s="343"/>
      <c r="F53" s="343"/>
      <c r="G53" s="343"/>
      <c r="H53" s="343"/>
      <c r="I53" s="343"/>
      <c r="J53" s="343"/>
      <c r="K53" s="343">
        <f t="shared" si="2"/>
        <v>360.5</v>
      </c>
      <c r="L53" s="343"/>
      <c r="M53" s="343"/>
      <c r="N53" s="343">
        <f t="shared" si="3"/>
        <v>515</v>
      </c>
      <c r="O53" s="343"/>
      <c r="P53" s="343"/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</row>
    <row r="54" spans="2:34" ht="15" customHeight="1">
      <c r="B54" s="338" t="s">
        <v>56</v>
      </c>
      <c r="C54" s="342">
        <v>86</v>
      </c>
      <c r="D54" s="343">
        <v>0.28999999999999998</v>
      </c>
      <c r="E54" s="343">
        <v>6.2</v>
      </c>
      <c r="F54" s="343">
        <v>270</v>
      </c>
      <c r="G54" s="343">
        <v>11.6</v>
      </c>
      <c r="H54" s="343">
        <f>G54*0.61</f>
        <v>7.0759999999999996</v>
      </c>
      <c r="I54" s="343">
        <f>G54*0.27</f>
        <v>3.1320000000000001</v>
      </c>
      <c r="J54" s="343">
        <f>G54*0.2</f>
        <v>2.3199999999999998</v>
      </c>
      <c r="K54" s="343">
        <f t="shared" si="2"/>
        <v>60.199999999999996</v>
      </c>
      <c r="L54" s="343">
        <v>0</v>
      </c>
      <c r="M54" s="343">
        <v>0</v>
      </c>
      <c r="N54" s="343">
        <f t="shared" si="3"/>
        <v>86</v>
      </c>
      <c r="O54" s="343">
        <v>0</v>
      </c>
      <c r="P54" s="343">
        <v>15.5</v>
      </c>
      <c r="Q54" s="343">
        <v>8.6</v>
      </c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</row>
    <row r="55" spans="2:34" ht="15" customHeight="1">
      <c r="B55" s="338" t="s">
        <v>56</v>
      </c>
      <c r="C55" s="342">
        <v>173</v>
      </c>
      <c r="D55" s="343">
        <v>0.57999999999999996</v>
      </c>
      <c r="E55" s="343">
        <v>12.4</v>
      </c>
      <c r="F55" s="343">
        <v>541</v>
      </c>
      <c r="G55" s="343">
        <v>23.3</v>
      </c>
      <c r="H55" s="343">
        <f>G55*0.61</f>
        <v>14.213000000000001</v>
      </c>
      <c r="I55" s="343">
        <f>G55*0.27</f>
        <v>6.2910000000000004</v>
      </c>
      <c r="J55" s="343">
        <f>G55*0.2</f>
        <v>4.66</v>
      </c>
      <c r="K55" s="343">
        <f t="shared" si="2"/>
        <v>121.1</v>
      </c>
      <c r="L55" s="343">
        <v>0</v>
      </c>
      <c r="M55" s="343">
        <v>0</v>
      </c>
      <c r="N55" s="343">
        <f t="shared" si="3"/>
        <v>173.00000000000003</v>
      </c>
      <c r="O55" s="343">
        <v>0</v>
      </c>
      <c r="P55" s="343">
        <v>30.9</v>
      </c>
      <c r="Q55" s="343">
        <v>17.2</v>
      </c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</row>
    <row r="56" spans="2:34" ht="15" customHeight="1">
      <c r="B56" s="338" t="s">
        <v>56</v>
      </c>
      <c r="C56" s="342">
        <v>216</v>
      </c>
      <c r="D56" s="343">
        <v>0.72</v>
      </c>
      <c r="E56" s="343">
        <v>15.5</v>
      </c>
      <c r="F56" s="343">
        <v>676</v>
      </c>
      <c r="G56" s="343">
        <v>29.1</v>
      </c>
      <c r="H56" s="343">
        <f>G56*0.61</f>
        <v>17.751000000000001</v>
      </c>
      <c r="I56" s="343">
        <f>G56*0.27</f>
        <v>7.8570000000000011</v>
      </c>
      <c r="J56" s="343">
        <f>G56*0.2</f>
        <v>5.82</v>
      </c>
      <c r="K56" s="343">
        <f t="shared" si="2"/>
        <v>151.19999999999999</v>
      </c>
      <c r="L56" s="343">
        <v>0</v>
      </c>
      <c r="M56" s="343">
        <v>0</v>
      </c>
      <c r="N56" s="343">
        <f t="shared" si="3"/>
        <v>216</v>
      </c>
      <c r="O56" s="343">
        <v>0</v>
      </c>
      <c r="P56" s="343">
        <v>38.6</v>
      </c>
      <c r="Q56" s="343">
        <v>21.5</v>
      </c>
      <c r="R56" s="343">
        <v>4.0999999999999996</v>
      </c>
      <c r="S56" s="343">
        <v>13</v>
      </c>
      <c r="T56" s="343">
        <v>5</v>
      </c>
      <c r="U56" s="343">
        <v>20.100000000000001</v>
      </c>
      <c r="V56" s="343">
        <v>8.1</v>
      </c>
      <c r="W56" s="343">
        <v>0.3</v>
      </c>
      <c r="X56" s="343">
        <v>54</v>
      </c>
      <c r="Y56" s="343">
        <v>1.9</v>
      </c>
      <c r="Z56" s="343">
        <v>269.89999999999998</v>
      </c>
      <c r="AA56" s="343">
        <v>215.9</v>
      </c>
      <c r="AB56" s="343">
        <v>0.54</v>
      </c>
      <c r="AC56" s="343">
        <v>215.9</v>
      </c>
      <c r="AD56" s="343">
        <v>9.6999999999999993</v>
      </c>
      <c r="AE56" s="343">
        <v>4793</v>
      </c>
      <c r="AF56" s="343">
        <v>432</v>
      </c>
      <c r="AG56" s="343">
        <v>16.2</v>
      </c>
      <c r="AH56" s="343">
        <v>10.8</v>
      </c>
    </row>
    <row r="57" spans="2:34" ht="15" customHeight="1">
      <c r="B57" s="338" t="s">
        <v>56</v>
      </c>
      <c r="C57" s="342">
        <v>259</v>
      </c>
      <c r="D57" s="343"/>
      <c r="E57" s="343"/>
      <c r="F57" s="343"/>
      <c r="G57" s="343"/>
      <c r="H57" s="343"/>
      <c r="I57" s="343"/>
      <c r="J57" s="343"/>
      <c r="K57" s="343">
        <f t="shared" si="2"/>
        <v>181.29999999999998</v>
      </c>
      <c r="L57" s="343"/>
      <c r="M57" s="343"/>
      <c r="N57" s="343">
        <f t="shared" si="3"/>
        <v>259</v>
      </c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</row>
    <row r="58" spans="2:34" ht="15" customHeight="1">
      <c r="B58" s="338" t="s">
        <v>49</v>
      </c>
      <c r="C58" s="342">
        <v>200</v>
      </c>
      <c r="D58" s="343">
        <v>6.52</v>
      </c>
      <c r="E58" s="343">
        <v>12.7</v>
      </c>
      <c r="F58" s="343">
        <v>614</v>
      </c>
      <c r="G58" s="343">
        <v>33.9</v>
      </c>
      <c r="H58" s="343">
        <f>G58*0.61</f>
        <v>20.678999999999998</v>
      </c>
      <c r="I58" s="343">
        <f>G58*0.27</f>
        <v>9.1530000000000005</v>
      </c>
      <c r="J58" s="343">
        <f>G58*0.2</f>
        <v>6.78</v>
      </c>
      <c r="K58" s="343">
        <f t="shared" si="2"/>
        <v>140</v>
      </c>
      <c r="L58" s="343">
        <v>0</v>
      </c>
      <c r="M58" s="343">
        <v>0</v>
      </c>
      <c r="N58" s="343">
        <f t="shared" si="3"/>
        <v>200</v>
      </c>
      <c r="O58" s="343">
        <v>0</v>
      </c>
      <c r="P58" s="343">
        <v>23.6</v>
      </c>
      <c r="Q58" s="343">
        <v>15.3</v>
      </c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</row>
    <row r="59" spans="2:34" ht="15" customHeight="1">
      <c r="B59" s="338" t="s">
        <v>49</v>
      </c>
      <c r="C59" s="342">
        <v>400</v>
      </c>
      <c r="D59" s="343">
        <v>13.4</v>
      </c>
      <c r="E59" s="343">
        <v>25.4</v>
      </c>
      <c r="F59" s="343">
        <v>1228</v>
      </c>
      <c r="G59" s="343">
        <v>7.8</v>
      </c>
      <c r="H59" s="343">
        <f>G59*0.61</f>
        <v>4.758</v>
      </c>
      <c r="I59" s="343">
        <f>G59*0.27</f>
        <v>2.1059999999999999</v>
      </c>
      <c r="J59" s="343">
        <f>G59*0.2</f>
        <v>1.56</v>
      </c>
      <c r="K59" s="343">
        <f t="shared" si="2"/>
        <v>280</v>
      </c>
      <c r="L59" s="343">
        <v>0</v>
      </c>
      <c r="M59" s="343">
        <v>0</v>
      </c>
      <c r="N59" s="343">
        <f t="shared" si="3"/>
        <v>400</v>
      </c>
      <c r="O59" s="343">
        <v>0</v>
      </c>
      <c r="P59" s="343">
        <v>47.3</v>
      </c>
      <c r="Q59" s="343">
        <v>30.6</v>
      </c>
      <c r="R59" s="343"/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</row>
    <row r="60" spans="2:34" ht="15" customHeight="1">
      <c r="B60" s="338" t="s">
        <v>49</v>
      </c>
      <c r="C60" s="342">
        <v>500</v>
      </c>
      <c r="D60" s="343">
        <v>16.3</v>
      </c>
      <c r="E60" s="343">
        <v>31.7</v>
      </c>
      <c r="F60" s="343">
        <v>1535</v>
      </c>
      <c r="G60" s="343">
        <v>84.8</v>
      </c>
      <c r="H60" s="343">
        <f>G60*0.61</f>
        <v>51.727999999999994</v>
      </c>
      <c r="I60" s="343">
        <f>G60*0.27</f>
        <v>22.896000000000001</v>
      </c>
      <c r="J60" s="343">
        <f>G60*0.2</f>
        <v>16.96</v>
      </c>
      <c r="K60" s="343">
        <f t="shared" si="2"/>
        <v>350</v>
      </c>
      <c r="L60" s="343">
        <v>0</v>
      </c>
      <c r="M60" s="343">
        <v>0</v>
      </c>
      <c r="N60" s="343">
        <f t="shared" si="3"/>
        <v>500</v>
      </c>
      <c r="O60" s="343">
        <v>0</v>
      </c>
      <c r="P60" s="343">
        <v>59.1</v>
      </c>
      <c r="Q60" s="343">
        <v>38.299999999999997</v>
      </c>
      <c r="R60" s="343">
        <v>11.2</v>
      </c>
      <c r="S60" s="343">
        <v>47.8</v>
      </c>
      <c r="T60" s="343">
        <v>12.8</v>
      </c>
      <c r="U60" s="343">
        <v>45.5</v>
      </c>
      <c r="V60" s="343">
        <v>18.8</v>
      </c>
      <c r="W60" s="343">
        <v>0.6</v>
      </c>
      <c r="X60" s="343">
        <v>125</v>
      </c>
      <c r="Y60" s="343">
        <v>4.4000000000000004</v>
      </c>
      <c r="Z60" s="343">
        <v>625</v>
      </c>
      <c r="AA60" s="343">
        <v>500</v>
      </c>
      <c r="AB60" s="343">
        <v>1.25</v>
      </c>
      <c r="AC60" s="343">
        <v>500</v>
      </c>
      <c r="AD60" s="343">
        <v>30</v>
      </c>
      <c r="AE60" s="343">
        <v>3300</v>
      </c>
      <c r="AF60" s="343">
        <v>1000</v>
      </c>
      <c r="AG60" s="343">
        <v>37.5</v>
      </c>
      <c r="AH60" s="343">
        <v>25</v>
      </c>
    </row>
    <row r="61" spans="2:34" ht="15" customHeight="1">
      <c r="B61" s="338" t="s">
        <v>49</v>
      </c>
      <c r="C61" s="342">
        <v>600</v>
      </c>
      <c r="D61" s="343"/>
      <c r="E61" s="343"/>
      <c r="F61" s="343"/>
      <c r="G61" s="343"/>
      <c r="H61" s="343"/>
      <c r="I61" s="343"/>
      <c r="J61" s="343"/>
      <c r="K61" s="343">
        <f t="shared" si="2"/>
        <v>420</v>
      </c>
      <c r="L61" s="343"/>
      <c r="M61" s="343"/>
      <c r="N61" s="343">
        <f t="shared" si="3"/>
        <v>600</v>
      </c>
      <c r="O61" s="343"/>
      <c r="P61" s="343"/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3"/>
      <c r="AB61" s="343"/>
      <c r="AC61" s="343"/>
      <c r="AD61" s="343"/>
      <c r="AE61" s="343"/>
      <c r="AF61" s="343"/>
      <c r="AG61" s="343"/>
      <c r="AH61" s="343"/>
    </row>
    <row r="62" spans="2:34" ht="15" customHeight="1">
      <c r="B62" s="338" t="s">
        <v>50</v>
      </c>
      <c r="C62" s="342">
        <v>200</v>
      </c>
      <c r="D62" s="343">
        <v>6.48</v>
      </c>
      <c r="E62" s="343">
        <v>12.7</v>
      </c>
      <c r="F62" s="343">
        <v>612</v>
      </c>
      <c r="G62" s="343">
        <v>33.799999999999997</v>
      </c>
      <c r="H62" s="343">
        <f>G62*0.61</f>
        <v>20.617999999999999</v>
      </c>
      <c r="I62" s="343">
        <f>G62*0.27</f>
        <v>9.1259999999999994</v>
      </c>
      <c r="J62" s="343">
        <f>G62*0.2</f>
        <v>6.76</v>
      </c>
      <c r="K62" s="343">
        <f t="shared" si="2"/>
        <v>140</v>
      </c>
      <c r="L62" s="343">
        <v>0</v>
      </c>
      <c r="M62" s="343">
        <v>0</v>
      </c>
      <c r="N62" s="343">
        <f t="shared" si="3"/>
        <v>200</v>
      </c>
      <c r="O62" s="343">
        <v>0</v>
      </c>
      <c r="P62" s="343">
        <v>23.6</v>
      </c>
      <c r="Q62" s="343">
        <v>15.2</v>
      </c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</row>
    <row r="63" spans="2:34" ht="15" customHeight="1">
      <c r="B63" s="338" t="s">
        <v>50</v>
      </c>
      <c r="C63" s="342">
        <v>400</v>
      </c>
      <c r="D63" s="343">
        <v>12.96</v>
      </c>
      <c r="E63" s="343">
        <v>25.3</v>
      </c>
      <c r="F63" s="343">
        <v>1224</v>
      </c>
      <c r="G63" s="343">
        <v>67.5</v>
      </c>
      <c r="H63" s="343">
        <f>G63*0.61</f>
        <v>41.174999999999997</v>
      </c>
      <c r="I63" s="343">
        <f>G63*0.27</f>
        <v>18.225000000000001</v>
      </c>
      <c r="J63" s="343">
        <f>G63*0.2</f>
        <v>13.5</v>
      </c>
      <c r="K63" s="343">
        <f t="shared" si="2"/>
        <v>280</v>
      </c>
      <c r="L63" s="343">
        <v>0</v>
      </c>
      <c r="M63" s="343">
        <v>0</v>
      </c>
      <c r="N63" s="343">
        <f t="shared" si="3"/>
        <v>400</v>
      </c>
      <c r="O63" s="343">
        <v>0</v>
      </c>
      <c r="P63" s="343">
        <v>47.1</v>
      </c>
      <c r="Q63" s="343">
        <v>30.5</v>
      </c>
      <c r="R63" s="343"/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</row>
    <row r="64" spans="2:34" ht="15" customHeight="1">
      <c r="B64" s="338" t="s">
        <v>50</v>
      </c>
      <c r="C64" s="342">
        <v>500</v>
      </c>
      <c r="D64" s="343">
        <v>16.2</v>
      </c>
      <c r="E64" s="343">
        <v>31.7</v>
      </c>
      <c r="F64" s="343">
        <v>1530</v>
      </c>
      <c r="G64" s="343">
        <v>84.4</v>
      </c>
      <c r="H64" s="343">
        <f>G64*0.61</f>
        <v>51.484000000000002</v>
      </c>
      <c r="I64" s="343">
        <f>G64*0.27</f>
        <v>22.788000000000004</v>
      </c>
      <c r="J64" s="343">
        <f>G64*0.2</f>
        <v>16.880000000000003</v>
      </c>
      <c r="K64" s="343">
        <f t="shared" si="2"/>
        <v>350</v>
      </c>
      <c r="L64" s="343">
        <v>0</v>
      </c>
      <c r="M64" s="343">
        <v>0</v>
      </c>
      <c r="N64" s="343">
        <f t="shared" si="3"/>
        <v>500</v>
      </c>
      <c r="O64" s="343">
        <v>0</v>
      </c>
      <c r="P64" s="343">
        <v>58.9</v>
      </c>
      <c r="Q64" s="343">
        <v>38.1</v>
      </c>
      <c r="R64" s="343">
        <v>11.1</v>
      </c>
      <c r="S64" s="343">
        <v>47.7</v>
      </c>
      <c r="T64" s="343">
        <v>12.8</v>
      </c>
      <c r="U64" s="343">
        <v>45.5</v>
      </c>
      <c r="V64" s="343">
        <v>18.8</v>
      </c>
      <c r="W64" s="343">
        <v>0.6</v>
      </c>
      <c r="X64" s="343">
        <v>125</v>
      </c>
      <c r="Y64" s="343">
        <v>4.4000000000000004</v>
      </c>
      <c r="Z64" s="343">
        <v>625</v>
      </c>
      <c r="AA64" s="343">
        <v>500</v>
      </c>
      <c r="AB64" s="343">
        <v>1.25</v>
      </c>
      <c r="AC64" s="343">
        <v>500</v>
      </c>
      <c r="AD64" s="343">
        <v>30</v>
      </c>
      <c r="AE64" s="343">
        <v>3300</v>
      </c>
      <c r="AF64" s="343">
        <v>1000</v>
      </c>
      <c r="AG64" s="343">
        <v>37.5</v>
      </c>
      <c r="AH64" s="343">
        <v>25</v>
      </c>
    </row>
    <row r="65" spans="2:34" ht="15" customHeight="1">
      <c r="B65" s="338" t="s">
        <v>50</v>
      </c>
      <c r="C65" s="342">
        <v>600</v>
      </c>
      <c r="D65" s="343"/>
      <c r="E65" s="343"/>
      <c r="F65" s="343"/>
      <c r="G65" s="343"/>
      <c r="H65" s="343"/>
      <c r="I65" s="343"/>
      <c r="J65" s="343"/>
      <c r="K65" s="343">
        <f t="shared" si="2"/>
        <v>420</v>
      </c>
      <c r="L65" s="343"/>
      <c r="M65" s="343"/>
      <c r="N65" s="343">
        <f t="shared" si="3"/>
        <v>600</v>
      </c>
      <c r="O65" s="343"/>
      <c r="P65" s="343"/>
      <c r="Q65" s="343"/>
      <c r="R65" s="343"/>
      <c r="S65" s="343"/>
      <c r="T65" s="343"/>
      <c r="U65" s="343"/>
      <c r="V65" s="343"/>
      <c r="W65" s="343"/>
      <c r="X65" s="343"/>
      <c r="Y65" s="343"/>
      <c r="Z65" s="343"/>
      <c r="AA65" s="343"/>
      <c r="AB65" s="343"/>
      <c r="AC65" s="343"/>
      <c r="AD65" s="343"/>
      <c r="AE65" s="343"/>
      <c r="AF65" s="343"/>
      <c r="AG65" s="343"/>
      <c r="AH65" s="343"/>
    </row>
    <row r="66" spans="2:34" ht="15" customHeight="1">
      <c r="B66" s="338" t="s">
        <v>51</v>
      </c>
      <c r="C66" s="342">
        <v>200</v>
      </c>
      <c r="D66" s="343">
        <v>5.98</v>
      </c>
      <c r="E66" s="343">
        <v>12.2</v>
      </c>
      <c r="F66" s="343">
        <v>587</v>
      </c>
      <c r="G66" s="343">
        <v>32.1</v>
      </c>
      <c r="H66" s="343">
        <f>G66*0.61</f>
        <v>19.581</v>
      </c>
      <c r="I66" s="343">
        <f>G66*0.27</f>
        <v>8.6670000000000016</v>
      </c>
      <c r="J66" s="343">
        <f>G66*0.2</f>
        <v>6.4200000000000008</v>
      </c>
      <c r="K66" s="343">
        <f t="shared" ref="K66:K97" si="4">C66*0.7</f>
        <v>140</v>
      </c>
      <c r="L66" s="343">
        <v>0</v>
      </c>
      <c r="M66" s="343">
        <v>0</v>
      </c>
      <c r="N66" s="343">
        <f t="shared" ref="N66:N97" si="5">(C66*0.1%)*1000</f>
        <v>200</v>
      </c>
      <c r="O66" s="343">
        <v>0</v>
      </c>
      <c r="P66" s="343">
        <v>22.4</v>
      </c>
      <c r="Q66" s="343">
        <v>14.4</v>
      </c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</row>
    <row r="67" spans="2:34" ht="15" customHeight="1">
      <c r="B67" s="338" t="s">
        <v>51</v>
      </c>
      <c r="C67" s="342">
        <v>400</v>
      </c>
      <c r="D67" s="343">
        <v>11.96</v>
      </c>
      <c r="E67" s="343">
        <v>24.5</v>
      </c>
      <c r="F67" s="343">
        <v>1174</v>
      </c>
      <c r="G67" s="343">
        <v>64.2</v>
      </c>
      <c r="H67" s="343">
        <f>G67*0.61</f>
        <v>39.161999999999999</v>
      </c>
      <c r="I67" s="343">
        <f>G67*0.27</f>
        <v>17.334000000000003</v>
      </c>
      <c r="J67" s="343">
        <f>G67*0.2</f>
        <v>12.840000000000002</v>
      </c>
      <c r="K67" s="343">
        <f t="shared" si="4"/>
        <v>280</v>
      </c>
      <c r="L67" s="343">
        <v>0</v>
      </c>
      <c r="M67" s="343">
        <v>0</v>
      </c>
      <c r="N67" s="343">
        <f t="shared" si="5"/>
        <v>400</v>
      </c>
      <c r="O67" s="343">
        <v>0</v>
      </c>
      <c r="P67" s="343">
        <v>44.7</v>
      </c>
      <c r="Q67" s="343">
        <v>28.8</v>
      </c>
      <c r="R67" s="343"/>
      <c r="S67" s="343"/>
      <c r="T67" s="343"/>
      <c r="U67" s="343"/>
      <c r="V67" s="343"/>
      <c r="W67" s="343"/>
      <c r="X67" s="343"/>
      <c r="Y67" s="343"/>
      <c r="Z67" s="343"/>
      <c r="AA67" s="343"/>
      <c r="AB67" s="343"/>
      <c r="AC67" s="343"/>
      <c r="AD67" s="343"/>
      <c r="AE67" s="343"/>
      <c r="AF67" s="343"/>
      <c r="AG67" s="343"/>
      <c r="AH67" s="343"/>
    </row>
    <row r="68" spans="2:34" ht="15" customHeight="1">
      <c r="B68" s="338" t="s">
        <v>51</v>
      </c>
      <c r="C68" s="342">
        <v>500</v>
      </c>
      <c r="D68" s="343">
        <v>14.95</v>
      </c>
      <c r="E68" s="343">
        <v>30.6</v>
      </c>
      <c r="F68" s="343">
        <v>1468</v>
      </c>
      <c r="G68" s="343">
        <v>80.3</v>
      </c>
      <c r="H68" s="343">
        <f>G68*0.61</f>
        <v>48.982999999999997</v>
      </c>
      <c r="I68" s="343">
        <f>G68*0.27</f>
        <v>21.681000000000001</v>
      </c>
      <c r="J68" s="343">
        <f>G68*0.2</f>
        <v>16.059999999999999</v>
      </c>
      <c r="K68" s="343">
        <f t="shared" si="4"/>
        <v>350</v>
      </c>
      <c r="L68" s="343">
        <v>0</v>
      </c>
      <c r="M68" s="343">
        <v>0</v>
      </c>
      <c r="N68" s="343">
        <f t="shared" si="5"/>
        <v>500</v>
      </c>
      <c r="O68" s="343">
        <v>0</v>
      </c>
      <c r="P68" s="343">
        <v>55.9</v>
      </c>
      <c r="Q68" s="343">
        <v>36</v>
      </c>
      <c r="R68" s="343">
        <v>10.9</v>
      </c>
      <c r="S68" s="343">
        <v>45.9</v>
      </c>
      <c r="T68" s="343">
        <v>12.5</v>
      </c>
      <c r="U68" s="343">
        <v>45.5</v>
      </c>
      <c r="V68" s="343">
        <v>18.8</v>
      </c>
      <c r="W68" s="343">
        <v>0.6</v>
      </c>
      <c r="X68" s="343">
        <v>125</v>
      </c>
      <c r="Y68" s="343">
        <v>4.4000000000000004</v>
      </c>
      <c r="Z68" s="343">
        <v>625</v>
      </c>
      <c r="AA68" s="343">
        <v>500</v>
      </c>
      <c r="AB68" s="343">
        <v>1.25</v>
      </c>
      <c r="AC68" s="343">
        <v>500</v>
      </c>
      <c r="AD68" s="343">
        <v>30</v>
      </c>
      <c r="AE68" s="343">
        <v>3300</v>
      </c>
      <c r="AF68" s="343">
        <v>1000</v>
      </c>
      <c r="AG68" s="343">
        <v>37.5</v>
      </c>
      <c r="AH68" s="343">
        <v>25</v>
      </c>
    </row>
    <row r="69" spans="2:34" ht="15" customHeight="1">
      <c r="B69" s="338" t="s">
        <v>51</v>
      </c>
      <c r="C69" s="342">
        <v>600</v>
      </c>
      <c r="D69" s="343"/>
      <c r="E69" s="343"/>
      <c r="F69" s="343"/>
      <c r="G69" s="343"/>
      <c r="H69" s="343"/>
      <c r="I69" s="343"/>
      <c r="J69" s="343"/>
      <c r="K69" s="343">
        <f t="shared" si="4"/>
        <v>420</v>
      </c>
      <c r="L69" s="343"/>
      <c r="M69" s="343"/>
      <c r="N69" s="343">
        <f t="shared" si="5"/>
        <v>600</v>
      </c>
      <c r="O69" s="343"/>
      <c r="P69" s="343"/>
      <c r="Q69" s="343"/>
      <c r="R69" s="343"/>
      <c r="S69" s="343"/>
      <c r="T69" s="343"/>
      <c r="U69" s="343"/>
      <c r="V69" s="343"/>
      <c r="W69" s="343"/>
      <c r="X69" s="343"/>
      <c r="Y69" s="343"/>
      <c r="Z69" s="343"/>
      <c r="AA69" s="343"/>
      <c r="AB69" s="343"/>
      <c r="AC69" s="343"/>
      <c r="AD69" s="343"/>
      <c r="AE69" s="343"/>
      <c r="AF69" s="343"/>
      <c r="AG69" s="343"/>
      <c r="AH69" s="343"/>
    </row>
    <row r="70" spans="2:34" ht="15" customHeight="1">
      <c r="B70" s="338" t="s">
        <v>52</v>
      </c>
      <c r="C70" s="342">
        <v>200</v>
      </c>
      <c r="D70" s="343">
        <v>5.42</v>
      </c>
      <c r="E70" s="343">
        <v>11.8</v>
      </c>
      <c r="F70" s="343">
        <v>559</v>
      </c>
      <c r="G70" s="343">
        <v>30.3</v>
      </c>
      <c r="H70" s="343">
        <f>G70*0.61</f>
        <v>18.483000000000001</v>
      </c>
      <c r="I70" s="343">
        <f>G70*0.27</f>
        <v>8.1810000000000009</v>
      </c>
      <c r="J70" s="343">
        <f>G70*0.2</f>
        <v>6.0600000000000005</v>
      </c>
      <c r="K70" s="343">
        <f t="shared" si="4"/>
        <v>140</v>
      </c>
      <c r="L70" s="343">
        <v>0</v>
      </c>
      <c r="M70" s="343">
        <v>0</v>
      </c>
      <c r="N70" s="343">
        <f t="shared" si="5"/>
        <v>200</v>
      </c>
      <c r="O70" s="343">
        <v>0</v>
      </c>
      <c r="P70" s="343">
        <v>16.7</v>
      </c>
      <c r="Q70" s="343">
        <v>10.5</v>
      </c>
      <c r="R70" s="343"/>
      <c r="S70" s="343"/>
      <c r="T70" s="343"/>
      <c r="U70" s="343"/>
      <c r="V70" s="343"/>
      <c r="W70" s="343"/>
      <c r="X70" s="343"/>
      <c r="Y70" s="343"/>
      <c r="Z70" s="343"/>
      <c r="AA70" s="343"/>
      <c r="AB70" s="343"/>
      <c r="AC70" s="343"/>
      <c r="AD70" s="343"/>
      <c r="AE70" s="343"/>
      <c r="AF70" s="343"/>
      <c r="AG70" s="343"/>
      <c r="AH70" s="343"/>
    </row>
    <row r="71" spans="2:34" ht="15" customHeight="1">
      <c r="B71" s="338" t="s">
        <v>52</v>
      </c>
      <c r="C71" s="342">
        <v>400</v>
      </c>
      <c r="D71" s="343">
        <v>10.84</v>
      </c>
      <c r="E71" s="343">
        <v>23.6</v>
      </c>
      <c r="F71" s="343">
        <v>1118</v>
      </c>
      <c r="G71" s="343">
        <v>60.5</v>
      </c>
      <c r="H71" s="343">
        <f>G71*0.61</f>
        <v>36.905000000000001</v>
      </c>
      <c r="I71" s="343">
        <f>G71*0.27</f>
        <v>16.335000000000001</v>
      </c>
      <c r="J71" s="343">
        <f>G71*0.2</f>
        <v>12.100000000000001</v>
      </c>
      <c r="K71" s="343">
        <f t="shared" si="4"/>
        <v>280</v>
      </c>
      <c r="L71" s="343">
        <v>0</v>
      </c>
      <c r="M71" s="343">
        <v>0</v>
      </c>
      <c r="N71" s="343">
        <f t="shared" si="5"/>
        <v>400</v>
      </c>
      <c r="O71" s="343">
        <v>0</v>
      </c>
      <c r="P71" s="343">
        <v>33.299999999999997</v>
      </c>
      <c r="Q71" s="343">
        <v>20.9</v>
      </c>
      <c r="R71" s="343"/>
      <c r="S71" s="343"/>
      <c r="T71" s="343"/>
      <c r="U71" s="343"/>
      <c r="V71" s="343"/>
      <c r="W71" s="343"/>
      <c r="X71" s="343"/>
      <c r="Y71" s="343"/>
      <c r="Z71" s="343"/>
      <c r="AA71" s="343"/>
      <c r="AB71" s="343"/>
      <c r="AC71" s="343"/>
      <c r="AD71" s="343"/>
      <c r="AE71" s="343"/>
      <c r="AF71" s="343"/>
      <c r="AG71" s="343"/>
      <c r="AH71" s="343"/>
    </row>
    <row r="72" spans="2:34" ht="15" customHeight="1">
      <c r="B72" s="338" t="s">
        <v>52</v>
      </c>
      <c r="C72" s="342">
        <v>500</v>
      </c>
      <c r="D72" s="343">
        <v>13.55</v>
      </c>
      <c r="E72" s="343">
        <v>29.4</v>
      </c>
      <c r="F72" s="343">
        <v>1398</v>
      </c>
      <c r="G72" s="343">
        <v>75.7</v>
      </c>
      <c r="H72" s="343">
        <f>G72*0.61</f>
        <v>46.177</v>
      </c>
      <c r="I72" s="343">
        <f>G72*0.27</f>
        <v>20.439000000000004</v>
      </c>
      <c r="J72" s="343">
        <f>G72*0.2</f>
        <v>15.14</v>
      </c>
      <c r="K72" s="343">
        <f t="shared" si="4"/>
        <v>350</v>
      </c>
      <c r="L72" s="343">
        <v>0</v>
      </c>
      <c r="M72" s="343">
        <v>0</v>
      </c>
      <c r="N72" s="343">
        <f t="shared" si="5"/>
        <v>500</v>
      </c>
      <c r="O72" s="343">
        <v>0</v>
      </c>
      <c r="P72" s="343">
        <v>41.7</v>
      </c>
      <c r="Q72" s="343">
        <v>26.2</v>
      </c>
      <c r="R72" s="343">
        <v>10.5</v>
      </c>
      <c r="S72" s="343">
        <v>35.799999999999997</v>
      </c>
      <c r="T72" s="343">
        <v>11.9</v>
      </c>
      <c r="U72" s="343">
        <v>45.5</v>
      </c>
      <c r="V72" s="343">
        <v>18.8</v>
      </c>
      <c r="W72" s="343">
        <v>0.6</v>
      </c>
      <c r="X72" s="343">
        <v>125</v>
      </c>
      <c r="Y72" s="343">
        <v>4.4000000000000004</v>
      </c>
      <c r="Z72" s="343">
        <v>625</v>
      </c>
      <c r="AA72" s="343">
        <v>500</v>
      </c>
      <c r="AB72" s="343">
        <v>1.25</v>
      </c>
      <c r="AC72" s="343">
        <v>500</v>
      </c>
      <c r="AD72" s="343">
        <v>30</v>
      </c>
      <c r="AE72" s="343">
        <v>3300</v>
      </c>
      <c r="AF72" s="343">
        <v>1000</v>
      </c>
      <c r="AG72" s="343">
        <v>37.5</v>
      </c>
      <c r="AH72" s="343">
        <v>25</v>
      </c>
    </row>
    <row r="73" spans="2:34" ht="15" customHeight="1">
      <c r="B73" s="338" t="s">
        <v>52</v>
      </c>
      <c r="C73" s="342">
        <v>600</v>
      </c>
      <c r="D73" s="343"/>
      <c r="E73" s="343"/>
      <c r="F73" s="343"/>
      <c r="G73" s="343"/>
      <c r="H73" s="343"/>
      <c r="I73" s="343"/>
      <c r="J73" s="343"/>
      <c r="K73" s="343">
        <f t="shared" si="4"/>
        <v>420</v>
      </c>
      <c r="L73" s="343"/>
      <c r="M73" s="343"/>
      <c r="N73" s="343">
        <f t="shared" si="5"/>
        <v>600</v>
      </c>
      <c r="O73" s="343"/>
      <c r="P73" s="343"/>
      <c r="Q73" s="343"/>
      <c r="R73" s="343"/>
      <c r="S73" s="343"/>
      <c r="T73" s="343"/>
      <c r="U73" s="343"/>
      <c r="V73" s="343"/>
      <c r="W73" s="343"/>
      <c r="X73" s="343"/>
      <c r="Y73" s="343"/>
      <c r="Z73" s="343"/>
      <c r="AA73" s="343"/>
      <c r="AB73" s="343"/>
      <c r="AC73" s="343"/>
      <c r="AD73" s="343"/>
      <c r="AE73" s="343"/>
      <c r="AF73" s="343"/>
      <c r="AG73" s="343"/>
      <c r="AH73" s="343"/>
    </row>
    <row r="74" spans="2:34" ht="15" customHeight="1">
      <c r="B74" s="338" t="s">
        <v>53</v>
      </c>
      <c r="C74" s="342">
        <v>200</v>
      </c>
      <c r="D74" s="343">
        <v>4.88</v>
      </c>
      <c r="E74" s="343">
        <v>11.3</v>
      </c>
      <c r="F74" s="343">
        <v>532</v>
      </c>
      <c r="G74" s="343">
        <v>28.5</v>
      </c>
      <c r="H74" s="343">
        <f>G74*0.61</f>
        <v>17.384999999999998</v>
      </c>
      <c r="I74" s="343">
        <f>G74*0.27</f>
        <v>7.6950000000000003</v>
      </c>
      <c r="J74" s="343">
        <f>G74*0.2</f>
        <v>5.7</v>
      </c>
      <c r="K74" s="343">
        <f t="shared" si="4"/>
        <v>140</v>
      </c>
      <c r="L74" s="343">
        <v>0</v>
      </c>
      <c r="M74" s="343">
        <v>0</v>
      </c>
      <c r="N74" s="343">
        <f t="shared" si="5"/>
        <v>200</v>
      </c>
      <c r="O74" s="343">
        <v>0</v>
      </c>
      <c r="P74" s="343">
        <v>15.8</v>
      </c>
      <c r="Q74" s="343">
        <v>9.9</v>
      </c>
      <c r="R74" s="343"/>
      <c r="S74" s="343"/>
      <c r="T74" s="343"/>
      <c r="U74" s="343"/>
      <c r="V74" s="343"/>
      <c r="W74" s="343"/>
      <c r="X74" s="343"/>
      <c r="Y74" s="343"/>
      <c r="Z74" s="343"/>
      <c r="AA74" s="343"/>
      <c r="AB74" s="343"/>
      <c r="AC74" s="343"/>
      <c r="AD74" s="343"/>
      <c r="AE74" s="343"/>
      <c r="AF74" s="343"/>
      <c r="AG74" s="343"/>
      <c r="AH74" s="343"/>
    </row>
    <row r="75" spans="2:34" ht="15" customHeight="1">
      <c r="B75" s="338" t="s">
        <v>53</v>
      </c>
      <c r="C75" s="342">
        <v>400</v>
      </c>
      <c r="D75" s="343">
        <v>9.76</v>
      </c>
      <c r="E75" s="343">
        <v>22.7</v>
      </c>
      <c r="F75" s="343">
        <v>1064</v>
      </c>
      <c r="G75" s="343">
        <v>57</v>
      </c>
      <c r="H75" s="343">
        <f>G75*0.61</f>
        <v>34.769999999999996</v>
      </c>
      <c r="I75" s="343">
        <f>G75*0.27</f>
        <v>15.39</v>
      </c>
      <c r="J75" s="343">
        <f>G75*0.2</f>
        <v>11.4</v>
      </c>
      <c r="K75" s="343">
        <f t="shared" si="4"/>
        <v>280</v>
      </c>
      <c r="L75" s="343">
        <v>0</v>
      </c>
      <c r="M75" s="343">
        <v>0</v>
      </c>
      <c r="N75" s="343">
        <f t="shared" si="5"/>
        <v>400</v>
      </c>
      <c r="O75" s="343">
        <v>0</v>
      </c>
      <c r="P75" s="343">
        <v>31.6</v>
      </c>
      <c r="Q75" s="343">
        <v>19.7</v>
      </c>
      <c r="R75" s="343"/>
      <c r="S75" s="343"/>
      <c r="T75" s="343"/>
      <c r="U75" s="343"/>
      <c r="V75" s="343"/>
      <c r="W75" s="343"/>
      <c r="X75" s="343"/>
      <c r="Y75" s="343"/>
      <c r="Z75" s="343"/>
      <c r="AA75" s="343"/>
      <c r="AB75" s="343"/>
      <c r="AC75" s="343"/>
      <c r="AD75" s="343"/>
      <c r="AE75" s="343"/>
      <c r="AF75" s="343"/>
      <c r="AG75" s="343"/>
      <c r="AH75" s="343"/>
    </row>
    <row r="76" spans="2:34" ht="15" customHeight="1">
      <c r="B76" s="338" t="s">
        <v>53</v>
      </c>
      <c r="C76" s="342">
        <v>500</v>
      </c>
      <c r="D76" s="343">
        <v>12.2</v>
      </c>
      <c r="E76" s="343">
        <v>28.3</v>
      </c>
      <c r="F76" s="343">
        <v>1330</v>
      </c>
      <c r="G76" s="343">
        <v>71.2</v>
      </c>
      <c r="H76" s="343">
        <f>G76*0.61</f>
        <v>43.432000000000002</v>
      </c>
      <c r="I76" s="343">
        <f>G76*0.27</f>
        <v>19.224000000000004</v>
      </c>
      <c r="J76" s="343">
        <f>G76*0.2</f>
        <v>14.240000000000002</v>
      </c>
      <c r="K76" s="343">
        <f t="shared" si="4"/>
        <v>350</v>
      </c>
      <c r="L76" s="343">
        <v>0</v>
      </c>
      <c r="M76" s="343">
        <v>0</v>
      </c>
      <c r="N76" s="343">
        <f t="shared" si="5"/>
        <v>500</v>
      </c>
      <c r="O76" s="343">
        <v>0</v>
      </c>
      <c r="P76" s="343">
        <v>39.5</v>
      </c>
      <c r="Q76" s="343">
        <v>24.7</v>
      </c>
      <c r="R76" s="343">
        <v>10.199999999999999</v>
      </c>
      <c r="S76" s="343">
        <v>34.799999999999997</v>
      </c>
      <c r="T76" s="343">
        <v>11.7</v>
      </c>
      <c r="U76" s="343">
        <v>45.5</v>
      </c>
      <c r="V76" s="343">
        <v>18.8</v>
      </c>
      <c r="W76" s="343">
        <v>0.6</v>
      </c>
      <c r="X76" s="343">
        <v>125</v>
      </c>
      <c r="Y76" s="343">
        <v>4.4000000000000004</v>
      </c>
      <c r="Z76" s="343">
        <v>625</v>
      </c>
      <c r="AA76" s="343">
        <v>500</v>
      </c>
      <c r="AB76" s="343">
        <v>1.25</v>
      </c>
      <c r="AC76" s="343">
        <v>500</v>
      </c>
      <c r="AD76" s="343">
        <v>30</v>
      </c>
      <c r="AE76" s="343">
        <v>3300</v>
      </c>
      <c r="AF76" s="343">
        <v>1000</v>
      </c>
      <c r="AG76" s="343">
        <v>37.5</v>
      </c>
      <c r="AH76" s="343">
        <v>25</v>
      </c>
    </row>
    <row r="77" spans="2:34" ht="15" customHeight="1">
      <c r="B77" s="338" t="s">
        <v>53</v>
      </c>
      <c r="C77" s="342">
        <v>600</v>
      </c>
      <c r="D77" s="343"/>
      <c r="E77" s="343"/>
      <c r="F77" s="343"/>
      <c r="G77" s="343"/>
      <c r="H77" s="343"/>
      <c r="I77" s="343"/>
      <c r="J77" s="343"/>
      <c r="K77" s="343">
        <f t="shared" si="4"/>
        <v>420</v>
      </c>
      <c r="L77" s="343"/>
      <c r="M77" s="343"/>
      <c r="N77" s="343">
        <f t="shared" si="5"/>
        <v>600</v>
      </c>
      <c r="O77" s="343"/>
      <c r="P77" s="343"/>
      <c r="Q77" s="343"/>
      <c r="R77" s="343"/>
      <c r="S77" s="343"/>
      <c r="T77" s="343"/>
      <c r="U77" s="343"/>
      <c r="V77" s="343"/>
      <c r="W77" s="343"/>
      <c r="X77" s="343"/>
      <c r="Y77" s="343"/>
      <c r="Z77" s="343"/>
      <c r="AA77" s="343"/>
      <c r="AB77" s="343"/>
      <c r="AC77" s="343"/>
      <c r="AD77" s="343"/>
      <c r="AE77" s="343"/>
      <c r="AF77" s="343"/>
      <c r="AG77" s="343"/>
      <c r="AH77" s="343"/>
    </row>
    <row r="78" spans="2:34" ht="15" customHeight="1">
      <c r="B78" s="338" t="s">
        <v>54</v>
      </c>
      <c r="C78" s="342">
        <v>200</v>
      </c>
      <c r="D78" s="343">
        <v>4.3600000000000003</v>
      </c>
      <c r="E78" s="343">
        <v>10.9</v>
      </c>
      <c r="F78" s="343">
        <v>506</v>
      </c>
      <c r="G78" s="343">
        <v>26.8</v>
      </c>
      <c r="H78" s="343">
        <f>G78*0.61</f>
        <v>16.347999999999999</v>
      </c>
      <c r="I78" s="343">
        <f>G78*0.27</f>
        <v>7.2360000000000007</v>
      </c>
      <c r="J78" s="343">
        <f>G78*0.2</f>
        <v>5.36</v>
      </c>
      <c r="K78" s="343">
        <f t="shared" si="4"/>
        <v>140</v>
      </c>
      <c r="L78" s="343">
        <v>0</v>
      </c>
      <c r="M78" s="343">
        <v>0</v>
      </c>
      <c r="N78" s="343">
        <f t="shared" si="5"/>
        <v>200</v>
      </c>
      <c r="O78" s="343">
        <v>0</v>
      </c>
      <c r="P78" s="343">
        <v>15</v>
      </c>
      <c r="Q78" s="343">
        <v>9.3000000000000007</v>
      </c>
      <c r="R78" s="343"/>
      <c r="S78" s="343"/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3"/>
      <c r="AH78" s="343"/>
    </row>
    <row r="79" spans="2:34" ht="15" customHeight="1">
      <c r="B79" s="338" t="s">
        <v>54</v>
      </c>
      <c r="C79" s="342">
        <v>400</v>
      </c>
      <c r="D79" s="343">
        <v>8.7200000000000006</v>
      </c>
      <c r="E79" s="343">
        <v>21.8</v>
      </c>
      <c r="F79" s="343">
        <v>1012</v>
      </c>
      <c r="G79" s="343">
        <v>53.5</v>
      </c>
      <c r="H79" s="343">
        <f>G79*0.61</f>
        <v>32.634999999999998</v>
      </c>
      <c r="I79" s="343">
        <f>G79*0.27</f>
        <v>14.445</v>
      </c>
      <c r="J79" s="343">
        <f>G79*0.2</f>
        <v>10.700000000000001</v>
      </c>
      <c r="K79" s="343">
        <f t="shared" si="4"/>
        <v>280</v>
      </c>
      <c r="L79" s="343">
        <v>0</v>
      </c>
      <c r="M79" s="343">
        <v>0</v>
      </c>
      <c r="N79" s="343">
        <f t="shared" si="5"/>
        <v>400</v>
      </c>
      <c r="O79" s="343">
        <v>0</v>
      </c>
      <c r="P79" s="343">
        <v>30</v>
      </c>
      <c r="Q79" s="343">
        <v>18.600000000000001</v>
      </c>
      <c r="R79" s="343"/>
      <c r="S79" s="343"/>
      <c r="T79" s="343"/>
      <c r="U79" s="343"/>
      <c r="V79" s="343"/>
      <c r="W79" s="343"/>
      <c r="X79" s="343"/>
      <c r="Y79" s="343"/>
      <c r="Z79" s="343"/>
      <c r="AA79" s="343"/>
      <c r="AB79" s="343"/>
      <c r="AC79" s="343"/>
      <c r="AD79" s="343"/>
      <c r="AE79" s="343"/>
      <c r="AF79" s="343"/>
      <c r="AG79" s="343"/>
      <c r="AH79" s="343"/>
    </row>
    <row r="80" spans="2:34" ht="15" customHeight="1">
      <c r="B80" s="338" t="s">
        <v>54</v>
      </c>
      <c r="C80" s="342">
        <v>500</v>
      </c>
      <c r="D80" s="343">
        <v>10.9</v>
      </c>
      <c r="E80" s="343">
        <v>27.2</v>
      </c>
      <c r="F80" s="343">
        <v>1265</v>
      </c>
      <c r="G80" s="343">
        <v>66.900000000000006</v>
      </c>
      <c r="H80" s="343">
        <f>G80*0.61</f>
        <v>40.809000000000005</v>
      </c>
      <c r="I80" s="343">
        <f>G80*0.27</f>
        <v>18.063000000000002</v>
      </c>
      <c r="J80" s="343">
        <f>G80*0.2</f>
        <v>13.380000000000003</v>
      </c>
      <c r="K80" s="343">
        <f t="shared" si="4"/>
        <v>350</v>
      </c>
      <c r="L80" s="343">
        <v>0</v>
      </c>
      <c r="M80" s="343">
        <v>0</v>
      </c>
      <c r="N80" s="343">
        <f t="shared" si="5"/>
        <v>500</v>
      </c>
      <c r="O80" s="343">
        <v>0</v>
      </c>
      <c r="P80" s="343">
        <v>37.4</v>
      </c>
      <c r="Q80" s="343">
        <v>23.2</v>
      </c>
      <c r="R80" s="343">
        <v>8.6999999999999993</v>
      </c>
      <c r="S80" s="343">
        <v>33.700000000000003</v>
      </c>
      <c r="T80" s="343">
        <v>11.5</v>
      </c>
      <c r="U80" s="343">
        <v>45.5</v>
      </c>
      <c r="V80" s="343">
        <v>18.8</v>
      </c>
      <c r="W80" s="343">
        <v>0.6</v>
      </c>
      <c r="X80" s="343">
        <v>125</v>
      </c>
      <c r="Y80" s="343">
        <v>4.4000000000000004</v>
      </c>
      <c r="Z80" s="343">
        <v>625</v>
      </c>
      <c r="AA80" s="343">
        <v>500</v>
      </c>
      <c r="AB80" s="343">
        <v>1.25</v>
      </c>
      <c r="AC80" s="343">
        <v>500</v>
      </c>
      <c r="AD80" s="343">
        <v>30</v>
      </c>
      <c r="AE80" s="343">
        <v>3300</v>
      </c>
      <c r="AF80" s="343">
        <v>1000</v>
      </c>
      <c r="AG80" s="343">
        <v>37.5</v>
      </c>
      <c r="AH80" s="343">
        <v>25</v>
      </c>
    </row>
    <row r="81" spans="2:34" ht="15" customHeight="1">
      <c r="B81" s="338" t="s">
        <v>54</v>
      </c>
      <c r="C81" s="342">
        <v>600</v>
      </c>
      <c r="D81" s="343"/>
      <c r="E81" s="343"/>
      <c r="F81" s="343"/>
      <c r="G81" s="343"/>
      <c r="H81" s="343"/>
      <c r="I81" s="343"/>
      <c r="J81" s="343"/>
      <c r="K81" s="343">
        <f t="shared" si="4"/>
        <v>420</v>
      </c>
      <c r="L81" s="343"/>
      <c r="M81" s="343"/>
      <c r="N81" s="343">
        <f t="shared" si="5"/>
        <v>600</v>
      </c>
      <c r="O81" s="343"/>
      <c r="P81" s="343"/>
      <c r="Q81" s="343"/>
      <c r="R81" s="343"/>
      <c r="S81" s="343"/>
      <c r="T81" s="343"/>
      <c r="U81" s="343"/>
      <c r="V81" s="343"/>
      <c r="W81" s="343"/>
      <c r="X81" s="343"/>
      <c r="Y81" s="343"/>
      <c r="Z81" s="343"/>
      <c r="AA81" s="343"/>
      <c r="AB81" s="343"/>
      <c r="AC81" s="343"/>
      <c r="AD81" s="343"/>
      <c r="AE81" s="343"/>
      <c r="AF81" s="343"/>
      <c r="AG81" s="343"/>
      <c r="AH81" s="343"/>
    </row>
    <row r="82" spans="2:34" ht="15" customHeight="1">
      <c r="B82" s="338" t="s">
        <v>41</v>
      </c>
      <c r="C82" s="342">
        <v>200</v>
      </c>
      <c r="D82" s="343">
        <v>0</v>
      </c>
      <c r="E82" s="343">
        <v>6.7</v>
      </c>
      <c r="F82" s="343">
        <v>252</v>
      </c>
      <c r="G82" s="343">
        <v>10.8</v>
      </c>
      <c r="H82" s="343">
        <f>G82*0.61</f>
        <v>6.5880000000000001</v>
      </c>
      <c r="I82" s="343">
        <f>G82*0.27</f>
        <v>2.9160000000000004</v>
      </c>
      <c r="J82" s="343">
        <f>G82*0.2</f>
        <v>2.16</v>
      </c>
      <c r="K82" s="343">
        <f t="shared" si="4"/>
        <v>140</v>
      </c>
      <c r="L82" s="343">
        <v>0</v>
      </c>
      <c r="M82" s="343">
        <v>0</v>
      </c>
      <c r="N82" s="343">
        <f t="shared" si="5"/>
        <v>200</v>
      </c>
      <c r="O82" s="343">
        <v>0</v>
      </c>
      <c r="P82" s="343">
        <v>8</v>
      </c>
      <c r="Q82" s="343">
        <v>5.6</v>
      </c>
      <c r="R82" s="343"/>
      <c r="S82" s="343"/>
      <c r="T82" s="343"/>
      <c r="U82" s="343"/>
      <c r="V82" s="343"/>
      <c r="W82" s="343"/>
      <c r="X82" s="343"/>
      <c r="Y82" s="343"/>
      <c r="Z82" s="343"/>
      <c r="AA82" s="343"/>
      <c r="AB82" s="343"/>
      <c r="AC82" s="343"/>
      <c r="AD82" s="343"/>
      <c r="AE82" s="343"/>
      <c r="AF82" s="343"/>
      <c r="AG82" s="343"/>
      <c r="AH82" s="343"/>
    </row>
    <row r="83" spans="2:34" ht="15" customHeight="1">
      <c r="B83" s="338" t="s">
        <v>41</v>
      </c>
      <c r="C83" s="342">
        <v>400</v>
      </c>
      <c r="D83" s="343">
        <v>0</v>
      </c>
      <c r="E83" s="343">
        <v>13.3</v>
      </c>
      <c r="F83" s="343">
        <v>504</v>
      </c>
      <c r="G83" s="343">
        <v>21.7</v>
      </c>
      <c r="H83" s="343">
        <f>G83*0.61</f>
        <v>13.237</v>
      </c>
      <c r="I83" s="343">
        <f>G83*0.27</f>
        <v>5.859</v>
      </c>
      <c r="J83" s="343">
        <f>G83*0.2</f>
        <v>4.34</v>
      </c>
      <c r="K83" s="343">
        <f t="shared" si="4"/>
        <v>280</v>
      </c>
      <c r="L83" s="343">
        <v>0</v>
      </c>
      <c r="M83" s="343">
        <v>0</v>
      </c>
      <c r="N83" s="343">
        <f t="shared" si="5"/>
        <v>400</v>
      </c>
      <c r="O83" s="343">
        <v>0</v>
      </c>
      <c r="P83" s="343">
        <v>16</v>
      </c>
      <c r="Q83" s="343">
        <v>11.2</v>
      </c>
      <c r="R83" s="343"/>
      <c r="S83" s="343"/>
      <c r="T83" s="343"/>
      <c r="U83" s="343"/>
      <c r="V83" s="343"/>
      <c r="W83" s="343"/>
      <c r="X83" s="343"/>
      <c r="Y83" s="343"/>
      <c r="Z83" s="343"/>
      <c r="AA83" s="343"/>
      <c r="AB83" s="343"/>
      <c r="AC83" s="343"/>
      <c r="AD83" s="343"/>
      <c r="AE83" s="343"/>
      <c r="AF83" s="343"/>
      <c r="AG83" s="343"/>
      <c r="AH83" s="343"/>
    </row>
    <row r="84" spans="2:34" ht="15" customHeight="1">
      <c r="B84" s="338" t="s">
        <v>41</v>
      </c>
      <c r="C84" s="342">
        <v>500</v>
      </c>
      <c r="D84" s="343">
        <v>0</v>
      </c>
      <c r="E84" s="343">
        <v>16.7</v>
      </c>
      <c r="F84" s="343">
        <v>630</v>
      </c>
      <c r="G84" s="343">
        <v>27.1</v>
      </c>
      <c r="H84" s="343">
        <f>G84*0.61</f>
        <v>16.530999999999999</v>
      </c>
      <c r="I84" s="343">
        <f>G84*0.27</f>
        <v>7.3170000000000011</v>
      </c>
      <c r="J84" s="343">
        <f>G84*0.2</f>
        <v>5.4200000000000008</v>
      </c>
      <c r="K84" s="343">
        <f t="shared" si="4"/>
        <v>350</v>
      </c>
      <c r="L84" s="343">
        <v>0</v>
      </c>
      <c r="M84" s="343">
        <v>0</v>
      </c>
      <c r="N84" s="343">
        <f t="shared" si="5"/>
        <v>500</v>
      </c>
      <c r="O84" s="343">
        <v>0</v>
      </c>
      <c r="P84" s="343">
        <v>20</v>
      </c>
      <c r="Q84" s="343">
        <v>14</v>
      </c>
      <c r="R84" s="343">
        <v>7.5</v>
      </c>
      <c r="S84" s="343">
        <v>25</v>
      </c>
      <c r="T84" s="343">
        <v>10</v>
      </c>
      <c r="U84" s="343">
        <v>40</v>
      </c>
      <c r="V84" s="343">
        <v>15</v>
      </c>
      <c r="W84" s="343">
        <v>0.5</v>
      </c>
      <c r="X84" s="343">
        <v>100</v>
      </c>
      <c r="Y84" s="343">
        <v>3.5</v>
      </c>
      <c r="Z84" s="343">
        <v>400</v>
      </c>
      <c r="AA84" s="343">
        <v>400</v>
      </c>
      <c r="AB84" s="343">
        <v>1</v>
      </c>
      <c r="AC84" s="343">
        <v>400</v>
      </c>
      <c r="AD84" s="343">
        <v>30</v>
      </c>
      <c r="AE84" s="343">
        <v>3300</v>
      </c>
      <c r="AF84" s="343">
        <v>800</v>
      </c>
      <c r="AG84" s="343">
        <v>30</v>
      </c>
      <c r="AH84" s="343">
        <v>20</v>
      </c>
    </row>
    <row r="85" spans="2:34" ht="15" customHeight="1">
      <c r="B85" s="338" t="s">
        <v>41</v>
      </c>
      <c r="C85" s="342">
        <v>600</v>
      </c>
      <c r="D85" s="343">
        <v>0</v>
      </c>
      <c r="E85" s="343"/>
      <c r="F85" s="343"/>
      <c r="G85" s="343"/>
      <c r="H85" s="343"/>
      <c r="I85" s="343"/>
      <c r="J85" s="343"/>
      <c r="K85" s="343">
        <f t="shared" si="4"/>
        <v>420</v>
      </c>
      <c r="L85" s="343"/>
      <c r="M85" s="343"/>
      <c r="N85" s="343">
        <f t="shared" si="5"/>
        <v>600</v>
      </c>
      <c r="O85" s="343"/>
      <c r="P85" s="343"/>
      <c r="Q85" s="343"/>
      <c r="R85" s="343"/>
      <c r="S85" s="343"/>
      <c r="T85" s="343"/>
      <c r="U85" s="343"/>
      <c r="V85" s="343"/>
      <c r="W85" s="343"/>
      <c r="X85" s="343"/>
      <c r="Y85" s="343"/>
      <c r="Z85" s="343"/>
      <c r="AA85" s="343"/>
      <c r="AB85" s="343"/>
      <c r="AC85" s="343"/>
      <c r="AD85" s="343"/>
      <c r="AE85" s="343"/>
      <c r="AF85" s="343"/>
      <c r="AG85" s="343"/>
      <c r="AH85" s="343"/>
    </row>
    <row r="86" spans="2:34" ht="15" customHeight="1">
      <c r="B86" s="338" t="s">
        <v>47</v>
      </c>
      <c r="C86" s="342">
        <v>219</v>
      </c>
      <c r="D86" s="343">
        <v>0.21</v>
      </c>
      <c r="E86" s="343">
        <v>8.1</v>
      </c>
      <c r="F86" s="343">
        <v>336</v>
      </c>
      <c r="G86" s="343">
        <v>14.5</v>
      </c>
      <c r="H86" s="343">
        <f>G86*0.61</f>
        <v>8.8450000000000006</v>
      </c>
      <c r="I86" s="343">
        <f>G86*0.27</f>
        <v>3.915</v>
      </c>
      <c r="J86" s="343">
        <f>G86*0.2</f>
        <v>2.9000000000000004</v>
      </c>
      <c r="K86" s="343">
        <f t="shared" si="4"/>
        <v>153.29999999999998</v>
      </c>
      <c r="L86" s="343">
        <v>0</v>
      </c>
      <c r="M86" s="343">
        <v>0</v>
      </c>
      <c r="N86" s="343">
        <f t="shared" si="5"/>
        <v>219</v>
      </c>
      <c r="O86" s="343">
        <v>0</v>
      </c>
      <c r="P86" s="343">
        <v>14.4</v>
      </c>
      <c r="Q86" s="343">
        <v>10.5</v>
      </c>
      <c r="R86" s="343"/>
      <c r="S86" s="343"/>
      <c r="T86" s="343"/>
      <c r="U86" s="343"/>
      <c r="V86" s="343"/>
      <c r="W86" s="343"/>
      <c r="X86" s="343"/>
      <c r="Y86" s="343"/>
      <c r="Z86" s="343"/>
      <c r="AA86" s="343"/>
      <c r="AB86" s="343"/>
      <c r="AC86" s="343"/>
      <c r="AD86" s="343"/>
      <c r="AE86" s="343"/>
      <c r="AF86" s="343"/>
      <c r="AG86" s="343"/>
      <c r="AH86" s="343"/>
    </row>
    <row r="87" spans="2:34" ht="15" customHeight="1">
      <c r="B87" s="338" t="s">
        <v>47</v>
      </c>
      <c r="C87" s="342">
        <v>439</v>
      </c>
      <c r="D87" s="343">
        <v>0.42</v>
      </c>
      <c r="E87" s="343">
        <v>16.2</v>
      </c>
      <c r="F87" s="343">
        <v>673</v>
      </c>
      <c r="G87" s="343">
        <v>28.9</v>
      </c>
      <c r="H87" s="343">
        <f>G87*0.61</f>
        <v>17.628999999999998</v>
      </c>
      <c r="I87" s="343">
        <f>G87*0.27</f>
        <v>7.8029999999999999</v>
      </c>
      <c r="J87" s="343">
        <f>G87*0.2</f>
        <v>5.78</v>
      </c>
      <c r="K87" s="343">
        <f t="shared" si="4"/>
        <v>307.29999999999995</v>
      </c>
      <c r="L87" s="343">
        <v>0</v>
      </c>
      <c r="M87" s="343">
        <v>0</v>
      </c>
      <c r="N87" s="343">
        <f t="shared" si="5"/>
        <v>439</v>
      </c>
      <c r="O87" s="343">
        <v>0</v>
      </c>
      <c r="P87" s="343">
        <v>28.8</v>
      </c>
      <c r="Q87" s="343">
        <v>21</v>
      </c>
      <c r="R87" s="343"/>
      <c r="S87" s="343"/>
      <c r="T87" s="343"/>
      <c r="U87" s="343"/>
      <c r="V87" s="343"/>
      <c r="W87" s="343"/>
      <c r="X87" s="343"/>
      <c r="Y87" s="343"/>
      <c r="Z87" s="343"/>
      <c r="AA87" s="343"/>
      <c r="AB87" s="343"/>
      <c r="AC87" s="343"/>
      <c r="AD87" s="343"/>
      <c r="AE87" s="343"/>
      <c r="AF87" s="343"/>
      <c r="AG87" s="343"/>
      <c r="AH87" s="343"/>
    </row>
    <row r="88" spans="2:34" ht="15" customHeight="1">
      <c r="B88" s="338" t="s">
        <v>47</v>
      </c>
      <c r="C88" s="342">
        <v>548</v>
      </c>
      <c r="D88" s="343">
        <v>0.52</v>
      </c>
      <c r="E88" s="343">
        <v>20.2</v>
      </c>
      <c r="F88" s="343">
        <v>841</v>
      </c>
      <c r="G88" s="343">
        <v>36.200000000000003</v>
      </c>
      <c r="H88" s="343">
        <f>G88*0.61</f>
        <v>22.082000000000001</v>
      </c>
      <c r="I88" s="343">
        <f>G88*0.27</f>
        <v>9.7740000000000009</v>
      </c>
      <c r="J88" s="343">
        <f>G88*0.2</f>
        <v>7.2400000000000011</v>
      </c>
      <c r="K88" s="343">
        <f t="shared" si="4"/>
        <v>383.59999999999997</v>
      </c>
      <c r="L88" s="343">
        <v>0</v>
      </c>
      <c r="M88" s="343">
        <v>0</v>
      </c>
      <c r="N88" s="343">
        <f t="shared" si="5"/>
        <v>548</v>
      </c>
      <c r="O88" s="343">
        <v>0</v>
      </c>
      <c r="P88" s="343">
        <v>36</v>
      </c>
      <c r="Q88" s="343">
        <v>26.3</v>
      </c>
      <c r="R88" s="343">
        <v>7.7</v>
      </c>
      <c r="S88" s="343">
        <v>25.9</v>
      </c>
      <c r="T88" s="343">
        <v>11</v>
      </c>
      <c r="U88" s="343">
        <v>41</v>
      </c>
      <c r="V88" s="343">
        <v>15</v>
      </c>
      <c r="W88" s="343">
        <v>0.5</v>
      </c>
      <c r="X88" s="343">
        <v>125</v>
      </c>
      <c r="Y88" s="343">
        <v>4</v>
      </c>
      <c r="Z88" s="343">
        <v>500</v>
      </c>
      <c r="AA88" s="343">
        <v>400</v>
      </c>
      <c r="AB88" s="343">
        <v>1</v>
      </c>
      <c r="AC88" s="343">
        <v>400</v>
      </c>
      <c r="AD88" s="343">
        <v>30</v>
      </c>
      <c r="AE88" s="343">
        <v>3300</v>
      </c>
      <c r="AF88" s="343">
        <v>800</v>
      </c>
      <c r="AG88" s="343">
        <v>30</v>
      </c>
      <c r="AH88" s="343">
        <v>20</v>
      </c>
    </row>
    <row r="89" spans="2:34" ht="15" customHeight="1">
      <c r="B89" s="338" t="s">
        <v>47</v>
      </c>
      <c r="C89" s="342">
        <v>658</v>
      </c>
      <c r="D89" s="343"/>
      <c r="E89" s="343"/>
      <c r="F89" s="343"/>
      <c r="G89" s="343"/>
      <c r="H89" s="343"/>
      <c r="I89" s="343"/>
      <c r="J89" s="343"/>
      <c r="K89" s="343">
        <f t="shared" si="4"/>
        <v>460.59999999999997</v>
      </c>
      <c r="L89" s="343"/>
      <c r="M89" s="343"/>
      <c r="N89" s="343">
        <f t="shared" si="5"/>
        <v>658</v>
      </c>
      <c r="O89" s="343"/>
      <c r="P89" s="343"/>
      <c r="Q89" s="343"/>
      <c r="R89" s="343"/>
      <c r="S89" s="343"/>
      <c r="T89" s="343"/>
      <c r="U89" s="343"/>
      <c r="V89" s="343"/>
      <c r="W89" s="343"/>
      <c r="X89" s="343"/>
      <c r="Y89" s="343"/>
      <c r="Z89" s="343"/>
      <c r="AA89" s="343"/>
      <c r="AB89" s="343"/>
      <c r="AC89" s="343"/>
      <c r="AD89" s="343"/>
      <c r="AE89" s="343"/>
      <c r="AF89" s="343"/>
      <c r="AG89" s="343"/>
      <c r="AH89" s="343"/>
    </row>
    <row r="90" spans="2:34" ht="15" customHeight="1">
      <c r="B90" s="338" t="s">
        <v>48</v>
      </c>
      <c r="C90" s="342">
        <v>226</v>
      </c>
      <c r="D90" s="343">
        <v>0.26</v>
      </c>
      <c r="E90" s="343">
        <v>8.6</v>
      </c>
      <c r="F90" s="343">
        <v>357</v>
      </c>
      <c r="G90" s="343">
        <v>15.4</v>
      </c>
      <c r="H90" s="343">
        <f>G90*0.61</f>
        <v>9.3940000000000001</v>
      </c>
      <c r="I90" s="343">
        <f>G90*0.27</f>
        <v>4.1580000000000004</v>
      </c>
      <c r="J90" s="343">
        <f>G90*0.2</f>
        <v>3.08</v>
      </c>
      <c r="K90" s="343">
        <f t="shared" si="4"/>
        <v>158.19999999999999</v>
      </c>
      <c r="L90" s="343">
        <v>0</v>
      </c>
      <c r="M90" s="343">
        <v>0</v>
      </c>
      <c r="N90" s="343">
        <f t="shared" si="5"/>
        <v>226</v>
      </c>
      <c r="O90" s="343">
        <v>0</v>
      </c>
      <c r="P90" s="343">
        <v>14.4</v>
      </c>
      <c r="Q90" s="343">
        <v>10.5</v>
      </c>
      <c r="R90" s="343"/>
      <c r="S90" s="343"/>
      <c r="T90" s="343"/>
      <c r="U90" s="343"/>
      <c r="V90" s="343"/>
      <c r="W90" s="343"/>
      <c r="X90" s="343"/>
      <c r="Y90" s="343"/>
      <c r="Z90" s="343"/>
      <c r="AA90" s="343"/>
      <c r="AB90" s="343"/>
      <c r="AC90" s="343"/>
      <c r="AD90" s="343"/>
      <c r="AE90" s="343"/>
      <c r="AF90" s="343"/>
      <c r="AG90" s="343"/>
      <c r="AH90" s="343"/>
    </row>
    <row r="91" spans="2:34" ht="15" customHeight="1">
      <c r="B91" s="338" t="s">
        <v>48</v>
      </c>
      <c r="C91" s="342">
        <v>453</v>
      </c>
      <c r="D91" s="343">
        <v>0.52</v>
      </c>
      <c r="E91" s="343">
        <v>17.100000000000001</v>
      </c>
      <c r="F91" s="343">
        <v>714</v>
      </c>
      <c r="G91" s="343">
        <v>30.7</v>
      </c>
      <c r="H91" s="343">
        <f>G91*0.61</f>
        <v>18.727</v>
      </c>
      <c r="I91" s="343">
        <f>G91*0.27</f>
        <v>8.2889999999999997</v>
      </c>
      <c r="J91" s="343">
        <f>G91*0.2</f>
        <v>6.1400000000000006</v>
      </c>
      <c r="K91" s="343">
        <f t="shared" si="4"/>
        <v>317.09999999999997</v>
      </c>
      <c r="L91" s="343">
        <v>0</v>
      </c>
      <c r="M91" s="343">
        <v>0</v>
      </c>
      <c r="N91" s="343">
        <f t="shared" si="5"/>
        <v>453</v>
      </c>
      <c r="O91" s="343">
        <v>0</v>
      </c>
      <c r="P91" s="343">
        <v>28.8</v>
      </c>
      <c r="Q91" s="343">
        <v>21</v>
      </c>
      <c r="R91" s="343"/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3"/>
    </row>
    <row r="92" spans="2:34" ht="15" customHeight="1">
      <c r="B92" s="338" t="s">
        <v>48</v>
      </c>
      <c r="C92" s="342">
        <v>566</v>
      </c>
      <c r="D92" s="343">
        <v>0.65</v>
      </c>
      <c r="E92" s="343">
        <v>21.4</v>
      </c>
      <c r="F92" s="343">
        <v>893</v>
      </c>
      <c r="G92" s="343">
        <v>38.4</v>
      </c>
      <c r="H92" s="343">
        <f>G92*0.61</f>
        <v>23.423999999999999</v>
      </c>
      <c r="I92" s="343">
        <f>G92*0.27</f>
        <v>10.368</v>
      </c>
      <c r="J92" s="343">
        <f>G92*0.2</f>
        <v>7.68</v>
      </c>
      <c r="K92" s="343">
        <f t="shared" si="4"/>
        <v>396.2</v>
      </c>
      <c r="L92" s="343">
        <v>0</v>
      </c>
      <c r="M92" s="343">
        <v>0</v>
      </c>
      <c r="N92" s="343">
        <f t="shared" si="5"/>
        <v>566.00000000000011</v>
      </c>
      <c r="O92" s="343">
        <v>0</v>
      </c>
      <c r="P92" s="343">
        <v>36</v>
      </c>
      <c r="Q92" s="343">
        <v>26.3</v>
      </c>
      <c r="R92" s="343">
        <v>7.7</v>
      </c>
      <c r="S92" s="343">
        <v>25.9</v>
      </c>
      <c r="T92" s="343">
        <v>11</v>
      </c>
      <c r="U92" s="343">
        <v>41</v>
      </c>
      <c r="V92" s="343">
        <v>15</v>
      </c>
      <c r="W92" s="343">
        <v>0.5</v>
      </c>
      <c r="X92" s="343">
        <v>125</v>
      </c>
      <c r="Y92" s="343">
        <v>4</v>
      </c>
      <c r="Z92" s="343">
        <v>500</v>
      </c>
      <c r="AA92" s="343">
        <v>400</v>
      </c>
      <c r="AB92" s="343">
        <v>1</v>
      </c>
      <c r="AC92" s="343">
        <v>400</v>
      </c>
      <c r="AD92" s="343">
        <v>30</v>
      </c>
      <c r="AE92" s="343">
        <v>3300</v>
      </c>
      <c r="AF92" s="343">
        <v>800</v>
      </c>
      <c r="AG92" s="343">
        <v>30</v>
      </c>
      <c r="AH92" s="343">
        <v>20</v>
      </c>
    </row>
    <row r="93" spans="2:34" ht="15" customHeight="1">
      <c r="B93" s="338" t="s">
        <v>48</v>
      </c>
      <c r="C93" s="342">
        <v>679</v>
      </c>
      <c r="D93" s="343"/>
      <c r="E93" s="343"/>
      <c r="F93" s="343"/>
      <c r="G93" s="343"/>
      <c r="H93" s="343"/>
      <c r="I93" s="343"/>
      <c r="J93" s="343"/>
      <c r="K93" s="343">
        <f t="shared" si="4"/>
        <v>475.29999999999995</v>
      </c>
      <c r="L93" s="343"/>
      <c r="M93" s="343"/>
      <c r="N93" s="343">
        <f t="shared" si="5"/>
        <v>679</v>
      </c>
      <c r="O93" s="343"/>
      <c r="P93" s="343"/>
      <c r="Q93" s="343"/>
      <c r="R93" s="343"/>
      <c r="S93" s="343"/>
      <c r="T93" s="343"/>
      <c r="U93" s="343"/>
      <c r="V93" s="343"/>
      <c r="W93" s="343"/>
      <c r="X93" s="343"/>
      <c r="Y93" s="343"/>
      <c r="Z93" s="343"/>
      <c r="AA93" s="343"/>
      <c r="AB93" s="343"/>
      <c r="AC93" s="343"/>
      <c r="AD93" s="343"/>
      <c r="AE93" s="343"/>
      <c r="AF93" s="343"/>
      <c r="AG93" s="343"/>
      <c r="AH93" s="343"/>
    </row>
    <row r="94" spans="2:34" ht="15" customHeight="1">
      <c r="B94" s="338" t="s">
        <v>42</v>
      </c>
      <c r="C94" s="342">
        <v>201</v>
      </c>
      <c r="D94" s="343">
        <v>0.05</v>
      </c>
      <c r="E94" s="343">
        <v>6.8</v>
      </c>
      <c r="F94" s="343">
        <v>274</v>
      </c>
      <c r="G94" s="343">
        <v>11.8</v>
      </c>
      <c r="H94" s="343">
        <f>G94*0.61</f>
        <v>7.1980000000000004</v>
      </c>
      <c r="I94" s="343">
        <f>G94*0.27</f>
        <v>3.1860000000000004</v>
      </c>
      <c r="J94" s="343">
        <f>G94*0.2</f>
        <v>2.3600000000000003</v>
      </c>
      <c r="K94" s="343">
        <f t="shared" si="4"/>
        <v>140.69999999999999</v>
      </c>
      <c r="L94" s="343">
        <v>0</v>
      </c>
      <c r="M94" s="343">
        <v>0</v>
      </c>
      <c r="N94" s="343">
        <f t="shared" si="5"/>
        <v>201</v>
      </c>
      <c r="O94" s="343">
        <v>0</v>
      </c>
      <c r="P94" s="343">
        <v>8</v>
      </c>
      <c r="Q94" s="343">
        <v>5.6</v>
      </c>
      <c r="R94" s="343"/>
      <c r="S94" s="343"/>
      <c r="T94" s="343"/>
      <c r="U94" s="343"/>
      <c r="V94" s="343"/>
      <c r="W94" s="343"/>
      <c r="X94" s="343"/>
      <c r="Y94" s="343"/>
      <c r="Z94" s="343"/>
      <c r="AA94" s="343"/>
      <c r="AB94" s="343"/>
      <c r="AC94" s="343"/>
      <c r="AD94" s="343"/>
      <c r="AE94" s="343"/>
      <c r="AF94" s="343"/>
      <c r="AG94" s="343"/>
      <c r="AH94" s="343"/>
    </row>
    <row r="95" spans="2:34" ht="15" customHeight="1">
      <c r="B95" s="338" t="s">
        <v>42</v>
      </c>
      <c r="C95" s="342">
        <v>403</v>
      </c>
      <c r="D95" s="343">
        <v>0.11</v>
      </c>
      <c r="E95" s="343">
        <v>13.7</v>
      </c>
      <c r="F95" s="343">
        <v>548</v>
      </c>
      <c r="G95" s="343">
        <v>23.6</v>
      </c>
      <c r="H95" s="343">
        <f>G95*0.61</f>
        <v>14.396000000000001</v>
      </c>
      <c r="I95" s="343">
        <f>G95*0.27</f>
        <v>6.3720000000000008</v>
      </c>
      <c r="J95" s="343">
        <f>G95*0.2</f>
        <v>4.7200000000000006</v>
      </c>
      <c r="K95" s="343">
        <f t="shared" si="4"/>
        <v>282.09999999999997</v>
      </c>
      <c r="L95" s="343">
        <v>0</v>
      </c>
      <c r="M95" s="343">
        <v>0</v>
      </c>
      <c r="N95" s="343">
        <f t="shared" si="5"/>
        <v>403</v>
      </c>
      <c r="O95" s="343">
        <v>0</v>
      </c>
      <c r="P95" s="343">
        <v>16</v>
      </c>
      <c r="Q95" s="343">
        <v>11.2</v>
      </c>
      <c r="R95" s="343"/>
      <c r="S95" s="343"/>
      <c r="T95" s="343"/>
      <c r="U95" s="343"/>
      <c r="V95" s="343"/>
      <c r="W95" s="343"/>
      <c r="X95" s="343"/>
      <c r="Y95" s="343"/>
      <c r="Z95" s="343"/>
      <c r="AA95" s="343"/>
      <c r="AB95" s="343"/>
      <c r="AC95" s="343"/>
      <c r="AD95" s="343"/>
      <c r="AE95" s="343"/>
      <c r="AF95" s="343"/>
      <c r="AG95" s="343"/>
      <c r="AH95" s="343"/>
    </row>
    <row r="96" spans="2:34" ht="15" customHeight="1">
      <c r="B96" s="338" t="s">
        <v>42</v>
      </c>
      <c r="C96" s="342">
        <v>504</v>
      </c>
      <c r="D96" s="343">
        <v>0.14000000000000001</v>
      </c>
      <c r="E96" s="343">
        <v>17.100000000000001</v>
      </c>
      <c r="F96" s="343">
        <v>685</v>
      </c>
      <c r="G96" s="343">
        <v>29.5</v>
      </c>
      <c r="H96" s="343">
        <f>G96*0.61</f>
        <v>17.995000000000001</v>
      </c>
      <c r="I96" s="343">
        <f>G96*0.27</f>
        <v>7.9650000000000007</v>
      </c>
      <c r="J96" s="343">
        <f>G96*0.2</f>
        <v>5.9</v>
      </c>
      <c r="K96" s="343">
        <f t="shared" si="4"/>
        <v>352.79999999999995</v>
      </c>
      <c r="L96" s="343">
        <v>0</v>
      </c>
      <c r="M96" s="343">
        <v>0</v>
      </c>
      <c r="N96" s="343">
        <f t="shared" si="5"/>
        <v>504</v>
      </c>
      <c r="O96" s="343">
        <v>0</v>
      </c>
      <c r="P96" s="343">
        <v>20</v>
      </c>
      <c r="Q96" s="343">
        <v>14</v>
      </c>
      <c r="R96" s="343">
        <v>7.5</v>
      </c>
      <c r="S96" s="343">
        <v>25</v>
      </c>
      <c r="T96" s="343">
        <v>10</v>
      </c>
      <c r="U96" s="343">
        <v>40</v>
      </c>
      <c r="V96" s="343">
        <v>15</v>
      </c>
      <c r="W96" s="343">
        <v>0.5</v>
      </c>
      <c r="X96" s="343">
        <v>100</v>
      </c>
      <c r="Y96" s="343">
        <v>3.5</v>
      </c>
      <c r="Z96" s="343">
        <v>400</v>
      </c>
      <c r="AA96" s="343">
        <v>400</v>
      </c>
      <c r="AB96" s="343">
        <v>1</v>
      </c>
      <c r="AC96" s="343">
        <v>400</v>
      </c>
      <c r="AD96" s="343">
        <v>30</v>
      </c>
      <c r="AE96" s="343">
        <v>3300</v>
      </c>
      <c r="AF96" s="343">
        <v>800</v>
      </c>
      <c r="AG96" s="343">
        <v>30</v>
      </c>
      <c r="AH96" s="343">
        <v>20</v>
      </c>
    </row>
    <row r="97" spans="2:34" ht="15" customHeight="1">
      <c r="B97" s="338" t="s">
        <v>42</v>
      </c>
      <c r="C97" s="342">
        <v>604</v>
      </c>
      <c r="D97" s="343"/>
      <c r="E97" s="343"/>
      <c r="F97" s="343"/>
      <c r="G97" s="343"/>
      <c r="H97" s="343"/>
      <c r="I97" s="343"/>
      <c r="J97" s="343"/>
      <c r="K97" s="343">
        <f t="shared" si="4"/>
        <v>422.79999999999995</v>
      </c>
      <c r="L97" s="343"/>
      <c r="M97" s="343"/>
      <c r="N97" s="343">
        <f t="shared" si="5"/>
        <v>604</v>
      </c>
      <c r="O97" s="343"/>
      <c r="P97" s="343"/>
      <c r="Q97" s="343"/>
      <c r="R97" s="343"/>
      <c r="S97" s="343"/>
      <c r="T97" s="343"/>
      <c r="U97" s="343"/>
      <c r="V97" s="343"/>
      <c r="W97" s="343"/>
      <c r="X97" s="343"/>
      <c r="Y97" s="343"/>
      <c r="Z97" s="343"/>
      <c r="AA97" s="343"/>
      <c r="AB97" s="343"/>
      <c r="AC97" s="343"/>
      <c r="AD97" s="343"/>
      <c r="AE97" s="343"/>
      <c r="AF97" s="343"/>
      <c r="AG97" s="343"/>
      <c r="AH97" s="343"/>
    </row>
    <row r="98" spans="2:34" ht="15" customHeight="1">
      <c r="B98" s="338" t="s">
        <v>43</v>
      </c>
      <c r="C98" s="342">
        <v>203</v>
      </c>
      <c r="D98" s="343">
        <v>7.0000000000000007E-2</v>
      </c>
      <c r="E98" s="343">
        <v>7</v>
      </c>
      <c r="F98" s="343">
        <v>282</v>
      </c>
      <c r="G98" s="343">
        <v>12.1</v>
      </c>
      <c r="H98" s="343">
        <f>G98*0.61</f>
        <v>7.3809999999999993</v>
      </c>
      <c r="I98" s="343">
        <f>G98*0.27</f>
        <v>3.2669999999999999</v>
      </c>
      <c r="J98" s="343">
        <f>G98*0.2</f>
        <v>2.42</v>
      </c>
      <c r="K98" s="343">
        <f t="shared" ref="K98:K129" si="6">C98*0.7</f>
        <v>142.1</v>
      </c>
      <c r="L98" s="343">
        <v>0</v>
      </c>
      <c r="M98" s="343">
        <v>0</v>
      </c>
      <c r="N98" s="343">
        <f t="shared" ref="N98:N129" si="7">(C98*0.1%)*1000</f>
        <v>203</v>
      </c>
      <c r="O98" s="343">
        <v>0</v>
      </c>
      <c r="P98" s="343">
        <v>8</v>
      </c>
      <c r="Q98" s="343">
        <v>5.6</v>
      </c>
      <c r="R98" s="343"/>
      <c r="S98" s="343"/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3"/>
      <c r="AH98" s="343"/>
    </row>
    <row r="99" spans="2:34" ht="15" customHeight="1">
      <c r="B99" s="338" t="s">
        <v>43</v>
      </c>
      <c r="C99" s="342">
        <v>407</v>
      </c>
      <c r="D99" s="343">
        <v>0.15</v>
      </c>
      <c r="E99" s="343">
        <v>13.9</v>
      </c>
      <c r="F99" s="343">
        <v>563</v>
      </c>
      <c r="G99" s="343">
        <v>24.2</v>
      </c>
      <c r="H99" s="343">
        <f>G99*0.61</f>
        <v>14.761999999999999</v>
      </c>
      <c r="I99" s="343">
        <f>G99*0.27</f>
        <v>6.5339999999999998</v>
      </c>
      <c r="J99" s="343">
        <f>G99*0.2</f>
        <v>4.84</v>
      </c>
      <c r="K99" s="343">
        <f t="shared" si="6"/>
        <v>284.89999999999998</v>
      </c>
      <c r="L99" s="343">
        <v>0</v>
      </c>
      <c r="M99" s="343">
        <v>0</v>
      </c>
      <c r="N99" s="343">
        <f t="shared" si="7"/>
        <v>407</v>
      </c>
      <c r="O99" s="343">
        <v>0</v>
      </c>
      <c r="P99" s="343">
        <v>16</v>
      </c>
      <c r="Q99" s="343">
        <v>11.2</v>
      </c>
      <c r="R99" s="343"/>
      <c r="S99" s="343"/>
      <c r="T99" s="343"/>
      <c r="U99" s="343"/>
      <c r="V99" s="343"/>
      <c r="W99" s="343"/>
      <c r="X99" s="343"/>
      <c r="Y99" s="343"/>
      <c r="Z99" s="343"/>
      <c r="AA99" s="343"/>
      <c r="AB99" s="343"/>
      <c r="AC99" s="343"/>
      <c r="AD99" s="343"/>
      <c r="AE99" s="343"/>
      <c r="AF99" s="343"/>
      <c r="AG99" s="343"/>
      <c r="AH99" s="343"/>
    </row>
    <row r="100" spans="2:34" ht="15" customHeight="1">
      <c r="B100" s="338" t="s">
        <v>43</v>
      </c>
      <c r="C100" s="342">
        <v>508</v>
      </c>
      <c r="D100" s="343">
        <v>0.18</v>
      </c>
      <c r="E100" s="343">
        <v>17.399999999999999</v>
      </c>
      <c r="F100" s="343">
        <v>704</v>
      </c>
      <c r="G100" s="343">
        <v>30.3</v>
      </c>
      <c r="H100" s="343">
        <f>G100*0.61</f>
        <v>18.483000000000001</v>
      </c>
      <c r="I100" s="343">
        <f>G100*0.27</f>
        <v>8.1810000000000009</v>
      </c>
      <c r="J100" s="343">
        <f>G100*0.2</f>
        <v>6.0600000000000005</v>
      </c>
      <c r="K100" s="343">
        <f t="shared" si="6"/>
        <v>355.59999999999997</v>
      </c>
      <c r="L100" s="343">
        <v>0</v>
      </c>
      <c r="M100" s="343">
        <v>0</v>
      </c>
      <c r="N100" s="343">
        <f t="shared" si="7"/>
        <v>508</v>
      </c>
      <c r="O100" s="343">
        <v>0</v>
      </c>
      <c r="P100" s="343">
        <v>20</v>
      </c>
      <c r="Q100" s="343">
        <v>14</v>
      </c>
      <c r="R100" s="343">
        <v>7.5</v>
      </c>
      <c r="S100" s="343">
        <v>25</v>
      </c>
      <c r="T100" s="343">
        <v>10</v>
      </c>
      <c r="U100" s="343">
        <v>40</v>
      </c>
      <c r="V100" s="343">
        <v>15</v>
      </c>
      <c r="W100" s="343">
        <v>0.5</v>
      </c>
      <c r="X100" s="343">
        <v>100</v>
      </c>
      <c r="Y100" s="343">
        <v>3.5</v>
      </c>
      <c r="Z100" s="343">
        <v>400</v>
      </c>
      <c r="AA100" s="343">
        <v>400</v>
      </c>
      <c r="AB100" s="343">
        <v>1</v>
      </c>
      <c r="AC100" s="343">
        <v>400</v>
      </c>
      <c r="AD100" s="343">
        <v>30</v>
      </c>
      <c r="AE100" s="343">
        <v>3300</v>
      </c>
      <c r="AF100" s="343">
        <v>800</v>
      </c>
      <c r="AG100" s="343">
        <v>30</v>
      </c>
      <c r="AH100" s="343">
        <v>20</v>
      </c>
    </row>
    <row r="101" spans="2:34" ht="15" customHeight="1">
      <c r="B101" s="338" t="s">
        <v>43</v>
      </c>
      <c r="C101" s="342">
        <v>610</v>
      </c>
      <c r="D101" s="343"/>
      <c r="E101" s="343"/>
      <c r="F101" s="343"/>
      <c r="G101" s="343"/>
      <c r="H101" s="343"/>
      <c r="I101" s="343"/>
      <c r="J101" s="343"/>
      <c r="K101" s="343">
        <f t="shared" si="6"/>
        <v>427</v>
      </c>
      <c r="L101" s="343"/>
      <c r="M101" s="343"/>
      <c r="N101" s="343">
        <f t="shared" si="7"/>
        <v>610</v>
      </c>
      <c r="O101" s="343"/>
      <c r="P101" s="343"/>
      <c r="Q101" s="343"/>
      <c r="R101" s="343"/>
      <c r="S101" s="343"/>
      <c r="T101" s="343"/>
      <c r="U101" s="343"/>
      <c r="V101" s="343"/>
      <c r="W101" s="343"/>
      <c r="X101" s="343"/>
      <c r="Y101" s="343"/>
      <c r="Z101" s="343"/>
      <c r="AA101" s="343"/>
      <c r="AB101" s="343"/>
      <c r="AC101" s="343"/>
      <c r="AD101" s="343"/>
      <c r="AE101" s="343"/>
      <c r="AF101" s="343"/>
      <c r="AG101" s="343"/>
      <c r="AH101" s="343"/>
    </row>
    <row r="102" spans="2:34" ht="15" customHeight="1">
      <c r="B102" s="338" t="s">
        <v>44</v>
      </c>
      <c r="C102" s="342">
        <v>206</v>
      </c>
      <c r="D102" s="343">
        <v>0.1</v>
      </c>
      <c r="E102" s="343">
        <v>7.2</v>
      </c>
      <c r="F102" s="343">
        <v>291</v>
      </c>
      <c r="G102" s="343">
        <v>12.5</v>
      </c>
      <c r="H102" s="343">
        <f>G102*0.61</f>
        <v>7.625</v>
      </c>
      <c r="I102" s="343">
        <f>G102*0.27</f>
        <v>3.375</v>
      </c>
      <c r="J102" s="343">
        <f>G102*0.2</f>
        <v>2.5</v>
      </c>
      <c r="K102" s="343">
        <f t="shared" si="6"/>
        <v>144.19999999999999</v>
      </c>
      <c r="L102" s="343">
        <v>0</v>
      </c>
      <c r="M102" s="343">
        <v>0</v>
      </c>
      <c r="N102" s="343">
        <f t="shared" si="7"/>
        <v>206.00000000000003</v>
      </c>
      <c r="O102" s="343">
        <v>0</v>
      </c>
      <c r="P102" s="343">
        <v>11.2</v>
      </c>
      <c r="Q102" s="343">
        <v>8</v>
      </c>
      <c r="R102" s="343"/>
      <c r="S102" s="343"/>
      <c r="T102" s="343"/>
      <c r="U102" s="343"/>
      <c r="V102" s="343"/>
      <c r="W102" s="343"/>
      <c r="X102" s="343"/>
      <c r="Y102" s="343"/>
      <c r="Z102" s="343"/>
      <c r="AA102" s="343"/>
      <c r="AB102" s="343"/>
      <c r="AC102" s="343"/>
      <c r="AD102" s="343"/>
      <c r="AE102" s="343"/>
      <c r="AF102" s="343"/>
      <c r="AG102" s="343"/>
      <c r="AH102" s="343"/>
    </row>
    <row r="103" spans="2:34" ht="15" customHeight="1">
      <c r="B103" s="338" t="s">
        <v>44</v>
      </c>
      <c r="C103" s="342">
        <v>412</v>
      </c>
      <c r="D103" s="343">
        <v>0.19</v>
      </c>
      <c r="E103" s="343">
        <v>14.3</v>
      </c>
      <c r="F103" s="343">
        <v>583</v>
      </c>
      <c r="G103" s="343">
        <v>25.1</v>
      </c>
      <c r="H103" s="343">
        <f>G103*0.61</f>
        <v>15.311</v>
      </c>
      <c r="I103" s="343">
        <f>G103*0.27</f>
        <v>6.777000000000001</v>
      </c>
      <c r="J103" s="343">
        <f>G103*0.2</f>
        <v>5.0200000000000005</v>
      </c>
      <c r="K103" s="343">
        <f t="shared" si="6"/>
        <v>288.39999999999998</v>
      </c>
      <c r="L103" s="343">
        <v>0</v>
      </c>
      <c r="M103" s="343">
        <v>0</v>
      </c>
      <c r="N103" s="343">
        <f t="shared" si="7"/>
        <v>412.00000000000006</v>
      </c>
      <c r="O103" s="343">
        <v>0</v>
      </c>
      <c r="P103" s="343">
        <v>22.4</v>
      </c>
      <c r="Q103" s="343">
        <v>16</v>
      </c>
      <c r="R103" s="343"/>
      <c r="S103" s="343"/>
      <c r="T103" s="343"/>
      <c r="U103" s="343"/>
      <c r="V103" s="343"/>
      <c r="W103" s="343"/>
      <c r="X103" s="343"/>
      <c r="Y103" s="343"/>
      <c r="Z103" s="343"/>
      <c r="AA103" s="343"/>
      <c r="AB103" s="343"/>
      <c r="AC103" s="343"/>
      <c r="AD103" s="343"/>
      <c r="AE103" s="343"/>
      <c r="AF103" s="343"/>
      <c r="AG103" s="343"/>
      <c r="AH103" s="343"/>
    </row>
    <row r="104" spans="2:34" ht="15" customHeight="1">
      <c r="B104" s="338" t="s">
        <v>44</v>
      </c>
      <c r="C104" s="342">
        <v>515</v>
      </c>
      <c r="D104" s="343">
        <v>0.24</v>
      </c>
      <c r="E104" s="343">
        <v>17.899999999999999</v>
      </c>
      <c r="F104" s="343">
        <v>729</v>
      </c>
      <c r="G104" s="343">
        <v>31.3</v>
      </c>
      <c r="H104" s="343">
        <f>G104*0.61</f>
        <v>19.093</v>
      </c>
      <c r="I104" s="343">
        <f>G104*0.27</f>
        <v>8.4510000000000005</v>
      </c>
      <c r="J104" s="343">
        <f>G104*0.2</f>
        <v>6.2600000000000007</v>
      </c>
      <c r="K104" s="343">
        <f t="shared" si="6"/>
        <v>360.5</v>
      </c>
      <c r="L104" s="343">
        <v>0</v>
      </c>
      <c r="M104" s="343">
        <v>0</v>
      </c>
      <c r="N104" s="343">
        <f t="shared" si="7"/>
        <v>515</v>
      </c>
      <c r="O104" s="343">
        <v>0</v>
      </c>
      <c r="P104" s="343">
        <v>28</v>
      </c>
      <c r="Q104" s="343">
        <v>20</v>
      </c>
      <c r="R104" s="343">
        <v>7.6</v>
      </c>
      <c r="S104" s="343">
        <v>25</v>
      </c>
      <c r="T104" s="343">
        <v>10</v>
      </c>
      <c r="U104" s="343">
        <v>40</v>
      </c>
      <c r="V104" s="343">
        <v>15</v>
      </c>
      <c r="W104" s="343">
        <v>0.5</v>
      </c>
      <c r="X104" s="343">
        <v>100</v>
      </c>
      <c r="Y104" s="343">
        <v>3.5</v>
      </c>
      <c r="Z104" s="343">
        <v>400</v>
      </c>
      <c r="AA104" s="343">
        <v>400</v>
      </c>
      <c r="AB104" s="343">
        <v>1</v>
      </c>
      <c r="AC104" s="343">
        <v>400</v>
      </c>
      <c r="AD104" s="343">
        <v>30</v>
      </c>
      <c r="AE104" s="343">
        <v>3300</v>
      </c>
      <c r="AF104" s="343">
        <v>800</v>
      </c>
      <c r="AG104" s="343">
        <v>30</v>
      </c>
      <c r="AH104" s="343">
        <v>20</v>
      </c>
    </row>
    <row r="105" spans="2:34" ht="15" customHeight="1">
      <c r="B105" s="338" t="s">
        <v>44</v>
      </c>
      <c r="C105" s="342">
        <v>618</v>
      </c>
      <c r="D105" s="343"/>
      <c r="E105" s="343"/>
      <c r="F105" s="343"/>
      <c r="G105" s="343"/>
      <c r="H105" s="343"/>
      <c r="I105" s="343"/>
      <c r="J105" s="343"/>
      <c r="K105" s="343">
        <f t="shared" si="6"/>
        <v>432.59999999999997</v>
      </c>
      <c r="L105" s="343"/>
      <c r="M105" s="343"/>
      <c r="N105" s="343">
        <f t="shared" si="7"/>
        <v>618</v>
      </c>
      <c r="O105" s="343"/>
      <c r="P105" s="343"/>
      <c r="Q105" s="343"/>
      <c r="R105" s="343"/>
      <c r="S105" s="343"/>
      <c r="T105" s="343"/>
      <c r="U105" s="343"/>
      <c r="V105" s="343"/>
      <c r="W105" s="343"/>
      <c r="X105" s="343"/>
      <c r="Y105" s="343"/>
      <c r="Z105" s="343"/>
      <c r="AA105" s="343"/>
      <c r="AB105" s="343"/>
      <c r="AC105" s="343"/>
      <c r="AD105" s="343"/>
      <c r="AE105" s="343"/>
      <c r="AF105" s="343"/>
      <c r="AG105" s="343"/>
      <c r="AH105" s="343"/>
    </row>
    <row r="106" spans="2:34" ht="15" customHeight="1">
      <c r="B106" s="338" t="s">
        <v>45</v>
      </c>
      <c r="C106" s="342">
        <v>209</v>
      </c>
      <c r="D106" s="343">
        <v>0.13</v>
      </c>
      <c r="E106" s="343">
        <v>7.4</v>
      </c>
      <c r="F106" s="343">
        <v>304</v>
      </c>
      <c r="G106" s="343">
        <v>13.1</v>
      </c>
      <c r="H106" s="343">
        <f>G106*0.61</f>
        <v>7.9909999999999997</v>
      </c>
      <c r="I106" s="343">
        <f>G106*0.27</f>
        <v>3.5369999999999999</v>
      </c>
      <c r="J106" s="343">
        <f>G106*0.2</f>
        <v>2.62</v>
      </c>
      <c r="K106" s="343">
        <f t="shared" si="6"/>
        <v>146.29999999999998</v>
      </c>
      <c r="L106" s="343">
        <v>0</v>
      </c>
      <c r="M106" s="343">
        <v>0</v>
      </c>
      <c r="N106" s="343">
        <f t="shared" si="7"/>
        <v>209</v>
      </c>
      <c r="O106" s="343">
        <v>0</v>
      </c>
      <c r="P106" s="343">
        <v>11.2</v>
      </c>
      <c r="Q106" s="343">
        <v>8</v>
      </c>
      <c r="R106" s="343"/>
      <c r="S106" s="343"/>
      <c r="T106" s="343"/>
      <c r="U106" s="343"/>
      <c r="V106" s="343"/>
      <c r="W106" s="343"/>
      <c r="X106" s="343"/>
      <c r="Y106" s="343"/>
      <c r="Z106" s="343"/>
      <c r="AA106" s="343"/>
      <c r="AB106" s="343"/>
      <c r="AC106" s="343"/>
      <c r="AD106" s="343"/>
      <c r="AE106" s="343"/>
      <c r="AF106" s="343"/>
      <c r="AG106" s="343"/>
      <c r="AH106" s="343"/>
    </row>
    <row r="107" spans="2:34" ht="15" customHeight="1">
      <c r="B107" s="338" t="s">
        <v>45</v>
      </c>
      <c r="C107" s="342">
        <v>419</v>
      </c>
      <c r="D107" s="343">
        <v>0.26</v>
      </c>
      <c r="E107" s="343">
        <v>14.8</v>
      </c>
      <c r="F107" s="343">
        <v>607</v>
      </c>
      <c r="G107" s="343">
        <v>26.1</v>
      </c>
      <c r="H107" s="343">
        <f>G107*0.61</f>
        <v>15.921000000000001</v>
      </c>
      <c r="I107" s="343">
        <f>G107*0.27</f>
        <v>7.0470000000000006</v>
      </c>
      <c r="J107" s="343">
        <f>G107*0.2</f>
        <v>5.2200000000000006</v>
      </c>
      <c r="K107" s="343">
        <f t="shared" si="6"/>
        <v>293.29999999999995</v>
      </c>
      <c r="L107" s="343">
        <v>0</v>
      </c>
      <c r="M107" s="343">
        <v>0</v>
      </c>
      <c r="N107" s="343">
        <f t="shared" si="7"/>
        <v>419</v>
      </c>
      <c r="O107" s="343">
        <v>0</v>
      </c>
      <c r="P107" s="343">
        <v>22.4</v>
      </c>
      <c r="Q107" s="343">
        <v>16</v>
      </c>
      <c r="R107" s="343"/>
      <c r="S107" s="343"/>
      <c r="T107" s="343"/>
      <c r="U107" s="343"/>
      <c r="V107" s="343"/>
      <c r="W107" s="343"/>
      <c r="X107" s="343"/>
      <c r="Y107" s="343"/>
      <c r="Z107" s="343"/>
      <c r="AA107" s="343"/>
      <c r="AB107" s="343"/>
      <c r="AC107" s="343"/>
      <c r="AD107" s="343"/>
      <c r="AE107" s="343"/>
      <c r="AF107" s="343"/>
      <c r="AG107" s="343"/>
      <c r="AH107" s="343"/>
    </row>
    <row r="108" spans="2:34" ht="15" customHeight="1">
      <c r="B108" s="338" t="s">
        <v>45</v>
      </c>
      <c r="C108" s="342">
        <v>523</v>
      </c>
      <c r="D108" s="343">
        <v>0.32</v>
      </c>
      <c r="E108" s="343">
        <v>18.5</v>
      </c>
      <c r="F108" s="343">
        <v>759</v>
      </c>
      <c r="G108" s="343">
        <v>32.700000000000003</v>
      </c>
      <c r="H108" s="343">
        <f>G108*0.61</f>
        <v>19.947000000000003</v>
      </c>
      <c r="I108" s="343">
        <f>G108*0.27</f>
        <v>8.8290000000000006</v>
      </c>
      <c r="J108" s="343">
        <f>G108*0.2</f>
        <v>6.5400000000000009</v>
      </c>
      <c r="K108" s="343">
        <f t="shared" si="6"/>
        <v>366.09999999999997</v>
      </c>
      <c r="L108" s="343">
        <v>0</v>
      </c>
      <c r="M108" s="343">
        <v>0</v>
      </c>
      <c r="N108" s="343">
        <f t="shared" si="7"/>
        <v>523</v>
      </c>
      <c r="O108" s="343">
        <v>0</v>
      </c>
      <c r="P108" s="343">
        <v>28</v>
      </c>
      <c r="Q108" s="343">
        <v>20</v>
      </c>
      <c r="R108" s="343">
        <v>7.6</v>
      </c>
      <c r="S108" s="343">
        <v>25</v>
      </c>
      <c r="T108" s="343">
        <v>10</v>
      </c>
      <c r="U108" s="343">
        <v>40</v>
      </c>
      <c r="V108" s="343">
        <v>15</v>
      </c>
      <c r="W108" s="343">
        <v>0.5</v>
      </c>
      <c r="X108" s="343">
        <v>100</v>
      </c>
      <c r="Y108" s="343">
        <v>3.5</v>
      </c>
      <c r="Z108" s="343">
        <v>400</v>
      </c>
      <c r="AA108" s="343">
        <v>400</v>
      </c>
      <c r="AB108" s="343">
        <v>1</v>
      </c>
      <c r="AC108" s="343">
        <v>400</v>
      </c>
      <c r="AD108" s="343">
        <v>30</v>
      </c>
      <c r="AE108" s="343">
        <v>3300</v>
      </c>
      <c r="AF108" s="343">
        <v>800</v>
      </c>
      <c r="AG108" s="343">
        <v>30</v>
      </c>
      <c r="AH108" s="343">
        <v>20</v>
      </c>
    </row>
    <row r="109" spans="2:34" ht="15" customHeight="1">
      <c r="B109" s="338" t="s">
        <v>45</v>
      </c>
      <c r="C109" s="342">
        <v>628</v>
      </c>
      <c r="D109" s="343"/>
      <c r="E109" s="343"/>
      <c r="F109" s="343"/>
      <c r="G109" s="343"/>
      <c r="H109" s="343"/>
      <c r="I109" s="343"/>
      <c r="J109" s="343"/>
      <c r="K109" s="343">
        <f t="shared" si="6"/>
        <v>439.59999999999997</v>
      </c>
      <c r="L109" s="343"/>
      <c r="M109" s="343"/>
      <c r="N109" s="343">
        <f t="shared" si="7"/>
        <v>628</v>
      </c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  <c r="AF109" s="343"/>
      <c r="AG109" s="343"/>
      <c r="AH109" s="343"/>
    </row>
    <row r="110" spans="2:34" ht="15" customHeight="1">
      <c r="B110" s="338" t="s">
        <v>46</v>
      </c>
      <c r="C110" s="342">
        <v>214</v>
      </c>
      <c r="D110" s="343">
        <v>0.16</v>
      </c>
      <c r="E110" s="343">
        <v>7.7</v>
      </c>
      <c r="F110" s="343">
        <v>319</v>
      </c>
      <c r="G110" s="343">
        <v>13.7</v>
      </c>
      <c r="H110" s="343">
        <f>G110*0.61</f>
        <v>8.3569999999999993</v>
      </c>
      <c r="I110" s="343">
        <f>G110*0.27</f>
        <v>3.6989999999999998</v>
      </c>
      <c r="J110" s="343">
        <f>G110*0.2</f>
        <v>2.74</v>
      </c>
      <c r="K110" s="343">
        <f t="shared" si="6"/>
        <v>149.79999999999998</v>
      </c>
      <c r="L110" s="343">
        <v>0</v>
      </c>
      <c r="M110" s="343">
        <v>0</v>
      </c>
      <c r="N110" s="343">
        <f t="shared" si="7"/>
        <v>214</v>
      </c>
      <c r="O110" s="343">
        <v>0</v>
      </c>
      <c r="P110" s="343">
        <v>14.4</v>
      </c>
      <c r="Q110" s="343">
        <v>10.5</v>
      </c>
      <c r="R110" s="343"/>
      <c r="S110" s="343"/>
      <c r="T110" s="343"/>
      <c r="U110" s="343"/>
      <c r="V110" s="343"/>
      <c r="W110" s="343"/>
      <c r="X110" s="343"/>
      <c r="Y110" s="343"/>
      <c r="Z110" s="343"/>
      <c r="AA110" s="343"/>
      <c r="AB110" s="343"/>
      <c r="AC110" s="343"/>
      <c r="AD110" s="343"/>
      <c r="AE110" s="343"/>
      <c r="AF110" s="343"/>
      <c r="AG110" s="343"/>
      <c r="AH110" s="343"/>
    </row>
    <row r="111" spans="2:34" ht="15" customHeight="1">
      <c r="B111" s="338" t="s">
        <v>46</v>
      </c>
      <c r="C111" s="342">
        <v>427</v>
      </c>
      <c r="D111" s="343">
        <v>0.33</v>
      </c>
      <c r="E111" s="343">
        <v>15.4</v>
      </c>
      <c r="F111" s="343">
        <v>637</v>
      </c>
      <c r="G111" s="343">
        <v>27.4</v>
      </c>
      <c r="H111" s="343">
        <f>G111*0.61</f>
        <v>16.713999999999999</v>
      </c>
      <c r="I111" s="343">
        <f>G111*0.27</f>
        <v>7.3979999999999997</v>
      </c>
      <c r="J111" s="343">
        <f>G111*0.2</f>
        <v>5.48</v>
      </c>
      <c r="K111" s="343">
        <f t="shared" si="6"/>
        <v>298.89999999999998</v>
      </c>
      <c r="L111" s="343">
        <v>0</v>
      </c>
      <c r="M111" s="343">
        <v>0</v>
      </c>
      <c r="N111" s="343">
        <f t="shared" si="7"/>
        <v>427</v>
      </c>
      <c r="O111" s="343">
        <v>0</v>
      </c>
      <c r="P111" s="343">
        <v>28.8</v>
      </c>
      <c r="Q111" s="343">
        <v>21</v>
      </c>
      <c r="R111" s="343"/>
      <c r="S111" s="343"/>
      <c r="T111" s="343"/>
      <c r="U111" s="343"/>
      <c r="V111" s="343"/>
      <c r="W111" s="343"/>
      <c r="X111" s="343"/>
      <c r="Y111" s="343"/>
      <c r="Z111" s="343"/>
      <c r="AA111" s="343"/>
      <c r="AB111" s="343"/>
      <c r="AC111" s="343"/>
      <c r="AD111" s="343"/>
      <c r="AE111" s="343"/>
      <c r="AF111" s="343"/>
      <c r="AG111" s="343"/>
      <c r="AH111" s="343"/>
    </row>
    <row r="112" spans="2:34" ht="15" customHeight="1">
      <c r="B112" s="338" t="s">
        <v>46</v>
      </c>
      <c r="C112" s="342">
        <v>534</v>
      </c>
      <c r="D112" s="343">
        <v>0.41</v>
      </c>
      <c r="E112" s="343">
        <v>19.2</v>
      </c>
      <c r="F112" s="343">
        <v>797</v>
      </c>
      <c r="G112" s="343">
        <v>34.299999999999997</v>
      </c>
      <c r="H112" s="343">
        <f>G112*0.61</f>
        <v>20.922999999999998</v>
      </c>
      <c r="I112" s="343">
        <f>G112*0.27</f>
        <v>9.2609999999999992</v>
      </c>
      <c r="J112" s="343">
        <f>G112*0.2</f>
        <v>6.8599999999999994</v>
      </c>
      <c r="K112" s="343">
        <f t="shared" si="6"/>
        <v>373.79999999999995</v>
      </c>
      <c r="L112" s="343">
        <v>0</v>
      </c>
      <c r="M112" s="343">
        <v>0</v>
      </c>
      <c r="N112" s="343">
        <f t="shared" si="7"/>
        <v>534</v>
      </c>
      <c r="O112" s="343">
        <v>0</v>
      </c>
      <c r="P112" s="343">
        <v>36</v>
      </c>
      <c r="Q112" s="343">
        <v>26.3</v>
      </c>
      <c r="R112" s="343">
        <v>7.7</v>
      </c>
      <c r="S112" s="343">
        <v>25.9</v>
      </c>
      <c r="T112" s="343">
        <v>11</v>
      </c>
      <c r="U112" s="343">
        <v>41</v>
      </c>
      <c r="V112" s="343">
        <v>15</v>
      </c>
      <c r="W112" s="343">
        <v>0.5</v>
      </c>
      <c r="X112" s="343">
        <v>125</v>
      </c>
      <c r="Y112" s="343">
        <v>4</v>
      </c>
      <c r="Z112" s="343">
        <v>500</v>
      </c>
      <c r="AA112" s="343">
        <v>400</v>
      </c>
      <c r="AB112" s="343">
        <v>1</v>
      </c>
      <c r="AC112" s="343">
        <v>400</v>
      </c>
      <c r="AD112" s="343">
        <v>30</v>
      </c>
      <c r="AE112" s="343">
        <v>3300</v>
      </c>
      <c r="AF112" s="343">
        <v>800</v>
      </c>
      <c r="AG112" s="343">
        <v>30</v>
      </c>
      <c r="AH112" s="343">
        <v>20</v>
      </c>
    </row>
    <row r="113" spans="2:34" ht="15" customHeight="1">
      <c r="B113" s="338" t="s">
        <v>46</v>
      </c>
      <c r="C113" s="342">
        <v>641</v>
      </c>
      <c r="D113" s="343"/>
      <c r="E113" s="343"/>
      <c r="F113" s="343"/>
      <c r="G113" s="343"/>
      <c r="H113" s="343"/>
      <c r="I113" s="343"/>
      <c r="J113" s="343"/>
      <c r="K113" s="343">
        <f t="shared" si="6"/>
        <v>448.7</v>
      </c>
      <c r="L113" s="343"/>
      <c r="M113" s="343"/>
      <c r="N113" s="343">
        <f t="shared" si="7"/>
        <v>641</v>
      </c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343"/>
      <c r="AB113" s="343"/>
      <c r="AC113" s="343"/>
      <c r="AD113" s="343"/>
      <c r="AE113" s="343"/>
      <c r="AF113" s="343"/>
      <c r="AG113" s="343"/>
      <c r="AH113" s="343"/>
    </row>
    <row r="114" spans="2:34" ht="15" customHeight="1">
      <c r="B114" s="338" t="s">
        <v>40</v>
      </c>
      <c r="C114" s="342">
        <v>200</v>
      </c>
      <c r="D114" s="343">
        <v>0</v>
      </c>
      <c r="E114" s="343">
        <v>8.6999999999999993</v>
      </c>
      <c r="F114" s="343">
        <v>316</v>
      </c>
      <c r="G114" s="343">
        <v>13.6</v>
      </c>
      <c r="H114" s="343">
        <f>G114*0.61</f>
        <v>8.2959999999999994</v>
      </c>
      <c r="I114" s="343">
        <f>G114*0.27</f>
        <v>3.6720000000000002</v>
      </c>
      <c r="J114" s="343">
        <f>G114*0.2</f>
        <v>2.72</v>
      </c>
      <c r="K114" s="343">
        <f t="shared" si="6"/>
        <v>140</v>
      </c>
      <c r="L114" s="343">
        <v>0</v>
      </c>
      <c r="M114" s="343">
        <v>0</v>
      </c>
      <c r="N114" s="343">
        <f t="shared" si="7"/>
        <v>200</v>
      </c>
      <c r="O114" s="343">
        <v>0</v>
      </c>
      <c r="P114" s="343">
        <v>12</v>
      </c>
      <c r="Q114" s="343">
        <v>7.2</v>
      </c>
      <c r="R114" s="343"/>
      <c r="S114" s="343"/>
      <c r="T114" s="343"/>
      <c r="U114" s="343"/>
      <c r="V114" s="343"/>
      <c r="W114" s="343"/>
      <c r="X114" s="343"/>
      <c r="Y114" s="343"/>
      <c r="Z114" s="343"/>
      <c r="AA114" s="343"/>
      <c r="AB114" s="343"/>
      <c r="AC114" s="343"/>
      <c r="AD114" s="343"/>
      <c r="AE114" s="343"/>
      <c r="AF114" s="343"/>
      <c r="AG114" s="343"/>
      <c r="AH114" s="343"/>
    </row>
    <row r="115" spans="2:34" ht="15" customHeight="1">
      <c r="B115" s="338" t="s">
        <v>40</v>
      </c>
      <c r="C115" s="342">
        <v>400</v>
      </c>
      <c r="D115" s="343">
        <v>0</v>
      </c>
      <c r="E115" s="343">
        <v>17.399999999999999</v>
      </c>
      <c r="F115" s="343">
        <v>631</v>
      </c>
      <c r="G115" s="343">
        <v>27.1</v>
      </c>
      <c r="H115" s="343">
        <f>G115*0.61</f>
        <v>16.530999999999999</v>
      </c>
      <c r="I115" s="343">
        <f>G115*0.27</f>
        <v>7.3170000000000011</v>
      </c>
      <c r="J115" s="343">
        <f>G115*0.2</f>
        <v>5.4200000000000008</v>
      </c>
      <c r="K115" s="343">
        <f t="shared" si="6"/>
        <v>280</v>
      </c>
      <c r="L115" s="343">
        <v>0</v>
      </c>
      <c r="M115" s="343">
        <v>0</v>
      </c>
      <c r="N115" s="343">
        <f t="shared" si="7"/>
        <v>400</v>
      </c>
      <c r="O115" s="343">
        <v>0</v>
      </c>
      <c r="P115" s="343">
        <v>24</v>
      </c>
      <c r="Q115" s="343">
        <v>14.4</v>
      </c>
      <c r="R115" s="343"/>
      <c r="S115" s="343"/>
      <c r="T115" s="343"/>
      <c r="U115" s="343"/>
      <c r="V115" s="343"/>
      <c r="W115" s="343"/>
      <c r="X115" s="343"/>
      <c r="Y115" s="343"/>
      <c r="Z115" s="343"/>
      <c r="AA115" s="343"/>
      <c r="AB115" s="343"/>
      <c r="AC115" s="343"/>
      <c r="AD115" s="343"/>
      <c r="AE115" s="343"/>
      <c r="AF115" s="343"/>
      <c r="AG115" s="343"/>
      <c r="AH115" s="343"/>
    </row>
    <row r="116" spans="2:34" ht="15" customHeight="1">
      <c r="B116" s="338" t="s">
        <v>40</v>
      </c>
      <c r="C116" s="342">
        <v>500</v>
      </c>
      <c r="D116" s="343">
        <v>0</v>
      </c>
      <c r="E116" s="343">
        <v>21.8</v>
      </c>
      <c r="F116" s="343">
        <v>789</v>
      </c>
      <c r="G116" s="343">
        <v>33.9</v>
      </c>
      <c r="H116" s="343">
        <f>G116*0.61</f>
        <v>20.678999999999998</v>
      </c>
      <c r="I116" s="343">
        <f>G116*0.27</f>
        <v>9.1530000000000005</v>
      </c>
      <c r="J116" s="343">
        <f>G116*0.2</f>
        <v>6.78</v>
      </c>
      <c r="K116" s="343">
        <f t="shared" si="6"/>
        <v>350</v>
      </c>
      <c r="L116" s="343">
        <v>0</v>
      </c>
      <c r="M116" s="343">
        <v>0</v>
      </c>
      <c r="N116" s="343">
        <f t="shared" si="7"/>
        <v>500</v>
      </c>
      <c r="O116" s="343">
        <v>0</v>
      </c>
      <c r="P116" s="343">
        <v>30</v>
      </c>
      <c r="Q116" s="343">
        <v>18</v>
      </c>
      <c r="R116" s="343">
        <v>9.5</v>
      </c>
      <c r="S116" s="343">
        <v>28.5</v>
      </c>
      <c r="T116" s="343">
        <v>13.9</v>
      </c>
      <c r="U116" s="343">
        <v>46.6</v>
      </c>
      <c r="V116" s="343">
        <v>15</v>
      </c>
      <c r="W116" s="343">
        <v>0.5</v>
      </c>
      <c r="X116" s="343">
        <v>100</v>
      </c>
      <c r="Y116" s="343">
        <v>3.5</v>
      </c>
      <c r="Z116" s="343">
        <v>400</v>
      </c>
      <c r="AA116" s="343">
        <v>400</v>
      </c>
      <c r="AB116" s="343">
        <v>1</v>
      </c>
      <c r="AC116" s="343">
        <v>400</v>
      </c>
      <c r="AD116" s="343">
        <v>22.5</v>
      </c>
      <c r="AE116" s="343">
        <v>3300</v>
      </c>
      <c r="AF116" s="343">
        <v>800</v>
      </c>
      <c r="AG116" s="343">
        <v>30</v>
      </c>
      <c r="AH116" s="343">
        <v>20</v>
      </c>
    </row>
    <row r="117" spans="2:34" ht="15" customHeight="1">
      <c r="B117" s="338" t="s">
        <v>40</v>
      </c>
      <c r="C117" s="342">
        <v>600</v>
      </c>
      <c r="D117" s="343">
        <v>0</v>
      </c>
      <c r="E117" s="343"/>
      <c r="F117" s="343"/>
      <c r="G117" s="343"/>
      <c r="H117" s="343"/>
      <c r="I117" s="343"/>
      <c r="J117" s="343"/>
      <c r="K117" s="343">
        <f t="shared" si="6"/>
        <v>420</v>
      </c>
      <c r="L117" s="343"/>
      <c r="M117" s="343"/>
      <c r="N117" s="343">
        <f t="shared" si="7"/>
        <v>600</v>
      </c>
      <c r="O117" s="343"/>
      <c r="P117" s="343"/>
      <c r="Q117" s="343"/>
      <c r="R117" s="343"/>
      <c r="S117" s="343"/>
      <c r="T117" s="343"/>
      <c r="U117" s="343"/>
      <c r="V117" s="343"/>
      <c r="W117" s="343"/>
      <c r="X117" s="343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</row>
    <row r="118" spans="2:34" ht="15" customHeight="1">
      <c r="B118" s="338" t="s">
        <v>39</v>
      </c>
      <c r="C118" s="342">
        <v>200</v>
      </c>
      <c r="D118" s="343">
        <v>0</v>
      </c>
      <c r="E118" s="343">
        <v>7.3</v>
      </c>
      <c r="F118" s="343">
        <v>288</v>
      </c>
      <c r="G118" s="343">
        <v>12.4</v>
      </c>
      <c r="H118" s="343">
        <f>G118*0.61</f>
        <v>7.5640000000000001</v>
      </c>
      <c r="I118" s="343">
        <f>G118*0.27</f>
        <v>3.3480000000000003</v>
      </c>
      <c r="J118" s="343">
        <f>G118*0.2</f>
        <v>2.4800000000000004</v>
      </c>
      <c r="K118" s="343">
        <f t="shared" si="6"/>
        <v>140</v>
      </c>
      <c r="L118" s="343">
        <v>0</v>
      </c>
      <c r="M118" s="343">
        <v>0</v>
      </c>
      <c r="N118" s="343">
        <f t="shared" si="7"/>
        <v>200</v>
      </c>
      <c r="O118" s="343">
        <v>0</v>
      </c>
      <c r="P118" s="343">
        <v>8</v>
      </c>
      <c r="Q118" s="343">
        <v>5.6</v>
      </c>
      <c r="R118" s="343"/>
      <c r="S118" s="343"/>
      <c r="T118" s="343"/>
      <c r="U118" s="343"/>
      <c r="V118" s="343"/>
      <c r="W118" s="343"/>
      <c r="X118" s="343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</row>
    <row r="119" spans="2:34" ht="15" customHeight="1">
      <c r="B119" s="338" t="s">
        <v>39</v>
      </c>
      <c r="C119" s="342">
        <v>400</v>
      </c>
      <c r="D119" s="343">
        <v>0</v>
      </c>
      <c r="E119" s="343">
        <v>14.5</v>
      </c>
      <c r="F119" s="343">
        <v>576</v>
      </c>
      <c r="G119" s="343">
        <v>24.8</v>
      </c>
      <c r="H119" s="343">
        <f>G119*0.61</f>
        <v>15.128</v>
      </c>
      <c r="I119" s="343">
        <f>G119*0.27</f>
        <v>6.6960000000000006</v>
      </c>
      <c r="J119" s="343">
        <f>G119*0.2</f>
        <v>4.9600000000000009</v>
      </c>
      <c r="K119" s="343">
        <f t="shared" si="6"/>
        <v>280</v>
      </c>
      <c r="L119" s="343">
        <v>0</v>
      </c>
      <c r="M119" s="343">
        <v>0</v>
      </c>
      <c r="N119" s="343">
        <f t="shared" si="7"/>
        <v>400</v>
      </c>
      <c r="O119" s="343">
        <v>0</v>
      </c>
      <c r="P119" s="343">
        <v>16</v>
      </c>
      <c r="Q119" s="343">
        <v>11.2</v>
      </c>
      <c r="R119" s="343"/>
      <c r="S119" s="343"/>
      <c r="T119" s="343"/>
      <c r="U119" s="343"/>
      <c r="V119" s="343"/>
      <c r="W119" s="343"/>
      <c r="X119" s="343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</row>
    <row r="120" spans="2:34" ht="15" customHeight="1">
      <c r="B120" s="338" t="s">
        <v>39</v>
      </c>
      <c r="C120" s="342">
        <v>500</v>
      </c>
      <c r="D120" s="343">
        <v>0</v>
      </c>
      <c r="E120" s="343">
        <v>18.2</v>
      </c>
      <c r="F120" s="343">
        <v>720</v>
      </c>
      <c r="G120" s="343">
        <v>31</v>
      </c>
      <c r="H120" s="343">
        <f>G120*0.61</f>
        <v>18.91</v>
      </c>
      <c r="I120" s="343">
        <f>G120*0.27</f>
        <v>8.370000000000001</v>
      </c>
      <c r="J120" s="343">
        <f>G120*0.2</f>
        <v>6.2</v>
      </c>
      <c r="K120" s="343">
        <f t="shared" si="6"/>
        <v>350</v>
      </c>
      <c r="L120" s="343">
        <v>0</v>
      </c>
      <c r="M120" s="343">
        <v>0</v>
      </c>
      <c r="N120" s="343">
        <f t="shared" si="7"/>
        <v>500</v>
      </c>
      <c r="O120" s="343">
        <v>0</v>
      </c>
      <c r="P120" s="343">
        <v>20</v>
      </c>
      <c r="Q120" s="343">
        <v>14</v>
      </c>
      <c r="R120" s="343">
        <v>7.5</v>
      </c>
      <c r="S120" s="343">
        <v>25</v>
      </c>
      <c r="T120" s="343">
        <v>10</v>
      </c>
      <c r="U120" s="343">
        <v>40</v>
      </c>
      <c r="V120" s="343">
        <v>15</v>
      </c>
      <c r="W120" s="343">
        <v>0.5</v>
      </c>
      <c r="X120" s="343">
        <v>100</v>
      </c>
      <c r="Y120" s="343">
        <v>3.5</v>
      </c>
      <c r="Z120" s="343">
        <v>400</v>
      </c>
      <c r="AA120" s="343">
        <v>400</v>
      </c>
      <c r="AB120" s="343">
        <v>1</v>
      </c>
      <c r="AC120" s="343">
        <v>400</v>
      </c>
      <c r="AD120" s="343">
        <v>15</v>
      </c>
      <c r="AE120" s="343">
        <v>3300</v>
      </c>
      <c r="AF120" s="343">
        <v>500</v>
      </c>
      <c r="AG120" s="343">
        <v>30</v>
      </c>
      <c r="AH120" s="343">
        <v>20</v>
      </c>
    </row>
    <row r="121" spans="2:34" ht="15" customHeight="1">
      <c r="B121" s="338" t="s">
        <v>39</v>
      </c>
      <c r="C121" s="342">
        <v>600</v>
      </c>
      <c r="D121" s="343">
        <v>0</v>
      </c>
      <c r="E121" s="343"/>
      <c r="F121" s="343"/>
      <c r="G121" s="343"/>
      <c r="H121" s="343"/>
      <c r="I121" s="343"/>
      <c r="J121" s="343"/>
      <c r="K121" s="343">
        <f t="shared" si="6"/>
        <v>420</v>
      </c>
      <c r="L121" s="343"/>
      <c r="M121" s="343"/>
      <c r="N121" s="343">
        <f t="shared" si="7"/>
        <v>600</v>
      </c>
      <c r="O121" s="343"/>
      <c r="P121" s="343"/>
      <c r="Q121" s="343"/>
      <c r="R121" s="343"/>
      <c r="S121" s="343"/>
      <c r="T121" s="343"/>
      <c r="U121" s="343"/>
      <c r="V121" s="343"/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</row>
    <row r="122" spans="2:34" ht="15" customHeight="1">
      <c r="B122" s="338" t="s">
        <v>35</v>
      </c>
      <c r="C122" s="342">
        <v>200</v>
      </c>
      <c r="D122" s="343">
        <v>0</v>
      </c>
      <c r="E122" s="343">
        <v>8</v>
      </c>
      <c r="F122" s="343">
        <v>80</v>
      </c>
      <c r="G122" s="343">
        <v>12</v>
      </c>
      <c r="H122" s="343">
        <f>G122*0.61</f>
        <v>7.32</v>
      </c>
      <c r="I122" s="343">
        <f>G122*0.27</f>
        <v>3.24</v>
      </c>
      <c r="J122" s="343">
        <f>G122*0.2</f>
        <v>2.4000000000000004</v>
      </c>
      <c r="K122" s="343">
        <f t="shared" si="6"/>
        <v>140</v>
      </c>
      <c r="L122" s="343">
        <v>0</v>
      </c>
      <c r="M122" s="343">
        <v>0</v>
      </c>
      <c r="N122" s="343">
        <f t="shared" si="7"/>
        <v>200</v>
      </c>
      <c r="O122" s="343">
        <v>0</v>
      </c>
      <c r="P122" s="343">
        <v>12</v>
      </c>
      <c r="Q122" s="343">
        <v>7.2</v>
      </c>
      <c r="R122" s="343"/>
      <c r="S122" s="343"/>
      <c r="T122" s="343"/>
      <c r="U122" s="343"/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</row>
    <row r="123" spans="2:34" ht="15" customHeight="1">
      <c r="B123" s="338" t="s">
        <v>35</v>
      </c>
      <c r="C123" s="342">
        <v>400</v>
      </c>
      <c r="D123" s="343">
        <v>0</v>
      </c>
      <c r="E123" s="343">
        <v>16</v>
      </c>
      <c r="F123" s="343">
        <v>559</v>
      </c>
      <c r="G123" s="343">
        <v>24.1</v>
      </c>
      <c r="H123" s="343">
        <f>G123*0.61</f>
        <v>14.701000000000001</v>
      </c>
      <c r="I123" s="343">
        <f>G123*0.27</f>
        <v>6.5070000000000006</v>
      </c>
      <c r="J123" s="343">
        <f>G123*0.2</f>
        <v>4.82</v>
      </c>
      <c r="K123" s="343">
        <f t="shared" si="6"/>
        <v>280</v>
      </c>
      <c r="L123" s="343">
        <v>0</v>
      </c>
      <c r="M123" s="343">
        <v>0</v>
      </c>
      <c r="N123" s="343">
        <f t="shared" si="7"/>
        <v>400</v>
      </c>
      <c r="O123" s="343">
        <v>0</v>
      </c>
      <c r="P123" s="343">
        <v>14</v>
      </c>
      <c r="Q123" s="343">
        <v>14.4</v>
      </c>
      <c r="R123" s="343"/>
      <c r="S123" s="343"/>
      <c r="T123" s="343"/>
      <c r="U123" s="343"/>
      <c r="V123" s="343"/>
      <c r="W123" s="343"/>
      <c r="X123" s="343"/>
      <c r="Y123" s="343"/>
      <c r="Z123" s="343"/>
      <c r="AA123" s="343"/>
      <c r="AB123" s="343"/>
      <c r="AC123" s="343"/>
      <c r="AD123" s="343"/>
      <c r="AE123" s="343"/>
      <c r="AF123" s="343"/>
      <c r="AG123" s="343"/>
      <c r="AH123" s="343"/>
    </row>
    <row r="124" spans="2:34" ht="15" customHeight="1">
      <c r="B124" s="338" t="s">
        <v>35</v>
      </c>
      <c r="C124" s="342">
        <v>500</v>
      </c>
      <c r="D124" s="343">
        <v>0</v>
      </c>
      <c r="E124" s="343">
        <v>26.6</v>
      </c>
      <c r="F124" s="343">
        <v>862</v>
      </c>
      <c r="G124" s="343">
        <v>37.1</v>
      </c>
      <c r="H124" s="343">
        <f>G124*0.61</f>
        <v>22.631</v>
      </c>
      <c r="I124" s="343">
        <f>G124*0.27</f>
        <v>10.017000000000001</v>
      </c>
      <c r="J124" s="343">
        <f>G124*0.2</f>
        <v>7.4200000000000008</v>
      </c>
      <c r="K124" s="343">
        <f t="shared" si="6"/>
        <v>350</v>
      </c>
      <c r="L124" s="343">
        <v>0</v>
      </c>
      <c r="M124" s="343">
        <v>0</v>
      </c>
      <c r="N124" s="343">
        <f t="shared" si="7"/>
        <v>500</v>
      </c>
      <c r="O124" s="343">
        <v>0</v>
      </c>
      <c r="P124" s="343">
        <v>40</v>
      </c>
      <c r="Q124" s="343">
        <v>29</v>
      </c>
      <c r="R124" s="343">
        <v>15</v>
      </c>
      <c r="S124" s="343">
        <v>39</v>
      </c>
      <c r="T124" s="343">
        <v>25.5</v>
      </c>
      <c r="U124" s="343">
        <v>66.5</v>
      </c>
      <c r="V124" s="343">
        <v>18.8</v>
      </c>
      <c r="W124" s="343">
        <v>0.6</v>
      </c>
      <c r="X124" s="343">
        <v>125</v>
      </c>
      <c r="Y124" s="343">
        <v>4.4000000000000004</v>
      </c>
      <c r="Z124" s="343">
        <v>500</v>
      </c>
      <c r="AA124" s="343">
        <v>500</v>
      </c>
      <c r="AB124" s="343">
        <v>1.25</v>
      </c>
      <c r="AC124" s="343">
        <v>500</v>
      </c>
      <c r="AD124" s="343">
        <v>22.5</v>
      </c>
      <c r="AE124" s="343">
        <v>3300</v>
      </c>
      <c r="AF124" s="343">
        <v>1000</v>
      </c>
      <c r="AG124" s="343">
        <v>62.5</v>
      </c>
      <c r="AH124" s="343">
        <v>25</v>
      </c>
    </row>
    <row r="125" spans="2:34" ht="15" customHeight="1">
      <c r="B125" s="338" t="s">
        <v>35</v>
      </c>
      <c r="C125" s="342">
        <v>600</v>
      </c>
      <c r="D125" s="343">
        <v>0</v>
      </c>
      <c r="E125" s="343"/>
      <c r="F125" s="343"/>
      <c r="G125" s="343"/>
      <c r="H125" s="343"/>
      <c r="I125" s="343"/>
      <c r="J125" s="343"/>
      <c r="K125" s="343">
        <f t="shared" si="6"/>
        <v>420</v>
      </c>
      <c r="L125" s="343"/>
      <c r="M125" s="343"/>
      <c r="N125" s="343">
        <f t="shared" si="7"/>
        <v>600</v>
      </c>
      <c r="O125" s="343"/>
      <c r="P125" s="343"/>
      <c r="Q125" s="343"/>
      <c r="R125" s="343"/>
      <c r="S125" s="343"/>
      <c r="T125" s="343"/>
      <c r="U125" s="343"/>
      <c r="V125" s="343"/>
      <c r="W125" s="343"/>
      <c r="X125" s="343"/>
      <c r="Y125" s="343"/>
      <c r="Z125" s="343"/>
      <c r="AA125" s="343"/>
      <c r="AB125" s="343"/>
      <c r="AC125" s="343"/>
      <c r="AD125" s="343"/>
      <c r="AE125" s="343"/>
      <c r="AF125" s="343"/>
      <c r="AG125" s="343"/>
      <c r="AH125" s="343"/>
    </row>
    <row r="126" spans="2:34" ht="15" customHeight="1">
      <c r="B126" s="338" t="s">
        <v>36</v>
      </c>
      <c r="C126" s="342">
        <v>200</v>
      </c>
      <c r="D126" s="343">
        <v>0</v>
      </c>
      <c r="E126" s="343">
        <v>9.3000000000000007</v>
      </c>
      <c r="F126" s="343">
        <v>307</v>
      </c>
      <c r="G126" s="343">
        <v>13.2</v>
      </c>
      <c r="H126" s="343">
        <f>G126*0.61</f>
        <v>8.0519999999999996</v>
      </c>
      <c r="I126" s="343">
        <f>G126*0.27</f>
        <v>3.5640000000000001</v>
      </c>
      <c r="J126" s="343">
        <f>G126*0.2</f>
        <v>2.64</v>
      </c>
      <c r="K126" s="343">
        <f t="shared" si="6"/>
        <v>140</v>
      </c>
      <c r="L126" s="343">
        <v>0</v>
      </c>
      <c r="M126" s="343">
        <v>0</v>
      </c>
      <c r="N126" s="343">
        <f t="shared" si="7"/>
        <v>200</v>
      </c>
      <c r="O126" s="343">
        <v>0</v>
      </c>
      <c r="P126" s="343">
        <v>14</v>
      </c>
      <c r="Q126" s="343">
        <v>8.4</v>
      </c>
      <c r="R126" s="343"/>
      <c r="S126" s="343"/>
      <c r="T126" s="343"/>
      <c r="U126" s="343"/>
      <c r="V126" s="343"/>
      <c r="W126" s="343"/>
      <c r="X126" s="343"/>
      <c r="Y126" s="343"/>
      <c r="Z126" s="343"/>
      <c r="AA126" s="343"/>
      <c r="AB126" s="343"/>
      <c r="AC126" s="343"/>
      <c r="AD126" s="343"/>
      <c r="AE126" s="343"/>
      <c r="AF126" s="343"/>
      <c r="AG126" s="343"/>
      <c r="AH126" s="343"/>
    </row>
    <row r="127" spans="2:34" ht="15" customHeight="1">
      <c r="B127" s="338" t="s">
        <v>36</v>
      </c>
      <c r="C127" s="342">
        <v>400</v>
      </c>
      <c r="D127" s="343">
        <v>0</v>
      </c>
      <c r="E127" s="343">
        <v>18.600000000000001</v>
      </c>
      <c r="F127" s="343">
        <v>614</v>
      </c>
      <c r="G127" s="343">
        <v>26.4</v>
      </c>
      <c r="H127" s="343">
        <f>G127*0.61</f>
        <v>16.103999999999999</v>
      </c>
      <c r="I127" s="343">
        <f>G127*0.27</f>
        <v>7.1280000000000001</v>
      </c>
      <c r="J127" s="343">
        <f>G127*0.2</f>
        <v>5.28</v>
      </c>
      <c r="K127" s="343">
        <f t="shared" si="6"/>
        <v>280</v>
      </c>
      <c r="L127" s="343">
        <v>0</v>
      </c>
      <c r="M127" s="343">
        <v>0</v>
      </c>
      <c r="N127" s="343">
        <f t="shared" si="7"/>
        <v>400</v>
      </c>
      <c r="O127" s="343">
        <v>0</v>
      </c>
      <c r="P127" s="343">
        <v>18</v>
      </c>
      <c r="Q127" s="343">
        <v>16.8</v>
      </c>
      <c r="R127" s="343"/>
      <c r="S127" s="343"/>
      <c r="T127" s="343"/>
      <c r="U127" s="343"/>
      <c r="V127" s="343"/>
      <c r="W127" s="343"/>
      <c r="X127" s="343"/>
      <c r="Y127" s="343"/>
      <c r="Z127" s="343"/>
      <c r="AA127" s="343"/>
      <c r="AB127" s="343"/>
      <c r="AC127" s="343"/>
      <c r="AD127" s="343"/>
      <c r="AE127" s="343"/>
      <c r="AF127" s="343"/>
      <c r="AG127" s="343"/>
      <c r="AH127" s="343"/>
    </row>
    <row r="128" spans="2:34" ht="15" customHeight="1">
      <c r="B128" s="341" t="s">
        <v>36</v>
      </c>
      <c r="C128" s="342">
        <v>500</v>
      </c>
      <c r="D128" s="343">
        <v>0</v>
      </c>
      <c r="E128" s="343">
        <v>20</v>
      </c>
      <c r="F128" s="343">
        <v>699</v>
      </c>
      <c r="G128" s="343">
        <v>30.1</v>
      </c>
      <c r="H128" s="343">
        <f>G128*0.61</f>
        <v>18.361000000000001</v>
      </c>
      <c r="I128" s="343">
        <f>G128*0.27</f>
        <v>8.1270000000000007</v>
      </c>
      <c r="J128" s="343">
        <f>G128*0.2</f>
        <v>6.0200000000000005</v>
      </c>
      <c r="K128" s="343">
        <f t="shared" si="6"/>
        <v>350</v>
      </c>
      <c r="L128" s="343">
        <v>0</v>
      </c>
      <c r="M128" s="343">
        <v>0</v>
      </c>
      <c r="N128" s="343">
        <f t="shared" si="7"/>
        <v>500</v>
      </c>
      <c r="O128" s="343">
        <v>0</v>
      </c>
      <c r="P128" s="343">
        <v>30</v>
      </c>
      <c r="Q128" s="343">
        <v>18</v>
      </c>
      <c r="R128" s="343">
        <v>9.5</v>
      </c>
      <c r="S128" s="343">
        <v>28.5</v>
      </c>
      <c r="T128" s="343">
        <v>13.9</v>
      </c>
      <c r="U128" s="343">
        <v>46.6</v>
      </c>
      <c r="V128" s="343">
        <v>15</v>
      </c>
      <c r="W128" s="343">
        <v>0.5</v>
      </c>
      <c r="X128" s="343">
        <v>100</v>
      </c>
      <c r="Y128" s="343">
        <v>3.5</v>
      </c>
      <c r="Z128" s="343">
        <v>400</v>
      </c>
      <c r="AA128" s="343">
        <v>400</v>
      </c>
      <c r="AB128" s="343">
        <v>1</v>
      </c>
      <c r="AC128" s="343">
        <v>400</v>
      </c>
      <c r="AD128" s="343">
        <v>22.5</v>
      </c>
      <c r="AE128" s="343">
        <v>3300</v>
      </c>
      <c r="AF128" s="343">
        <v>800</v>
      </c>
      <c r="AG128" s="343">
        <v>30</v>
      </c>
      <c r="AH128" s="343">
        <v>20</v>
      </c>
    </row>
    <row r="129" spans="2:34" ht="15" customHeight="1">
      <c r="B129" s="338" t="s">
        <v>36</v>
      </c>
      <c r="C129" s="342">
        <v>600</v>
      </c>
      <c r="D129" s="343">
        <v>0</v>
      </c>
      <c r="E129" s="343"/>
      <c r="F129" s="343"/>
      <c r="G129" s="343"/>
      <c r="H129" s="343"/>
      <c r="I129" s="343"/>
      <c r="J129" s="343"/>
      <c r="K129" s="343">
        <f t="shared" si="6"/>
        <v>420</v>
      </c>
      <c r="L129" s="343"/>
      <c r="M129" s="343"/>
      <c r="N129" s="343">
        <f t="shared" si="7"/>
        <v>600</v>
      </c>
      <c r="O129" s="343"/>
      <c r="P129" s="343"/>
      <c r="Q129" s="343"/>
      <c r="R129" s="343"/>
      <c r="S129" s="343"/>
      <c r="T129" s="343"/>
      <c r="U129" s="343"/>
      <c r="V129" s="343"/>
      <c r="W129" s="343"/>
      <c r="X129" s="343"/>
      <c r="Y129" s="343"/>
      <c r="Z129" s="343"/>
      <c r="AA129" s="343"/>
      <c r="AB129" s="343"/>
      <c r="AC129" s="343"/>
      <c r="AD129" s="343"/>
      <c r="AE129" s="343"/>
      <c r="AF129" s="343"/>
      <c r="AG129" s="343"/>
      <c r="AH129" s="343"/>
    </row>
    <row r="130" spans="2:34" ht="15" customHeight="1">
      <c r="B130" s="338" t="s">
        <v>65</v>
      </c>
      <c r="C130" s="342">
        <v>200</v>
      </c>
      <c r="D130" s="343">
        <v>0</v>
      </c>
      <c r="E130" s="343" t="s">
        <v>66</v>
      </c>
      <c r="F130" s="343">
        <v>345</v>
      </c>
      <c r="G130" s="343">
        <v>14.8</v>
      </c>
      <c r="H130" s="343">
        <f>G130*0.61</f>
        <v>9.0280000000000005</v>
      </c>
      <c r="I130" s="343">
        <f>G130*0.27</f>
        <v>3.9960000000000004</v>
      </c>
      <c r="J130" s="343">
        <f>G130*0.2</f>
        <v>2.9600000000000004</v>
      </c>
      <c r="K130" s="343">
        <f t="shared" ref="K130:K137" si="8">C130*0.7</f>
        <v>140</v>
      </c>
      <c r="L130" s="343">
        <v>0</v>
      </c>
      <c r="M130" s="343">
        <v>0</v>
      </c>
      <c r="N130" s="343">
        <f t="shared" ref="N130:N137" si="9">(C130*0.1%)*1000</f>
        <v>200</v>
      </c>
      <c r="O130" s="343">
        <v>0</v>
      </c>
      <c r="P130" s="343">
        <v>16</v>
      </c>
      <c r="Q130" s="343">
        <v>11.6</v>
      </c>
      <c r="R130" s="343"/>
      <c r="S130" s="343"/>
      <c r="T130" s="343"/>
      <c r="U130" s="343"/>
      <c r="V130" s="343"/>
      <c r="W130" s="343"/>
      <c r="X130" s="343"/>
      <c r="Y130" s="343"/>
      <c r="Z130" s="343"/>
      <c r="AA130" s="343"/>
      <c r="AB130" s="343"/>
      <c r="AC130" s="343"/>
      <c r="AD130" s="343"/>
      <c r="AE130" s="343"/>
      <c r="AF130" s="343"/>
      <c r="AG130" s="343"/>
      <c r="AH130" s="343"/>
    </row>
    <row r="131" spans="2:34" ht="15" customHeight="1">
      <c r="B131" s="338" t="s">
        <v>65</v>
      </c>
      <c r="C131" s="342">
        <v>400</v>
      </c>
      <c r="D131" s="343">
        <v>0</v>
      </c>
      <c r="E131" s="343">
        <v>21.3</v>
      </c>
      <c r="F131" s="343">
        <v>689</v>
      </c>
      <c r="G131" s="343">
        <v>29.6</v>
      </c>
      <c r="H131" s="343">
        <f>G131*0.61</f>
        <v>18.056000000000001</v>
      </c>
      <c r="I131" s="343">
        <f>G131*0.27</f>
        <v>7.9920000000000009</v>
      </c>
      <c r="J131" s="343">
        <f>G131*0.2</f>
        <v>5.9200000000000008</v>
      </c>
      <c r="K131" s="343">
        <f t="shared" si="8"/>
        <v>280</v>
      </c>
      <c r="L131" s="343">
        <v>0</v>
      </c>
      <c r="M131" s="343">
        <v>0</v>
      </c>
      <c r="N131" s="343">
        <f t="shared" si="9"/>
        <v>400</v>
      </c>
      <c r="O131" s="343">
        <v>0</v>
      </c>
      <c r="P131" s="343">
        <v>32</v>
      </c>
      <c r="Q131" s="343">
        <v>23.2</v>
      </c>
      <c r="R131" s="343"/>
      <c r="S131" s="343"/>
      <c r="T131" s="343"/>
      <c r="U131" s="343"/>
      <c r="V131" s="343"/>
      <c r="W131" s="343"/>
      <c r="X131" s="343"/>
      <c r="Y131" s="343"/>
      <c r="Z131" s="343"/>
      <c r="AA131" s="343"/>
      <c r="AB131" s="343"/>
      <c r="AC131" s="343"/>
      <c r="AD131" s="343"/>
      <c r="AE131" s="343"/>
      <c r="AF131" s="343"/>
      <c r="AG131" s="343"/>
      <c r="AH131" s="343"/>
    </row>
    <row r="132" spans="2:34" ht="15" customHeight="1">
      <c r="B132" s="338" t="s">
        <v>65</v>
      </c>
      <c r="C132" s="342">
        <v>500</v>
      </c>
      <c r="D132" s="343">
        <v>0</v>
      </c>
      <c r="E132" s="343">
        <v>23.3</v>
      </c>
      <c r="F132" s="343">
        <v>768</v>
      </c>
      <c r="G132" s="343">
        <v>33</v>
      </c>
      <c r="H132" s="343">
        <f>G132*0.61</f>
        <v>20.13</v>
      </c>
      <c r="I132" s="343">
        <f>G132*0.27</f>
        <v>8.91</v>
      </c>
      <c r="J132" s="343">
        <f>G132*0.2</f>
        <v>6.6000000000000005</v>
      </c>
      <c r="K132" s="343">
        <f t="shared" si="8"/>
        <v>350</v>
      </c>
      <c r="L132" s="343">
        <v>0</v>
      </c>
      <c r="M132" s="343">
        <v>0</v>
      </c>
      <c r="N132" s="343">
        <f t="shared" si="9"/>
        <v>500</v>
      </c>
      <c r="O132" s="343">
        <v>0</v>
      </c>
      <c r="P132" s="343">
        <v>35</v>
      </c>
      <c r="Q132" s="343">
        <v>21</v>
      </c>
      <c r="R132" s="343">
        <v>11.5</v>
      </c>
      <c r="S132" s="343">
        <v>32</v>
      </c>
      <c r="T132" s="343">
        <v>17.8</v>
      </c>
      <c r="U132" s="343">
        <v>53.3</v>
      </c>
      <c r="V132" s="343">
        <v>16.899999999999999</v>
      </c>
      <c r="W132" s="343">
        <v>0.6</v>
      </c>
      <c r="X132" s="343">
        <v>112.5</v>
      </c>
      <c r="Y132" s="343">
        <v>4</v>
      </c>
      <c r="Z132" s="343">
        <v>450</v>
      </c>
      <c r="AA132" s="343">
        <v>450</v>
      </c>
      <c r="AB132" s="343">
        <v>1.1299999999999999</v>
      </c>
      <c r="AC132" s="343">
        <v>450</v>
      </c>
      <c r="AD132" s="343">
        <v>22.5</v>
      </c>
      <c r="AE132" s="343">
        <v>3300</v>
      </c>
      <c r="AF132" s="343">
        <v>900</v>
      </c>
      <c r="AG132" s="343">
        <v>46.3</v>
      </c>
      <c r="AH132" s="343">
        <v>22.5</v>
      </c>
    </row>
    <row r="133" spans="2:34" ht="15" customHeight="1">
      <c r="B133" s="338" t="s">
        <v>65</v>
      </c>
      <c r="C133" s="342">
        <v>600</v>
      </c>
      <c r="D133" s="343">
        <v>0</v>
      </c>
      <c r="E133" s="343"/>
      <c r="F133" s="343"/>
      <c r="G133" s="343"/>
      <c r="H133" s="343"/>
      <c r="I133" s="343"/>
      <c r="J133" s="343"/>
      <c r="K133" s="343">
        <f t="shared" si="8"/>
        <v>420</v>
      </c>
      <c r="L133" s="343"/>
      <c r="M133" s="343"/>
      <c r="N133" s="343">
        <f t="shared" si="9"/>
        <v>600</v>
      </c>
      <c r="O133" s="343"/>
      <c r="P133" s="343"/>
      <c r="Q133" s="343"/>
      <c r="R133" s="343"/>
      <c r="S133" s="343"/>
      <c r="T133" s="343"/>
      <c r="U133" s="343"/>
      <c r="V133" s="343"/>
      <c r="W133" s="343"/>
      <c r="X133" s="343"/>
      <c r="Y133" s="343"/>
      <c r="Z133" s="343"/>
      <c r="AA133" s="343"/>
      <c r="AB133" s="343"/>
      <c r="AC133" s="343"/>
      <c r="AD133" s="343"/>
      <c r="AE133" s="343"/>
      <c r="AF133" s="343"/>
      <c r="AG133" s="343"/>
      <c r="AH133" s="343"/>
    </row>
    <row r="134" spans="2:34" ht="15" customHeight="1">
      <c r="B134" s="338" t="s">
        <v>38</v>
      </c>
      <c r="C134" s="342">
        <v>200</v>
      </c>
      <c r="D134" s="343">
        <v>0</v>
      </c>
      <c r="E134" s="343">
        <v>13.8</v>
      </c>
      <c r="F134" s="343">
        <v>402</v>
      </c>
      <c r="G134" s="343">
        <v>17.3</v>
      </c>
      <c r="H134" s="343">
        <f>G134*0.61</f>
        <v>10.553000000000001</v>
      </c>
      <c r="I134" s="343">
        <f>G134*0.27</f>
        <v>4.6710000000000003</v>
      </c>
      <c r="J134" s="343">
        <f>G134*0.2</f>
        <v>3.4600000000000004</v>
      </c>
      <c r="K134" s="343">
        <f t="shared" si="8"/>
        <v>140</v>
      </c>
      <c r="L134" s="343">
        <v>0</v>
      </c>
      <c r="M134" s="343">
        <v>0</v>
      </c>
      <c r="N134" s="343">
        <f t="shared" si="9"/>
        <v>200</v>
      </c>
      <c r="O134" s="343">
        <v>0</v>
      </c>
      <c r="P134" s="343">
        <v>16</v>
      </c>
      <c r="Q134" s="343">
        <v>11.6</v>
      </c>
      <c r="R134" s="343"/>
      <c r="S134" s="343"/>
      <c r="T134" s="343"/>
      <c r="U134" s="343"/>
      <c r="V134" s="343"/>
      <c r="W134" s="343"/>
      <c r="X134" s="343"/>
      <c r="Y134" s="343"/>
      <c r="Z134" s="343"/>
      <c r="AA134" s="343"/>
      <c r="AB134" s="343"/>
      <c r="AC134" s="343"/>
      <c r="AD134" s="343"/>
      <c r="AE134" s="343"/>
      <c r="AF134" s="343"/>
      <c r="AG134" s="343"/>
      <c r="AH134" s="343"/>
    </row>
    <row r="135" spans="2:34" ht="15.75" customHeight="1">
      <c r="B135" s="344" t="s">
        <v>38</v>
      </c>
      <c r="C135" s="345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4" t="s">
        <v>38</v>
      </c>
      <c r="C136" s="345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4" t="s">
        <v>38</v>
      </c>
      <c r="C137" s="345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39A4C-94E0-45C3-9E57-7B8B04DC169C}">
  <dimension ref="A1:AO138"/>
  <sheetViews>
    <sheetView topLeftCell="E1" zoomScale="112" workbookViewId="0">
      <selection activeCell="H1" sqref="H1:AI1"/>
    </sheetView>
  </sheetViews>
  <sheetFormatPr defaultRowHeight="14.4"/>
  <cols>
    <col min="1" max="1" width="27.21875" style="356" bestFit="1" customWidth="1"/>
    <col min="4" max="4" width="8.88671875" style="336"/>
    <col min="5" max="5" width="12.109375" style="336" customWidth="1"/>
    <col min="6" max="6" width="14.21875" style="336" bestFit="1" customWidth="1"/>
    <col min="7" max="7" width="21.6640625" style="336" bestFit="1" customWidth="1"/>
    <col min="15" max="15" width="25.5546875" bestFit="1" customWidth="1"/>
    <col min="37" max="38" width="12.88671875" customWidth="1"/>
    <col min="39" max="39" width="27.77734375" bestFit="1" customWidth="1"/>
    <col min="41" max="41" width="20.6640625" customWidth="1"/>
  </cols>
  <sheetData>
    <row r="1" spans="1:41" s="366" customFormat="1">
      <c r="A1" s="409" t="s">
        <v>426</v>
      </c>
      <c r="B1" s="408"/>
      <c r="C1" s="408"/>
      <c r="D1" s="408"/>
      <c r="E1" s="408"/>
      <c r="F1" s="408"/>
      <c r="G1" s="412"/>
      <c r="H1" s="410" t="s">
        <v>418</v>
      </c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0"/>
      <c r="AF1" s="410"/>
      <c r="AG1" s="410"/>
      <c r="AH1" s="410"/>
      <c r="AI1" s="411"/>
    </row>
    <row r="2" spans="1:41" s="366" customFormat="1">
      <c r="A2" s="340" t="s">
        <v>417</v>
      </c>
      <c r="B2" s="340" t="s">
        <v>3</v>
      </c>
      <c r="C2" s="340" t="s">
        <v>4</v>
      </c>
      <c r="D2" s="407" t="s">
        <v>415</v>
      </c>
      <c r="E2" s="407" t="s">
        <v>414</v>
      </c>
      <c r="F2" s="407" t="s">
        <v>402</v>
      </c>
      <c r="G2" s="407" t="s">
        <v>427</v>
      </c>
      <c r="H2" s="340" t="s">
        <v>5</v>
      </c>
      <c r="I2" s="340" t="s">
        <v>6</v>
      </c>
      <c r="J2" s="340" t="s">
        <v>7</v>
      </c>
      <c r="K2" s="340" t="s">
        <v>8</v>
      </c>
      <c r="L2" s="340" t="s">
        <v>9</v>
      </c>
      <c r="M2" s="340" t="s">
        <v>10</v>
      </c>
      <c r="N2" s="340" t="s">
        <v>11</v>
      </c>
      <c r="O2" s="340" t="s">
        <v>12</v>
      </c>
      <c r="P2" s="340" t="s">
        <v>13</v>
      </c>
      <c r="Q2" s="340" t="s">
        <v>14</v>
      </c>
      <c r="R2" s="340" t="s">
        <v>15</v>
      </c>
      <c r="S2" s="340" t="s">
        <v>16</v>
      </c>
      <c r="T2" s="340" t="s">
        <v>17</v>
      </c>
      <c r="U2" s="340" t="s">
        <v>18</v>
      </c>
      <c r="V2" s="340" t="s">
        <v>19</v>
      </c>
      <c r="W2" s="340" t="s">
        <v>20</v>
      </c>
      <c r="X2" s="340" t="s">
        <v>21</v>
      </c>
      <c r="Y2" s="340" t="s">
        <v>22</v>
      </c>
      <c r="Z2" s="340" t="s">
        <v>23</v>
      </c>
      <c r="AA2" s="340" t="s">
        <v>24</v>
      </c>
      <c r="AB2" s="340" t="s">
        <v>25</v>
      </c>
      <c r="AC2" s="340" t="s">
        <v>26</v>
      </c>
      <c r="AD2" s="340" t="s">
        <v>27</v>
      </c>
      <c r="AE2" s="340" t="s">
        <v>28</v>
      </c>
      <c r="AF2" s="340" t="s">
        <v>29</v>
      </c>
      <c r="AG2" s="340" t="s">
        <v>30</v>
      </c>
      <c r="AH2" s="340" t="s">
        <v>31</v>
      </c>
      <c r="AI2" s="340" t="s">
        <v>32</v>
      </c>
      <c r="AK2" s="340" t="s">
        <v>419</v>
      </c>
      <c r="AL2" s="340" t="s">
        <v>362</v>
      </c>
      <c r="AM2" s="362" t="s">
        <v>424</v>
      </c>
      <c r="AN2" s="380" t="s">
        <v>425</v>
      </c>
      <c r="AO2" s="381"/>
    </row>
    <row r="3" spans="1:41">
      <c r="A3" s="354" t="s">
        <v>401</v>
      </c>
      <c r="B3" s="343">
        <v>7.3</v>
      </c>
      <c r="C3" s="343">
        <v>288</v>
      </c>
      <c r="D3" s="359">
        <v>200</v>
      </c>
      <c r="E3" s="358"/>
      <c r="F3" s="357" t="s">
        <v>405</v>
      </c>
      <c r="G3" s="365">
        <v>0</v>
      </c>
      <c r="H3" s="343">
        <v>12.4</v>
      </c>
      <c r="I3" s="343">
        <f>H3*0.61</f>
        <v>7.5640000000000001</v>
      </c>
      <c r="J3" s="343">
        <f>H3*0.27</f>
        <v>3.3480000000000003</v>
      </c>
      <c r="K3" s="343">
        <f>H3*0.2</f>
        <v>2.4800000000000004</v>
      </c>
      <c r="L3" s="343">
        <f>D3*0.7</f>
        <v>140</v>
      </c>
      <c r="M3" s="343">
        <v>0</v>
      </c>
      <c r="N3" s="343">
        <v>0</v>
      </c>
      <c r="O3" s="343">
        <f>(D3*0.1%)*1000</f>
        <v>200</v>
      </c>
      <c r="P3" s="343">
        <v>0</v>
      </c>
      <c r="Q3" s="343">
        <v>8</v>
      </c>
      <c r="R3" s="343">
        <v>5.6</v>
      </c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  <c r="AI3" s="343"/>
      <c r="AK3" s="361" t="s">
        <v>420</v>
      </c>
      <c r="AL3" s="363" t="s">
        <v>423</v>
      </c>
      <c r="AM3" s="364" t="s">
        <v>5</v>
      </c>
      <c r="AN3" s="338" t="s">
        <v>361</v>
      </c>
      <c r="AO3" s="338" t="s">
        <v>398</v>
      </c>
    </row>
    <row r="4" spans="1:41">
      <c r="A4" s="354" t="s">
        <v>401</v>
      </c>
      <c r="B4" s="343">
        <v>14.5</v>
      </c>
      <c r="C4" s="343">
        <v>576</v>
      </c>
      <c r="D4" s="359">
        <v>400</v>
      </c>
      <c r="E4" s="358"/>
      <c r="F4" s="357" t="s">
        <v>405</v>
      </c>
      <c r="G4" s="365">
        <v>0</v>
      </c>
      <c r="H4" s="343">
        <v>24.8</v>
      </c>
      <c r="I4" s="343">
        <f>H4*0.61</f>
        <v>15.128</v>
      </c>
      <c r="J4" s="343">
        <f>H4*0.27</f>
        <v>6.6960000000000006</v>
      </c>
      <c r="K4" s="343">
        <f>H4*0.2</f>
        <v>4.9600000000000009</v>
      </c>
      <c r="L4" s="343">
        <f t="shared" ref="L4:L67" si="0">D4*0.7</f>
        <v>280</v>
      </c>
      <c r="M4" s="343">
        <v>0</v>
      </c>
      <c r="N4" s="343">
        <v>0</v>
      </c>
      <c r="O4" s="343">
        <f>(D4*0.1%)*1000</f>
        <v>400</v>
      </c>
      <c r="P4" s="343">
        <v>0</v>
      </c>
      <c r="Q4" s="343">
        <v>16</v>
      </c>
      <c r="R4" s="343">
        <v>11.2</v>
      </c>
      <c r="S4" s="343"/>
      <c r="T4" s="343"/>
      <c r="U4" s="343"/>
      <c r="V4" s="343"/>
      <c r="W4" s="343"/>
      <c r="X4" s="343"/>
      <c r="Y4" s="343"/>
      <c r="Z4" s="343"/>
      <c r="AA4" s="343"/>
      <c r="AB4" s="343"/>
      <c r="AC4" s="343"/>
      <c r="AD4" s="343"/>
      <c r="AE4" s="343"/>
      <c r="AF4" s="343"/>
      <c r="AG4" s="343"/>
      <c r="AH4" s="343"/>
      <c r="AI4" s="343"/>
      <c r="AK4" s="361" t="s">
        <v>364</v>
      </c>
      <c r="AL4" s="363" t="s">
        <v>423</v>
      </c>
      <c r="AM4" s="364" t="s">
        <v>6</v>
      </c>
      <c r="AN4" s="338" t="s">
        <v>364</v>
      </c>
      <c r="AO4" s="338" t="s">
        <v>398</v>
      </c>
    </row>
    <row r="5" spans="1:41">
      <c r="A5" s="354" t="s">
        <v>401</v>
      </c>
      <c r="B5" s="343">
        <v>18.2</v>
      </c>
      <c r="C5" s="343">
        <v>720</v>
      </c>
      <c r="D5" s="359">
        <v>500</v>
      </c>
      <c r="E5" s="358"/>
      <c r="F5" s="357" t="s">
        <v>405</v>
      </c>
      <c r="G5" s="365">
        <v>0</v>
      </c>
      <c r="H5" s="343">
        <v>31</v>
      </c>
      <c r="I5" s="343">
        <f>H5*0.61</f>
        <v>18.91</v>
      </c>
      <c r="J5" s="343">
        <f>H5*0.27</f>
        <v>8.370000000000001</v>
      </c>
      <c r="K5" s="343">
        <f>H5*0.2</f>
        <v>6.2</v>
      </c>
      <c r="L5" s="343">
        <f t="shared" si="0"/>
        <v>350</v>
      </c>
      <c r="M5" s="343">
        <v>0</v>
      </c>
      <c r="N5" s="343">
        <v>0</v>
      </c>
      <c r="O5" s="343">
        <f>(D5*0.1%)*1000</f>
        <v>500</v>
      </c>
      <c r="P5" s="343">
        <v>0</v>
      </c>
      <c r="Q5" s="343">
        <v>20</v>
      </c>
      <c r="R5" s="343">
        <v>14</v>
      </c>
      <c r="S5" s="343">
        <v>7.5</v>
      </c>
      <c r="T5" s="343">
        <v>25</v>
      </c>
      <c r="U5" s="343">
        <v>10</v>
      </c>
      <c r="V5" s="343">
        <v>40</v>
      </c>
      <c r="W5" s="343">
        <v>15</v>
      </c>
      <c r="X5" s="343">
        <v>0.5</v>
      </c>
      <c r="Y5" s="343">
        <v>100</v>
      </c>
      <c r="Z5" s="343">
        <v>3.5</v>
      </c>
      <c r="AA5" s="343">
        <v>400</v>
      </c>
      <c r="AB5" s="343">
        <v>400</v>
      </c>
      <c r="AC5" s="343">
        <v>1</v>
      </c>
      <c r="AD5" s="343">
        <v>400</v>
      </c>
      <c r="AE5" s="343">
        <v>15</v>
      </c>
      <c r="AF5" s="343">
        <v>3300</v>
      </c>
      <c r="AG5" s="343">
        <v>500</v>
      </c>
      <c r="AH5" s="343">
        <v>30</v>
      </c>
      <c r="AI5" s="343">
        <v>20</v>
      </c>
      <c r="AK5" s="361" t="s">
        <v>365</v>
      </c>
      <c r="AL5" s="363" t="s">
        <v>423</v>
      </c>
      <c r="AM5" s="364" t="s">
        <v>7</v>
      </c>
      <c r="AN5" s="338" t="s">
        <v>365</v>
      </c>
      <c r="AO5" s="338" t="s">
        <v>398</v>
      </c>
    </row>
    <row r="6" spans="1:41">
      <c r="A6" s="354" t="s">
        <v>401</v>
      </c>
      <c r="B6" s="343"/>
      <c r="C6" s="343"/>
      <c r="D6" s="359">
        <v>600</v>
      </c>
      <c r="E6" s="358"/>
      <c r="F6" s="357" t="s">
        <v>405</v>
      </c>
      <c r="G6" s="365">
        <v>0</v>
      </c>
      <c r="H6" s="343"/>
      <c r="I6" s="343"/>
      <c r="J6" s="343"/>
      <c r="K6" s="343"/>
      <c r="L6" s="343">
        <f t="shared" si="0"/>
        <v>420</v>
      </c>
      <c r="M6" s="343"/>
      <c r="N6" s="343"/>
      <c r="O6" s="343">
        <f>(D6*0.1%)*1000</f>
        <v>600</v>
      </c>
      <c r="P6" s="343"/>
      <c r="Q6" s="343"/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343"/>
      <c r="AH6" s="343"/>
      <c r="AI6" s="343"/>
      <c r="AK6" s="361" t="s">
        <v>366</v>
      </c>
      <c r="AL6" s="363" t="s">
        <v>423</v>
      </c>
      <c r="AM6" s="364" t="s">
        <v>8</v>
      </c>
      <c r="AN6" s="338" t="s">
        <v>366</v>
      </c>
      <c r="AO6" s="338" t="s">
        <v>398</v>
      </c>
    </row>
    <row r="7" spans="1:41">
      <c r="A7" s="354" t="s">
        <v>400</v>
      </c>
      <c r="B7" s="343">
        <v>6.7</v>
      </c>
      <c r="C7" s="343">
        <v>252</v>
      </c>
      <c r="D7" s="359">
        <v>200</v>
      </c>
      <c r="E7" s="358"/>
      <c r="F7" s="357" t="s">
        <v>403</v>
      </c>
      <c r="G7" s="365">
        <v>0</v>
      </c>
      <c r="H7" s="343">
        <v>10.8</v>
      </c>
      <c r="I7" s="343">
        <f>H7*0.61</f>
        <v>6.5880000000000001</v>
      </c>
      <c r="J7" s="343">
        <f>H7*0.27</f>
        <v>2.9160000000000004</v>
      </c>
      <c r="K7" s="343">
        <f>H7*0.2</f>
        <v>2.16</v>
      </c>
      <c r="L7" s="343">
        <f t="shared" si="0"/>
        <v>140</v>
      </c>
      <c r="M7" s="343">
        <v>0</v>
      </c>
      <c r="N7" s="343">
        <v>0</v>
      </c>
      <c r="O7" s="343">
        <f t="shared" ref="O7:O10" si="1">(C7*0.1%)*1000</f>
        <v>252</v>
      </c>
      <c r="P7" s="343">
        <v>0</v>
      </c>
      <c r="Q7" s="343">
        <v>8</v>
      </c>
      <c r="R7" s="343">
        <v>5.6</v>
      </c>
      <c r="S7" s="343"/>
      <c r="T7" s="343"/>
      <c r="U7" s="343"/>
      <c r="V7" s="343"/>
      <c r="W7" s="343"/>
      <c r="X7" s="343"/>
      <c r="Y7" s="343"/>
      <c r="Z7" s="343"/>
      <c r="AA7" s="343"/>
      <c r="AB7" s="343"/>
      <c r="AC7" s="343"/>
      <c r="AD7" s="343"/>
      <c r="AE7" s="343"/>
      <c r="AF7" s="343"/>
      <c r="AG7" s="343"/>
      <c r="AH7" s="343"/>
      <c r="AI7" s="343"/>
      <c r="AK7" s="361" t="s">
        <v>367</v>
      </c>
      <c r="AL7" s="363" t="s">
        <v>423</v>
      </c>
      <c r="AM7" s="364" t="s">
        <v>9</v>
      </c>
      <c r="AN7" s="338" t="s">
        <v>367</v>
      </c>
      <c r="AO7" s="338" t="s">
        <v>398</v>
      </c>
    </row>
    <row r="8" spans="1:41">
      <c r="A8" s="354" t="s">
        <v>400</v>
      </c>
      <c r="B8" s="343">
        <v>13.3</v>
      </c>
      <c r="C8" s="343">
        <v>504</v>
      </c>
      <c r="D8" s="359">
        <v>400</v>
      </c>
      <c r="E8" s="358"/>
      <c r="F8" s="357" t="s">
        <v>403</v>
      </c>
      <c r="G8" s="365">
        <v>0</v>
      </c>
      <c r="H8" s="343">
        <v>21.7</v>
      </c>
      <c r="I8" s="343">
        <f>H8*0.61</f>
        <v>13.237</v>
      </c>
      <c r="J8" s="343">
        <f>H8*0.27</f>
        <v>5.859</v>
      </c>
      <c r="K8" s="343">
        <f>H8*0.2</f>
        <v>4.34</v>
      </c>
      <c r="L8" s="343">
        <f t="shared" si="0"/>
        <v>280</v>
      </c>
      <c r="M8" s="343">
        <v>0</v>
      </c>
      <c r="N8" s="343">
        <v>0</v>
      </c>
      <c r="O8" s="343">
        <f t="shared" si="1"/>
        <v>504</v>
      </c>
      <c r="P8" s="343">
        <v>0</v>
      </c>
      <c r="Q8" s="343">
        <v>16</v>
      </c>
      <c r="R8" s="343">
        <v>11.2</v>
      </c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K8" s="361" t="s">
        <v>368</v>
      </c>
      <c r="AL8" s="363" t="s">
        <v>423</v>
      </c>
      <c r="AM8" s="364" t="s">
        <v>10</v>
      </c>
      <c r="AN8" s="338" t="s">
        <v>368</v>
      </c>
      <c r="AO8" s="338" t="s">
        <v>398</v>
      </c>
    </row>
    <row r="9" spans="1:41">
      <c r="A9" s="354" t="s">
        <v>400</v>
      </c>
      <c r="B9" s="343">
        <v>16.7</v>
      </c>
      <c r="C9" s="343">
        <v>630</v>
      </c>
      <c r="D9" s="359">
        <v>500</v>
      </c>
      <c r="E9" s="358"/>
      <c r="F9" s="357" t="s">
        <v>403</v>
      </c>
      <c r="G9" s="365">
        <v>0</v>
      </c>
      <c r="H9" s="343">
        <v>27.1</v>
      </c>
      <c r="I9" s="343">
        <f>H9*0.61</f>
        <v>16.530999999999999</v>
      </c>
      <c r="J9" s="343">
        <f>H9*0.27</f>
        <v>7.3170000000000011</v>
      </c>
      <c r="K9" s="343">
        <f>H9*0.2</f>
        <v>5.4200000000000008</v>
      </c>
      <c r="L9" s="343">
        <f t="shared" si="0"/>
        <v>350</v>
      </c>
      <c r="M9" s="343">
        <v>0</v>
      </c>
      <c r="N9" s="343">
        <v>0</v>
      </c>
      <c r="O9" s="343">
        <f t="shared" si="1"/>
        <v>630</v>
      </c>
      <c r="P9" s="343">
        <v>0</v>
      </c>
      <c r="Q9" s="343">
        <v>20</v>
      </c>
      <c r="R9" s="343">
        <v>14</v>
      </c>
      <c r="S9" s="343">
        <v>7.5</v>
      </c>
      <c r="T9" s="343">
        <v>25</v>
      </c>
      <c r="U9" s="343">
        <v>10</v>
      </c>
      <c r="V9" s="343">
        <v>40</v>
      </c>
      <c r="W9" s="343">
        <v>15</v>
      </c>
      <c r="X9" s="343">
        <v>0.5</v>
      </c>
      <c r="Y9" s="343">
        <v>100</v>
      </c>
      <c r="Z9" s="343">
        <v>3.5</v>
      </c>
      <c r="AA9" s="343">
        <v>400</v>
      </c>
      <c r="AB9" s="343">
        <v>400</v>
      </c>
      <c r="AC9" s="343">
        <v>1</v>
      </c>
      <c r="AD9" s="343">
        <v>400</v>
      </c>
      <c r="AE9" s="343">
        <v>15</v>
      </c>
      <c r="AF9" s="343">
        <v>3300</v>
      </c>
      <c r="AG9" s="343">
        <v>500</v>
      </c>
      <c r="AH9" s="343">
        <v>30</v>
      </c>
      <c r="AI9" s="343">
        <v>20</v>
      </c>
      <c r="AK9" s="361" t="s">
        <v>369</v>
      </c>
      <c r="AL9" s="363" t="s">
        <v>423</v>
      </c>
      <c r="AM9" s="364" t="s">
        <v>11</v>
      </c>
      <c r="AN9" s="338" t="s">
        <v>369</v>
      </c>
      <c r="AO9" s="338" t="s">
        <v>398</v>
      </c>
    </row>
    <row r="10" spans="1:41">
      <c r="A10" s="354" t="s">
        <v>400</v>
      </c>
      <c r="B10" s="343"/>
      <c r="C10" s="343"/>
      <c r="D10" s="359">
        <v>600</v>
      </c>
      <c r="E10" s="358"/>
      <c r="F10" s="357" t="s">
        <v>403</v>
      </c>
      <c r="G10" s="365">
        <v>0</v>
      </c>
      <c r="H10" s="343"/>
      <c r="I10" s="343"/>
      <c r="J10" s="343"/>
      <c r="K10" s="343"/>
      <c r="L10" s="343">
        <f t="shared" si="0"/>
        <v>420</v>
      </c>
      <c r="M10" s="343"/>
      <c r="N10" s="343"/>
      <c r="O10" s="343">
        <f t="shared" si="1"/>
        <v>0</v>
      </c>
      <c r="P10" s="343"/>
      <c r="Q10" s="343"/>
      <c r="R10" s="343"/>
      <c r="S10" s="343"/>
      <c r="T10" s="343"/>
      <c r="U10" s="343"/>
      <c r="V10" s="343"/>
      <c r="W10" s="343"/>
      <c r="X10" s="343"/>
      <c r="Y10" s="343"/>
      <c r="Z10" s="343"/>
      <c r="AA10" s="343"/>
      <c r="AB10" s="343"/>
      <c r="AC10" s="343"/>
      <c r="AD10" s="343"/>
      <c r="AE10" s="343"/>
      <c r="AF10" s="343"/>
      <c r="AG10" s="343"/>
      <c r="AH10" s="343"/>
      <c r="AI10" s="343"/>
      <c r="AK10" s="361" t="s">
        <v>370</v>
      </c>
      <c r="AL10" s="363" t="s">
        <v>423</v>
      </c>
      <c r="AM10" s="364" t="s">
        <v>272</v>
      </c>
      <c r="AN10" s="338" t="s">
        <v>370</v>
      </c>
      <c r="AO10" s="338" t="s">
        <v>398</v>
      </c>
    </row>
    <row r="11" spans="1:41">
      <c r="A11" s="354" t="s">
        <v>400</v>
      </c>
      <c r="B11" s="343">
        <v>6.1</v>
      </c>
      <c r="C11" s="343">
        <v>216</v>
      </c>
      <c r="D11" s="359">
        <v>200</v>
      </c>
      <c r="E11" s="358"/>
      <c r="F11" s="357" t="s">
        <v>404</v>
      </c>
      <c r="G11" s="365">
        <v>0</v>
      </c>
      <c r="H11" s="343">
        <v>9.3000000000000007</v>
      </c>
      <c r="I11" s="343">
        <f>H11*0.61</f>
        <v>5.673</v>
      </c>
      <c r="J11" s="343">
        <f>H11*0.27</f>
        <v>2.5110000000000006</v>
      </c>
      <c r="K11" s="343">
        <f>H11*0.2</f>
        <v>1.8600000000000003</v>
      </c>
      <c r="L11" s="343">
        <f t="shared" si="0"/>
        <v>140</v>
      </c>
      <c r="M11" s="343">
        <v>0</v>
      </c>
      <c r="N11" s="343">
        <v>0</v>
      </c>
      <c r="O11" s="343">
        <f t="shared" ref="O11:O42" si="2">(D11*0.1%)*1000</f>
        <v>200</v>
      </c>
      <c r="P11" s="343">
        <v>0</v>
      </c>
      <c r="Q11" s="343">
        <v>8</v>
      </c>
      <c r="R11" s="343">
        <v>5.6</v>
      </c>
      <c r="S11" s="343"/>
      <c r="T11" s="343"/>
      <c r="U11" s="343"/>
      <c r="V11" s="343"/>
      <c r="W11" s="343"/>
      <c r="X11" s="343"/>
      <c r="Y11" s="343"/>
      <c r="Z11" s="343"/>
      <c r="AA11" s="343"/>
      <c r="AB11" s="343"/>
      <c r="AC11" s="343"/>
      <c r="AD11" s="343"/>
      <c r="AE11" s="343"/>
      <c r="AF11" s="343"/>
      <c r="AG11" s="343"/>
      <c r="AH11" s="343"/>
      <c r="AI11" s="343"/>
      <c r="AK11" s="361" t="s">
        <v>371</v>
      </c>
      <c r="AL11" s="363" t="s">
        <v>423</v>
      </c>
      <c r="AM11" s="364" t="s">
        <v>13</v>
      </c>
      <c r="AN11" s="338" t="s">
        <v>371</v>
      </c>
      <c r="AO11" s="338" t="s">
        <v>398</v>
      </c>
    </row>
    <row r="12" spans="1:41">
      <c r="A12" s="354" t="s">
        <v>400</v>
      </c>
      <c r="B12" s="343">
        <v>12.1</v>
      </c>
      <c r="C12" s="343">
        <v>432</v>
      </c>
      <c r="D12" s="359">
        <v>400</v>
      </c>
      <c r="E12" s="358"/>
      <c r="F12" s="357" t="s">
        <v>404</v>
      </c>
      <c r="G12" s="365">
        <v>0</v>
      </c>
      <c r="H12" s="343">
        <v>18.600000000000001</v>
      </c>
      <c r="I12" s="343">
        <f>H12*0.61</f>
        <v>11.346</v>
      </c>
      <c r="J12" s="343">
        <f>H12*0.27</f>
        <v>5.0220000000000011</v>
      </c>
      <c r="K12" s="343">
        <f>H12*0.2</f>
        <v>3.7200000000000006</v>
      </c>
      <c r="L12" s="343">
        <f t="shared" si="0"/>
        <v>280</v>
      </c>
      <c r="M12" s="343">
        <v>0</v>
      </c>
      <c r="N12" s="343">
        <v>0</v>
      </c>
      <c r="O12" s="343">
        <f t="shared" si="2"/>
        <v>400</v>
      </c>
      <c r="P12" s="343">
        <v>0</v>
      </c>
      <c r="Q12" s="343">
        <v>16</v>
      </c>
      <c r="R12" s="343">
        <v>11.2</v>
      </c>
      <c r="S12" s="343"/>
      <c r="T12" s="343"/>
      <c r="U12" s="343"/>
      <c r="V12" s="343"/>
      <c r="W12" s="343"/>
      <c r="X12" s="343"/>
      <c r="Y12" s="343"/>
      <c r="Z12" s="343"/>
      <c r="AA12" s="343"/>
      <c r="AB12" s="343"/>
      <c r="AC12" s="343"/>
      <c r="AD12" s="343"/>
      <c r="AE12" s="343"/>
      <c r="AF12" s="343"/>
      <c r="AG12" s="343"/>
      <c r="AH12" s="343"/>
      <c r="AI12" s="343"/>
      <c r="AK12" s="361" t="s">
        <v>372</v>
      </c>
      <c r="AL12" s="363" t="s">
        <v>423</v>
      </c>
      <c r="AM12" s="364" t="s">
        <v>14</v>
      </c>
      <c r="AN12" s="338" t="s">
        <v>372</v>
      </c>
      <c r="AO12" s="338" t="s">
        <v>398</v>
      </c>
    </row>
    <row r="13" spans="1:41">
      <c r="A13" s="354" t="s">
        <v>400</v>
      </c>
      <c r="B13" s="343">
        <v>15.2</v>
      </c>
      <c r="C13" s="343">
        <v>540</v>
      </c>
      <c r="D13" s="359">
        <v>500</v>
      </c>
      <c r="E13" s="358"/>
      <c r="F13" s="357" t="s">
        <v>404</v>
      </c>
      <c r="G13" s="365">
        <v>0</v>
      </c>
      <c r="H13" s="343">
        <v>23.2</v>
      </c>
      <c r="I13" s="343">
        <f>H13*0.61</f>
        <v>14.151999999999999</v>
      </c>
      <c r="J13" s="343">
        <f>H13*0.27</f>
        <v>6.2640000000000002</v>
      </c>
      <c r="K13" s="343">
        <f>H13*0.2</f>
        <v>4.6399999999999997</v>
      </c>
      <c r="L13" s="343">
        <f t="shared" si="0"/>
        <v>350</v>
      </c>
      <c r="M13" s="343">
        <v>0</v>
      </c>
      <c r="N13" s="343">
        <v>0</v>
      </c>
      <c r="O13" s="343">
        <f t="shared" si="2"/>
        <v>500</v>
      </c>
      <c r="P13" s="343">
        <v>0</v>
      </c>
      <c r="Q13" s="343">
        <v>20</v>
      </c>
      <c r="R13" s="343">
        <v>14</v>
      </c>
      <c r="S13" s="343">
        <v>7.5</v>
      </c>
      <c r="T13" s="343">
        <v>25</v>
      </c>
      <c r="U13" s="343">
        <v>10</v>
      </c>
      <c r="V13" s="343">
        <v>40</v>
      </c>
      <c r="W13" s="343">
        <v>15</v>
      </c>
      <c r="X13" s="343">
        <v>0.5</v>
      </c>
      <c r="Y13" s="343">
        <v>100</v>
      </c>
      <c r="Z13" s="343">
        <v>3.5</v>
      </c>
      <c r="AA13" s="343">
        <v>400</v>
      </c>
      <c r="AB13" s="343">
        <v>400</v>
      </c>
      <c r="AC13" s="343">
        <v>1</v>
      </c>
      <c r="AD13" s="343">
        <v>400</v>
      </c>
      <c r="AE13" s="343">
        <v>15</v>
      </c>
      <c r="AF13" s="343">
        <v>3300</v>
      </c>
      <c r="AG13" s="343">
        <v>500</v>
      </c>
      <c r="AH13" s="343">
        <v>30</v>
      </c>
      <c r="AI13" s="343">
        <v>20</v>
      </c>
      <c r="AK13" s="361" t="s">
        <v>373</v>
      </c>
      <c r="AL13" s="363" t="s">
        <v>423</v>
      </c>
      <c r="AM13" s="364" t="s">
        <v>15</v>
      </c>
      <c r="AN13" s="338" t="s">
        <v>373</v>
      </c>
      <c r="AO13" s="338" t="s">
        <v>398</v>
      </c>
    </row>
    <row r="14" spans="1:41">
      <c r="A14" s="354" t="s">
        <v>400</v>
      </c>
      <c r="B14" s="343"/>
      <c r="C14" s="343"/>
      <c r="D14" s="359">
        <v>600</v>
      </c>
      <c r="E14" s="358"/>
      <c r="F14" s="357" t="s">
        <v>404</v>
      </c>
      <c r="G14" s="365">
        <v>0</v>
      </c>
      <c r="H14" s="343"/>
      <c r="I14" s="343"/>
      <c r="J14" s="343"/>
      <c r="K14" s="343"/>
      <c r="L14" s="343">
        <f t="shared" si="0"/>
        <v>420</v>
      </c>
      <c r="M14" s="343"/>
      <c r="N14" s="343"/>
      <c r="O14" s="343">
        <f t="shared" si="2"/>
        <v>600</v>
      </c>
      <c r="P14" s="343"/>
      <c r="Q14" s="343"/>
      <c r="R14" s="343"/>
      <c r="S14" s="343"/>
      <c r="T14" s="343"/>
      <c r="U14" s="343"/>
      <c r="V14" s="343"/>
      <c r="W14" s="343"/>
      <c r="X14" s="343"/>
      <c r="Y14" s="343"/>
      <c r="Z14" s="343"/>
      <c r="AA14" s="343"/>
      <c r="AB14" s="343"/>
      <c r="AC14" s="343"/>
      <c r="AD14" s="343"/>
      <c r="AE14" s="343"/>
      <c r="AF14" s="343"/>
      <c r="AG14" s="343"/>
      <c r="AH14" s="343"/>
      <c r="AI14" s="343"/>
      <c r="AK14" s="361" t="s">
        <v>374</v>
      </c>
      <c r="AL14" s="363" t="s">
        <v>423</v>
      </c>
      <c r="AM14" s="364" t="s">
        <v>16</v>
      </c>
      <c r="AN14" s="338" t="s">
        <v>374</v>
      </c>
      <c r="AO14" s="338" t="s">
        <v>398</v>
      </c>
    </row>
    <row r="15" spans="1:41">
      <c r="A15" s="354" t="s">
        <v>406</v>
      </c>
      <c r="B15" s="343">
        <v>5.3</v>
      </c>
      <c r="C15" s="343">
        <v>268</v>
      </c>
      <c r="D15" s="359">
        <v>67</v>
      </c>
      <c r="E15" s="358">
        <v>4</v>
      </c>
      <c r="F15" s="358"/>
      <c r="G15" s="343">
        <v>0.34</v>
      </c>
      <c r="H15" s="343">
        <v>11.5</v>
      </c>
      <c r="I15" s="343">
        <f>H15*0.61</f>
        <v>7.0149999999999997</v>
      </c>
      <c r="J15" s="343">
        <f>H15*0.27</f>
        <v>3.1050000000000004</v>
      </c>
      <c r="K15" s="343">
        <f>H15*0.2</f>
        <v>2.3000000000000003</v>
      </c>
      <c r="L15" s="343">
        <f t="shared" si="0"/>
        <v>46.9</v>
      </c>
      <c r="M15" s="343">
        <v>0</v>
      </c>
      <c r="N15" s="343">
        <v>0</v>
      </c>
      <c r="O15" s="343">
        <f t="shared" si="2"/>
        <v>67</v>
      </c>
      <c r="P15" s="343">
        <v>0</v>
      </c>
      <c r="Q15" s="343">
        <v>15.6</v>
      </c>
      <c r="R15" s="343">
        <v>8.6999999999999993</v>
      </c>
      <c r="S15" s="343"/>
      <c r="T15" s="343"/>
      <c r="U15" s="343"/>
      <c r="V15" s="343"/>
      <c r="W15" s="343"/>
      <c r="X15" s="343"/>
      <c r="Y15" s="343"/>
      <c r="Z15" s="343"/>
      <c r="AA15" s="343"/>
      <c r="AB15" s="343"/>
      <c r="AC15" s="343"/>
      <c r="AD15" s="343"/>
      <c r="AE15" s="343"/>
      <c r="AF15" s="343"/>
      <c r="AG15" s="343"/>
      <c r="AH15" s="343"/>
      <c r="AI15" s="343"/>
      <c r="AK15" s="361" t="s">
        <v>375</v>
      </c>
      <c r="AL15" s="363" t="s">
        <v>423</v>
      </c>
      <c r="AM15" s="364" t="s">
        <v>17</v>
      </c>
      <c r="AN15" s="338" t="s">
        <v>375</v>
      </c>
      <c r="AO15" s="338" t="s">
        <v>398</v>
      </c>
    </row>
    <row r="16" spans="1:41">
      <c r="A16" s="354" t="s">
        <v>406</v>
      </c>
      <c r="B16" s="343">
        <v>10.6</v>
      </c>
      <c r="C16" s="343">
        <v>535</v>
      </c>
      <c r="D16" s="359">
        <v>135</v>
      </c>
      <c r="E16" s="358">
        <v>4</v>
      </c>
      <c r="F16" s="358"/>
      <c r="G16" s="343">
        <v>0.67</v>
      </c>
      <c r="H16" s="343">
        <v>23</v>
      </c>
      <c r="I16" s="343">
        <f>H16*0.61</f>
        <v>14.03</v>
      </c>
      <c r="J16" s="343">
        <f>H16*0.27</f>
        <v>6.2100000000000009</v>
      </c>
      <c r="K16" s="343">
        <f>H16*0.2</f>
        <v>4.6000000000000005</v>
      </c>
      <c r="L16" s="343">
        <f t="shared" si="0"/>
        <v>94.5</v>
      </c>
      <c r="M16" s="343">
        <v>0</v>
      </c>
      <c r="N16" s="343">
        <v>0</v>
      </c>
      <c r="O16" s="343">
        <f t="shared" si="2"/>
        <v>135</v>
      </c>
      <c r="P16" s="343">
        <v>0</v>
      </c>
      <c r="Q16" s="343">
        <v>31.3</v>
      </c>
      <c r="R16" s="343">
        <v>17.399999999999999</v>
      </c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K16" s="361" t="s">
        <v>376</v>
      </c>
      <c r="AL16" s="363" t="s">
        <v>423</v>
      </c>
      <c r="AM16" s="364" t="s">
        <v>18</v>
      </c>
      <c r="AN16" s="338" t="s">
        <v>376</v>
      </c>
      <c r="AO16" s="338" t="s">
        <v>398</v>
      </c>
    </row>
    <row r="17" spans="1:41">
      <c r="A17" s="354" t="s">
        <v>406</v>
      </c>
      <c r="B17" s="343">
        <v>13.3</v>
      </c>
      <c r="C17" s="343">
        <v>669</v>
      </c>
      <c r="D17" s="359">
        <v>168</v>
      </c>
      <c r="E17" s="358">
        <v>4</v>
      </c>
      <c r="F17" s="358"/>
      <c r="G17" s="343">
        <v>0.84</v>
      </c>
      <c r="H17" s="343">
        <v>28.8</v>
      </c>
      <c r="I17" s="343">
        <f>H17*0.61</f>
        <v>17.568000000000001</v>
      </c>
      <c r="J17" s="343">
        <f>H17*0.27</f>
        <v>7.7760000000000007</v>
      </c>
      <c r="K17" s="343">
        <f>H17*0.2</f>
        <v>5.7600000000000007</v>
      </c>
      <c r="L17" s="343">
        <f t="shared" si="0"/>
        <v>117.6</v>
      </c>
      <c r="M17" s="343">
        <v>0</v>
      </c>
      <c r="N17" s="343">
        <v>0</v>
      </c>
      <c r="O17" s="343">
        <f t="shared" si="2"/>
        <v>168</v>
      </c>
      <c r="P17" s="343">
        <v>0</v>
      </c>
      <c r="Q17" s="343">
        <v>39.1</v>
      </c>
      <c r="R17" s="343">
        <v>21.7</v>
      </c>
      <c r="S17" s="343">
        <v>3.6</v>
      </c>
      <c r="T17" s="343">
        <v>10.9</v>
      </c>
      <c r="U17" s="343">
        <v>4.2</v>
      </c>
      <c r="V17" s="343">
        <v>15.7</v>
      </c>
      <c r="W17" s="343">
        <v>6.3</v>
      </c>
      <c r="X17" s="343">
        <v>0.2</v>
      </c>
      <c r="Y17" s="343">
        <v>42.1</v>
      </c>
      <c r="Z17" s="343">
        <v>1.5</v>
      </c>
      <c r="AA17" s="343">
        <v>210.6</v>
      </c>
      <c r="AB17" s="343">
        <v>168.5</v>
      </c>
      <c r="AC17" s="343">
        <v>0.42</v>
      </c>
      <c r="AD17" s="343">
        <v>168.5</v>
      </c>
      <c r="AE17" s="343">
        <v>7.6</v>
      </c>
      <c r="AF17" s="343">
        <v>3740</v>
      </c>
      <c r="AG17" s="343">
        <v>337</v>
      </c>
      <c r="AH17" s="343">
        <v>12.6</v>
      </c>
      <c r="AI17" s="343">
        <v>8.4</v>
      </c>
      <c r="AK17" s="361" t="s">
        <v>377</v>
      </c>
      <c r="AL17" s="363" t="s">
        <v>423</v>
      </c>
      <c r="AM17" s="364" t="s">
        <v>19</v>
      </c>
      <c r="AN17" s="338" t="s">
        <v>377</v>
      </c>
      <c r="AO17" s="338" t="s">
        <v>398</v>
      </c>
    </row>
    <row r="18" spans="1:41">
      <c r="A18" s="354" t="s">
        <v>406</v>
      </c>
      <c r="B18" s="343"/>
      <c r="C18" s="343"/>
      <c r="D18" s="359">
        <v>202</v>
      </c>
      <c r="E18" s="358">
        <v>4</v>
      </c>
      <c r="F18" s="358"/>
      <c r="G18" s="343"/>
      <c r="H18" s="343"/>
      <c r="I18" s="343"/>
      <c r="J18" s="343"/>
      <c r="K18" s="343"/>
      <c r="L18" s="343">
        <f t="shared" si="0"/>
        <v>141.39999999999998</v>
      </c>
      <c r="M18" s="343"/>
      <c r="N18" s="343"/>
      <c r="O18" s="343">
        <f t="shared" si="2"/>
        <v>202</v>
      </c>
      <c r="P18" s="343"/>
      <c r="Q18" s="343"/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3"/>
      <c r="AF18" s="343"/>
      <c r="AG18" s="343"/>
      <c r="AH18" s="343"/>
      <c r="AI18" s="343"/>
      <c r="AK18" s="361" t="s">
        <v>378</v>
      </c>
      <c r="AL18" s="363" t="s">
        <v>423</v>
      </c>
      <c r="AM18" s="364" t="s">
        <v>20</v>
      </c>
      <c r="AN18" s="338" t="s">
        <v>378</v>
      </c>
      <c r="AO18" s="338" t="s">
        <v>398</v>
      </c>
    </row>
    <row r="19" spans="1:41">
      <c r="A19" s="354" t="s">
        <v>406</v>
      </c>
      <c r="B19" s="343">
        <v>6.2</v>
      </c>
      <c r="C19" s="343">
        <v>270</v>
      </c>
      <c r="D19" s="360">
        <v>86</v>
      </c>
      <c r="E19" s="357">
        <v>6</v>
      </c>
      <c r="F19" s="358"/>
      <c r="G19" s="343">
        <v>0.28999999999999998</v>
      </c>
      <c r="H19" s="343">
        <v>11.6</v>
      </c>
      <c r="I19" s="343">
        <f>H19*0.61</f>
        <v>7.0759999999999996</v>
      </c>
      <c r="J19" s="343">
        <f>H19*0.27</f>
        <v>3.1320000000000001</v>
      </c>
      <c r="K19" s="343">
        <f>H19*0.2</f>
        <v>2.3199999999999998</v>
      </c>
      <c r="L19" s="343">
        <f t="shared" si="0"/>
        <v>60.199999999999996</v>
      </c>
      <c r="M19" s="343">
        <v>0</v>
      </c>
      <c r="N19" s="343">
        <v>0</v>
      </c>
      <c r="O19" s="343">
        <f t="shared" si="2"/>
        <v>86</v>
      </c>
      <c r="P19" s="343">
        <v>0</v>
      </c>
      <c r="Q19" s="343">
        <v>15.5</v>
      </c>
      <c r="R19" s="343">
        <v>8.6</v>
      </c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  <c r="AF19" s="343"/>
      <c r="AG19" s="343"/>
      <c r="AH19" s="343"/>
      <c r="AI19" s="343"/>
      <c r="AK19" s="361" t="s">
        <v>379</v>
      </c>
      <c r="AL19" s="363" t="s">
        <v>363</v>
      </c>
      <c r="AM19" s="364" t="s">
        <v>88</v>
      </c>
      <c r="AN19" s="338" t="s">
        <v>379</v>
      </c>
      <c r="AO19" s="338" t="s">
        <v>363</v>
      </c>
    </row>
    <row r="20" spans="1:41">
      <c r="A20" s="354" t="s">
        <v>406</v>
      </c>
      <c r="B20" s="343">
        <v>12.4</v>
      </c>
      <c r="C20" s="343">
        <v>541</v>
      </c>
      <c r="D20" s="360">
        <v>173</v>
      </c>
      <c r="E20" s="357">
        <v>6</v>
      </c>
      <c r="F20" s="358"/>
      <c r="G20" s="343">
        <v>0.57999999999999996</v>
      </c>
      <c r="H20" s="343">
        <v>23.3</v>
      </c>
      <c r="I20" s="343">
        <f>H20*0.61</f>
        <v>14.213000000000001</v>
      </c>
      <c r="J20" s="343">
        <f>H20*0.27</f>
        <v>6.2910000000000004</v>
      </c>
      <c r="K20" s="343">
        <f>H20*0.2</f>
        <v>4.66</v>
      </c>
      <c r="L20" s="343">
        <f t="shared" si="0"/>
        <v>121.1</v>
      </c>
      <c r="M20" s="343">
        <v>0</v>
      </c>
      <c r="N20" s="343">
        <v>0</v>
      </c>
      <c r="O20" s="343">
        <f t="shared" si="2"/>
        <v>173.00000000000003</v>
      </c>
      <c r="P20" s="343">
        <v>0</v>
      </c>
      <c r="Q20" s="343">
        <v>30.9</v>
      </c>
      <c r="R20" s="343">
        <v>17.2</v>
      </c>
      <c r="S20" s="343"/>
      <c r="T20" s="343"/>
      <c r="U20" s="343"/>
      <c r="V20" s="343"/>
      <c r="W20" s="343"/>
      <c r="X20" s="343"/>
      <c r="Y20" s="343"/>
      <c r="Z20" s="343"/>
      <c r="AA20" s="343"/>
      <c r="AB20" s="343"/>
      <c r="AC20" s="343"/>
      <c r="AD20" s="343"/>
      <c r="AE20" s="343"/>
      <c r="AF20" s="343"/>
      <c r="AG20" s="343"/>
      <c r="AH20" s="343"/>
      <c r="AI20" s="343"/>
      <c r="AK20" s="361" t="s">
        <v>390</v>
      </c>
      <c r="AL20" s="363" t="s">
        <v>363</v>
      </c>
      <c r="AM20" s="364" t="s">
        <v>22</v>
      </c>
      <c r="AN20" s="338" t="s">
        <v>390</v>
      </c>
      <c r="AO20" s="338" t="s">
        <v>363</v>
      </c>
    </row>
    <row r="21" spans="1:41">
      <c r="A21" s="354" t="s">
        <v>406</v>
      </c>
      <c r="B21" s="343">
        <v>15.5</v>
      </c>
      <c r="C21" s="343">
        <v>676</v>
      </c>
      <c r="D21" s="360">
        <v>216</v>
      </c>
      <c r="E21" s="357">
        <v>6</v>
      </c>
      <c r="F21" s="358"/>
      <c r="G21" s="343">
        <v>0.72</v>
      </c>
      <c r="H21" s="343">
        <v>29.1</v>
      </c>
      <c r="I21" s="343">
        <f>H21*0.61</f>
        <v>17.751000000000001</v>
      </c>
      <c r="J21" s="343">
        <f>H21*0.27</f>
        <v>7.8570000000000011</v>
      </c>
      <c r="K21" s="343">
        <f>H21*0.2</f>
        <v>5.82</v>
      </c>
      <c r="L21" s="343">
        <f t="shared" si="0"/>
        <v>151.19999999999999</v>
      </c>
      <c r="M21" s="343">
        <v>0</v>
      </c>
      <c r="N21" s="343">
        <v>0</v>
      </c>
      <c r="O21" s="343">
        <f t="shared" si="2"/>
        <v>216</v>
      </c>
      <c r="P21" s="343">
        <v>0</v>
      </c>
      <c r="Q21" s="343">
        <v>38.6</v>
      </c>
      <c r="R21" s="343">
        <v>21.5</v>
      </c>
      <c r="S21" s="343">
        <v>4.0999999999999996</v>
      </c>
      <c r="T21" s="343">
        <v>13</v>
      </c>
      <c r="U21" s="343">
        <v>5</v>
      </c>
      <c r="V21" s="343">
        <v>20.100000000000001</v>
      </c>
      <c r="W21" s="343">
        <v>8.1</v>
      </c>
      <c r="X21" s="343">
        <v>0.3</v>
      </c>
      <c r="Y21" s="343">
        <v>54</v>
      </c>
      <c r="Z21" s="343">
        <v>1.9</v>
      </c>
      <c r="AA21" s="343">
        <v>269.89999999999998</v>
      </c>
      <c r="AB21" s="343">
        <v>215.9</v>
      </c>
      <c r="AC21" s="343">
        <v>0.54</v>
      </c>
      <c r="AD21" s="343">
        <v>215.9</v>
      </c>
      <c r="AE21" s="343">
        <v>9.6999999999999993</v>
      </c>
      <c r="AF21" s="343">
        <v>4793</v>
      </c>
      <c r="AG21" s="343">
        <v>432</v>
      </c>
      <c r="AH21" s="343">
        <v>16.2</v>
      </c>
      <c r="AI21" s="343">
        <v>10.8</v>
      </c>
      <c r="AK21" s="361" t="s">
        <v>391</v>
      </c>
      <c r="AL21" s="363" t="s">
        <v>363</v>
      </c>
      <c r="AM21" s="364" t="s">
        <v>23</v>
      </c>
      <c r="AN21" s="338" t="s">
        <v>391</v>
      </c>
      <c r="AO21" s="338" t="s">
        <v>363</v>
      </c>
    </row>
    <row r="22" spans="1:41">
      <c r="A22" s="354" t="s">
        <v>406</v>
      </c>
      <c r="B22" s="343"/>
      <c r="C22" s="343"/>
      <c r="D22" s="360">
        <v>259</v>
      </c>
      <c r="E22" s="357">
        <v>6</v>
      </c>
      <c r="F22" s="358"/>
      <c r="G22" s="343"/>
      <c r="H22" s="343"/>
      <c r="I22" s="343"/>
      <c r="J22" s="343"/>
      <c r="K22" s="343"/>
      <c r="L22" s="343">
        <f t="shared" si="0"/>
        <v>181.29999999999998</v>
      </c>
      <c r="M22" s="343"/>
      <c r="N22" s="343"/>
      <c r="O22" s="343">
        <f t="shared" si="2"/>
        <v>259</v>
      </c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  <c r="AI22" s="343"/>
      <c r="AK22" s="361" t="s">
        <v>392</v>
      </c>
      <c r="AL22" s="363" t="s">
        <v>363</v>
      </c>
      <c r="AM22" s="364" t="s">
        <v>24</v>
      </c>
      <c r="AN22" s="338" t="s">
        <v>392</v>
      </c>
      <c r="AO22" s="338" t="s">
        <v>363</v>
      </c>
    </row>
    <row r="23" spans="1:41">
      <c r="A23" s="354" t="s">
        <v>406</v>
      </c>
      <c r="B23" s="343">
        <v>7.5</v>
      </c>
      <c r="C23" s="343">
        <v>338</v>
      </c>
      <c r="D23" s="360">
        <v>128</v>
      </c>
      <c r="E23" s="357">
        <v>12</v>
      </c>
      <c r="F23" s="358"/>
      <c r="G23" s="343">
        <v>0.18</v>
      </c>
      <c r="H23" s="343">
        <v>13.7</v>
      </c>
      <c r="I23" s="343">
        <f>H23*0.61</f>
        <v>8.3569999999999993</v>
      </c>
      <c r="J23" s="343">
        <f>H23*0.27</f>
        <v>3.6989999999999998</v>
      </c>
      <c r="K23" s="343">
        <f>H23*0.2</f>
        <v>2.74</v>
      </c>
      <c r="L23" s="343">
        <f t="shared" si="0"/>
        <v>89.6</v>
      </c>
      <c r="M23" s="343">
        <v>0</v>
      </c>
      <c r="N23" s="343">
        <v>0</v>
      </c>
      <c r="O23" s="343">
        <f t="shared" si="2"/>
        <v>128</v>
      </c>
      <c r="P23" s="343">
        <v>0</v>
      </c>
      <c r="Q23" s="343">
        <v>14.8</v>
      </c>
      <c r="R23" s="343">
        <v>8.1999999999999993</v>
      </c>
      <c r="S23" s="343"/>
      <c r="T23" s="343"/>
      <c r="U23" s="343"/>
      <c r="V23" s="343"/>
      <c r="W23" s="343"/>
      <c r="X23" s="343"/>
      <c r="Y23" s="343"/>
      <c r="Z23" s="343"/>
      <c r="AA23" s="343"/>
      <c r="AB23" s="343"/>
      <c r="AC23" s="343"/>
      <c r="AD23" s="343"/>
      <c r="AE23" s="343"/>
      <c r="AF23" s="343"/>
      <c r="AG23" s="343"/>
      <c r="AH23" s="343"/>
      <c r="AI23" s="343"/>
      <c r="AK23" s="361" t="s">
        <v>393</v>
      </c>
      <c r="AL23" s="363" t="s">
        <v>363</v>
      </c>
      <c r="AM23" s="364" t="s">
        <v>25</v>
      </c>
      <c r="AN23" s="338" t="s">
        <v>393</v>
      </c>
      <c r="AO23" s="338" t="s">
        <v>363</v>
      </c>
    </row>
    <row r="24" spans="1:41">
      <c r="A24" s="354" t="s">
        <v>406</v>
      </c>
      <c r="B24" s="343">
        <v>15</v>
      </c>
      <c r="C24" s="343">
        <v>677</v>
      </c>
      <c r="D24" s="360">
        <v>257</v>
      </c>
      <c r="E24" s="357">
        <v>12</v>
      </c>
      <c r="F24" s="358"/>
      <c r="G24" s="343">
        <v>0.36</v>
      </c>
      <c r="H24" s="343">
        <v>27.5</v>
      </c>
      <c r="I24" s="343">
        <f>H24*0.61</f>
        <v>16.774999999999999</v>
      </c>
      <c r="J24" s="343">
        <f>H24*0.27</f>
        <v>7.4250000000000007</v>
      </c>
      <c r="K24" s="343">
        <f>H24*0.2</f>
        <v>5.5</v>
      </c>
      <c r="L24" s="343">
        <f t="shared" si="0"/>
        <v>179.89999999999998</v>
      </c>
      <c r="M24" s="343">
        <v>0</v>
      </c>
      <c r="N24" s="343">
        <v>0</v>
      </c>
      <c r="O24" s="343">
        <f t="shared" si="2"/>
        <v>257</v>
      </c>
      <c r="P24" s="343">
        <v>0</v>
      </c>
      <c r="Q24" s="343">
        <v>29.6</v>
      </c>
      <c r="R24" s="343">
        <v>16.5</v>
      </c>
      <c r="S24" s="343"/>
      <c r="T24" s="343"/>
      <c r="U24" s="343"/>
      <c r="V24" s="343"/>
      <c r="W24" s="343"/>
      <c r="X24" s="343"/>
      <c r="Y24" s="343"/>
      <c r="Z24" s="343"/>
      <c r="AA24" s="343"/>
      <c r="AB24" s="343"/>
      <c r="AC24" s="343"/>
      <c r="AD24" s="343"/>
      <c r="AE24" s="343"/>
      <c r="AF24" s="343"/>
      <c r="AG24" s="343"/>
      <c r="AH24" s="343"/>
      <c r="AI24" s="343"/>
      <c r="AK24" s="361" t="s">
        <v>394</v>
      </c>
      <c r="AL24" s="363" t="s">
        <v>363</v>
      </c>
      <c r="AM24" s="364" t="s">
        <v>26</v>
      </c>
      <c r="AN24" s="338" t="s">
        <v>394</v>
      </c>
      <c r="AO24" s="338" t="s">
        <v>363</v>
      </c>
    </row>
    <row r="25" spans="1:41">
      <c r="A25" s="354" t="s">
        <v>406</v>
      </c>
      <c r="B25" s="343">
        <v>18.8</v>
      </c>
      <c r="C25" s="343">
        <v>846</v>
      </c>
      <c r="D25" s="360">
        <v>321</v>
      </c>
      <c r="E25" s="357">
        <v>12</v>
      </c>
      <c r="F25" s="358"/>
      <c r="G25" s="343">
        <v>0.45</v>
      </c>
      <c r="H25" s="343">
        <v>34.4</v>
      </c>
      <c r="I25" s="343">
        <f>H25*0.61</f>
        <v>20.983999999999998</v>
      </c>
      <c r="J25" s="343">
        <f>H25*0.27</f>
        <v>9.2880000000000003</v>
      </c>
      <c r="K25" s="343">
        <f>H25*0.2</f>
        <v>6.88</v>
      </c>
      <c r="L25" s="343">
        <f t="shared" si="0"/>
        <v>224.7</v>
      </c>
      <c r="M25" s="343">
        <v>0</v>
      </c>
      <c r="N25" s="343">
        <v>0</v>
      </c>
      <c r="O25" s="343">
        <f t="shared" si="2"/>
        <v>321</v>
      </c>
      <c r="P25" s="343">
        <v>0</v>
      </c>
      <c r="Q25" s="343">
        <v>37</v>
      </c>
      <c r="R25" s="343">
        <v>20.6</v>
      </c>
      <c r="S25" s="343">
        <v>6.2</v>
      </c>
      <c r="T25" s="343">
        <v>20.2</v>
      </c>
      <c r="U25" s="343">
        <v>8</v>
      </c>
      <c r="V25" s="343">
        <v>32</v>
      </c>
      <c r="W25" s="343">
        <v>14.5</v>
      </c>
      <c r="X25" s="343">
        <v>0.5</v>
      </c>
      <c r="Y25" s="343">
        <v>96.9</v>
      </c>
      <c r="Z25" s="343">
        <v>3.4</v>
      </c>
      <c r="AA25" s="343">
        <v>484.4</v>
      </c>
      <c r="AB25" s="343">
        <v>387.5</v>
      </c>
      <c r="AC25" s="343">
        <v>0.97</v>
      </c>
      <c r="AD25" s="343">
        <v>387.5</v>
      </c>
      <c r="AE25" s="343">
        <v>17.399999999999999</v>
      </c>
      <c r="AF25" s="343">
        <v>6161</v>
      </c>
      <c r="AG25" s="343">
        <v>775</v>
      </c>
      <c r="AH25" s="343">
        <v>29.1</v>
      </c>
      <c r="AI25" s="343">
        <v>19.399999999999999</v>
      </c>
      <c r="AK25" s="361" t="s">
        <v>395</v>
      </c>
      <c r="AL25" s="363" t="s">
        <v>363</v>
      </c>
      <c r="AM25" s="364" t="s">
        <v>27</v>
      </c>
      <c r="AN25" s="338" t="s">
        <v>395</v>
      </c>
      <c r="AO25" s="338" t="s">
        <v>363</v>
      </c>
    </row>
    <row r="26" spans="1:41">
      <c r="A26" s="354" t="s">
        <v>406</v>
      </c>
      <c r="B26" s="343"/>
      <c r="C26" s="343"/>
      <c r="D26" s="360">
        <v>385</v>
      </c>
      <c r="E26" s="357">
        <v>12</v>
      </c>
      <c r="F26" s="358"/>
      <c r="G26" s="343"/>
      <c r="H26" s="343"/>
      <c r="I26" s="343"/>
      <c r="J26" s="343"/>
      <c r="K26" s="343"/>
      <c r="L26" s="343">
        <f t="shared" si="0"/>
        <v>269.5</v>
      </c>
      <c r="M26" s="343"/>
      <c r="N26" s="343"/>
      <c r="O26" s="343">
        <f t="shared" si="2"/>
        <v>385</v>
      </c>
      <c r="P26" s="343"/>
      <c r="Q26" s="343"/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43"/>
      <c r="AG26" s="343"/>
      <c r="AH26" s="343"/>
      <c r="AI26" s="343"/>
      <c r="AK26" s="361" t="s">
        <v>380</v>
      </c>
      <c r="AL26" s="363" t="s">
        <v>422</v>
      </c>
      <c r="AM26" s="364" t="s">
        <v>28</v>
      </c>
      <c r="AN26" s="338" t="s">
        <v>380</v>
      </c>
      <c r="AO26" s="338" t="s">
        <v>396</v>
      </c>
    </row>
    <row r="27" spans="1:41">
      <c r="A27" s="354" t="s">
        <v>406</v>
      </c>
      <c r="B27" s="343">
        <v>7.7</v>
      </c>
      <c r="C27" s="343">
        <v>320</v>
      </c>
      <c r="D27" s="360">
        <v>155</v>
      </c>
      <c r="E27" s="357">
        <v>18</v>
      </c>
      <c r="F27" s="358"/>
      <c r="G27" s="343">
        <v>0.11</v>
      </c>
      <c r="H27" s="343">
        <v>14.7</v>
      </c>
      <c r="I27" s="343">
        <f>H27*0.61</f>
        <v>8.9669999999999987</v>
      </c>
      <c r="J27" s="343">
        <f>H27*0.27</f>
        <v>3.9689999999999999</v>
      </c>
      <c r="K27" s="343">
        <f>H27*0.2</f>
        <v>2.94</v>
      </c>
      <c r="L27" s="343">
        <f t="shared" si="0"/>
        <v>108.5</v>
      </c>
      <c r="M27" s="343">
        <v>0</v>
      </c>
      <c r="N27" s="343">
        <v>0</v>
      </c>
      <c r="O27" s="343">
        <f t="shared" si="2"/>
        <v>155</v>
      </c>
      <c r="P27" s="343">
        <v>0</v>
      </c>
      <c r="Q27" s="343">
        <v>14.8</v>
      </c>
      <c r="R27" s="343">
        <v>8.1999999999999993</v>
      </c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  <c r="AI27" s="343"/>
      <c r="AK27" s="361" t="s">
        <v>381</v>
      </c>
      <c r="AL27" s="363" t="s">
        <v>421</v>
      </c>
      <c r="AM27" s="364" t="s">
        <v>29</v>
      </c>
      <c r="AN27" s="338" t="s">
        <v>381</v>
      </c>
      <c r="AO27" s="338" t="s">
        <v>397</v>
      </c>
    </row>
    <row r="28" spans="1:41">
      <c r="A28" s="354" t="s">
        <v>406</v>
      </c>
      <c r="B28" s="343">
        <v>15.4</v>
      </c>
      <c r="C28" s="343">
        <v>639</v>
      </c>
      <c r="D28" s="360">
        <v>310</v>
      </c>
      <c r="E28" s="357">
        <v>18</v>
      </c>
      <c r="F28" s="358"/>
      <c r="G28" s="343">
        <v>0.23</v>
      </c>
      <c r="H28" s="343">
        <v>29.3</v>
      </c>
      <c r="I28" s="343">
        <f>H28*0.61</f>
        <v>17.873000000000001</v>
      </c>
      <c r="J28" s="343">
        <f>H28*0.27</f>
        <v>7.9110000000000005</v>
      </c>
      <c r="K28" s="343">
        <f>H28*0.2</f>
        <v>5.86</v>
      </c>
      <c r="L28" s="343">
        <f t="shared" si="0"/>
        <v>217</v>
      </c>
      <c r="M28" s="343">
        <v>0</v>
      </c>
      <c r="N28" s="343">
        <v>0</v>
      </c>
      <c r="O28" s="343">
        <f t="shared" si="2"/>
        <v>310</v>
      </c>
      <c r="P28" s="343">
        <v>0</v>
      </c>
      <c r="Q28" s="343">
        <v>29.6</v>
      </c>
      <c r="R28" s="343">
        <v>16.5</v>
      </c>
      <c r="S28" s="343"/>
      <c r="T28" s="343"/>
      <c r="U28" s="343"/>
      <c r="V28" s="343"/>
      <c r="W28" s="343"/>
      <c r="X28" s="343"/>
      <c r="Y28" s="343"/>
      <c r="Z28" s="343"/>
      <c r="AA28" s="343"/>
      <c r="AB28" s="343"/>
      <c r="AC28" s="343"/>
      <c r="AD28" s="343"/>
      <c r="AE28" s="343"/>
      <c r="AF28" s="343"/>
      <c r="AG28" s="343"/>
      <c r="AH28" s="343"/>
      <c r="AI28" s="343"/>
      <c r="AK28" s="361" t="s">
        <v>367</v>
      </c>
      <c r="AL28" s="363" t="s">
        <v>421</v>
      </c>
      <c r="AM28" s="364" t="s">
        <v>30</v>
      </c>
      <c r="AN28" s="338" t="s">
        <v>382</v>
      </c>
      <c r="AO28" s="338" t="s">
        <v>397</v>
      </c>
    </row>
    <row r="29" spans="1:41">
      <c r="A29" s="354" t="s">
        <v>406</v>
      </c>
      <c r="B29" s="343">
        <v>19.2</v>
      </c>
      <c r="C29" s="343">
        <v>799</v>
      </c>
      <c r="D29" s="360">
        <v>387</v>
      </c>
      <c r="E29" s="357">
        <v>18</v>
      </c>
      <c r="F29" s="358"/>
      <c r="G29" s="343">
        <v>0.28999999999999998</v>
      </c>
      <c r="H29" s="343">
        <v>36.700000000000003</v>
      </c>
      <c r="I29" s="343">
        <f>H29*0.61</f>
        <v>22.387</v>
      </c>
      <c r="J29" s="343">
        <f>H29*0.27</f>
        <v>9.9090000000000007</v>
      </c>
      <c r="K29" s="343">
        <f>H29*0.2</f>
        <v>7.3400000000000007</v>
      </c>
      <c r="L29" s="343">
        <f t="shared" si="0"/>
        <v>270.89999999999998</v>
      </c>
      <c r="M29" s="343">
        <v>0</v>
      </c>
      <c r="N29" s="343">
        <v>0</v>
      </c>
      <c r="O29" s="343">
        <f t="shared" si="2"/>
        <v>387</v>
      </c>
      <c r="P29" s="343">
        <v>0</v>
      </c>
      <c r="Q29" s="343">
        <v>37</v>
      </c>
      <c r="R29" s="343">
        <v>20.6</v>
      </c>
      <c r="S29" s="343">
        <v>11.6</v>
      </c>
      <c r="T29" s="343">
        <v>22.9</v>
      </c>
      <c r="U29" s="343">
        <v>11</v>
      </c>
      <c r="V29" s="343">
        <v>37.1</v>
      </c>
      <c r="W29" s="343">
        <v>14.5</v>
      </c>
      <c r="X29" s="343">
        <v>0.5</v>
      </c>
      <c r="Y29" s="343">
        <v>96.9</v>
      </c>
      <c r="Z29" s="343">
        <v>3.4</v>
      </c>
      <c r="AA29" s="343">
        <v>484.4</v>
      </c>
      <c r="AB29" s="343">
        <v>387.5</v>
      </c>
      <c r="AC29" s="343">
        <v>0.97</v>
      </c>
      <c r="AD29" s="343">
        <v>387.5</v>
      </c>
      <c r="AE29" s="343">
        <v>17.399999999999999</v>
      </c>
      <c r="AF29" s="343">
        <v>6161</v>
      </c>
      <c r="AG29" s="343">
        <v>775</v>
      </c>
      <c r="AH29" s="343">
        <v>29.1</v>
      </c>
      <c r="AI29" s="343">
        <v>19.399999999999999</v>
      </c>
      <c r="AK29" s="361" t="s">
        <v>383</v>
      </c>
      <c r="AL29" s="363" t="s">
        <v>363</v>
      </c>
      <c r="AM29" s="364" t="s">
        <v>31</v>
      </c>
      <c r="AN29" s="338" t="s">
        <v>383</v>
      </c>
      <c r="AO29" s="338" t="s">
        <v>363</v>
      </c>
    </row>
    <row r="30" spans="1:41">
      <c r="A30" s="354" t="s">
        <v>406</v>
      </c>
      <c r="B30" s="343"/>
      <c r="C30" s="343"/>
      <c r="D30" s="360">
        <v>465</v>
      </c>
      <c r="E30" s="357">
        <v>18</v>
      </c>
      <c r="F30" s="358"/>
      <c r="G30" s="343"/>
      <c r="H30" s="343"/>
      <c r="I30" s="343"/>
      <c r="J30" s="343"/>
      <c r="K30" s="343"/>
      <c r="L30" s="343">
        <f t="shared" si="0"/>
        <v>325.5</v>
      </c>
      <c r="M30" s="343"/>
      <c r="N30" s="343"/>
      <c r="O30" s="343">
        <f t="shared" si="2"/>
        <v>465</v>
      </c>
      <c r="P30" s="343"/>
      <c r="Q30" s="343"/>
      <c r="R30" s="343"/>
      <c r="S30" s="343"/>
      <c r="T30" s="343"/>
      <c r="U30" s="343"/>
      <c r="V30" s="343"/>
      <c r="W30" s="343"/>
      <c r="X30" s="343"/>
      <c r="Y30" s="343"/>
      <c r="Z30" s="343"/>
      <c r="AA30" s="343"/>
      <c r="AB30" s="343"/>
      <c r="AC30" s="343"/>
      <c r="AD30" s="343"/>
      <c r="AE30" s="343"/>
      <c r="AF30" s="343"/>
      <c r="AG30" s="343"/>
      <c r="AH30" s="343"/>
      <c r="AI30" s="343"/>
      <c r="AK30" s="361" t="s">
        <v>384</v>
      </c>
      <c r="AL30" s="363" t="s">
        <v>363</v>
      </c>
      <c r="AM30" s="364" t="s">
        <v>32</v>
      </c>
      <c r="AN30" s="338" t="s">
        <v>384</v>
      </c>
      <c r="AO30" s="338" t="s">
        <v>363</v>
      </c>
    </row>
    <row r="31" spans="1:41">
      <c r="A31" s="354" t="s">
        <v>406</v>
      </c>
      <c r="B31" s="343">
        <v>7.5</v>
      </c>
      <c r="C31" s="343">
        <v>308</v>
      </c>
      <c r="D31" s="360">
        <v>172</v>
      </c>
      <c r="E31" s="358">
        <v>24</v>
      </c>
      <c r="F31" s="358"/>
      <c r="G31" s="343">
        <v>7.0000000000000007E-2</v>
      </c>
      <c r="H31" s="343">
        <v>15.6</v>
      </c>
      <c r="I31" s="343">
        <f>H31*0.61</f>
        <v>9.516</v>
      </c>
      <c r="J31" s="343">
        <f>H31*0.27</f>
        <v>4.2119999999999997</v>
      </c>
      <c r="K31" s="343">
        <f>H31*0.2</f>
        <v>3.12</v>
      </c>
      <c r="L31" s="343">
        <f t="shared" si="0"/>
        <v>120.39999999999999</v>
      </c>
      <c r="M31" s="343">
        <v>0</v>
      </c>
      <c r="N31" s="343">
        <v>0</v>
      </c>
      <c r="O31" s="343">
        <f t="shared" si="2"/>
        <v>172</v>
      </c>
      <c r="P31" s="343">
        <v>0</v>
      </c>
      <c r="Q31" s="343">
        <v>14.8</v>
      </c>
      <c r="R31" s="343">
        <v>8.1999999999999993</v>
      </c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43"/>
      <c r="AF31" s="343"/>
      <c r="AG31" s="343"/>
      <c r="AH31" s="343"/>
      <c r="AI31" s="343"/>
      <c r="AN31" s="338" t="s">
        <v>385</v>
      </c>
      <c r="AO31" s="338" t="s">
        <v>363</v>
      </c>
    </row>
    <row r="32" spans="1:41">
      <c r="A32" s="354" t="s">
        <v>406</v>
      </c>
      <c r="B32" s="343">
        <v>15</v>
      </c>
      <c r="C32" s="343">
        <v>616</v>
      </c>
      <c r="D32" s="360">
        <v>343</v>
      </c>
      <c r="E32" s="358">
        <v>24</v>
      </c>
      <c r="F32" s="358"/>
      <c r="G32" s="343">
        <v>0.14000000000000001</v>
      </c>
      <c r="H32" s="343">
        <v>31.2</v>
      </c>
      <c r="I32" s="343">
        <f>H32*0.61</f>
        <v>19.032</v>
      </c>
      <c r="J32" s="343">
        <f>H32*0.27</f>
        <v>8.4239999999999995</v>
      </c>
      <c r="K32" s="343">
        <f>H32*0.2</f>
        <v>6.24</v>
      </c>
      <c r="L32" s="343">
        <f t="shared" si="0"/>
        <v>240.1</v>
      </c>
      <c r="M32" s="343">
        <v>0</v>
      </c>
      <c r="N32" s="343">
        <v>0</v>
      </c>
      <c r="O32" s="343">
        <f t="shared" si="2"/>
        <v>343</v>
      </c>
      <c r="P32" s="343">
        <v>0</v>
      </c>
      <c r="Q32" s="343">
        <v>29.6</v>
      </c>
      <c r="R32" s="343">
        <v>16.5</v>
      </c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43"/>
      <c r="AG32" s="343"/>
      <c r="AH32" s="343"/>
      <c r="AI32" s="343"/>
      <c r="AN32" s="338" t="s">
        <v>386</v>
      </c>
      <c r="AO32" s="338" t="s">
        <v>363</v>
      </c>
    </row>
    <row r="33" spans="1:41">
      <c r="A33" s="354" t="s">
        <v>406</v>
      </c>
      <c r="B33" s="343">
        <v>18.7</v>
      </c>
      <c r="C33" s="343">
        <v>770</v>
      </c>
      <c r="D33" s="360">
        <v>429</v>
      </c>
      <c r="E33" s="358">
        <v>24</v>
      </c>
      <c r="F33" s="358"/>
      <c r="G33" s="343">
        <v>0.18</v>
      </c>
      <c r="H33" s="343">
        <v>39</v>
      </c>
      <c r="I33" s="343">
        <f>H33*0.61</f>
        <v>23.79</v>
      </c>
      <c r="J33" s="343">
        <f>H33*0.27</f>
        <v>10.530000000000001</v>
      </c>
      <c r="K33" s="343">
        <f>H33*0.2</f>
        <v>7.8000000000000007</v>
      </c>
      <c r="L33" s="343">
        <f t="shared" si="0"/>
        <v>300.29999999999995</v>
      </c>
      <c r="M33" s="343">
        <v>0</v>
      </c>
      <c r="N33" s="343">
        <v>0</v>
      </c>
      <c r="O33" s="343">
        <f t="shared" si="2"/>
        <v>429</v>
      </c>
      <c r="P33" s="343">
        <v>0</v>
      </c>
      <c r="Q33" s="343">
        <v>37</v>
      </c>
      <c r="R33" s="343">
        <v>20.6</v>
      </c>
      <c r="S33" s="343">
        <v>11.6</v>
      </c>
      <c r="T33" s="343">
        <v>25.7</v>
      </c>
      <c r="U33" s="343">
        <v>14</v>
      </c>
      <c r="V33" s="343">
        <v>42.2</v>
      </c>
      <c r="W33" s="343">
        <v>14.5</v>
      </c>
      <c r="X33" s="343">
        <v>0.5</v>
      </c>
      <c r="Y33" s="343">
        <v>96.9</v>
      </c>
      <c r="Z33" s="343">
        <v>3.4</v>
      </c>
      <c r="AA33" s="343">
        <v>484.4</v>
      </c>
      <c r="AB33" s="343">
        <v>387.5</v>
      </c>
      <c r="AC33" s="343">
        <v>0.97</v>
      </c>
      <c r="AD33" s="343">
        <v>387.5</v>
      </c>
      <c r="AE33" s="343">
        <v>17.399999999999999</v>
      </c>
      <c r="AF33" s="343">
        <v>6161</v>
      </c>
      <c r="AG33" s="343">
        <v>775</v>
      </c>
      <c r="AH33" s="343">
        <v>29.1</v>
      </c>
      <c r="AI33" s="343">
        <v>19.399999999999999</v>
      </c>
      <c r="AN33" s="338" t="s">
        <v>387</v>
      </c>
      <c r="AO33" s="338" t="s">
        <v>363</v>
      </c>
    </row>
    <row r="34" spans="1:41">
      <c r="A34" s="354" t="s">
        <v>406</v>
      </c>
      <c r="B34" s="343"/>
      <c r="C34" s="343"/>
      <c r="D34" s="360">
        <v>515</v>
      </c>
      <c r="E34" s="358">
        <v>24</v>
      </c>
      <c r="F34" s="358"/>
      <c r="G34" s="343"/>
      <c r="H34" s="343"/>
      <c r="I34" s="343"/>
      <c r="J34" s="343"/>
      <c r="K34" s="343"/>
      <c r="L34" s="343">
        <f t="shared" si="0"/>
        <v>360.5</v>
      </c>
      <c r="M34" s="343"/>
      <c r="N34" s="343"/>
      <c r="O34" s="343">
        <f t="shared" si="2"/>
        <v>515</v>
      </c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43"/>
      <c r="AG34" s="343"/>
      <c r="AH34" s="343"/>
      <c r="AI34" s="343"/>
      <c r="AN34" s="338" t="s">
        <v>388</v>
      </c>
      <c r="AO34" s="338" t="s">
        <v>363</v>
      </c>
    </row>
    <row r="35" spans="1:41">
      <c r="A35" s="354" t="s">
        <v>410</v>
      </c>
      <c r="B35" s="343">
        <v>8.8000000000000007</v>
      </c>
      <c r="C35" s="343">
        <v>341</v>
      </c>
      <c r="D35" s="360">
        <v>155</v>
      </c>
      <c r="E35" s="357">
        <v>18</v>
      </c>
      <c r="F35" s="357" t="s">
        <v>407</v>
      </c>
      <c r="G35" s="343">
        <v>0.11</v>
      </c>
      <c r="H35" s="343">
        <v>13.2</v>
      </c>
      <c r="I35" s="343">
        <f>H35*0.61</f>
        <v>8.0519999999999996</v>
      </c>
      <c r="J35" s="343">
        <f>H35*0.27</f>
        <v>3.5640000000000001</v>
      </c>
      <c r="K35" s="343">
        <f>H35*0.2</f>
        <v>2.64</v>
      </c>
      <c r="L35" s="343">
        <f t="shared" si="0"/>
        <v>108.5</v>
      </c>
      <c r="M35" s="343">
        <v>0</v>
      </c>
      <c r="N35" s="343">
        <v>0</v>
      </c>
      <c r="O35" s="343">
        <f t="shared" si="2"/>
        <v>155</v>
      </c>
      <c r="P35" s="343">
        <v>0</v>
      </c>
      <c r="Q35" s="343">
        <v>14.7</v>
      </c>
      <c r="R35" s="343">
        <v>8.1</v>
      </c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43"/>
      <c r="AG35" s="343"/>
      <c r="AH35" s="343"/>
      <c r="AI35" s="343"/>
      <c r="AN35" s="338" t="s">
        <v>389</v>
      </c>
      <c r="AO35" s="338" t="s">
        <v>363</v>
      </c>
    </row>
    <row r="36" spans="1:41">
      <c r="A36" s="354" t="s">
        <v>410</v>
      </c>
      <c r="B36" s="343">
        <v>17.7</v>
      </c>
      <c r="C36" s="343">
        <v>682</v>
      </c>
      <c r="D36" s="360">
        <v>310</v>
      </c>
      <c r="E36" s="357">
        <v>18</v>
      </c>
      <c r="F36" s="357" t="s">
        <v>407</v>
      </c>
      <c r="G36" s="343">
        <v>0.23</v>
      </c>
      <c r="H36" s="343">
        <v>26.5</v>
      </c>
      <c r="I36" s="343">
        <f>H36*0.61</f>
        <v>16.164999999999999</v>
      </c>
      <c r="J36" s="343">
        <f>H36*0.27</f>
        <v>7.1550000000000002</v>
      </c>
      <c r="K36" s="343">
        <f>H36*0.2</f>
        <v>5.3000000000000007</v>
      </c>
      <c r="L36" s="343">
        <f t="shared" si="0"/>
        <v>217</v>
      </c>
      <c r="M36" s="343">
        <v>0</v>
      </c>
      <c r="N36" s="343">
        <v>0</v>
      </c>
      <c r="O36" s="343">
        <f t="shared" si="2"/>
        <v>310</v>
      </c>
      <c r="P36" s="343">
        <v>0</v>
      </c>
      <c r="Q36" s="343">
        <v>29.3</v>
      </c>
      <c r="R36" s="343">
        <v>16.3</v>
      </c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343"/>
      <c r="AD36" s="343"/>
      <c r="AE36" s="343"/>
      <c r="AF36" s="343"/>
      <c r="AG36" s="343"/>
      <c r="AH36" s="343"/>
      <c r="AI36" s="343"/>
    </row>
    <row r="37" spans="1:41">
      <c r="A37" s="354" t="s">
        <v>410</v>
      </c>
      <c r="B37" s="343">
        <v>22.1</v>
      </c>
      <c r="C37" s="343">
        <v>853</v>
      </c>
      <c r="D37" s="360">
        <v>387</v>
      </c>
      <c r="E37" s="357">
        <v>18</v>
      </c>
      <c r="F37" s="357" t="s">
        <v>407</v>
      </c>
      <c r="G37" s="343">
        <v>0.28999999999999998</v>
      </c>
      <c r="H37" s="343">
        <v>33.1</v>
      </c>
      <c r="I37" s="343">
        <f>H37*0.61</f>
        <v>20.190999999999999</v>
      </c>
      <c r="J37" s="343">
        <f>H37*0.27</f>
        <v>8.9370000000000012</v>
      </c>
      <c r="K37" s="343">
        <f>H37*0.2</f>
        <v>6.620000000000001</v>
      </c>
      <c r="L37" s="343">
        <f t="shared" si="0"/>
        <v>270.89999999999998</v>
      </c>
      <c r="M37" s="343">
        <v>0</v>
      </c>
      <c r="N37" s="343">
        <v>0</v>
      </c>
      <c r="O37" s="343">
        <f t="shared" si="2"/>
        <v>387</v>
      </c>
      <c r="P37" s="343">
        <v>0</v>
      </c>
      <c r="Q37" s="343">
        <v>36.700000000000003</v>
      </c>
      <c r="R37" s="343">
        <v>20.399999999999999</v>
      </c>
      <c r="S37" s="343">
        <v>6.7</v>
      </c>
      <c r="T37" s="343">
        <v>22</v>
      </c>
      <c r="U37" s="343">
        <v>8.8000000000000007</v>
      </c>
      <c r="V37" s="343">
        <v>35.4</v>
      </c>
      <c r="W37" s="343">
        <v>16.100000000000001</v>
      </c>
      <c r="X37" s="343">
        <v>0.5</v>
      </c>
      <c r="Y37" s="343">
        <v>107.3</v>
      </c>
      <c r="Z37" s="343">
        <v>3.8</v>
      </c>
      <c r="AA37" s="343">
        <v>536.5</v>
      </c>
      <c r="AB37" s="343">
        <v>429.2</v>
      </c>
      <c r="AC37" s="343">
        <v>1.07</v>
      </c>
      <c r="AD37" s="343">
        <v>429.2</v>
      </c>
      <c r="AE37" s="343">
        <v>19.3</v>
      </c>
      <c r="AF37" s="343">
        <v>5880</v>
      </c>
      <c r="AG37" s="343">
        <v>858</v>
      </c>
      <c r="AH37" s="343">
        <v>321</v>
      </c>
      <c r="AI37" s="343">
        <v>21.5</v>
      </c>
    </row>
    <row r="38" spans="1:41">
      <c r="A38" s="354" t="s">
        <v>410</v>
      </c>
      <c r="B38" s="343"/>
      <c r="C38" s="343"/>
      <c r="D38" s="360">
        <v>465</v>
      </c>
      <c r="E38" s="357">
        <v>18</v>
      </c>
      <c r="F38" s="357" t="s">
        <v>407</v>
      </c>
      <c r="G38" s="343"/>
      <c r="H38" s="343"/>
      <c r="I38" s="343"/>
      <c r="J38" s="343"/>
      <c r="K38" s="343"/>
      <c r="L38" s="343">
        <f t="shared" si="0"/>
        <v>325.5</v>
      </c>
      <c r="M38" s="343"/>
      <c r="N38" s="343"/>
      <c r="O38" s="343">
        <f t="shared" si="2"/>
        <v>465</v>
      </c>
      <c r="P38" s="343"/>
      <c r="Q38" s="343"/>
      <c r="R38" s="343"/>
      <c r="S38" s="343"/>
      <c r="T38" s="343"/>
      <c r="U38" s="343"/>
      <c r="V38" s="343"/>
      <c r="W38" s="343"/>
      <c r="X38" s="343"/>
      <c r="Y38" s="343"/>
      <c r="Z38" s="343"/>
      <c r="AA38" s="343"/>
      <c r="AB38" s="343"/>
      <c r="AC38" s="343"/>
      <c r="AD38" s="343"/>
      <c r="AE38" s="343"/>
      <c r="AF38" s="343"/>
      <c r="AG38" s="343"/>
      <c r="AH38" s="343"/>
      <c r="AI38" s="343"/>
    </row>
    <row r="39" spans="1:41">
      <c r="A39" s="354" t="s">
        <v>410</v>
      </c>
      <c r="B39" s="343">
        <v>8.6999999999999993</v>
      </c>
      <c r="C39" s="343">
        <v>332</v>
      </c>
      <c r="D39" s="360">
        <v>172</v>
      </c>
      <c r="E39" s="357">
        <v>24</v>
      </c>
      <c r="F39" s="357" t="s">
        <v>407</v>
      </c>
      <c r="G39" s="343">
        <v>7.0000000000000007E-2</v>
      </c>
      <c r="H39" s="343">
        <v>16.7</v>
      </c>
      <c r="I39" s="343">
        <f>H39*0.61</f>
        <v>10.186999999999999</v>
      </c>
      <c r="J39" s="343">
        <f>H39*0.27</f>
        <v>4.5090000000000003</v>
      </c>
      <c r="K39" s="343">
        <f>H39*0.2</f>
        <v>3.34</v>
      </c>
      <c r="L39" s="343">
        <f t="shared" si="0"/>
        <v>120.39999999999999</v>
      </c>
      <c r="M39" s="343">
        <v>0</v>
      </c>
      <c r="N39" s="343">
        <v>0</v>
      </c>
      <c r="O39" s="343">
        <f t="shared" si="2"/>
        <v>172</v>
      </c>
      <c r="P39" s="343">
        <v>0</v>
      </c>
      <c r="Q39" s="343">
        <v>14.7</v>
      </c>
      <c r="R39" s="343">
        <v>8.1</v>
      </c>
      <c r="S39" s="343"/>
      <c r="T39" s="343"/>
      <c r="U39" s="343"/>
      <c r="V39" s="343"/>
      <c r="W39" s="343"/>
      <c r="X39" s="343"/>
      <c r="Y39" s="343"/>
      <c r="Z39" s="343"/>
      <c r="AA39" s="343"/>
      <c r="AB39" s="343"/>
      <c r="AC39" s="343"/>
      <c r="AD39" s="343"/>
      <c r="AE39" s="343"/>
      <c r="AF39" s="343"/>
      <c r="AG39" s="343"/>
      <c r="AH39" s="343"/>
      <c r="AI39" s="343"/>
    </row>
    <row r="40" spans="1:41">
      <c r="A40" s="354" t="s">
        <v>410</v>
      </c>
      <c r="B40" s="343">
        <v>17.399999999999999</v>
      </c>
      <c r="C40" s="343">
        <v>663</v>
      </c>
      <c r="D40" s="360">
        <v>343</v>
      </c>
      <c r="E40" s="357">
        <v>24</v>
      </c>
      <c r="F40" s="357" t="s">
        <v>407</v>
      </c>
      <c r="G40" s="343">
        <v>0.14000000000000001</v>
      </c>
      <c r="H40" s="343">
        <v>33.299999999999997</v>
      </c>
      <c r="I40" s="343">
        <f>H40*0.61</f>
        <v>20.312999999999999</v>
      </c>
      <c r="J40" s="343">
        <f>H40*0.27</f>
        <v>8.9909999999999997</v>
      </c>
      <c r="K40" s="343">
        <f>H40*0.2</f>
        <v>6.66</v>
      </c>
      <c r="L40" s="343">
        <f t="shared" si="0"/>
        <v>240.1</v>
      </c>
      <c r="M40" s="343">
        <v>0</v>
      </c>
      <c r="N40" s="343">
        <v>0</v>
      </c>
      <c r="O40" s="343">
        <f t="shared" si="2"/>
        <v>343</v>
      </c>
      <c r="P40" s="343">
        <v>0</v>
      </c>
      <c r="Q40" s="343">
        <v>29.3</v>
      </c>
      <c r="R40" s="343">
        <v>16.3</v>
      </c>
      <c r="S40" s="343"/>
      <c r="T40" s="343"/>
      <c r="U40" s="343"/>
      <c r="V40" s="343"/>
      <c r="W40" s="343"/>
      <c r="X40" s="343"/>
      <c r="Y40" s="343"/>
      <c r="Z40" s="343"/>
      <c r="AA40" s="343"/>
      <c r="AB40" s="343"/>
      <c r="AC40" s="343"/>
      <c r="AD40" s="343"/>
      <c r="AE40" s="343"/>
      <c r="AF40" s="343"/>
      <c r="AG40" s="343"/>
      <c r="AH40" s="343"/>
      <c r="AI40" s="343"/>
    </row>
    <row r="41" spans="1:41">
      <c r="A41" s="354" t="s">
        <v>410</v>
      </c>
      <c r="B41" s="343">
        <v>21.8</v>
      </c>
      <c r="C41" s="343">
        <v>829</v>
      </c>
      <c r="D41" s="360">
        <v>429</v>
      </c>
      <c r="E41" s="357">
        <v>24</v>
      </c>
      <c r="F41" s="357" t="s">
        <v>407</v>
      </c>
      <c r="G41" s="343">
        <v>0.18</v>
      </c>
      <c r="H41" s="343">
        <v>41.7</v>
      </c>
      <c r="I41" s="343">
        <f>H41*0.61</f>
        <v>25.437000000000001</v>
      </c>
      <c r="J41" s="343">
        <f>H41*0.27</f>
        <v>11.259000000000002</v>
      </c>
      <c r="K41" s="343">
        <f>H41*0.2</f>
        <v>8.3400000000000016</v>
      </c>
      <c r="L41" s="343">
        <f t="shared" si="0"/>
        <v>300.29999999999995</v>
      </c>
      <c r="M41" s="343">
        <v>0</v>
      </c>
      <c r="N41" s="343">
        <v>0</v>
      </c>
      <c r="O41" s="343">
        <f t="shared" si="2"/>
        <v>429</v>
      </c>
      <c r="P41" s="343">
        <v>0</v>
      </c>
      <c r="Q41" s="343">
        <v>36.700000000000003</v>
      </c>
      <c r="R41" s="343">
        <v>20.399999999999999</v>
      </c>
      <c r="S41" s="343">
        <v>12.9</v>
      </c>
      <c r="T41" s="343">
        <v>34</v>
      </c>
      <c r="U41" s="343">
        <v>22.1</v>
      </c>
      <c r="V41" s="343">
        <v>58.2</v>
      </c>
      <c r="W41" s="343">
        <v>16.100000000000001</v>
      </c>
      <c r="X41" s="343">
        <v>0.5</v>
      </c>
      <c r="Y41" s="343">
        <v>107.3</v>
      </c>
      <c r="Z41" s="343">
        <v>3.8</v>
      </c>
      <c r="AA41" s="343">
        <v>536.5</v>
      </c>
      <c r="AB41" s="343">
        <v>429.2</v>
      </c>
      <c r="AC41" s="343">
        <v>1.07</v>
      </c>
      <c r="AD41" s="343">
        <v>429.2</v>
      </c>
      <c r="AE41" s="343">
        <v>19.3</v>
      </c>
      <c r="AF41" s="343">
        <v>5880</v>
      </c>
      <c r="AG41" s="343">
        <v>858</v>
      </c>
      <c r="AH41" s="343">
        <v>32.200000000000003</v>
      </c>
      <c r="AI41" s="343">
        <v>21.5</v>
      </c>
    </row>
    <row r="42" spans="1:41">
      <c r="A42" s="354" t="s">
        <v>410</v>
      </c>
      <c r="B42" s="343"/>
      <c r="C42" s="343"/>
      <c r="D42" s="360">
        <v>515</v>
      </c>
      <c r="E42" s="357">
        <v>24</v>
      </c>
      <c r="F42" s="357" t="s">
        <v>407</v>
      </c>
      <c r="G42" s="343"/>
      <c r="H42" s="343"/>
      <c r="I42" s="343"/>
      <c r="J42" s="343"/>
      <c r="K42" s="343"/>
      <c r="L42" s="343">
        <f t="shared" si="0"/>
        <v>360.5</v>
      </c>
      <c r="M42" s="343"/>
      <c r="N42" s="343"/>
      <c r="O42" s="343">
        <f t="shared" si="2"/>
        <v>515</v>
      </c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  <c r="AF42" s="343"/>
      <c r="AG42" s="343"/>
      <c r="AH42" s="343"/>
      <c r="AI42" s="343"/>
    </row>
    <row r="43" spans="1:41">
      <c r="A43" s="354" t="s">
        <v>410</v>
      </c>
      <c r="B43" s="343">
        <v>10</v>
      </c>
      <c r="C43" s="343">
        <v>362</v>
      </c>
      <c r="D43" s="360">
        <v>172</v>
      </c>
      <c r="E43" s="357">
        <v>18</v>
      </c>
      <c r="F43" s="357" t="s">
        <v>408</v>
      </c>
      <c r="G43" s="343">
        <v>0.11</v>
      </c>
      <c r="H43" s="343">
        <v>15.3</v>
      </c>
      <c r="I43" s="343">
        <f>H43*0.61</f>
        <v>9.3330000000000002</v>
      </c>
      <c r="J43" s="343">
        <f>H43*0.27</f>
        <v>4.1310000000000002</v>
      </c>
      <c r="K43" s="343">
        <f>H43*0.2</f>
        <v>3.0600000000000005</v>
      </c>
      <c r="L43" s="343">
        <f t="shared" si="0"/>
        <v>120.39999999999999</v>
      </c>
      <c r="M43" s="343">
        <v>0</v>
      </c>
      <c r="N43" s="343">
        <v>0</v>
      </c>
      <c r="O43" s="343">
        <f t="shared" ref="O43:O67" si="3">(D43*0.1%)*1000</f>
        <v>172</v>
      </c>
      <c r="P43" s="343">
        <v>0</v>
      </c>
      <c r="Q43" s="343">
        <v>14.7</v>
      </c>
      <c r="R43" s="343">
        <v>8.1</v>
      </c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</row>
    <row r="44" spans="1:41">
      <c r="A44" s="354" t="s">
        <v>410</v>
      </c>
      <c r="B44" s="343">
        <v>20</v>
      </c>
      <c r="C44" s="343">
        <v>725</v>
      </c>
      <c r="D44" s="360">
        <v>343</v>
      </c>
      <c r="E44" s="357">
        <v>18</v>
      </c>
      <c r="F44" s="357" t="s">
        <v>408</v>
      </c>
      <c r="G44" s="343">
        <v>0.23</v>
      </c>
      <c r="H44" s="343">
        <v>30.6</v>
      </c>
      <c r="I44" s="343">
        <f>H44*0.61</f>
        <v>18.666</v>
      </c>
      <c r="J44" s="343">
        <f>H44*0.27</f>
        <v>8.2620000000000005</v>
      </c>
      <c r="K44" s="343">
        <f>H44*0.2</f>
        <v>6.120000000000001</v>
      </c>
      <c r="L44" s="343">
        <f t="shared" si="0"/>
        <v>240.1</v>
      </c>
      <c r="M44" s="343">
        <v>0</v>
      </c>
      <c r="N44" s="343">
        <v>0</v>
      </c>
      <c r="O44" s="343">
        <f t="shared" si="3"/>
        <v>343</v>
      </c>
      <c r="P44" s="343">
        <v>0</v>
      </c>
      <c r="Q44" s="343">
        <v>29.3</v>
      </c>
      <c r="R44" s="343">
        <v>16.3</v>
      </c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3"/>
      <c r="AD44" s="343"/>
      <c r="AE44" s="343"/>
      <c r="AF44" s="343"/>
      <c r="AG44" s="343"/>
      <c r="AH44" s="343"/>
      <c r="AI44" s="343"/>
    </row>
    <row r="45" spans="1:41">
      <c r="A45" s="354" t="s">
        <v>410</v>
      </c>
      <c r="B45" s="343">
        <v>25</v>
      </c>
      <c r="C45" s="343">
        <v>906</v>
      </c>
      <c r="D45" s="360">
        <v>387</v>
      </c>
      <c r="E45" s="357">
        <v>18</v>
      </c>
      <c r="F45" s="357" t="s">
        <v>408</v>
      </c>
      <c r="G45" s="343">
        <v>0.28999999999999998</v>
      </c>
      <c r="H45" s="343">
        <v>38.200000000000003</v>
      </c>
      <c r="I45" s="343">
        <f>H45*0.61</f>
        <v>23.302</v>
      </c>
      <c r="J45" s="343">
        <f>H45*0.27</f>
        <v>10.314000000000002</v>
      </c>
      <c r="K45" s="343">
        <f>H45*0.2</f>
        <v>7.6400000000000006</v>
      </c>
      <c r="L45" s="343">
        <f t="shared" si="0"/>
        <v>270.89999999999998</v>
      </c>
      <c r="M45" s="343">
        <v>0</v>
      </c>
      <c r="N45" s="343">
        <v>0</v>
      </c>
      <c r="O45" s="343">
        <f t="shared" si="3"/>
        <v>387</v>
      </c>
      <c r="P45" s="343">
        <v>0</v>
      </c>
      <c r="Q45" s="343">
        <v>36.700000000000003</v>
      </c>
      <c r="R45" s="343">
        <v>20.399999999999999</v>
      </c>
      <c r="S45" s="343">
        <v>12.9</v>
      </c>
      <c r="T45" s="343">
        <v>28</v>
      </c>
      <c r="U45" s="343">
        <v>15.4</v>
      </c>
      <c r="V45" s="343">
        <v>46.8</v>
      </c>
      <c r="W45" s="343">
        <v>16.100000000000001</v>
      </c>
      <c r="X45" s="343">
        <v>0.5</v>
      </c>
      <c r="Y45" s="343">
        <v>107.3</v>
      </c>
      <c r="Z45" s="343">
        <v>3.8</v>
      </c>
      <c r="AA45" s="343">
        <v>536.5</v>
      </c>
      <c r="AB45" s="343">
        <v>429.2</v>
      </c>
      <c r="AC45" s="343">
        <v>1.07</v>
      </c>
      <c r="AD45" s="343">
        <v>429.2</v>
      </c>
      <c r="AE45" s="343">
        <v>19.3</v>
      </c>
      <c r="AF45" s="343">
        <v>5880</v>
      </c>
      <c r="AG45" s="343">
        <v>858</v>
      </c>
      <c r="AH45" s="343">
        <v>32.200000000000003</v>
      </c>
      <c r="AI45" s="343">
        <v>21.5</v>
      </c>
    </row>
    <row r="46" spans="1:41">
      <c r="A46" s="354" t="s">
        <v>410</v>
      </c>
      <c r="B46" s="343"/>
      <c r="C46" s="343"/>
      <c r="D46" s="360">
        <v>465</v>
      </c>
      <c r="E46" s="357">
        <v>18</v>
      </c>
      <c r="F46" s="357" t="s">
        <v>408</v>
      </c>
      <c r="G46" s="343"/>
      <c r="H46" s="343"/>
      <c r="I46" s="343"/>
      <c r="J46" s="343"/>
      <c r="K46" s="343"/>
      <c r="L46" s="343">
        <f t="shared" si="0"/>
        <v>325.5</v>
      </c>
      <c r="M46" s="343"/>
      <c r="N46" s="343"/>
      <c r="O46" s="343">
        <f t="shared" si="3"/>
        <v>465</v>
      </c>
      <c r="P46" s="343"/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  <c r="AI46" s="343"/>
    </row>
    <row r="47" spans="1:41">
      <c r="A47" s="354" t="s">
        <v>410</v>
      </c>
      <c r="B47" s="343">
        <v>9.9</v>
      </c>
      <c r="C47" s="343">
        <v>355</v>
      </c>
      <c r="D47" s="360">
        <v>172</v>
      </c>
      <c r="E47" s="357">
        <v>24</v>
      </c>
      <c r="F47" s="357" t="s">
        <v>408</v>
      </c>
      <c r="G47" s="343">
        <v>7.0000000000000007E-2</v>
      </c>
      <c r="H47" s="343">
        <v>18.8</v>
      </c>
      <c r="I47" s="343">
        <f>H47*0.61</f>
        <v>11.468</v>
      </c>
      <c r="J47" s="343">
        <f>H47*0.27</f>
        <v>5.0760000000000005</v>
      </c>
      <c r="K47" s="343">
        <f>H47*0.2</f>
        <v>3.7600000000000002</v>
      </c>
      <c r="L47" s="343">
        <f t="shared" si="0"/>
        <v>120.39999999999999</v>
      </c>
      <c r="M47" s="343">
        <v>0</v>
      </c>
      <c r="N47" s="343">
        <v>0</v>
      </c>
      <c r="O47" s="343">
        <f t="shared" si="3"/>
        <v>172</v>
      </c>
      <c r="P47" s="343">
        <v>0</v>
      </c>
      <c r="Q47" s="343">
        <v>14.7</v>
      </c>
      <c r="R47" s="343">
        <v>8.1</v>
      </c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</row>
    <row r="48" spans="1:41">
      <c r="A48" s="354" t="s">
        <v>410</v>
      </c>
      <c r="B48" s="343">
        <v>19.899999999999999</v>
      </c>
      <c r="C48" s="343">
        <v>710</v>
      </c>
      <c r="D48" s="360">
        <v>343</v>
      </c>
      <c r="E48" s="357">
        <v>24</v>
      </c>
      <c r="F48" s="357" t="s">
        <v>408</v>
      </c>
      <c r="G48" s="343">
        <v>0.14000000000000001</v>
      </c>
      <c r="H48" s="343">
        <v>37.5</v>
      </c>
      <c r="I48" s="343">
        <f>H48*0.61</f>
        <v>22.875</v>
      </c>
      <c r="J48" s="343">
        <f>H48*0.27</f>
        <v>10.125</v>
      </c>
      <c r="K48" s="343">
        <f>H48*0.2</f>
        <v>7.5</v>
      </c>
      <c r="L48" s="343">
        <f t="shared" si="0"/>
        <v>240.1</v>
      </c>
      <c r="M48" s="343">
        <v>0</v>
      </c>
      <c r="N48" s="343">
        <v>0</v>
      </c>
      <c r="O48" s="343">
        <f t="shared" si="3"/>
        <v>343</v>
      </c>
      <c r="P48" s="343">
        <v>0</v>
      </c>
      <c r="Q48" s="343">
        <v>29.3</v>
      </c>
      <c r="R48" s="343">
        <v>16.3</v>
      </c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</row>
    <row r="49" spans="1:35">
      <c r="A49" s="354" t="s">
        <v>410</v>
      </c>
      <c r="B49" s="343">
        <v>24.8</v>
      </c>
      <c r="C49" s="343">
        <v>888</v>
      </c>
      <c r="D49" s="360">
        <v>429</v>
      </c>
      <c r="E49" s="357">
        <v>24</v>
      </c>
      <c r="F49" s="357" t="s">
        <v>408</v>
      </c>
      <c r="G49" s="343">
        <v>0.18</v>
      </c>
      <c r="H49" s="343">
        <v>46.9</v>
      </c>
      <c r="I49" s="343">
        <f>H49*0.61</f>
        <v>28.608999999999998</v>
      </c>
      <c r="J49" s="343">
        <f>H49*0.27</f>
        <v>12.663</v>
      </c>
      <c r="K49" s="343">
        <f>H49*0.2</f>
        <v>9.3800000000000008</v>
      </c>
      <c r="L49" s="343">
        <f t="shared" si="0"/>
        <v>300.29999999999995</v>
      </c>
      <c r="M49" s="343">
        <v>0</v>
      </c>
      <c r="N49" s="343">
        <v>0</v>
      </c>
      <c r="O49" s="343">
        <f t="shared" si="3"/>
        <v>429</v>
      </c>
      <c r="P49" s="343">
        <v>0</v>
      </c>
      <c r="Q49" s="343">
        <v>36.700000000000003</v>
      </c>
      <c r="R49" s="343">
        <v>20.399999999999999</v>
      </c>
      <c r="S49" s="343">
        <v>12.9</v>
      </c>
      <c r="T49" s="343">
        <v>46</v>
      </c>
      <c r="U49" s="343">
        <v>35.4</v>
      </c>
      <c r="V49" s="343">
        <v>80.900000000000006</v>
      </c>
      <c r="W49" s="343">
        <v>16.100000000000001</v>
      </c>
      <c r="X49" s="343">
        <v>0.5</v>
      </c>
      <c r="Y49" s="343">
        <v>107.3</v>
      </c>
      <c r="Z49" s="343">
        <v>3.8</v>
      </c>
      <c r="AA49" s="343">
        <v>536.5</v>
      </c>
      <c r="AB49" s="343">
        <v>429.2</v>
      </c>
      <c r="AC49" s="343">
        <v>1.07</v>
      </c>
      <c r="AD49" s="343">
        <v>429.2</v>
      </c>
      <c r="AE49" s="343">
        <v>19.3</v>
      </c>
      <c r="AF49" s="343">
        <v>5880</v>
      </c>
      <c r="AG49" s="343">
        <v>858</v>
      </c>
      <c r="AH49" s="343">
        <v>32.200000000000003</v>
      </c>
      <c r="AI49" s="343">
        <v>21.5</v>
      </c>
    </row>
    <row r="50" spans="1:35">
      <c r="A50" s="354" t="s">
        <v>410</v>
      </c>
      <c r="B50" s="343"/>
      <c r="C50" s="343"/>
      <c r="D50" s="360">
        <v>515</v>
      </c>
      <c r="E50" s="357">
        <v>24</v>
      </c>
      <c r="F50" s="357" t="s">
        <v>408</v>
      </c>
      <c r="G50" s="343"/>
      <c r="H50" s="343"/>
      <c r="I50" s="343"/>
      <c r="J50" s="343"/>
      <c r="K50" s="343"/>
      <c r="L50" s="343">
        <f t="shared" si="0"/>
        <v>360.5</v>
      </c>
      <c r="M50" s="343"/>
      <c r="N50" s="343"/>
      <c r="O50" s="343">
        <f t="shared" si="3"/>
        <v>515</v>
      </c>
      <c r="P50" s="343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</row>
    <row r="51" spans="1:35">
      <c r="A51" s="354" t="s">
        <v>410</v>
      </c>
      <c r="B51" s="343">
        <v>11.2</v>
      </c>
      <c r="C51" s="343">
        <v>387</v>
      </c>
      <c r="D51" s="342">
        <v>172</v>
      </c>
      <c r="E51" s="357">
        <v>24</v>
      </c>
      <c r="F51" s="357" t="s">
        <v>409</v>
      </c>
      <c r="G51" s="343">
        <v>7.0000000000000007E-2</v>
      </c>
      <c r="H51" s="343">
        <v>14.3</v>
      </c>
      <c r="I51" s="343">
        <f>H51*0.61</f>
        <v>8.7230000000000008</v>
      </c>
      <c r="J51" s="343">
        <f>H51*0.27</f>
        <v>3.8610000000000007</v>
      </c>
      <c r="K51" s="343">
        <f>H51*0.2</f>
        <v>2.8600000000000003</v>
      </c>
      <c r="L51" s="343">
        <f t="shared" si="0"/>
        <v>120.39999999999999</v>
      </c>
      <c r="M51" s="343">
        <v>0</v>
      </c>
      <c r="N51" s="343">
        <v>0</v>
      </c>
      <c r="O51" s="343">
        <f t="shared" si="3"/>
        <v>172</v>
      </c>
      <c r="P51" s="343">
        <v>0</v>
      </c>
      <c r="Q51" s="343">
        <v>14.7</v>
      </c>
      <c r="R51" s="343">
        <v>8.1</v>
      </c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</row>
    <row r="52" spans="1:35">
      <c r="A52" s="354" t="s">
        <v>410</v>
      </c>
      <c r="B52" s="343">
        <v>22.3</v>
      </c>
      <c r="C52" s="343">
        <v>775</v>
      </c>
      <c r="D52" s="342">
        <v>343</v>
      </c>
      <c r="E52" s="357">
        <v>24</v>
      </c>
      <c r="F52" s="357" t="s">
        <v>409</v>
      </c>
      <c r="G52" s="343">
        <v>0.14000000000000001</v>
      </c>
      <c r="H52" s="343">
        <v>28.5</v>
      </c>
      <c r="I52" s="343">
        <f>H52*0.61</f>
        <v>17.384999999999998</v>
      </c>
      <c r="J52" s="343">
        <f>H52*0.27</f>
        <v>7.6950000000000003</v>
      </c>
      <c r="K52" s="343">
        <f>H52*0.2</f>
        <v>5.7</v>
      </c>
      <c r="L52" s="343">
        <f t="shared" si="0"/>
        <v>240.1</v>
      </c>
      <c r="M52" s="343">
        <v>0</v>
      </c>
      <c r="N52" s="343">
        <v>0</v>
      </c>
      <c r="O52" s="343">
        <f t="shared" si="3"/>
        <v>343</v>
      </c>
      <c r="P52" s="343">
        <v>0</v>
      </c>
      <c r="Q52" s="343">
        <v>29.3</v>
      </c>
      <c r="R52" s="343">
        <v>16.3</v>
      </c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</row>
    <row r="53" spans="1:35">
      <c r="A53" s="354" t="s">
        <v>410</v>
      </c>
      <c r="B53" s="343">
        <v>27.9</v>
      </c>
      <c r="C53" s="343">
        <v>969</v>
      </c>
      <c r="D53" s="342">
        <v>429</v>
      </c>
      <c r="E53" s="357">
        <v>24</v>
      </c>
      <c r="F53" s="357" t="s">
        <v>409</v>
      </c>
      <c r="G53" s="343">
        <v>0.18</v>
      </c>
      <c r="H53" s="343">
        <v>35.700000000000003</v>
      </c>
      <c r="I53" s="343">
        <f>H53*0.61</f>
        <v>21.777000000000001</v>
      </c>
      <c r="J53" s="343">
        <f>H53*0.27</f>
        <v>9.6390000000000011</v>
      </c>
      <c r="K53" s="343">
        <f>H53*0.2</f>
        <v>7.1400000000000006</v>
      </c>
      <c r="L53" s="343">
        <f t="shared" si="0"/>
        <v>300.29999999999995</v>
      </c>
      <c r="M53" s="343">
        <v>0</v>
      </c>
      <c r="N53" s="343">
        <v>0</v>
      </c>
      <c r="O53" s="343">
        <f t="shared" si="3"/>
        <v>429</v>
      </c>
      <c r="P53" s="343">
        <v>0</v>
      </c>
      <c r="Q53" s="343">
        <v>36.700000000000003</v>
      </c>
      <c r="R53" s="343">
        <v>20.399999999999999</v>
      </c>
      <c r="S53" s="343">
        <v>12.9</v>
      </c>
      <c r="T53" s="343">
        <v>25</v>
      </c>
      <c r="U53" s="343">
        <v>12.1</v>
      </c>
      <c r="V53" s="343">
        <v>41.1</v>
      </c>
      <c r="W53" s="343">
        <v>16.100000000000001</v>
      </c>
      <c r="X53" s="343">
        <v>0.5</v>
      </c>
      <c r="Y53" s="343">
        <v>107.3</v>
      </c>
      <c r="Z53" s="343">
        <v>3.8</v>
      </c>
      <c r="AA53" s="343">
        <v>536.5</v>
      </c>
      <c r="AB53" s="343">
        <v>429.2</v>
      </c>
      <c r="AC53" s="343">
        <v>1.07</v>
      </c>
      <c r="AD53" s="343">
        <v>429.2</v>
      </c>
      <c r="AE53" s="343">
        <v>19.3</v>
      </c>
      <c r="AF53" s="343">
        <v>5880</v>
      </c>
      <c r="AG53" s="343">
        <v>858</v>
      </c>
      <c r="AH53" s="343">
        <v>32.200000000000003</v>
      </c>
      <c r="AI53" s="343">
        <v>21.5</v>
      </c>
    </row>
    <row r="54" spans="1:35">
      <c r="A54" s="354" t="s">
        <v>410</v>
      </c>
      <c r="B54" s="343"/>
      <c r="C54" s="343"/>
      <c r="D54" s="342">
        <v>515</v>
      </c>
      <c r="E54" s="357">
        <v>24</v>
      </c>
      <c r="F54" s="357" t="s">
        <v>409</v>
      </c>
      <c r="G54" s="343"/>
      <c r="H54" s="343"/>
      <c r="I54" s="343"/>
      <c r="J54" s="343"/>
      <c r="K54" s="343"/>
      <c r="L54" s="343">
        <f t="shared" si="0"/>
        <v>360.5</v>
      </c>
      <c r="M54" s="343"/>
      <c r="N54" s="343"/>
      <c r="O54" s="343">
        <f t="shared" si="3"/>
        <v>515</v>
      </c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  <c r="AI54" s="343"/>
    </row>
    <row r="55" spans="1:35">
      <c r="A55" s="354" t="s">
        <v>410</v>
      </c>
      <c r="B55" s="343">
        <v>13</v>
      </c>
      <c r="C55" s="343">
        <v>436</v>
      </c>
      <c r="D55" s="360">
        <v>172</v>
      </c>
      <c r="E55" s="357">
        <v>24</v>
      </c>
      <c r="F55" s="357" t="s">
        <v>411</v>
      </c>
      <c r="G55" s="343">
        <v>7.0000000000000007E-2</v>
      </c>
      <c r="H55" s="343">
        <v>11.6</v>
      </c>
      <c r="I55" s="343">
        <f>H55*0.61</f>
        <v>7.0759999999999996</v>
      </c>
      <c r="J55" s="343">
        <f>H55*0.27</f>
        <v>3.1320000000000001</v>
      </c>
      <c r="K55" s="343">
        <f>H55*0.2</f>
        <v>2.3199999999999998</v>
      </c>
      <c r="L55" s="343">
        <f t="shared" si="0"/>
        <v>120.39999999999999</v>
      </c>
      <c r="M55" s="343">
        <v>0</v>
      </c>
      <c r="N55" s="343">
        <v>0</v>
      </c>
      <c r="O55" s="343">
        <f t="shared" si="3"/>
        <v>172</v>
      </c>
      <c r="P55" s="343">
        <v>0</v>
      </c>
      <c r="Q55" s="343">
        <v>15.5</v>
      </c>
      <c r="R55" s="343">
        <v>8.6</v>
      </c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</row>
    <row r="56" spans="1:35">
      <c r="A56" s="354" t="s">
        <v>410</v>
      </c>
      <c r="B56" s="343">
        <v>26</v>
      </c>
      <c r="C56" s="343">
        <v>873</v>
      </c>
      <c r="D56" s="360">
        <v>343</v>
      </c>
      <c r="E56" s="357">
        <v>24</v>
      </c>
      <c r="F56" s="357" t="s">
        <v>411</v>
      </c>
      <c r="G56" s="343">
        <v>0.14000000000000001</v>
      </c>
      <c r="H56" s="343">
        <v>23.3</v>
      </c>
      <c r="I56" s="343">
        <f>H56*0.61</f>
        <v>14.213000000000001</v>
      </c>
      <c r="J56" s="343">
        <f>H56*0.27</f>
        <v>6.2910000000000004</v>
      </c>
      <c r="K56" s="343">
        <f>H56*0.2</f>
        <v>4.66</v>
      </c>
      <c r="L56" s="343">
        <f t="shared" si="0"/>
        <v>240.1</v>
      </c>
      <c r="M56" s="343">
        <v>0</v>
      </c>
      <c r="N56" s="343">
        <v>0</v>
      </c>
      <c r="O56" s="343">
        <f t="shared" si="3"/>
        <v>343</v>
      </c>
      <c r="P56" s="343">
        <v>0</v>
      </c>
      <c r="Q56" s="343">
        <v>30.9</v>
      </c>
      <c r="R56" s="343">
        <v>17.2</v>
      </c>
      <c r="S56" s="343"/>
      <c r="T56" s="343"/>
      <c r="U56" s="343"/>
      <c r="V56" s="343"/>
      <c r="W56" s="343"/>
      <c r="X56" s="343"/>
      <c r="Y56" s="343"/>
      <c r="Z56" s="343"/>
      <c r="AA56" s="343"/>
      <c r="AB56" s="343"/>
      <c r="AC56" s="343"/>
      <c r="AD56" s="343"/>
      <c r="AE56" s="343"/>
      <c r="AF56" s="343"/>
      <c r="AG56" s="343"/>
      <c r="AH56" s="343"/>
      <c r="AI56" s="343"/>
    </row>
    <row r="57" spans="1:35">
      <c r="A57" s="354" t="s">
        <v>410</v>
      </c>
      <c r="B57" s="343">
        <v>32.5</v>
      </c>
      <c r="C57" s="343">
        <v>1091</v>
      </c>
      <c r="D57" s="360">
        <v>429</v>
      </c>
      <c r="E57" s="357">
        <v>24</v>
      </c>
      <c r="F57" s="357" t="s">
        <v>411</v>
      </c>
      <c r="G57" s="343">
        <v>0.18</v>
      </c>
      <c r="H57" s="343">
        <v>29.1</v>
      </c>
      <c r="I57" s="343">
        <f>H57*0.61</f>
        <v>17.751000000000001</v>
      </c>
      <c r="J57" s="343">
        <f>H57*0.27</f>
        <v>7.8570000000000011</v>
      </c>
      <c r="K57" s="343">
        <f>H57*0.2</f>
        <v>5.82</v>
      </c>
      <c r="L57" s="343">
        <f t="shared" si="0"/>
        <v>300.29999999999995</v>
      </c>
      <c r="M57" s="343">
        <v>0</v>
      </c>
      <c r="N57" s="343">
        <v>0</v>
      </c>
      <c r="O57" s="343">
        <f t="shared" si="3"/>
        <v>429</v>
      </c>
      <c r="P57" s="343">
        <v>0</v>
      </c>
      <c r="Q57" s="343">
        <v>38.6</v>
      </c>
      <c r="R57" s="343">
        <v>21.5</v>
      </c>
      <c r="S57" s="343">
        <v>4.0999999999999996</v>
      </c>
      <c r="T57" s="343">
        <v>13</v>
      </c>
      <c r="U57" s="343">
        <v>5</v>
      </c>
      <c r="V57" s="343">
        <v>20.100000000000001</v>
      </c>
      <c r="W57" s="343">
        <v>8.1</v>
      </c>
      <c r="X57" s="343">
        <v>0.3</v>
      </c>
      <c r="Y57" s="343">
        <v>54</v>
      </c>
      <c r="Z57" s="343">
        <v>1.9</v>
      </c>
      <c r="AA57" s="343">
        <v>269.89999999999998</v>
      </c>
      <c r="AB57" s="343">
        <v>215.9</v>
      </c>
      <c r="AC57" s="343">
        <v>0.54</v>
      </c>
      <c r="AD57" s="343">
        <v>215.9</v>
      </c>
      <c r="AE57" s="343">
        <v>9.6999999999999993</v>
      </c>
      <c r="AF57" s="343">
        <v>4793</v>
      </c>
      <c r="AG57" s="343">
        <v>432</v>
      </c>
      <c r="AH57" s="343">
        <v>16.2</v>
      </c>
      <c r="AI57" s="343">
        <v>10.8</v>
      </c>
    </row>
    <row r="58" spans="1:35">
      <c r="A58" s="354" t="s">
        <v>410</v>
      </c>
      <c r="B58" s="343"/>
      <c r="C58" s="343"/>
      <c r="D58" s="360">
        <v>515</v>
      </c>
      <c r="E58" s="357">
        <v>24</v>
      </c>
      <c r="F58" s="357" t="s">
        <v>411</v>
      </c>
      <c r="G58" s="343"/>
      <c r="H58" s="343"/>
      <c r="I58" s="343"/>
      <c r="J58" s="343"/>
      <c r="K58" s="343"/>
      <c r="L58" s="343">
        <f t="shared" si="0"/>
        <v>360.5</v>
      </c>
      <c r="M58" s="343"/>
      <c r="N58" s="343"/>
      <c r="O58" s="343">
        <f t="shared" si="3"/>
        <v>515</v>
      </c>
      <c r="P58" s="343"/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  <c r="AI58" s="343"/>
    </row>
    <row r="59" spans="1:35">
      <c r="A59" s="354" t="s">
        <v>412</v>
      </c>
      <c r="B59" s="343">
        <v>12.7</v>
      </c>
      <c r="C59" s="343">
        <v>614</v>
      </c>
      <c r="D59" s="342">
        <v>200</v>
      </c>
      <c r="E59" s="357">
        <v>1</v>
      </c>
      <c r="F59" s="358"/>
      <c r="G59" s="343">
        <v>6.52</v>
      </c>
      <c r="H59" s="343">
        <v>33.9</v>
      </c>
      <c r="I59" s="343">
        <f>H59*0.61</f>
        <v>20.678999999999998</v>
      </c>
      <c r="J59" s="343">
        <f>H59*0.27</f>
        <v>9.1530000000000005</v>
      </c>
      <c r="K59" s="343">
        <f>H59*0.2</f>
        <v>6.78</v>
      </c>
      <c r="L59" s="343">
        <f t="shared" si="0"/>
        <v>140</v>
      </c>
      <c r="M59" s="343">
        <v>0</v>
      </c>
      <c r="N59" s="343">
        <v>0</v>
      </c>
      <c r="O59" s="343">
        <f t="shared" si="3"/>
        <v>200</v>
      </c>
      <c r="P59" s="343">
        <v>0</v>
      </c>
      <c r="Q59" s="343">
        <v>23.6</v>
      </c>
      <c r="R59" s="343">
        <v>15.3</v>
      </c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  <c r="AI59" s="343"/>
    </row>
    <row r="60" spans="1:35">
      <c r="A60" s="354" t="s">
        <v>412</v>
      </c>
      <c r="B60" s="343">
        <v>25.4</v>
      </c>
      <c r="C60" s="343">
        <v>1228</v>
      </c>
      <c r="D60" s="342">
        <v>400</v>
      </c>
      <c r="E60" s="357">
        <v>1</v>
      </c>
      <c r="F60" s="358"/>
      <c r="G60" s="343">
        <v>13.4</v>
      </c>
      <c r="H60" s="343">
        <v>7.8</v>
      </c>
      <c r="I60" s="343">
        <f>H60*0.61</f>
        <v>4.758</v>
      </c>
      <c r="J60" s="343">
        <f>H60*0.27</f>
        <v>2.1059999999999999</v>
      </c>
      <c r="K60" s="343">
        <f>H60*0.2</f>
        <v>1.56</v>
      </c>
      <c r="L60" s="343">
        <f t="shared" si="0"/>
        <v>280</v>
      </c>
      <c r="M60" s="343">
        <v>0</v>
      </c>
      <c r="N60" s="343">
        <v>0</v>
      </c>
      <c r="O60" s="343">
        <f t="shared" si="3"/>
        <v>400</v>
      </c>
      <c r="P60" s="343">
        <v>0</v>
      </c>
      <c r="Q60" s="343">
        <v>47.3</v>
      </c>
      <c r="R60" s="343">
        <v>30.6</v>
      </c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</row>
    <row r="61" spans="1:35">
      <c r="A61" s="354" t="s">
        <v>412</v>
      </c>
      <c r="B61" s="343">
        <v>31.7</v>
      </c>
      <c r="C61" s="343">
        <v>1535</v>
      </c>
      <c r="D61" s="342">
        <v>500</v>
      </c>
      <c r="E61" s="357">
        <v>1</v>
      </c>
      <c r="F61" s="358"/>
      <c r="G61" s="343">
        <v>16.3</v>
      </c>
      <c r="H61" s="343">
        <v>84.8</v>
      </c>
      <c r="I61" s="343">
        <f>H61*0.61</f>
        <v>51.727999999999994</v>
      </c>
      <c r="J61" s="343">
        <f>H61*0.27</f>
        <v>22.896000000000001</v>
      </c>
      <c r="K61" s="343">
        <f>H61*0.2</f>
        <v>16.96</v>
      </c>
      <c r="L61" s="343">
        <f t="shared" si="0"/>
        <v>350</v>
      </c>
      <c r="M61" s="343">
        <v>0</v>
      </c>
      <c r="N61" s="343">
        <v>0</v>
      </c>
      <c r="O61" s="343">
        <f t="shared" si="3"/>
        <v>500</v>
      </c>
      <c r="P61" s="343">
        <v>0</v>
      </c>
      <c r="Q61" s="343">
        <v>59.1</v>
      </c>
      <c r="R61" s="343">
        <v>38.299999999999997</v>
      </c>
      <c r="S61" s="343">
        <v>11.2</v>
      </c>
      <c r="T61" s="343">
        <v>47.8</v>
      </c>
      <c r="U61" s="343">
        <v>12.8</v>
      </c>
      <c r="V61" s="343">
        <v>45.5</v>
      </c>
      <c r="W61" s="343">
        <v>18.8</v>
      </c>
      <c r="X61" s="343">
        <v>0.6</v>
      </c>
      <c r="Y61" s="343">
        <v>125</v>
      </c>
      <c r="Z61" s="343">
        <v>4.4000000000000004</v>
      </c>
      <c r="AA61" s="343">
        <v>625</v>
      </c>
      <c r="AB61" s="343">
        <v>500</v>
      </c>
      <c r="AC61" s="343">
        <v>1.25</v>
      </c>
      <c r="AD61" s="343">
        <v>500</v>
      </c>
      <c r="AE61" s="343">
        <v>30</v>
      </c>
      <c r="AF61" s="343">
        <v>3300</v>
      </c>
      <c r="AG61" s="343">
        <v>1000</v>
      </c>
      <c r="AH61" s="343">
        <v>37.5</v>
      </c>
      <c r="AI61" s="343">
        <v>25</v>
      </c>
    </row>
    <row r="62" spans="1:35">
      <c r="A62" s="354" t="s">
        <v>412</v>
      </c>
      <c r="B62" s="343"/>
      <c r="C62" s="343"/>
      <c r="D62" s="342">
        <v>600</v>
      </c>
      <c r="E62" s="357">
        <v>1</v>
      </c>
      <c r="F62" s="358"/>
      <c r="G62" s="343"/>
      <c r="H62" s="343"/>
      <c r="I62" s="343"/>
      <c r="J62" s="343"/>
      <c r="K62" s="343"/>
      <c r="L62" s="343">
        <f t="shared" si="0"/>
        <v>420</v>
      </c>
      <c r="M62" s="343"/>
      <c r="N62" s="343"/>
      <c r="O62" s="343">
        <f t="shared" si="3"/>
        <v>600</v>
      </c>
      <c r="P62" s="343"/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  <c r="AI62" s="343"/>
    </row>
    <row r="63" spans="1:35">
      <c r="A63" s="354" t="s">
        <v>412</v>
      </c>
      <c r="B63" s="343">
        <v>12.7</v>
      </c>
      <c r="C63" s="343">
        <v>612</v>
      </c>
      <c r="D63" s="342">
        <v>200</v>
      </c>
      <c r="E63" s="357">
        <v>2</v>
      </c>
      <c r="F63" s="358"/>
      <c r="G63" s="343">
        <v>6.48</v>
      </c>
      <c r="H63" s="343">
        <v>33.799999999999997</v>
      </c>
      <c r="I63" s="343">
        <f>H63*0.61</f>
        <v>20.617999999999999</v>
      </c>
      <c r="J63" s="343">
        <f>H63*0.27</f>
        <v>9.1259999999999994</v>
      </c>
      <c r="K63" s="343">
        <f>H63*0.2</f>
        <v>6.76</v>
      </c>
      <c r="L63" s="343">
        <f t="shared" si="0"/>
        <v>140</v>
      </c>
      <c r="M63" s="343">
        <v>0</v>
      </c>
      <c r="N63" s="343">
        <v>0</v>
      </c>
      <c r="O63" s="343">
        <f t="shared" si="3"/>
        <v>200</v>
      </c>
      <c r="P63" s="343">
        <v>0</v>
      </c>
      <c r="Q63" s="343">
        <v>23.6</v>
      </c>
      <c r="R63" s="343">
        <v>15.2</v>
      </c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  <c r="AI63" s="343"/>
    </row>
    <row r="64" spans="1:35">
      <c r="A64" s="354" t="s">
        <v>412</v>
      </c>
      <c r="B64" s="343">
        <v>25.3</v>
      </c>
      <c r="C64" s="343">
        <v>1224</v>
      </c>
      <c r="D64" s="342">
        <v>400</v>
      </c>
      <c r="E64" s="357">
        <v>2</v>
      </c>
      <c r="F64" s="358"/>
      <c r="G64" s="343">
        <v>12.96</v>
      </c>
      <c r="H64" s="343">
        <v>67.5</v>
      </c>
      <c r="I64" s="343">
        <f>H64*0.61</f>
        <v>41.174999999999997</v>
      </c>
      <c r="J64" s="343">
        <f>H64*0.27</f>
        <v>18.225000000000001</v>
      </c>
      <c r="K64" s="343">
        <f>H64*0.2</f>
        <v>13.5</v>
      </c>
      <c r="L64" s="343">
        <f t="shared" si="0"/>
        <v>280</v>
      </c>
      <c r="M64" s="343">
        <v>0</v>
      </c>
      <c r="N64" s="343">
        <v>0</v>
      </c>
      <c r="O64" s="343">
        <f t="shared" si="3"/>
        <v>400</v>
      </c>
      <c r="P64" s="343">
        <v>0</v>
      </c>
      <c r="Q64" s="343">
        <v>47.1</v>
      </c>
      <c r="R64" s="343">
        <v>30.5</v>
      </c>
      <c r="S64" s="343"/>
      <c r="T64" s="343"/>
      <c r="U64" s="343"/>
      <c r="V64" s="343"/>
      <c r="W64" s="343"/>
      <c r="X64" s="343"/>
      <c r="Y64" s="343"/>
      <c r="Z64" s="343"/>
      <c r="AA64" s="343"/>
      <c r="AB64" s="343"/>
      <c r="AC64" s="343"/>
      <c r="AD64" s="343"/>
      <c r="AE64" s="343"/>
      <c r="AF64" s="343"/>
      <c r="AG64" s="343"/>
      <c r="AH64" s="343"/>
      <c r="AI64" s="343"/>
    </row>
    <row r="65" spans="1:35">
      <c r="A65" s="354" t="s">
        <v>412</v>
      </c>
      <c r="B65" s="343">
        <v>31.7</v>
      </c>
      <c r="C65" s="343">
        <v>1530</v>
      </c>
      <c r="D65" s="342">
        <v>500</v>
      </c>
      <c r="E65" s="357">
        <v>2</v>
      </c>
      <c r="F65" s="358"/>
      <c r="G65" s="343">
        <v>16.2</v>
      </c>
      <c r="H65" s="343">
        <v>84.4</v>
      </c>
      <c r="I65" s="343">
        <f>H65*0.61</f>
        <v>51.484000000000002</v>
      </c>
      <c r="J65" s="343">
        <f>H65*0.27</f>
        <v>22.788000000000004</v>
      </c>
      <c r="K65" s="343">
        <f>H65*0.2</f>
        <v>16.880000000000003</v>
      </c>
      <c r="L65" s="343">
        <f t="shared" si="0"/>
        <v>350</v>
      </c>
      <c r="M65" s="343">
        <v>0</v>
      </c>
      <c r="N65" s="343">
        <v>0</v>
      </c>
      <c r="O65" s="343">
        <f t="shared" si="3"/>
        <v>500</v>
      </c>
      <c r="P65" s="343">
        <v>0</v>
      </c>
      <c r="Q65" s="343">
        <v>58.9</v>
      </c>
      <c r="R65" s="343">
        <v>38.1</v>
      </c>
      <c r="S65" s="343">
        <v>11.1</v>
      </c>
      <c r="T65" s="343">
        <v>47.7</v>
      </c>
      <c r="U65" s="343">
        <v>12.8</v>
      </c>
      <c r="V65" s="343">
        <v>45.5</v>
      </c>
      <c r="W65" s="343">
        <v>18.8</v>
      </c>
      <c r="X65" s="343">
        <v>0.6</v>
      </c>
      <c r="Y65" s="343">
        <v>125</v>
      </c>
      <c r="Z65" s="343">
        <v>4.4000000000000004</v>
      </c>
      <c r="AA65" s="343">
        <v>625</v>
      </c>
      <c r="AB65" s="343">
        <v>500</v>
      </c>
      <c r="AC65" s="343">
        <v>1.25</v>
      </c>
      <c r="AD65" s="343">
        <v>500</v>
      </c>
      <c r="AE65" s="343">
        <v>30</v>
      </c>
      <c r="AF65" s="343">
        <v>3300</v>
      </c>
      <c r="AG65" s="343">
        <v>1000</v>
      </c>
      <c r="AH65" s="343">
        <v>37.5</v>
      </c>
      <c r="AI65" s="343">
        <v>25</v>
      </c>
    </row>
    <row r="66" spans="1:35">
      <c r="A66" s="354" t="s">
        <v>412</v>
      </c>
      <c r="B66" s="343"/>
      <c r="C66" s="343"/>
      <c r="D66" s="342">
        <v>600</v>
      </c>
      <c r="E66" s="357">
        <v>2</v>
      </c>
      <c r="F66" s="358"/>
      <c r="G66" s="343"/>
      <c r="H66" s="343"/>
      <c r="I66" s="343"/>
      <c r="J66" s="343"/>
      <c r="K66" s="343"/>
      <c r="L66" s="343">
        <f t="shared" si="0"/>
        <v>420</v>
      </c>
      <c r="M66" s="343"/>
      <c r="N66" s="343"/>
      <c r="O66" s="343">
        <f t="shared" si="3"/>
        <v>600</v>
      </c>
      <c r="P66" s="343"/>
      <c r="Q66" s="343"/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  <c r="AI66" s="343"/>
    </row>
    <row r="67" spans="1:35">
      <c r="A67" s="355" t="s">
        <v>412</v>
      </c>
      <c r="B67" s="343">
        <v>12.2</v>
      </c>
      <c r="C67" s="343">
        <v>587</v>
      </c>
      <c r="D67" s="342">
        <v>200</v>
      </c>
      <c r="E67" s="357">
        <v>3</v>
      </c>
      <c r="F67" s="358"/>
      <c r="G67" s="343">
        <v>5.98</v>
      </c>
      <c r="H67" s="343">
        <v>32.1</v>
      </c>
      <c r="I67" s="343">
        <f>H67*0.61</f>
        <v>19.581</v>
      </c>
      <c r="J67" s="343">
        <f>H67*0.27</f>
        <v>8.6670000000000016</v>
      </c>
      <c r="K67" s="343">
        <f>H67*0.2</f>
        <v>6.4200000000000008</v>
      </c>
      <c r="L67" s="343">
        <f t="shared" si="0"/>
        <v>140</v>
      </c>
      <c r="M67" s="343">
        <v>0</v>
      </c>
      <c r="N67" s="343">
        <v>0</v>
      </c>
      <c r="O67" s="343">
        <f t="shared" si="3"/>
        <v>200</v>
      </c>
      <c r="P67" s="343">
        <v>0</v>
      </c>
      <c r="Q67" s="343">
        <v>22.4</v>
      </c>
      <c r="R67" s="343">
        <v>14.4</v>
      </c>
      <c r="S67" s="343"/>
      <c r="T67" s="343"/>
      <c r="U67" s="343"/>
      <c r="V67" s="343"/>
      <c r="W67" s="343"/>
      <c r="X67" s="343"/>
      <c r="Y67" s="343"/>
      <c r="Z67" s="343"/>
      <c r="AA67" s="343"/>
      <c r="AB67" s="343"/>
      <c r="AC67" s="343"/>
      <c r="AD67" s="343"/>
      <c r="AE67" s="343"/>
      <c r="AF67" s="343"/>
      <c r="AG67" s="343"/>
      <c r="AH67" s="343"/>
      <c r="AI67" s="343"/>
    </row>
    <row r="68" spans="1:35">
      <c r="A68" s="355" t="s">
        <v>412</v>
      </c>
      <c r="B68" s="343">
        <v>24.5</v>
      </c>
      <c r="C68" s="343">
        <v>1174</v>
      </c>
      <c r="D68" s="342">
        <v>400</v>
      </c>
      <c r="E68" s="357">
        <v>3</v>
      </c>
      <c r="F68" s="358"/>
      <c r="G68" s="343">
        <v>11.96</v>
      </c>
      <c r="H68" s="343">
        <v>64.2</v>
      </c>
      <c r="I68" s="343">
        <f>H68*0.61</f>
        <v>39.161999999999999</v>
      </c>
      <c r="J68" s="343">
        <f>H68*0.27</f>
        <v>17.334000000000003</v>
      </c>
      <c r="K68" s="343">
        <f>H68*0.2</f>
        <v>12.840000000000002</v>
      </c>
      <c r="L68" s="343">
        <f t="shared" ref="L68:L131" si="4">D68*0.7</f>
        <v>280</v>
      </c>
      <c r="M68" s="343">
        <v>0</v>
      </c>
      <c r="N68" s="343">
        <v>0</v>
      </c>
      <c r="O68" s="343">
        <f t="shared" ref="O68:O131" si="5">(D68*0.1%)*1000</f>
        <v>400</v>
      </c>
      <c r="P68" s="343">
        <v>0</v>
      </c>
      <c r="Q68" s="343">
        <v>44.7</v>
      </c>
      <c r="R68" s="343">
        <v>28.8</v>
      </c>
      <c r="S68" s="343"/>
      <c r="T68" s="343"/>
      <c r="U68" s="343"/>
      <c r="V68" s="343"/>
      <c r="W68" s="343"/>
      <c r="X68" s="343"/>
      <c r="Y68" s="343"/>
      <c r="Z68" s="343"/>
      <c r="AA68" s="343"/>
      <c r="AB68" s="343"/>
      <c r="AC68" s="343"/>
      <c r="AD68" s="343"/>
      <c r="AE68" s="343"/>
      <c r="AF68" s="343"/>
      <c r="AG68" s="343"/>
      <c r="AH68" s="343"/>
      <c r="AI68" s="343"/>
    </row>
    <row r="69" spans="1:35">
      <c r="A69" s="355" t="s">
        <v>412</v>
      </c>
      <c r="B69" s="343">
        <v>30.6</v>
      </c>
      <c r="C69" s="343">
        <v>1468</v>
      </c>
      <c r="D69" s="342">
        <v>500</v>
      </c>
      <c r="E69" s="357">
        <v>3</v>
      </c>
      <c r="F69" s="358"/>
      <c r="G69" s="343">
        <v>14.95</v>
      </c>
      <c r="H69" s="343">
        <v>80.3</v>
      </c>
      <c r="I69" s="343">
        <f>H69*0.61</f>
        <v>48.982999999999997</v>
      </c>
      <c r="J69" s="343">
        <f>H69*0.27</f>
        <v>21.681000000000001</v>
      </c>
      <c r="K69" s="343">
        <f>H69*0.2</f>
        <v>16.059999999999999</v>
      </c>
      <c r="L69" s="343">
        <f t="shared" si="4"/>
        <v>350</v>
      </c>
      <c r="M69" s="343">
        <v>0</v>
      </c>
      <c r="N69" s="343">
        <v>0</v>
      </c>
      <c r="O69" s="343">
        <f t="shared" si="5"/>
        <v>500</v>
      </c>
      <c r="P69" s="343">
        <v>0</v>
      </c>
      <c r="Q69" s="343">
        <v>55.9</v>
      </c>
      <c r="R69" s="343">
        <v>36</v>
      </c>
      <c r="S69" s="343">
        <v>10.9</v>
      </c>
      <c r="T69" s="343">
        <v>45.9</v>
      </c>
      <c r="U69" s="343">
        <v>12.5</v>
      </c>
      <c r="V69" s="343">
        <v>45.5</v>
      </c>
      <c r="W69" s="343">
        <v>18.8</v>
      </c>
      <c r="X69" s="343">
        <v>0.6</v>
      </c>
      <c r="Y69" s="343">
        <v>125</v>
      </c>
      <c r="Z69" s="343">
        <v>4.4000000000000004</v>
      </c>
      <c r="AA69" s="343">
        <v>625</v>
      </c>
      <c r="AB69" s="343">
        <v>500</v>
      </c>
      <c r="AC69" s="343">
        <v>1.25</v>
      </c>
      <c r="AD69" s="343">
        <v>500</v>
      </c>
      <c r="AE69" s="343">
        <v>30</v>
      </c>
      <c r="AF69" s="343">
        <v>3300</v>
      </c>
      <c r="AG69" s="343">
        <v>1000</v>
      </c>
      <c r="AH69" s="343">
        <v>37.5</v>
      </c>
      <c r="AI69" s="343">
        <v>25</v>
      </c>
    </row>
    <row r="70" spans="1:35">
      <c r="A70" s="355" t="s">
        <v>412</v>
      </c>
      <c r="B70" s="343"/>
      <c r="C70" s="343"/>
      <c r="D70" s="342">
        <v>600</v>
      </c>
      <c r="E70" s="357">
        <v>3</v>
      </c>
      <c r="F70" s="358"/>
      <c r="G70" s="343"/>
      <c r="H70" s="343"/>
      <c r="I70" s="343"/>
      <c r="J70" s="343"/>
      <c r="K70" s="343"/>
      <c r="L70" s="343">
        <f t="shared" si="4"/>
        <v>420</v>
      </c>
      <c r="M70" s="343"/>
      <c r="N70" s="343"/>
      <c r="O70" s="343">
        <f t="shared" si="5"/>
        <v>600</v>
      </c>
      <c r="P70" s="343"/>
      <c r="Q70" s="343"/>
      <c r="R70" s="343"/>
      <c r="S70" s="343"/>
      <c r="T70" s="343"/>
      <c r="U70" s="343"/>
      <c r="V70" s="343"/>
      <c r="W70" s="343"/>
      <c r="X70" s="343"/>
      <c r="Y70" s="343"/>
      <c r="Z70" s="343"/>
      <c r="AA70" s="343"/>
      <c r="AB70" s="343"/>
      <c r="AC70" s="343"/>
      <c r="AD70" s="343"/>
      <c r="AE70" s="343"/>
      <c r="AF70" s="343"/>
      <c r="AG70" s="343"/>
      <c r="AH70" s="343"/>
      <c r="AI70" s="343"/>
    </row>
    <row r="71" spans="1:35">
      <c r="A71" s="355" t="s">
        <v>412</v>
      </c>
      <c r="B71" s="343">
        <v>11.8</v>
      </c>
      <c r="C71" s="343">
        <v>559</v>
      </c>
      <c r="D71" s="342">
        <v>200</v>
      </c>
      <c r="E71" s="357">
        <v>4</v>
      </c>
      <c r="F71" s="358"/>
      <c r="G71" s="343">
        <v>5.42</v>
      </c>
      <c r="H71" s="343">
        <v>30.3</v>
      </c>
      <c r="I71" s="343">
        <f>H71*0.61</f>
        <v>18.483000000000001</v>
      </c>
      <c r="J71" s="343">
        <f>H71*0.27</f>
        <v>8.1810000000000009</v>
      </c>
      <c r="K71" s="343">
        <f>H71*0.2</f>
        <v>6.0600000000000005</v>
      </c>
      <c r="L71" s="343">
        <f t="shared" si="4"/>
        <v>140</v>
      </c>
      <c r="M71" s="343">
        <v>0</v>
      </c>
      <c r="N71" s="343">
        <v>0</v>
      </c>
      <c r="O71" s="343">
        <f t="shared" si="5"/>
        <v>200</v>
      </c>
      <c r="P71" s="343">
        <v>0</v>
      </c>
      <c r="Q71" s="343">
        <v>16.7</v>
      </c>
      <c r="R71" s="343">
        <v>10.5</v>
      </c>
      <c r="S71" s="343"/>
      <c r="T71" s="343"/>
      <c r="U71" s="343"/>
      <c r="V71" s="343"/>
      <c r="W71" s="343"/>
      <c r="X71" s="343"/>
      <c r="Y71" s="343"/>
      <c r="Z71" s="343"/>
      <c r="AA71" s="343"/>
      <c r="AB71" s="343"/>
      <c r="AC71" s="343"/>
      <c r="AD71" s="343"/>
      <c r="AE71" s="343"/>
      <c r="AF71" s="343"/>
      <c r="AG71" s="343"/>
      <c r="AH71" s="343"/>
      <c r="AI71" s="343"/>
    </row>
    <row r="72" spans="1:35">
      <c r="A72" s="355" t="s">
        <v>412</v>
      </c>
      <c r="B72" s="343">
        <v>23.6</v>
      </c>
      <c r="C72" s="343">
        <v>1118</v>
      </c>
      <c r="D72" s="342">
        <v>400</v>
      </c>
      <c r="E72" s="357">
        <v>4</v>
      </c>
      <c r="F72" s="358"/>
      <c r="G72" s="343">
        <v>10.84</v>
      </c>
      <c r="H72" s="343">
        <v>60.5</v>
      </c>
      <c r="I72" s="343">
        <f>H72*0.61</f>
        <v>36.905000000000001</v>
      </c>
      <c r="J72" s="343">
        <f>H72*0.27</f>
        <v>16.335000000000001</v>
      </c>
      <c r="K72" s="343">
        <f>H72*0.2</f>
        <v>12.100000000000001</v>
      </c>
      <c r="L72" s="343">
        <f t="shared" si="4"/>
        <v>280</v>
      </c>
      <c r="M72" s="343">
        <v>0</v>
      </c>
      <c r="N72" s="343">
        <v>0</v>
      </c>
      <c r="O72" s="343">
        <f t="shared" si="5"/>
        <v>400</v>
      </c>
      <c r="P72" s="343">
        <v>0</v>
      </c>
      <c r="Q72" s="343">
        <v>33.299999999999997</v>
      </c>
      <c r="R72" s="343">
        <v>20.9</v>
      </c>
      <c r="S72" s="343"/>
      <c r="T72" s="343"/>
      <c r="U72" s="343"/>
      <c r="V72" s="343"/>
      <c r="W72" s="343"/>
      <c r="X72" s="343"/>
      <c r="Y72" s="343"/>
      <c r="Z72" s="343"/>
      <c r="AA72" s="343"/>
      <c r="AB72" s="343"/>
      <c r="AC72" s="343"/>
      <c r="AD72" s="343"/>
      <c r="AE72" s="343"/>
      <c r="AF72" s="343"/>
      <c r="AG72" s="343"/>
      <c r="AH72" s="343"/>
      <c r="AI72" s="343"/>
    </row>
    <row r="73" spans="1:35">
      <c r="A73" s="355" t="s">
        <v>412</v>
      </c>
      <c r="B73" s="343">
        <v>29.4</v>
      </c>
      <c r="C73" s="343">
        <v>1398</v>
      </c>
      <c r="D73" s="342">
        <v>500</v>
      </c>
      <c r="E73" s="357">
        <v>4</v>
      </c>
      <c r="F73" s="358"/>
      <c r="G73" s="343">
        <v>13.55</v>
      </c>
      <c r="H73" s="343">
        <v>75.7</v>
      </c>
      <c r="I73" s="343">
        <f>H73*0.61</f>
        <v>46.177</v>
      </c>
      <c r="J73" s="343">
        <f>H73*0.27</f>
        <v>20.439000000000004</v>
      </c>
      <c r="K73" s="343">
        <f>H73*0.2</f>
        <v>15.14</v>
      </c>
      <c r="L73" s="343">
        <f t="shared" si="4"/>
        <v>350</v>
      </c>
      <c r="M73" s="343">
        <v>0</v>
      </c>
      <c r="N73" s="343">
        <v>0</v>
      </c>
      <c r="O73" s="343">
        <f t="shared" si="5"/>
        <v>500</v>
      </c>
      <c r="P73" s="343">
        <v>0</v>
      </c>
      <c r="Q73" s="343">
        <v>41.7</v>
      </c>
      <c r="R73" s="343">
        <v>26.2</v>
      </c>
      <c r="S73" s="343">
        <v>10.5</v>
      </c>
      <c r="T73" s="343">
        <v>35.799999999999997</v>
      </c>
      <c r="U73" s="343">
        <v>11.9</v>
      </c>
      <c r="V73" s="343">
        <v>45.5</v>
      </c>
      <c r="W73" s="343">
        <v>18.8</v>
      </c>
      <c r="X73" s="343">
        <v>0.6</v>
      </c>
      <c r="Y73" s="343">
        <v>125</v>
      </c>
      <c r="Z73" s="343">
        <v>4.4000000000000004</v>
      </c>
      <c r="AA73" s="343">
        <v>625</v>
      </c>
      <c r="AB73" s="343">
        <v>500</v>
      </c>
      <c r="AC73" s="343">
        <v>1.25</v>
      </c>
      <c r="AD73" s="343">
        <v>500</v>
      </c>
      <c r="AE73" s="343">
        <v>30</v>
      </c>
      <c r="AF73" s="343">
        <v>3300</v>
      </c>
      <c r="AG73" s="343">
        <v>1000</v>
      </c>
      <c r="AH73" s="343">
        <v>37.5</v>
      </c>
      <c r="AI73" s="343">
        <v>25</v>
      </c>
    </row>
    <row r="74" spans="1:35">
      <c r="A74" s="355" t="s">
        <v>412</v>
      </c>
      <c r="B74" s="343"/>
      <c r="C74" s="343"/>
      <c r="D74" s="342">
        <v>600</v>
      </c>
      <c r="E74" s="357">
        <v>4</v>
      </c>
      <c r="F74" s="358"/>
      <c r="G74" s="343"/>
      <c r="H74" s="343"/>
      <c r="I74" s="343"/>
      <c r="J74" s="343"/>
      <c r="K74" s="343"/>
      <c r="L74" s="343">
        <f t="shared" si="4"/>
        <v>420</v>
      </c>
      <c r="M74" s="343"/>
      <c r="N74" s="343"/>
      <c r="O74" s="343">
        <f t="shared" si="5"/>
        <v>600</v>
      </c>
      <c r="P74" s="343"/>
      <c r="Q74" s="343"/>
      <c r="R74" s="343"/>
      <c r="S74" s="343"/>
      <c r="T74" s="343"/>
      <c r="U74" s="343"/>
      <c r="V74" s="343"/>
      <c r="W74" s="343"/>
      <c r="X74" s="343"/>
      <c r="Y74" s="343"/>
      <c r="Z74" s="343"/>
      <c r="AA74" s="343"/>
      <c r="AB74" s="343"/>
      <c r="AC74" s="343"/>
      <c r="AD74" s="343"/>
      <c r="AE74" s="343"/>
      <c r="AF74" s="343"/>
      <c r="AG74" s="343"/>
      <c r="AH74" s="343"/>
      <c r="AI74" s="343"/>
    </row>
    <row r="75" spans="1:35">
      <c r="A75" s="355" t="s">
        <v>412</v>
      </c>
      <c r="B75" s="343">
        <v>11.3</v>
      </c>
      <c r="C75" s="343">
        <v>532</v>
      </c>
      <c r="D75" s="342">
        <v>200</v>
      </c>
      <c r="E75" s="357">
        <v>5</v>
      </c>
      <c r="F75" s="358"/>
      <c r="G75" s="343">
        <v>4.88</v>
      </c>
      <c r="H75" s="343">
        <v>28.5</v>
      </c>
      <c r="I75" s="343">
        <f>H75*0.61</f>
        <v>17.384999999999998</v>
      </c>
      <c r="J75" s="343">
        <f>H75*0.27</f>
        <v>7.6950000000000003</v>
      </c>
      <c r="K75" s="343">
        <f>H75*0.2</f>
        <v>5.7</v>
      </c>
      <c r="L75" s="343">
        <f t="shared" si="4"/>
        <v>140</v>
      </c>
      <c r="M75" s="343">
        <v>0</v>
      </c>
      <c r="N75" s="343">
        <v>0</v>
      </c>
      <c r="O75" s="343">
        <f t="shared" si="5"/>
        <v>200</v>
      </c>
      <c r="P75" s="343">
        <v>0</v>
      </c>
      <c r="Q75" s="343">
        <v>15.8</v>
      </c>
      <c r="R75" s="343">
        <v>9.9</v>
      </c>
      <c r="S75" s="343"/>
      <c r="T75" s="343"/>
      <c r="U75" s="343"/>
      <c r="V75" s="343"/>
      <c r="W75" s="343"/>
      <c r="X75" s="343"/>
      <c r="Y75" s="343"/>
      <c r="Z75" s="343"/>
      <c r="AA75" s="343"/>
      <c r="AB75" s="343"/>
      <c r="AC75" s="343"/>
      <c r="AD75" s="343"/>
      <c r="AE75" s="343"/>
      <c r="AF75" s="343"/>
      <c r="AG75" s="343"/>
      <c r="AH75" s="343"/>
      <c r="AI75" s="343"/>
    </row>
    <row r="76" spans="1:35">
      <c r="A76" s="355" t="s">
        <v>412</v>
      </c>
      <c r="B76" s="343">
        <v>22.7</v>
      </c>
      <c r="C76" s="343">
        <v>1064</v>
      </c>
      <c r="D76" s="342">
        <v>400</v>
      </c>
      <c r="E76" s="357">
        <v>5</v>
      </c>
      <c r="F76" s="358"/>
      <c r="G76" s="343">
        <v>9.76</v>
      </c>
      <c r="H76" s="343">
        <v>57</v>
      </c>
      <c r="I76" s="343">
        <f>H76*0.61</f>
        <v>34.769999999999996</v>
      </c>
      <c r="J76" s="343">
        <f>H76*0.27</f>
        <v>15.39</v>
      </c>
      <c r="K76" s="343">
        <f>H76*0.2</f>
        <v>11.4</v>
      </c>
      <c r="L76" s="343">
        <f t="shared" si="4"/>
        <v>280</v>
      </c>
      <c r="M76" s="343">
        <v>0</v>
      </c>
      <c r="N76" s="343">
        <v>0</v>
      </c>
      <c r="O76" s="343">
        <f t="shared" si="5"/>
        <v>400</v>
      </c>
      <c r="P76" s="343">
        <v>0</v>
      </c>
      <c r="Q76" s="343">
        <v>31.6</v>
      </c>
      <c r="R76" s="343">
        <v>19.7</v>
      </c>
      <c r="S76" s="343"/>
      <c r="T76" s="343"/>
      <c r="U76" s="343"/>
      <c r="V76" s="343"/>
      <c r="W76" s="343"/>
      <c r="X76" s="343"/>
      <c r="Y76" s="343"/>
      <c r="Z76" s="343"/>
      <c r="AA76" s="343"/>
      <c r="AB76" s="343"/>
      <c r="AC76" s="343"/>
      <c r="AD76" s="343"/>
      <c r="AE76" s="343"/>
      <c r="AF76" s="343"/>
      <c r="AG76" s="343"/>
      <c r="AH76" s="343"/>
      <c r="AI76" s="343"/>
    </row>
    <row r="77" spans="1:35">
      <c r="A77" s="355" t="s">
        <v>412</v>
      </c>
      <c r="B77" s="343">
        <v>28.3</v>
      </c>
      <c r="C77" s="343">
        <v>1330</v>
      </c>
      <c r="D77" s="342">
        <v>500</v>
      </c>
      <c r="E77" s="357">
        <v>5</v>
      </c>
      <c r="F77" s="358"/>
      <c r="G77" s="343">
        <v>12.2</v>
      </c>
      <c r="H77" s="343">
        <v>71.2</v>
      </c>
      <c r="I77" s="343">
        <f>H77*0.61</f>
        <v>43.432000000000002</v>
      </c>
      <c r="J77" s="343">
        <f>H77*0.27</f>
        <v>19.224000000000004</v>
      </c>
      <c r="K77" s="343">
        <f>H77*0.2</f>
        <v>14.240000000000002</v>
      </c>
      <c r="L77" s="343">
        <f t="shared" si="4"/>
        <v>350</v>
      </c>
      <c r="M77" s="343">
        <v>0</v>
      </c>
      <c r="N77" s="343">
        <v>0</v>
      </c>
      <c r="O77" s="343">
        <f t="shared" si="5"/>
        <v>500</v>
      </c>
      <c r="P77" s="343">
        <v>0</v>
      </c>
      <c r="Q77" s="343">
        <v>39.5</v>
      </c>
      <c r="R77" s="343">
        <v>24.7</v>
      </c>
      <c r="S77" s="343">
        <v>10.199999999999999</v>
      </c>
      <c r="T77" s="343">
        <v>34.799999999999997</v>
      </c>
      <c r="U77" s="343">
        <v>11.7</v>
      </c>
      <c r="V77" s="343">
        <v>45.5</v>
      </c>
      <c r="W77" s="343">
        <v>18.8</v>
      </c>
      <c r="X77" s="343">
        <v>0.6</v>
      </c>
      <c r="Y77" s="343">
        <v>125</v>
      </c>
      <c r="Z77" s="343">
        <v>4.4000000000000004</v>
      </c>
      <c r="AA77" s="343">
        <v>625</v>
      </c>
      <c r="AB77" s="343">
        <v>500</v>
      </c>
      <c r="AC77" s="343">
        <v>1.25</v>
      </c>
      <c r="AD77" s="343">
        <v>500</v>
      </c>
      <c r="AE77" s="343">
        <v>30</v>
      </c>
      <c r="AF77" s="343">
        <v>3300</v>
      </c>
      <c r="AG77" s="343">
        <v>1000</v>
      </c>
      <c r="AH77" s="343">
        <v>37.5</v>
      </c>
      <c r="AI77" s="343">
        <v>25</v>
      </c>
    </row>
    <row r="78" spans="1:35">
      <c r="A78" s="355" t="s">
        <v>412</v>
      </c>
      <c r="B78" s="343"/>
      <c r="C78" s="343"/>
      <c r="D78" s="342">
        <v>600</v>
      </c>
      <c r="E78" s="357">
        <v>5</v>
      </c>
      <c r="F78" s="358"/>
      <c r="G78" s="343"/>
      <c r="H78" s="343"/>
      <c r="I78" s="343"/>
      <c r="J78" s="343"/>
      <c r="K78" s="343"/>
      <c r="L78" s="343">
        <f t="shared" si="4"/>
        <v>420</v>
      </c>
      <c r="M78" s="343"/>
      <c r="N78" s="343"/>
      <c r="O78" s="343">
        <f t="shared" si="5"/>
        <v>600</v>
      </c>
      <c r="P78" s="343"/>
      <c r="Q78" s="343"/>
      <c r="R78" s="343"/>
      <c r="S78" s="343"/>
      <c r="T78" s="343"/>
      <c r="U78" s="343"/>
      <c r="V78" s="343"/>
      <c r="W78" s="343"/>
      <c r="X78" s="343"/>
      <c r="Y78" s="343"/>
      <c r="Z78" s="343"/>
      <c r="AA78" s="343"/>
      <c r="AB78" s="343"/>
      <c r="AC78" s="343"/>
      <c r="AD78" s="343"/>
      <c r="AE78" s="343"/>
      <c r="AF78" s="343"/>
      <c r="AG78" s="343"/>
      <c r="AH78" s="343"/>
      <c r="AI78" s="343"/>
    </row>
    <row r="79" spans="1:35">
      <c r="A79" s="355" t="s">
        <v>412</v>
      </c>
      <c r="B79" s="343">
        <v>10.9</v>
      </c>
      <c r="C79" s="343">
        <v>506</v>
      </c>
      <c r="D79" s="342">
        <v>200</v>
      </c>
      <c r="E79" s="357">
        <v>6</v>
      </c>
      <c r="F79" s="358"/>
      <c r="G79" s="343">
        <v>4.3600000000000003</v>
      </c>
      <c r="H79" s="343">
        <v>26.8</v>
      </c>
      <c r="I79" s="343">
        <f>H79*0.61</f>
        <v>16.347999999999999</v>
      </c>
      <c r="J79" s="343">
        <f>H79*0.27</f>
        <v>7.2360000000000007</v>
      </c>
      <c r="K79" s="343">
        <f>H79*0.2</f>
        <v>5.36</v>
      </c>
      <c r="L79" s="343">
        <f t="shared" si="4"/>
        <v>140</v>
      </c>
      <c r="M79" s="343">
        <v>0</v>
      </c>
      <c r="N79" s="343">
        <v>0</v>
      </c>
      <c r="O79" s="343">
        <f t="shared" si="5"/>
        <v>200</v>
      </c>
      <c r="P79" s="343">
        <v>0</v>
      </c>
      <c r="Q79" s="343">
        <v>15</v>
      </c>
      <c r="R79" s="343">
        <v>9.3000000000000007</v>
      </c>
      <c r="S79" s="343"/>
      <c r="T79" s="343"/>
      <c r="U79" s="343"/>
      <c r="V79" s="343"/>
      <c r="W79" s="343"/>
      <c r="X79" s="343"/>
      <c r="Y79" s="343"/>
      <c r="Z79" s="343"/>
      <c r="AA79" s="343"/>
      <c r="AB79" s="343"/>
      <c r="AC79" s="343"/>
      <c r="AD79" s="343"/>
      <c r="AE79" s="343"/>
      <c r="AF79" s="343"/>
      <c r="AG79" s="343"/>
      <c r="AH79" s="343"/>
      <c r="AI79" s="343"/>
    </row>
    <row r="80" spans="1:35">
      <c r="A80" s="355" t="s">
        <v>412</v>
      </c>
      <c r="B80" s="343">
        <v>21.8</v>
      </c>
      <c r="C80" s="343">
        <v>1012</v>
      </c>
      <c r="D80" s="342">
        <v>400</v>
      </c>
      <c r="E80" s="357">
        <v>6</v>
      </c>
      <c r="F80" s="358"/>
      <c r="G80" s="343">
        <v>8.7200000000000006</v>
      </c>
      <c r="H80" s="343">
        <v>53.5</v>
      </c>
      <c r="I80" s="343">
        <f>H80*0.61</f>
        <v>32.634999999999998</v>
      </c>
      <c r="J80" s="343">
        <f>H80*0.27</f>
        <v>14.445</v>
      </c>
      <c r="K80" s="343">
        <f>H80*0.2</f>
        <v>10.700000000000001</v>
      </c>
      <c r="L80" s="343">
        <f t="shared" si="4"/>
        <v>280</v>
      </c>
      <c r="M80" s="343">
        <v>0</v>
      </c>
      <c r="N80" s="343">
        <v>0</v>
      </c>
      <c r="O80" s="343">
        <f t="shared" si="5"/>
        <v>400</v>
      </c>
      <c r="P80" s="343">
        <v>0</v>
      </c>
      <c r="Q80" s="343">
        <v>30</v>
      </c>
      <c r="R80" s="343">
        <v>18.600000000000001</v>
      </c>
      <c r="S80" s="343"/>
      <c r="T80" s="343"/>
      <c r="U80" s="343"/>
      <c r="V80" s="343"/>
      <c r="W80" s="343"/>
      <c r="X80" s="343"/>
      <c r="Y80" s="343"/>
      <c r="Z80" s="343"/>
      <c r="AA80" s="343"/>
      <c r="AB80" s="343"/>
      <c r="AC80" s="343"/>
      <c r="AD80" s="343"/>
      <c r="AE80" s="343"/>
      <c r="AF80" s="343"/>
      <c r="AG80" s="343"/>
      <c r="AH80" s="343"/>
      <c r="AI80" s="343"/>
    </row>
    <row r="81" spans="1:35">
      <c r="A81" s="355" t="s">
        <v>412</v>
      </c>
      <c r="B81" s="343">
        <v>27.2</v>
      </c>
      <c r="C81" s="343">
        <v>1265</v>
      </c>
      <c r="D81" s="342">
        <v>500</v>
      </c>
      <c r="E81" s="357">
        <v>6</v>
      </c>
      <c r="F81" s="358"/>
      <c r="G81" s="343">
        <v>10.9</v>
      </c>
      <c r="H81" s="343">
        <v>66.900000000000006</v>
      </c>
      <c r="I81" s="343">
        <f>H81*0.61</f>
        <v>40.809000000000005</v>
      </c>
      <c r="J81" s="343">
        <f>H81*0.27</f>
        <v>18.063000000000002</v>
      </c>
      <c r="K81" s="343">
        <f>H81*0.2</f>
        <v>13.380000000000003</v>
      </c>
      <c r="L81" s="343">
        <f t="shared" si="4"/>
        <v>350</v>
      </c>
      <c r="M81" s="343">
        <v>0</v>
      </c>
      <c r="N81" s="343">
        <v>0</v>
      </c>
      <c r="O81" s="343">
        <f t="shared" si="5"/>
        <v>500</v>
      </c>
      <c r="P81" s="343">
        <v>0</v>
      </c>
      <c r="Q81" s="343">
        <v>37.4</v>
      </c>
      <c r="R81" s="343">
        <v>23.2</v>
      </c>
      <c r="S81" s="343">
        <v>8.6999999999999993</v>
      </c>
      <c r="T81" s="343">
        <v>33.700000000000003</v>
      </c>
      <c r="U81" s="343">
        <v>11.5</v>
      </c>
      <c r="V81" s="343">
        <v>45.5</v>
      </c>
      <c r="W81" s="343">
        <v>18.8</v>
      </c>
      <c r="X81" s="343">
        <v>0.6</v>
      </c>
      <c r="Y81" s="343">
        <v>125</v>
      </c>
      <c r="Z81" s="343">
        <v>4.4000000000000004</v>
      </c>
      <c r="AA81" s="343">
        <v>625</v>
      </c>
      <c r="AB81" s="343">
        <v>500</v>
      </c>
      <c r="AC81" s="343">
        <v>1.25</v>
      </c>
      <c r="AD81" s="343">
        <v>500</v>
      </c>
      <c r="AE81" s="343">
        <v>30</v>
      </c>
      <c r="AF81" s="343">
        <v>3300</v>
      </c>
      <c r="AG81" s="343">
        <v>1000</v>
      </c>
      <c r="AH81" s="343">
        <v>37.5</v>
      </c>
      <c r="AI81" s="343">
        <v>25</v>
      </c>
    </row>
    <row r="82" spans="1:35">
      <c r="A82" s="355" t="s">
        <v>412</v>
      </c>
      <c r="B82" s="343"/>
      <c r="C82" s="343"/>
      <c r="D82" s="342">
        <v>600</v>
      </c>
      <c r="E82" s="357">
        <v>6</v>
      </c>
      <c r="F82" s="358"/>
      <c r="G82" s="343"/>
      <c r="H82" s="343"/>
      <c r="I82" s="343"/>
      <c r="J82" s="343"/>
      <c r="K82" s="343"/>
      <c r="L82" s="343">
        <f t="shared" si="4"/>
        <v>420</v>
      </c>
      <c r="M82" s="343"/>
      <c r="N82" s="343"/>
      <c r="O82" s="343">
        <f t="shared" si="5"/>
        <v>600</v>
      </c>
      <c r="P82" s="343"/>
      <c r="Q82" s="343"/>
      <c r="R82" s="343"/>
      <c r="S82" s="343"/>
      <c r="T82" s="343"/>
      <c r="U82" s="343"/>
      <c r="V82" s="343"/>
      <c r="W82" s="343"/>
      <c r="X82" s="343"/>
      <c r="Y82" s="343"/>
      <c r="Z82" s="343"/>
      <c r="AA82" s="343"/>
      <c r="AB82" s="343"/>
      <c r="AC82" s="343"/>
      <c r="AD82" s="343"/>
      <c r="AE82" s="343"/>
      <c r="AF82" s="343"/>
      <c r="AG82" s="343"/>
      <c r="AH82" s="343"/>
      <c r="AI82" s="343"/>
    </row>
    <row r="83" spans="1:35">
      <c r="A83" s="354" t="s">
        <v>413</v>
      </c>
      <c r="B83" s="343">
        <v>6.7</v>
      </c>
      <c r="C83" s="343">
        <v>252</v>
      </c>
      <c r="D83" s="357">
        <v>200</v>
      </c>
      <c r="E83" s="357">
        <v>4.9000000000000004</v>
      </c>
      <c r="F83" s="358"/>
      <c r="G83" s="343">
        <v>0</v>
      </c>
      <c r="H83" s="343">
        <v>10.8</v>
      </c>
      <c r="I83" s="343">
        <f>H83*0.61</f>
        <v>6.5880000000000001</v>
      </c>
      <c r="J83" s="343">
        <f>H83*0.27</f>
        <v>2.9160000000000004</v>
      </c>
      <c r="K83" s="343">
        <f>H83*0.2</f>
        <v>2.16</v>
      </c>
      <c r="L83" s="343">
        <f t="shared" si="4"/>
        <v>140</v>
      </c>
      <c r="M83" s="343">
        <v>0</v>
      </c>
      <c r="N83" s="343">
        <v>0</v>
      </c>
      <c r="O83" s="343">
        <f t="shared" si="5"/>
        <v>200</v>
      </c>
      <c r="P83" s="343">
        <v>0</v>
      </c>
      <c r="Q83" s="343">
        <v>8</v>
      </c>
      <c r="R83" s="343">
        <v>5.6</v>
      </c>
      <c r="S83" s="343"/>
      <c r="T83" s="343"/>
      <c r="U83" s="343"/>
      <c r="V83" s="343"/>
      <c r="W83" s="343"/>
      <c r="X83" s="343"/>
      <c r="Y83" s="343"/>
      <c r="Z83" s="343"/>
      <c r="AA83" s="343"/>
      <c r="AB83" s="343"/>
      <c r="AC83" s="343"/>
      <c r="AD83" s="343"/>
      <c r="AE83" s="343"/>
      <c r="AF83" s="343"/>
      <c r="AG83" s="343"/>
      <c r="AH83" s="343"/>
      <c r="AI83" s="343"/>
    </row>
    <row r="84" spans="1:35">
      <c r="A84" s="354" t="s">
        <v>413</v>
      </c>
      <c r="B84" s="343">
        <v>13.3</v>
      </c>
      <c r="C84" s="343">
        <v>504</v>
      </c>
      <c r="D84" s="357">
        <v>400</v>
      </c>
      <c r="E84" s="357">
        <v>4.9000000000000004</v>
      </c>
      <c r="F84" s="358"/>
      <c r="G84" s="343">
        <v>0</v>
      </c>
      <c r="H84" s="343">
        <v>21.7</v>
      </c>
      <c r="I84" s="343">
        <f>H84*0.61</f>
        <v>13.237</v>
      </c>
      <c r="J84" s="343">
        <f>H84*0.27</f>
        <v>5.859</v>
      </c>
      <c r="K84" s="343">
        <f>H84*0.2</f>
        <v>4.34</v>
      </c>
      <c r="L84" s="343">
        <f t="shared" si="4"/>
        <v>280</v>
      </c>
      <c r="M84" s="343">
        <v>0</v>
      </c>
      <c r="N84" s="343">
        <v>0</v>
      </c>
      <c r="O84" s="343">
        <f t="shared" si="5"/>
        <v>400</v>
      </c>
      <c r="P84" s="343">
        <v>0</v>
      </c>
      <c r="Q84" s="343">
        <v>16</v>
      </c>
      <c r="R84" s="343">
        <v>11.2</v>
      </c>
      <c r="S84" s="343"/>
      <c r="T84" s="343"/>
      <c r="U84" s="343"/>
      <c r="V84" s="343"/>
      <c r="W84" s="343"/>
      <c r="X84" s="343"/>
      <c r="Y84" s="343"/>
      <c r="Z84" s="343"/>
      <c r="AA84" s="343"/>
      <c r="AB84" s="343"/>
      <c r="AC84" s="343"/>
      <c r="AD84" s="343"/>
      <c r="AE84" s="343"/>
      <c r="AF84" s="343"/>
      <c r="AG84" s="343"/>
      <c r="AH84" s="343"/>
      <c r="AI84" s="343"/>
    </row>
    <row r="85" spans="1:35">
      <c r="A85" s="354" t="s">
        <v>413</v>
      </c>
      <c r="B85" s="343">
        <v>16.7</v>
      </c>
      <c r="C85" s="343">
        <v>630</v>
      </c>
      <c r="D85" s="357">
        <v>500</v>
      </c>
      <c r="E85" s="357">
        <v>4.9000000000000004</v>
      </c>
      <c r="F85" s="358"/>
      <c r="G85" s="343">
        <v>0</v>
      </c>
      <c r="H85" s="343">
        <v>27.1</v>
      </c>
      <c r="I85" s="343">
        <f>H85*0.61</f>
        <v>16.530999999999999</v>
      </c>
      <c r="J85" s="343">
        <f>H85*0.27</f>
        <v>7.3170000000000011</v>
      </c>
      <c r="K85" s="343">
        <f>H85*0.2</f>
        <v>5.4200000000000008</v>
      </c>
      <c r="L85" s="343">
        <f t="shared" si="4"/>
        <v>350</v>
      </c>
      <c r="M85" s="343">
        <v>0</v>
      </c>
      <c r="N85" s="343">
        <v>0</v>
      </c>
      <c r="O85" s="343">
        <f t="shared" si="5"/>
        <v>500</v>
      </c>
      <c r="P85" s="343">
        <v>0</v>
      </c>
      <c r="Q85" s="343">
        <v>20</v>
      </c>
      <c r="R85" s="343">
        <v>14</v>
      </c>
      <c r="S85" s="343">
        <v>7.5</v>
      </c>
      <c r="T85" s="343">
        <v>25</v>
      </c>
      <c r="U85" s="343">
        <v>10</v>
      </c>
      <c r="V85" s="343">
        <v>40</v>
      </c>
      <c r="W85" s="343">
        <v>15</v>
      </c>
      <c r="X85" s="343">
        <v>0.5</v>
      </c>
      <c r="Y85" s="343">
        <v>100</v>
      </c>
      <c r="Z85" s="343">
        <v>3.5</v>
      </c>
      <c r="AA85" s="343">
        <v>400</v>
      </c>
      <c r="AB85" s="343">
        <v>400</v>
      </c>
      <c r="AC85" s="343">
        <v>1</v>
      </c>
      <c r="AD85" s="343">
        <v>400</v>
      </c>
      <c r="AE85" s="343">
        <v>30</v>
      </c>
      <c r="AF85" s="343">
        <v>3300</v>
      </c>
      <c r="AG85" s="343">
        <v>800</v>
      </c>
      <c r="AH85" s="343">
        <v>30</v>
      </c>
      <c r="AI85" s="343">
        <v>20</v>
      </c>
    </row>
    <row r="86" spans="1:35">
      <c r="A86" s="354" t="s">
        <v>413</v>
      </c>
      <c r="B86" s="343"/>
      <c r="C86" s="343"/>
      <c r="D86" s="357">
        <v>600</v>
      </c>
      <c r="E86" s="357">
        <v>4.9000000000000004</v>
      </c>
      <c r="F86" s="358"/>
      <c r="G86" s="343">
        <v>0</v>
      </c>
      <c r="H86" s="343"/>
      <c r="I86" s="343"/>
      <c r="J86" s="343"/>
      <c r="K86" s="343"/>
      <c r="L86" s="343">
        <f t="shared" si="4"/>
        <v>420</v>
      </c>
      <c r="M86" s="343"/>
      <c r="N86" s="343"/>
      <c r="O86" s="343">
        <f t="shared" si="5"/>
        <v>600</v>
      </c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343"/>
      <c r="AB86" s="343"/>
      <c r="AC86" s="343"/>
      <c r="AD86" s="343"/>
      <c r="AE86" s="343"/>
      <c r="AF86" s="343"/>
      <c r="AG86" s="343"/>
      <c r="AH86" s="343"/>
      <c r="AI86" s="343"/>
    </row>
    <row r="87" spans="1:35">
      <c r="A87" s="354" t="s">
        <v>413</v>
      </c>
      <c r="B87" s="343">
        <v>8.1</v>
      </c>
      <c r="C87" s="343">
        <v>336</v>
      </c>
      <c r="D87" s="342">
        <v>219</v>
      </c>
      <c r="E87" s="358">
        <v>10</v>
      </c>
      <c r="F87" s="358"/>
      <c r="G87" s="343">
        <v>0.21</v>
      </c>
      <c r="H87" s="343">
        <v>14.5</v>
      </c>
      <c r="I87" s="343">
        <f>H87*0.61</f>
        <v>8.8450000000000006</v>
      </c>
      <c r="J87" s="343">
        <f>H87*0.27</f>
        <v>3.915</v>
      </c>
      <c r="K87" s="343">
        <f>H87*0.2</f>
        <v>2.9000000000000004</v>
      </c>
      <c r="L87" s="343">
        <f t="shared" si="4"/>
        <v>153.29999999999998</v>
      </c>
      <c r="M87" s="343">
        <v>0</v>
      </c>
      <c r="N87" s="343">
        <v>0</v>
      </c>
      <c r="O87" s="343">
        <f t="shared" si="5"/>
        <v>219</v>
      </c>
      <c r="P87" s="343">
        <v>0</v>
      </c>
      <c r="Q87" s="343">
        <v>14.4</v>
      </c>
      <c r="R87" s="343">
        <v>10.5</v>
      </c>
      <c r="S87" s="343"/>
      <c r="T87" s="343"/>
      <c r="U87" s="343"/>
      <c r="V87" s="343"/>
      <c r="W87" s="343"/>
      <c r="X87" s="343"/>
      <c r="Y87" s="343"/>
      <c r="Z87" s="343"/>
      <c r="AA87" s="343"/>
      <c r="AB87" s="343"/>
      <c r="AC87" s="343"/>
      <c r="AD87" s="343"/>
      <c r="AE87" s="343"/>
      <c r="AF87" s="343"/>
      <c r="AG87" s="343"/>
      <c r="AH87" s="343"/>
      <c r="AI87" s="343"/>
    </row>
    <row r="88" spans="1:35">
      <c r="A88" s="354" t="s">
        <v>413</v>
      </c>
      <c r="B88" s="343">
        <v>16.2</v>
      </c>
      <c r="C88" s="343">
        <v>673</v>
      </c>
      <c r="D88" s="342">
        <v>439</v>
      </c>
      <c r="E88" s="358">
        <v>10</v>
      </c>
      <c r="F88" s="358"/>
      <c r="G88" s="343">
        <v>0.42</v>
      </c>
      <c r="H88" s="343">
        <v>28.9</v>
      </c>
      <c r="I88" s="343">
        <f>H88*0.61</f>
        <v>17.628999999999998</v>
      </c>
      <c r="J88" s="343">
        <f>H88*0.27</f>
        <v>7.8029999999999999</v>
      </c>
      <c r="K88" s="343">
        <f>H88*0.2</f>
        <v>5.78</v>
      </c>
      <c r="L88" s="343">
        <f t="shared" si="4"/>
        <v>307.29999999999995</v>
      </c>
      <c r="M88" s="343">
        <v>0</v>
      </c>
      <c r="N88" s="343">
        <v>0</v>
      </c>
      <c r="O88" s="343">
        <f t="shared" si="5"/>
        <v>439</v>
      </c>
      <c r="P88" s="343">
        <v>0</v>
      </c>
      <c r="Q88" s="343">
        <v>28.8</v>
      </c>
      <c r="R88" s="343">
        <v>21</v>
      </c>
      <c r="S88" s="343"/>
      <c r="T88" s="343"/>
      <c r="U88" s="343"/>
      <c r="V88" s="343"/>
      <c r="W88" s="343"/>
      <c r="X88" s="343"/>
      <c r="Y88" s="343"/>
      <c r="Z88" s="343"/>
      <c r="AA88" s="343"/>
      <c r="AB88" s="343"/>
      <c r="AC88" s="343"/>
      <c r="AD88" s="343"/>
      <c r="AE88" s="343"/>
      <c r="AF88" s="343"/>
      <c r="AG88" s="343"/>
      <c r="AH88" s="343"/>
      <c r="AI88" s="343"/>
    </row>
    <row r="89" spans="1:35">
      <c r="A89" s="354" t="s">
        <v>413</v>
      </c>
      <c r="B89" s="343">
        <v>20.2</v>
      </c>
      <c r="C89" s="343">
        <v>841</v>
      </c>
      <c r="D89" s="342">
        <v>548</v>
      </c>
      <c r="E89" s="358">
        <v>10</v>
      </c>
      <c r="F89" s="358"/>
      <c r="G89" s="343">
        <v>0.52</v>
      </c>
      <c r="H89" s="343">
        <v>36.200000000000003</v>
      </c>
      <c r="I89" s="343">
        <f>H89*0.61</f>
        <v>22.082000000000001</v>
      </c>
      <c r="J89" s="343">
        <f>H89*0.27</f>
        <v>9.7740000000000009</v>
      </c>
      <c r="K89" s="343">
        <f>H89*0.2</f>
        <v>7.2400000000000011</v>
      </c>
      <c r="L89" s="343">
        <f t="shared" si="4"/>
        <v>383.59999999999997</v>
      </c>
      <c r="M89" s="343">
        <v>0</v>
      </c>
      <c r="N89" s="343">
        <v>0</v>
      </c>
      <c r="O89" s="343">
        <f t="shared" si="5"/>
        <v>548</v>
      </c>
      <c r="P89" s="343">
        <v>0</v>
      </c>
      <c r="Q89" s="343">
        <v>36</v>
      </c>
      <c r="R89" s="343">
        <v>26.3</v>
      </c>
      <c r="S89" s="343">
        <v>7.7</v>
      </c>
      <c r="T89" s="343">
        <v>25.9</v>
      </c>
      <c r="U89" s="343">
        <v>11</v>
      </c>
      <c r="V89" s="343">
        <v>41</v>
      </c>
      <c r="W89" s="343">
        <v>15</v>
      </c>
      <c r="X89" s="343">
        <v>0.5</v>
      </c>
      <c r="Y89" s="343">
        <v>125</v>
      </c>
      <c r="Z89" s="343">
        <v>4</v>
      </c>
      <c r="AA89" s="343">
        <v>500</v>
      </c>
      <c r="AB89" s="343">
        <v>400</v>
      </c>
      <c r="AC89" s="343">
        <v>1</v>
      </c>
      <c r="AD89" s="343">
        <v>400</v>
      </c>
      <c r="AE89" s="343">
        <v>30</v>
      </c>
      <c r="AF89" s="343">
        <v>3300</v>
      </c>
      <c r="AG89" s="343">
        <v>800</v>
      </c>
      <c r="AH89" s="343">
        <v>30</v>
      </c>
      <c r="AI89" s="343">
        <v>20</v>
      </c>
    </row>
    <row r="90" spans="1:35">
      <c r="A90" s="354" t="s">
        <v>413</v>
      </c>
      <c r="B90" s="343"/>
      <c r="C90" s="343"/>
      <c r="D90" s="342">
        <v>658</v>
      </c>
      <c r="E90" s="358">
        <v>10</v>
      </c>
      <c r="F90" s="358"/>
      <c r="G90" s="343"/>
      <c r="H90" s="343"/>
      <c r="I90" s="343"/>
      <c r="J90" s="343"/>
      <c r="K90" s="343"/>
      <c r="L90" s="343">
        <f t="shared" si="4"/>
        <v>460.59999999999997</v>
      </c>
      <c r="M90" s="343"/>
      <c r="N90" s="343"/>
      <c r="O90" s="343">
        <f t="shared" si="5"/>
        <v>658</v>
      </c>
      <c r="P90" s="343"/>
      <c r="Q90" s="343"/>
      <c r="R90" s="343"/>
      <c r="S90" s="343"/>
      <c r="T90" s="343"/>
      <c r="U90" s="343"/>
      <c r="V90" s="343"/>
      <c r="W90" s="343"/>
      <c r="X90" s="343"/>
      <c r="Y90" s="343"/>
      <c r="Z90" s="343"/>
      <c r="AA90" s="343"/>
      <c r="AB90" s="343"/>
      <c r="AC90" s="343"/>
      <c r="AD90" s="343"/>
      <c r="AE90" s="343"/>
      <c r="AF90" s="343"/>
      <c r="AG90" s="343"/>
      <c r="AH90" s="343"/>
      <c r="AI90" s="343"/>
    </row>
    <row r="91" spans="1:35">
      <c r="A91" s="354" t="s">
        <v>413</v>
      </c>
      <c r="B91" s="343">
        <v>8.6</v>
      </c>
      <c r="C91" s="343">
        <v>357</v>
      </c>
      <c r="D91" s="342">
        <v>226</v>
      </c>
      <c r="E91" s="358">
        <v>11</v>
      </c>
      <c r="F91" s="358"/>
      <c r="G91" s="343">
        <v>0.26</v>
      </c>
      <c r="H91" s="343">
        <v>15.4</v>
      </c>
      <c r="I91" s="343">
        <f>H91*0.61</f>
        <v>9.3940000000000001</v>
      </c>
      <c r="J91" s="343">
        <f>H91*0.27</f>
        <v>4.1580000000000004</v>
      </c>
      <c r="K91" s="343">
        <f>H91*0.2</f>
        <v>3.08</v>
      </c>
      <c r="L91" s="343">
        <f t="shared" si="4"/>
        <v>158.19999999999999</v>
      </c>
      <c r="M91" s="343">
        <v>0</v>
      </c>
      <c r="N91" s="343">
        <v>0</v>
      </c>
      <c r="O91" s="343">
        <f t="shared" si="5"/>
        <v>226</v>
      </c>
      <c r="P91" s="343">
        <v>0</v>
      </c>
      <c r="Q91" s="343">
        <v>14.4</v>
      </c>
      <c r="R91" s="343">
        <v>10.5</v>
      </c>
      <c r="S91" s="343"/>
      <c r="T91" s="343"/>
      <c r="U91" s="343"/>
      <c r="V91" s="343"/>
      <c r="W91" s="343"/>
      <c r="X91" s="343"/>
      <c r="Y91" s="343"/>
      <c r="Z91" s="343"/>
      <c r="AA91" s="343"/>
      <c r="AB91" s="343"/>
      <c r="AC91" s="343"/>
      <c r="AD91" s="343"/>
      <c r="AE91" s="343"/>
      <c r="AF91" s="343"/>
      <c r="AG91" s="343"/>
      <c r="AH91" s="343"/>
      <c r="AI91" s="343"/>
    </row>
    <row r="92" spans="1:35">
      <c r="A92" s="354" t="s">
        <v>413</v>
      </c>
      <c r="B92" s="343">
        <v>17.100000000000001</v>
      </c>
      <c r="C92" s="343">
        <v>714</v>
      </c>
      <c r="D92" s="342">
        <v>453</v>
      </c>
      <c r="E92" s="358">
        <v>11</v>
      </c>
      <c r="F92" s="358"/>
      <c r="G92" s="343">
        <v>0.52</v>
      </c>
      <c r="H92" s="343">
        <v>30.7</v>
      </c>
      <c r="I92" s="343">
        <f>H92*0.61</f>
        <v>18.727</v>
      </c>
      <c r="J92" s="343">
        <f>H92*0.27</f>
        <v>8.2889999999999997</v>
      </c>
      <c r="K92" s="343">
        <f>H92*0.2</f>
        <v>6.1400000000000006</v>
      </c>
      <c r="L92" s="343">
        <f t="shared" si="4"/>
        <v>317.09999999999997</v>
      </c>
      <c r="M92" s="343">
        <v>0</v>
      </c>
      <c r="N92" s="343">
        <v>0</v>
      </c>
      <c r="O92" s="343">
        <f t="shared" si="5"/>
        <v>453</v>
      </c>
      <c r="P92" s="343">
        <v>0</v>
      </c>
      <c r="Q92" s="343">
        <v>28.8</v>
      </c>
      <c r="R92" s="343">
        <v>21</v>
      </c>
      <c r="S92" s="343"/>
      <c r="T92" s="343"/>
      <c r="U92" s="343"/>
      <c r="V92" s="343"/>
      <c r="W92" s="343"/>
      <c r="X92" s="343"/>
      <c r="Y92" s="343"/>
      <c r="Z92" s="343"/>
      <c r="AA92" s="343"/>
      <c r="AB92" s="343"/>
      <c r="AC92" s="343"/>
      <c r="AD92" s="343"/>
      <c r="AE92" s="343"/>
      <c r="AF92" s="343"/>
      <c r="AG92" s="343"/>
      <c r="AH92" s="343"/>
      <c r="AI92" s="343"/>
    </row>
    <row r="93" spans="1:35">
      <c r="A93" s="354" t="s">
        <v>413</v>
      </c>
      <c r="B93" s="343">
        <v>21.4</v>
      </c>
      <c r="C93" s="343">
        <v>893</v>
      </c>
      <c r="D93" s="342">
        <v>566</v>
      </c>
      <c r="E93" s="358">
        <v>11</v>
      </c>
      <c r="F93" s="358"/>
      <c r="G93" s="343">
        <v>0.65</v>
      </c>
      <c r="H93" s="343">
        <v>38.4</v>
      </c>
      <c r="I93" s="343">
        <f>H93*0.61</f>
        <v>23.423999999999999</v>
      </c>
      <c r="J93" s="343">
        <f>H93*0.27</f>
        <v>10.368</v>
      </c>
      <c r="K93" s="343">
        <f>H93*0.2</f>
        <v>7.68</v>
      </c>
      <c r="L93" s="343">
        <f t="shared" si="4"/>
        <v>396.2</v>
      </c>
      <c r="M93" s="343">
        <v>0</v>
      </c>
      <c r="N93" s="343">
        <v>0</v>
      </c>
      <c r="O93" s="343">
        <f t="shared" si="5"/>
        <v>566.00000000000011</v>
      </c>
      <c r="P93" s="343">
        <v>0</v>
      </c>
      <c r="Q93" s="343">
        <v>36</v>
      </c>
      <c r="R93" s="343">
        <v>26.3</v>
      </c>
      <c r="S93" s="343">
        <v>7.7</v>
      </c>
      <c r="T93" s="343">
        <v>25.9</v>
      </c>
      <c r="U93" s="343">
        <v>11</v>
      </c>
      <c r="V93" s="343">
        <v>41</v>
      </c>
      <c r="W93" s="343">
        <v>15</v>
      </c>
      <c r="X93" s="343">
        <v>0.5</v>
      </c>
      <c r="Y93" s="343">
        <v>125</v>
      </c>
      <c r="Z93" s="343">
        <v>4</v>
      </c>
      <c r="AA93" s="343">
        <v>500</v>
      </c>
      <c r="AB93" s="343">
        <v>400</v>
      </c>
      <c r="AC93" s="343">
        <v>1</v>
      </c>
      <c r="AD93" s="343">
        <v>400</v>
      </c>
      <c r="AE93" s="343">
        <v>30</v>
      </c>
      <c r="AF93" s="343">
        <v>3300</v>
      </c>
      <c r="AG93" s="343">
        <v>800</v>
      </c>
      <c r="AH93" s="343">
        <v>30</v>
      </c>
      <c r="AI93" s="343">
        <v>20</v>
      </c>
    </row>
    <row r="94" spans="1:35">
      <c r="A94" s="354" t="s">
        <v>413</v>
      </c>
      <c r="B94" s="343"/>
      <c r="C94" s="343"/>
      <c r="D94" s="342">
        <v>679</v>
      </c>
      <c r="E94" s="358">
        <v>11</v>
      </c>
      <c r="F94" s="358"/>
      <c r="G94" s="343"/>
      <c r="H94" s="343"/>
      <c r="I94" s="343"/>
      <c r="J94" s="343"/>
      <c r="K94" s="343"/>
      <c r="L94" s="343">
        <f t="shared" si="4"/>
        <v>475.29999999999995</v>
      </c>
      <c r="M94" s="343"/>
      <c r="N94" s="343"/>
      <c r="O94" s="343">
        <f t="shared" si="5"/>
        <v>679</v>
      </c>
      <c r="P94" s="343"/>
      <c r="Q94" s="343"/>
      <c r="R94" s="343"/>
      <c r="S94" s="343"/>
      <c r="T94" s="343"/>
      <c r="U94" s="343"/>
      <c r="V94" s="343"/>
      <c r="W94" s="343"/>
      <c r="X94" s="343"/>
      <c r="Y94" s="343"/>
      <c r="Z94" s="343"/>
      <c r="AA94" s="343"/>
      <c r="AB94" s="343"/>
      <c r="AC94" s="343"/>
      <c r="AD94" s="343"/>
      <c r="AE94" s="343"/>
      <c r="AF94" s="343"/>
      <c r="AG94" s="343"/>
      <c r="AH94" s="343"/>
      <c r="AI94" s="343"/>
    </row>
    <row r="95" spans="1:35">
      <c r="A95" s="354" t="s">
        <v>413</v>
      </c>
      <c r="B95" s="343">
        <v>6.8</v>
      </c>
      <c r="C95" s="343">
        <v>274</v>
      </c>
      <c r="D95" s="342">
        <v>201</v>
      </c>
      <c r="E95" s="358">
        <v>5</v>
      </c>
      <c r="F95" s="358"/>
      <c r="G95" s="343">
        <v>0.05</v>
      </c>
      <c r="H95" s="343">
        <v>11.8</v>
      </c>
      <c r="I95" s="343">
        <f>H95*0.61</f>
        <v>7.1980000000000004</v>
      </c>
      <c r="J95" s="343">
        <f>H95*0.27</f>
        <v>3.1860000000000004</v>
      </c>
      <c r="K95" s="343">
        <f>H95*0.2</f>
        <v>2.3600000000000003</v>
      </c>
      <c r="L95" s="343">
        <f t="shared" si="4"/>
        <v>140.69999999999999</v>
      </c>
      <c r="M95" s="343">
        <v>0</v>
      </c>
      <c r="N95" s="343">
        <v>0</v>
      </c>
      <c r="O95" s="343">
        <f t="shared" si="5"/>
        <v>201</v>
      </c>
      <c r="P95" s="343">
        <v>0</v>
      </c>
      <c r="Q95" s="343">
        <v>8</v>
      </c>
      <c r="R95" s="343">
        <v>5.6</v>
      </c>
      <c r="S95" s="343"/>
      <c r="T95" s="343"/>
      <c r="U95" s="343"/>
      <c r="V95" s="343"/>
      <c r="W95" s="343"/>
      <c r="X95" s="343"/>
      <c r="Y95" s="343"/>
      <c r="Z95" s="343"/>
      <c r="AA95" s="343"/>
      <c r="AB95" s="343"/>
      <c r="AC95" s="343"/>
      <c r="AD95" s="343"/>
      <c r="AE95" s="343"/>
      <c r="AF95" s="343"/>
      <c r="AG95" s="343"/>
      <c r="AH95" s="343"/>
      <c r="AI95" s="343"/>
    </row>
    <row r="96" spans="1:35">
      <c r="A96" s="354" t="s">
        <v>413</v>
      </c>
      <c r="B96" s="343">
        <v>13.7</v>
      </c>
      <c r="C96" s="343">
        <v>548</v>
      </c>
      <c r="D96" s="342">
        <v>403</v>
      </c>
      <c r="E96" s="358">
        <v>5</v>
      </c>
      <c r="F96" s="358"/>
      <c r="G96" s="343">
        <v>0.11</v>
      </c>
      <c r="H96" s="343">
        <v>23.6</v>
      </c>
      <c r="I96" s="343">
        <f>H96*0.61</f>
        <v>14.396000000000001</v>
      </c>
      <c r="J96" s="343">
        <f>H96*0.27</f>
        <v>6.3720000000000008</v>
      </c>
      <c r="K96" s="343">
        <f>H96*0.2</f>
        <v>4.7200000000000006</v>
      </c>
      <c r="L96" s="343">
        <f t="shared" si="4"/>
        <v>282.09999999999997</v>
      </c>
      <c r="M96" s="343">
        <v>0</v>
      </c>
      <c r="N96" s="343">
        <v>0</v>
      </c>
      <c r="O96" s="343">
        <f t="shared" si="5"/>
        <v>403</v>
      </c>
      <c r="P96" s="343">
        <v>0</v>
      </c>
      <c r="Q96" s="343">
        <v>16</v>
      </c>
      <c r="R96" s="343">
        <v>11.2</v>
      </c>
      <c r="S96" s="343"/>
      <c r="T96" s="343"/>
      <c r="U96" s="343"/>
      <c r="V96" s="343"/>
      <c r="W96" s="343"/>
      <c r="X96" s="343"/>
      <c r="Y96" s="343"/>
      <c r="Z96" s="343"/>
      <c r="AA96" s="343"/>
      <c r="AB96" s="343"/>
      <c r="AC96" s="343"/>
      <c r="AD96" s="343"/>
      <c r="AE96" s="343"/>
      <c r="AF96" s="343"/>
      <c r="AG96" s="343"/>
      <c r="AH96" s="343"/>
      <c r="AI96" s="343"/>
    </row>
    <row r="97" spans="1:35">
      <c r="A97" s="354" t="s">
        <v>413</v>
      </c>
      <c r="B97" s="343">
        <v>17.100000000000001</v>
      </c>
      <c r="C97" s="343">
        <v>685</v>
      </c>
      <c r="D97" s="342">
        <v>504</v>
      </c>
      <c r="E97" s="358">
        <v>5</v>
      </c>
      <c r="F97" s="358"/>
      <c r="G97" s="343">
        <v>0.14000000000000001</v>
      </c>
      <c r="H97" s="343">
        <v>29.5</v>
      </c>
      <c r="I97" s="343">
        <f>H97*0.61</f>
        <v>17.995000000000001</v>
      </c>
      <c r="J97" s="343">
        <f>H97*0.27</f>
        <v>7.9650000000000007</v>
      </c>
      <c r="K97" s="343">
        <f>H97*0.2</f>
        <v>5.9</v>
      </c>
      <c r="L97" s="343">
        <f t="shared" si="4"/>
        <v>352.79999999999995</v>
      </c>
      <c r="M97" s="343">
        <v>0</v>
      </c>
      <c r="N97" s="343">
        <v>0</v>
      </c>
      <c r="O97" s="343">
        <f t="shared" si="5"/>
        <v>504</v>
      </c>
      <c r="P97" s="343">
        <v>0</v>
      </c>
      <c r="Q97" s="343">
        <v>20</v>
      </c>
      <c r="R97" s="343">
        <v>14</v>
      </c>
      <c r="S97" s="343">
        <v>7.5</v>
      </c>
      <c r="T97" s="343">
        <v>25</v>
      </c>
      <c r="U97" s="343">
        <v>10</v>
      </c>
      <c r="V97" s="343">
        <v>40</v>
      </c>
      <c r="W97" s="343">
        <v>15</v>
      </c>
      <c r="X97" s="343">
        <v>0.5</v>
      </c>
      <c r="Y97" s="343">
        <v>100</v>
      </c>
      <c r="Z97" s="343">
        <v>3.5</v>
      </c>
      <c r="AA97" s="343">
        <v>400</v>
      </c>
      <c r="AB97" s="343">
        <v>400</v>
      </c>
      <c r="AC97" s="343">
        <v>1</v>
      </c>
      <c r="AD97" s="343">
        <v>400</v>
      </c>
      <c r="AE97" s="343">
        <v>30</v>
      </c>
      <c r="AF97" s="343">
        <v>3300</v>
      </c>
      <c r="AG97" s="343">
        <v>800</v>
      </c>
      <c r="AH97" s="343">
        <v>30</v>
      </c>
      <c r="AI97" s="343">
        <v>20</v>
      </c>
    </row>
    <row r="98" spans="1:35">
      <c r="A98" s="354" t="s">
        <v>413</v>
      </c>
      <c r="B98" s="343"/>
      <c r="C98" s="343"/>
      <c r="D98" s="342">
        <v>604</v>
      </c>
      <c r="E98" s="358">
        <v>5</v>
      </c>
      <c r="F98" s="358"/>
      <c r="G98" s="343"/>
      <c r="H98" s="343"/>
      <c r="I98" s="343"/>
      <c r="J98" s="343"/>
      <c r="K98" s="343"/>
      <c r="L98" s="343">
        <f t="shared" si="4"/>
        <v>422.79999999999995</v>
      </c>
      <c r="M98" s="343"/>
      <c r="N98" s="343"/>
      <c r="O98" s="343">
        <f t="shared" si="5"/>
        <v>604</v>
      </c>
      <c r="P98" s="343"/>
      <c r="Q98" s="343"/>
      <c r="R98" s="343"/>
      <c r="S98" s="343"/>
      <c r="T98" s="343"/>
      <c r="U98" s="343"/>
      <c r="V98" s="343"/>
      <c r="W98" s="343"/>
      <c r="X98" s="343"/>
      <c r="Y98" s="343"/>
      <c r="Z98" s="343"/>
      <c r="AA98" s="343"/>
      <c r="AB98" s="343"/>
      <c r="AC98" s="343"/>
      <c r="AD98" s="343"/>
      <c r="AE98" s="343"/>
      <c r="AF98" s="343"/>
      <c r="AG98" s="343"/>
      <c r="AH98" s="343"/>
      <c r="AI98" s="343"/>
    </row>
    <row r="99" spans="1:35">
      <c r="A99" s="354" t="s">
        <v>413</v>
      </c>
      <c r="B99" s="343">
        <v>7</v>
      </c>
      <c r="C99" s="343">
        <v>282</v>
      </c>
      <c r="D99" s="342">
        <v>203</v>
      </c>
      <c r="E99" s="358">
        <v>6</v>
      </c>
      <c r="F99" s="358"/>
      <c r="G99" s="343">
        <v>7.0000000000000007E-2</v>
      </c>
      <c r="H99" s="343">
        <v>12.1</v>
      </c>
      <c r="I99" s="343">
        <f>H99*0.61</f>
        <v>7.3809999999999993</v>
      </c>
      <c r="J99" s="343">
        <f>H99*0.27</f>
        <v>3.2669999999999999</v>
      </c>
      <c r="K99" s="343">
        <f>H99*0.2</f>
        <v>2.42</v>
      </c>
      <c r="L99" s="343">
        <f t="shared" si="4"/>
        <v>142.1</v>
      </c>
      <c r="M99" s="343">
        <v>0</v>
      </c>
      <c r="N99" s="343">
        <v>0</v>
      </c>
      <c r="O99" s="343">
        <f t="shared" si="5"/>
        <v>203</v>
      </c>
      <c r="P99" s="343">
        <v>0</v>
      </c>
      <c r="Q99" s="343">
        <v>8</v>
      </c>
      <c r="R99" s="343">
        <v>5.6</v>
      </c>
      <c r="S99" s="343"/>
      <c r="T99" s="343"/>
      <c r="U99" s="343"/>
      <c r="V99" s="343"/>
      <c r="W99" s="343"/>
      <c r="X99" s="343"/>
      <c r="Y99" s="343"/>
      <c r="Z99" s="343"/>
      <c r="AA99" s="343"/>
      <c r="AB99" s="343"/>
      <c r="AC99" s="343"/>
      <c r="AD99" s="343"/>
      <c r="AE99" s="343"/>
      <c r="AF99" s="343"/>
      <c r="AG99" s="343"/>
      <c r="AH99" s="343"/>
      <c r="AI99" s="343"/>
    </row>
    <row r="100" spans="1:35">
      <c r="A100" s="354" t="s">
        <v>413</v>
      </c>
      <c r="B100" s="343">
        <v>13.9</v>
      </c>
      <c r="C100" s="343">
        <v>563</v>
      </c>
      <c r="D100" s="342">
        <v>407</v>
      </c>
      <c r="E100" s="358">
        <v>6</v>
      </c>
      <c r="F100" s="358"/>
      <c r="G100" s="343">
        <v>0.15</v>
      </c>
      <c r="H100" s="343">
        <v>24.2</v>
      </c>
      <c r="I100" s="343">
        <f>H100*0.61</f>
        <v>14.761999999999999</v>
      </c>
      <c r="J100" s="343">
        <f>H100*0.27</f>
        <v>6.5339999999999998</v>
      </c>
      <c r="K100" s="343">
        <f>H100*0.2</f>
        <v>4.84</v>
      </c>
      <c r="L100" s="343">
        <f t="shared" si="4"/>
        <v>284.89999999999998</v>
      </c>
      <c r="M100" s="343">
        <v>0</v>
      </c>
      <c r="N100" s="343">
        <v>0</v>
      </c>
      <c r="O100" s="343">
        <f t="shared" si="5"/>
        <v>407</v>
      </c>
      <c r="P100" s="343">
        <v>0</v>
      </c>
      <c r="Q100" s="343">
        <v>16</v>
      </c>
      <c r="R100" s="343">
        <v>11.2</v>
      </c>
      <c r="S100" s="343"/>
      <c r="T100" s="343"/>
      <c r="U100" s="343"/>
      <c r="V100" s="343"/>
      <c r="W100" s="343"/>
      <c r="X100" s="343"/>
      <c r="Y100" s="343"/>
      <c r="Z100" s="343"/>
      <c r="AA100" s="343"/>
      <c r="AB100" s="343"/>
      <c r="AC100" s="343"/>
      <c r="AD100" s="343"/>
      <c r="AE100" s="343"/>
      <c r="AF100" s="343"/>
      <c r="AG100" s="343"/>
      <c r="AH100" s="343"/>
      <c r="AI100" s="343"/>
    </row>
    <row r="101" spans="1:35">
      <c r="A101" s="354" t="s">
        <v>413</v>
      </c>
      <c r="B101" s="343">
        <v>17.399999999999999</v>
      </c>
      <c r="C101" s="343">
        <v>704</v>
      </c>
      <c r="D101" s="342">
        <v>508</v>
      </c>
      <c r="E101" s="358">
        <v>6</v>
      </c>
      <c r="F101" s="358"/>
      <c r="G101" s="343">
        <v>0.18</v>
      </c>
      <c r="H101" s="343">
        <v>30.3</v>
      </c>
      <c r="I101" s="343">
        <f>H101*0.61</f>
        <v>18.483000000000001</v>
      </c>
      <c r="J101" s="343">
        <f>H101*0.27</f>
        <v>8.1810000000000009</v>
      </c>
      <c r="K101" s="343">
        <f>H101*0.2</f>
        <v>6.0600000000000005</v>
      </c>
      <c r="L101" s="343">
        <f t="shared" si="4"/>
        <v>355.59999999999997</v>
      </c>
      <c r="M101" s="343">
        <v>0</v>
      </c>
      <c r="N101" s="343">
        <v>0</v>
      </c>
      <c r="O101" s="343">
        <f t="shared" si="5"/>
        <v>508</v>
      </c>
      <c r="P101" s="343">
        <v>0</v>
      </c>
      <c r="Q101" s="343">
        <v>20</v>
      </c>
      <c r="R101" s="343">
        <v>14</v>
      </c>
      <c r="S101" s="343">
        <v>7.5</v>
      </c>
      <c r="T101" s="343">
        <v>25</v>
      </c>
      <c r="U101" s="343">
        <v>10</v>
      </c>
      <c r="V101" s="343">
        <v>40</v>
      </c>
      <c r="W101" s="343">
        <v>15</v>
      </c>
      <c r="X101" s="343">
        <v>0.5</v>
      </c>
      <c r="Y101" s="343">
        <v>100</v>
      </c>
      <c r="Z101" s="343">
        <v>3.5</v>
      </c>
      <c r="AA101" s="343">
        <v>400</v>
      </c>
      <c r="AB101" s="343">
        <v>400</v>
      </c>
      <c r="AC101" s="343">
        <v>1</v>
      </c>
      <c r="AD101" s="343">
        <v>400</v>
      </c>
      <c r="AE101" s="343">
        <v>30</v>
      </c>
      <c r="AF101" s="343">
        <v>3300</v>
      </c>
      <c r="AG101" s="343">
        <v>800</v>
      </c>
      <c r="AH101" s="343">
        <v>30</v>
      </c>
      <c r="AI101" s="343">
        <v>20</v>
      </c>
    </row>
    <row r="102" spans="1:35">
      <c r="A102" s="354" t="s">
        <v>413</v>
      </c>
      <c r="B102" s="343"/>
      <c r="C102" s="343"/>
      <c r="D102" s="342">
        <v>610</v>
      </c>
      <c r="E102" s="358">
        <v>6</v>
      </c>
      <c r="F102" s="358"/>
      <c r="G102" s="343"/>
      <c r="H102" s="343"/>
      <c r="I102" s="343"/>
      <c r="J102" s="343"/>
      <c r="K102" s="343"/>
      <c r="L102" s="343">
        <f t="shared" si="4"/>
        <v>427</v>
      </c>
      <c r="M102" s="343"/>
      <c r="N102" s="343"/>
      <c r="O102" s="343">
        <f t="shared" si="5"/>
        <v>610</v>
      </c>
      <c r="P102" s="343"/>
      <c r="Q102" s="343"/>
      <c r="R102" s="343"/>
      <c r="S102" s="343"/>
      <c r="T102" s="343"/>
      <c r="U102" s="343"/>
      <c r="V102" s="343"/>
      <c r="W102" s="343"/>
      <c r="X102" s="343"/>
      <c r="Y102" s="343"/>
      <c r="Z102" s="343"/>
      <c r="AA102" s="343"/>
      <c r="AB102" s="343"/>
      <c r="AC102" s="343"/>
      <c r="AD102" s="343"/>
      <c r="AE102" s="343"/>
      <c r="AF102" s="343"/>
      <c r="AG102" s="343"/>
      <c r="AH102" s="343"/>
      <c r="AI102" s="343"/>
    </row>
    <row r="103" spans="1:35">
      <c r="A103" s="354" t="s">
        <v>413</v>
      </c>
      <c r="B103" s="343">
        <v>7.2</v>
      </c>
      <c r="C103" s="343">
        <v>291</v>
      </c>
      <c r="D103" s="342">
        <v>206</v>
      </c>
      <c r="E103" s="358">
        <v>7</v>
      </c>
      <c r="F103" s="358"/>
      <c r="G103" s="343">
        <v>0.1</v>
      </c>
      <c r="H103" s="343">
        <v>12.5</v>
      </c>
      <c r="I103" s="343">
        <f>H103*0.61</f>
        <v>7.625</v>
      </c>
      <c r="J103" s="343">
        <f>H103*0.27</f>
        <v>3.375</v>
      </c>
      <c r="K103" s="343">
        <f>H103*0.2</f>
        <v>2.5</v>
      </c>
      <c r="L103" s="343">
        <f t="shared" si="4"/>
        <v>144.19999999999999</v>
      </c>
      <c r="M103" s="343">
        <v>0</v>
      </c>
      <c r="N103" s="343">
        <v>0</v>
      </c>
      <c r="O103" s="343">
        <f t="shared" si="5"/>
        <v>206.00000000000003</v>
      </c>
      <c r="P103" s="343">
        <v>0</v>
      </c>
      <c r="Q103" s="343">
        <v>11.2</v>
      </c>
      <c r="R103" s="343">
        <v>8</v>
      </c>
      <c r="S103" s="343"/>
      <c r="T103" s="343"/>
      <c r="U103" s="343"/>
      <c r="V103" s="343"/>
      <c r="W103" s="343"/>
      <c r="X103" s="343"/>
      <c r="Y103" s="343"/>
      <c r="Z103" s="343"/>
      <c r="AA103" s="343"/>
      <c r="AB103" s="343"/>
      <c r="AC103" s="343"/>
      <c r="AD103" s="343"/>
      <c r="AE103" s="343"/>
      <c r="AF103" s="343"/>
      <c r="AG103" s="343"/>
      <c r="AH103" s="343"/>
      <c r="AI103" s="343"/>
    </row>
    <row r="104" spans="1:35">
      <c r="A104" s="354" t="s">
        <v>413</v>
      </c>
      <c r="B104" s="343">
        <v>14.3</v>
      </c>
      <c r="C104" s="343">
        <v>583</v>
      </c>
      <c r="D104" s="342">
        <v>412</v>
      </c>
      <c r="E104" s="358">
        <v>7</v>
      </c>
      <c r="F104" s="358"/>
      <c r="G104" s="343">
        <v>0.19</v>
      </c>
      <c r="H104" s="343">
        <v>25.1</v>
      </c>
      <c r="I104" s="343">
        <f>H104*0.61</f>
        <v>15.311</v>
      </c>
      <c r="J104" s="343">
        <f>H104*0.27</f>
        <v>6.777000000000001</v>
      </c>
      <c r="K104" s="343">
        <f>H104*0.2</f>
        <v>5.0200000000000005</v>
      </c>
      <c r="L104" s="343">
        <f t="shared" si="4"/>
        <v>288.39999999999998</v>
      </c>
      <c r="M104" s="343">
        <v>0</v>
      </c>
      <c r="N104" s="343">
        <v>0</v>
      </c>
      <c r="O104" s="343">
        <f t="shared" si="5"/>
        <v>412.00000000000006</v>
      </c>
      <c r="P104" s="343">
        <v>0</v>
      </c>
      <c r="Q104" s="343">
        <v>22.4</v>
      </c>
      <c r="R104" s="343">
        <v>16</v>
      </c>
      <c r="S104" s="343"/>
      <c r="T104" s="343"/>
      <c r="U104" s="343"/>
      <c r="V104" s="343"/>
      <c r="W104" s="343"/>
      <c r="X104" s="343"/>
      <c r="Y104" s="343"/>
      <c r="Z104" s="343"/>
      <c r="AA104" s="343"/>
      <c r="AB104" s="343"/>
      <c r="AC104" s="343"/>
      <c r="AD104" s="343"/>
      <c r="AE104" s="343"/>
      <c r="AF104" s="343"/>
      <c r="AG104" s="343"/>
      <c r="AH104" s="343"/>
      <c r="AI104" s="343"/>
    </row>
    <row r="105" spans="1:35">
      <c r="A105" s="354" t="s">
        <v>413</v>
      </c>
      <c r="B105" s="343">
        <v>17.899999999999999</v>
      </c>
      <c r="C105" s="343">
        <v>729</v>
      </c>
      <c r="D105" s="342">
        <v>515</v>
      </c>
      <c r="E105" s="358">
        <v>7</v>
      </c>
      <c r="F105" s="358"/>
      <c r="G105" s="343">
        <v>0.24</v>
      </c>
      <c r="H105" s="343">
        <v>31.3</v>
      </c>
      <c r="I105" s="343">
        <f>H105*0.61</f>
        <v>19.093</v>
      </c>
      <c r="J105" s="343">
        <f>H105*0.27</f>
        <v>8.4510000000000005</v>
      </c>
      <c r="K105" s="343">
        <f>H105*0.2</f>
        <v>6.2600000000000007</v>
      </c>
      <c r="L105" s="343">
        <f t="shared" si="4"/>
        <v>360.5</v>
      </c>
      <c r="M105" s="343">
        <v>0</v>
      </c>
      <c r="N105" s="343">
        <v>0</v>
      </c>
      <c r="O105" s="343">
        <f t="shared" si="5"/>
        <v>515</v>
      </c>
      <c r="P105" s="343">
        <v>0</v>
      </c>
      <c r="Q105" s="343">
        <v>28</v>
      </c>
      <c r="R105" s="343">
        <v>20</v>
      </c>
      <c r="S105" s="343">
        <v>7.6</v>
      </c>
      <c r="T105" s="343">
        <v>25</v>
      </c>
      <c r="U105" s="343">
        <v>10</v>
      </c>
      <c r="V105" s="343">
        <v>40</v>
      </c>
      <c r="W105" s="343">
        <v>15</v>
      </c>
      <c r="X105" s="343">
        <v>0.5</v>
      </c>
      <c r="Y105" s="343">
        <v>100</v>
      </c>
      <c r="Z105" s="343">
        <v>3.5</v>
      </c>
      <c r="AA105" s="343">
        <v>400</v>
      </c>
      <c r="AB105" s="343">
        <v>400</v>
      </c>
      <c r="AC105" s="343">
        <v>1</v>
      </c>
      <c r="AD105" s="343">
        <v>400</v>
      </c>
      <c r="AE105" s="343">
        <v>30</v>
      </c>
      <c r="AF105" s="343">
        <v>3300</v>
      </c>
      <c r="AG105" s="343">
        <v>800</v>
      </c>
      <c r="AH105" s="343">
        <v>30</v>
      </c>
      <c r="AI105" s="343">
        <v>20</v>
      </c>
    </row>
    <row r="106" spans="1:35">
      <c r="A106" s="354" t="s">
        <v>413</v>
      </c>
      <c r="B106" s="343"/>
      <c r="C106" s="343"/>
      <c r="D106" s="342">
        <v>618</v>
      </c>
      <c r="E106" s="358">
        <v>7</v>
      </c>
      <c r="F106" s="358"/>
      <c r="G106" s="343"/>
      <c r="H106" s="343"/>
      <c r="I106" s="343"/>
      <c r="J106" s="343"/>
      <c r="K106" s="343"/>
      <c r="L106" s="343">
        <f t="shared" si="4"/>
        <v>432.59999999999997</v>
      </c>
      <c r="M106" s="343"/>
      <c r="N106" s="343"/>
      <c r="O106" s="343">
        <f t="shared" si="5"/>
        <v>618</v>
      </c>
      <c r="P106" s="343"/>
      <c r="Q106" s="343"/>
      <c r="R106" s="343"/>
      <c r="S106" s="343"/>
      <c r="T106" s="343"/>
      <c r="U106" s="343"/>
      <c r="V106" s="343"/>
      <c r="W106" s="343"/>
      <c r="X106" s="343"/>
      <c r="Y106" s="343"/>
      <c r="Z106" s="343"/>
      <c r="AA106" s="343"/>
      <c r="AB106" s="343"/>
      <c r="AC106" s="343"/>
      <c r="AD106" s="343"/>
      <c r="AE106" s="343"/>
      <c r="AF106" s="343"/>
      <c r="AG106" s="343"/>
      <c r="AH106" s="343"/>
      <c r="AI106" s="343"/>
    </row>
    <row r="107" spans="1:35">
      <c r="A107" s="354" t="s">
        <v>413</v>
      </c>
      <c r="B107" s="343">
        <v>7.4</v>
      </c>
      <c r="C107" s="343">
        <v>304</v>
      </c>
      <c r="D107" s="342">
        <v>209</v>
      </c>
      <c r="E107" s="358">
        <v>8</v>
      </c>
      <c r="F107" s="358"/>
      <c r="G107" s="343">
        <v>0.13</v>
      </c>
      <c r="H107" s="343">
        <v>13.1</v>
      </c>
      <c r="I107" s="343">
        <f>H107*0.61</f>
        <v>7.9909999999999997</v>
      </c>
      <c r="J107" s="343">
        <f>H107*0.27</f>
        <v>3.5369999999999999</v>
      </c>
      <c r="K107" s="343">
        <f>H107*0.2</f>
        <v>2.62</v>
      </c>
      <c r="L107" s="343">
        <f t="shared" si="4"/>
        <v>146.29999999999998</v>
      </c>
      <c r="M107" s="343">
        <v>0</v>
      </c>
      <c r="N107" s="343">
        <v>0</v>
      </c>
      <c r="O107" s="343">
        <f t="shared" si="5"/>
        <v>209</v>
      </c>
      <c r="P107" s="343">
        <v>0</v>
      </c>
      <c r="Q107" s="343">
        <v>11.2</v>
      </c>
      <c r="R107" s="343">
        <v>8</v>
      </c>
      <c r="S107" s="343"/>
      <c r="T107" s="343"/>
      <c r="U107" s="343"/>
      <c r="V107" s="343"/>
      <c r="W107" s="343"/>
      <c r="X107" s="343"/>
      <c r="Y107" s="343"/>
      <c r="Z107" s="343"/>
      <c r="AA107" s="343"/>
      <c r="AB107" s="343"/>
      <c r="AC107" s="343"/>
      <c r="AD107" s="343"/>
      <c r="AE107" s="343"/>
      <c r="AF107" s="343"/>
      <c r="AG107" s="343"/>
      <c r="AH107" s="343"/>
      <c r="AI107" s="343"/>
    </row>
    <row r="108" spans="1:35">
      <c r="A108" s="354" t="s">
        <v>413</v>
      </c>
      <c r="B108" s="343">
        <v>14.8</v>
      </c>
      <c r="C108" s="343">
        <v>607</v>
      </c>
      <c r="D108" s="342">
        <v>419</v>
      </c>
      <c r="E108" s="358">
        <v>8</v>
      </c>
      <c r="F108" s="358"/>
      <c r="G108" s="343">
        <v>0.26</v>
      </c>
      <c r="H108" s="343">
        <v>26.1</v>
      </c>
      <c r="I108" s="343">
        <f>H108*0.61</f>
        <v>15.921000000000001</v>
      </c>
      <c r="J108" s="343">
        <f>H108*0.27</f>
        <v>7.0470000000000006</v>
      </c>
      <c r="K108" s="343">
        <f>H108*0.2</f>
        <v>5.2200000000000006</v>
      </c>
      <c r="L108" s="343">
        <f t="shared" si="4"/>
        <v>293.29999999999995</v>
      </c>
      <c r="M108" s="343">
        <v>0</v>
      </c>
      <c r="N108" s="343">
        <v>0</v>
      </c>
      <c r="O108" s="343">
        <f t="shared" si="5"/>
        <v>419</v>
      </c>
      <c r="P108" s="343">
        <v>0</v>
      </c>
      <c r="Q108" s="343">
        <v>22.4</v>
      </c>
      <c r="R108" s="343">
        <v>16</v>
      </c>
      <c r="S108" s="343"/>
      <c r="T108" s="343"/>
      <c r="U108" s="343"/>
      <c r="V108" s="343"/>
      <c r="W108" s="343"/>
      <c r="X108" s="343"/>
      <c r="Y108" s="343"/>
      <c r="Z108" s="343"/>
      <c r="AA108" s="343"/>
      <c r="AB108" s="343"/>
      <c r="AC108" s="343"/>
      <c r="AD108" s="343"/>
      <c r="AE108" s="343"/>
      <c r="AF108" s="343"/>
      <c r="AG108" s="343"/>
      <c r="AH108" s="343"/>
      <c r="AI108" s="343"/>
    </row>
    <row r="109" spans="1:35">
      <c r="A109" s="354" t="s">
        <v>413</v>
      </c>
      <c r="B109" s="343">
        <v>18.5</v>
      </c>
      <c r="C109" s="343">
        <v>759</v>
      </c>
      <c r="D109" s="342">
        <v>523</v>
      </c>
      <c r="E109" s="358">
        <v>8</v>
      </c>
      <c r="F109" s="358"/>
      <c r="G109" s="343">
        <v>0.32</v>
      </c>
      <c r="H109" s="343">
        <v>32.700000000000003</v>
      </c>
      <c r="I109" s="343">
        <f>H109*0.61</f>
        <v>19.947000000000003</v>
      </c>
      <c r="J109" s="343">
        <f>H109*0.27</f>
        <v>8.8290000000000006</v>
      </c>
      <c r="K109" s="343">
        <f>H109*0.2</f>
        <v>6.5400000000000009</v>
      </c>
      <c r="L109" s="343">
        <f t="shared" si="4"/>
        <v>366.09999999999997</v>
      </c>
      <c r="M109" s="343">
        <v>0</v>
      </c>
      <c r="N109" s="343">
        <v>0</v>
      </c>
      <c r="O109" s="343">
        <f t="shared" si="5"/>
        <v>523</v>
      </c>
      <c r="P109" s="343">
        <v>0</v>
      </c>
      <c r="Q109" s="343">
        <v>28</v>
      </c>
      <c r="R109" s="343">
        <v>20</v>
      </c>
      <c r="S109" s="343">
        <v>7.6</v>
      </c>
      <c r="T109" s="343">
        <v>25</v>
      </c>
      <c r="U109" s="343">
        <v>10</v>
      </c>
      <c r="V109" s="343">
        <v>40</v>
      </c>
      <c r="W109" s="343">
        <v>15</v>
      </c>
      <c r="X109" s="343">
        <v>0.5</v>
      </c>
      <c r="Y109" s="343">
        <v>100</v>
      </c>
      <c r="Z109" s="343">
        <v>3.5</v>
      </c>
      <c r="AA109" s="343">
        <v>400</v>
      </c>
      <c r="AB109" s="343">
        <v>400</v>
      </c>
      <c r="AC109" s="343">
        <v>1</v>
      </c>
      <c r="AD109" s="343">
        <v>400</v>
      </c>
      <c r="AE109" s="343">
        <v>30</v>
      </c>
      <c r="AF109" s="343">
        <v>3300</v>
      </c>
      <c r="AG109" s="343">
        <v>800</v>
      </c>
      <c r="AH109" s="343">
        <v>30</v>
      </c>
      <c r="AI109" s="343">
        <v>20</v>
      </c>
    </row>
    <row r="110" spans="1:35">
      <c r="A110" s="354" t="s">
        <v>413</v>
      </c>
      <c r="B110" s="343"/>
      <c r="C110" s="343"/>
      <c r="D110" s="342">
        <v>628</v>
      </c>
      <c r="E110" s="358">
        <v>8</v>
      </c>
      <c r="F110" s="358"/>
      <c r="G110" s="343"/>
      <c r="H110" s="343"/>
      <c r="I110" s="343"/>
      <c r="J110" s="343"/>
      <c r="K110" s="343"/>
      <c r="L110" s="343">
        <f t="shared" si="4"/>
        <v>439.59999999999997</v>
      </c>
      <c r="M110" s="343"/>
      <c r="N110" s="343"/>
      <c r="O110" s="343">
        <f t="shared" si="5"/>
        <v>628</v>
      </c>
      <c r="P110" s="343"/>
      <c r="Q110" s="343"/>
      <c r="R110" s="343"/>
      <c r="S110" s="343"/>
      <c r="T110" s="343"/>
      <c r="U110" s="343"/>
      <c r="V110" s="343"/>
      <c r="W110" s="343"/>
      <c r="X110" s="343"/>
      <c r="Y110" s="343"/>
      <c r="Z110" s="343"/>
      <c r="AA110" s="343"/>
      <c r="AB110" s="343"/>
      <c r="AC110" s="343"/>
      <c r="AD110" s="343"/>
      <c r="AE110" s="343"/>
      <c r="AF110" s="343"/>
      <c r="AG110" s="343"/>
      <c r="AH110" s="343"/>
      <c r="AI110" s="343"/>
    </row>
    <row r="111" spans="1:35">
      <c r="A111" s="354" t="s">
        <v>413</v>
      </c>
      <c r="B111" s="343">
        <v>7.7</v>
      </c>
      <c r="C111" s="343">
        <v>319</v>
      </c>
      <c r="D111" s="342">
        <v>214</v>
      </c>
      <c r="E111" s="358">
        <v>9</v>
      </c>
      <c r="F111" s="358"/>
      <c r="G111" s="343">
        <v>0.16</v>
      </c>
      <c r="H111" s="343">
        <v>13.7</v>
      </c>
      <c r="I111" s="343">
        <f>H111*0.61</f>
        <v>8.3569999999999993</v>
      </c>
      <c r="J111" s="343">
        <f>H111*0.27</f>
        <v>3.6989999999999998</v>
      </c>
      <c r="K111" s="343">
        <f>H111*0.2</f>
        <v>2.74</v>
      </c>
      <c r="L111" s="343">
        <f t="shared" si="4"/>
        <v>149.79999999999998</v>
      </c>
      <c r="M111" s="343">
        <v>0</v>
      </c>
      <c r="N111" s="343">
        <v>0</v>
      </c>
      <c r="O111" s="343">
        <f t="shared" si="5"/>
        <v>214</v>
      </c>
      <c r="P111" s="343">
        <v>0</v>
      </c>
      <c r="Q111" s="343">
        <v>14.4</v>
      </c>
      <c r="R111" s="343">
        <v>10.5</v>
      </c>
      <c r="S111" s="343"/>
      <c r="T111" s="343"/>
      <c r="U111" s="343"/>
      <c r="V111" s="343"/>
      <c r="W111" s="343"/>
      <c r="X111" s="343"/>
      <c r="Y111" s="343"/>
      <c r="Z111" s="343"/>
      <c r="AA111" s="343"/>
      <c r="AB111" s="343"/>
      <c r="AC111" s="343"/>
      <c r="AD111" s="343"/>
      <c r="AE111" s="343"/>
      <c r="AF111" s="343"/>
      <c r="AG111" s="343"/>
      <c r="AH111" s="343"/>
      <c r="AI111" s="343"/>
    </row>
    <row r="112" spans="1:35">
      <c r="A112" s="354" t="s">
        <v>413</v>
      </c>
      <c r="B112" s="343">
        <v>15.4</v>
      </c>
      <c r="C112" s="343">
        <v>637</v>
      </c>
      <c r="D112" s="342">
        <v>427</v>
      </c>
      <c r="E112" s="358">
        <v>9</v>
      </c>
      <c r="F112" s="358"/>
      <c r="G112" s="343">
        <v>0.33</v>
      </c>
      <c r="H112" s="343">
        <v>27.4</v>
      </c>
      <c r="I112" s="343">
        <f>H112*0.61</f>
        <v>16.713999999999999</v>
      </c>
      <c r="J112" s="343">
        <f>H112*0.27</f>
        <v>7.3979999999999997</v>
      </c>
      <c r="K112" s="343">
        <f>H112*0.2</f>
        <v>5.48</v>
      </c>
      <c r="L112" s="343">
        <f t="shared" si="4"/>
        <v>298.89999999999998</v>
      </c>
      <c r="M112" s="343">
        <v>0</v>
      </c>
      <c r="N112" s="343">
        <v>0</v>
      </c>
      <c r="O112" s="343">
        <f t="shared" si="5"/>
        <v>427</v>
      </c>
      <c r="P112" s="343">
        <v>0</v>
      </c>
      <c r="Q112" s="343">
        <v>28.8</v>
      </c>
      <c r="R112" s="343">
        <v>21</v>
      </c>
      <c r="S112" s="343"/>
      <c r="T112" s="343"/>
      <c r="U112" s="343"/>
      <c r="V112" s="343"/>
      <c r="W112" s="343"/>
      <c r="X112" s="343"/>
      <c r="Y112" s="343"/>
      <c r="Z112" s="343"/>
      <c r="AA112" s="343"/>
      <c r="AB112" s="343"/>
      <c r="AC112" s="343"/>
      <c r="AD112" s="343"/>
      <c r="AE112" s="343"/>
      <c r="AF112" s="343"/>
      <c r="AG112" s="343"/>
      <c r="AH112" s="343"/>
      <c r="AI112" s="343"/>
    </row>
    <row r="113" spans="1:35">
      <c r="A113" s="354" t="s">
        <v>413</v>
      </c>
      <c r="B113" s="343">
        <v>19.2</v>
      </c>
      <c r="C113" s="343">
        <v>797</v>
      </c>
      <c r="D113" s="342">
        <v>534</v>
      </c>
      <c r="E113" s="358">
        <v>9</v>
      </c>
      <c r="F113" s="358"/>
      <c r="G113" s="343">
        <v>0.41</v>
      </c>
      <c r="H113" s="343">
        <v>34.299999999999997</v>
      </c>
      <c r="I113" s="343">
        <f>H113*0.61</f>
        <v>20.922999999999998</v>
      </c>
      <c r="J113" s="343">
        <f>H113*0.27</f>
        <v>9.2609999999999992</v>
      </c>
      <c r="K113" s="343">
        <f>H113*0.2</f>
        <v>6.8599999999999994</v>
      </c>
      <c r="L113" s="343">
        <f t="shared" si="4"/>
        <v>373.79999999999995</v>
      </c>
      <c r="M113" s="343">
        <v>0</v>
      </c>
      <c r="N113" s="343">
        <v>0</v>
      </c>
      <c r="O113" s="343">
        <f t="shared" si="5"/>
        <v>534</v>
      </c>
      <c r="P113" s="343">
        <v>0</v>
      </c>
      <c r="Q113" s="343">
        <v>36</v>
      </c>
      <c r="R113" s="343">
        <v>26.3</v>
      </c>
      <c r="S113" s="343">
        <v>7.7</v>
      </c>
      <c r="T113" s="343">
        <v>25.9</v>
      </c>
      <c r="U113" s="343">
        <v>11</v>
      </c>
      <c r="V113" s="343">
        <v>41</v>
      </c>
      <c r="W113" s="343">
        <v>15</v>
      </c>
      <c r="X113" s="343">
        <v>0.5</v>
      </c>
      <c r="Y113" s="343">
        <v>125</v>
      </c>
      <c r="Z113" s="343">
        <v>4</v>
      </c>
      <c r="AA113" s="343">
        <v>500</v>
      </c>
      <c r="AB113" s="343">
        <v>400</v>
      </c>
      <c r="AC113" s="343">
        <v>1</v>
      </c>
      <c r="AD113" s="343">
        <v>400</v>
      </c>
      <c r="AE113" s="343">
        <v>30</v>
      </c>
      <c r="AF113" s="343">
        <v>3300</v>
      </c>
      <c r="AG113" s="343">
        <v>800</v>
      </c>
      <c r="AH113" s="343">
        <v>30</v>
      </c>
      <c r="AI113" s="343">
        <v>20</v>
      </c>
    </row>
    <row r="114" spans="1:35">
      <c r="A114" s="354" t="s">
        <v>413</v>
      </c>
      <c r="B114" s="343"/>
      <c r="C114" s="343"/>
      <c r="D114" s="342">
        <v>641</v>
      </c>
      <c r="E114" s="358">
        <v>9</v>
      </c>
      <c r="F114" s="358"/>
      <c r="G114" s="343"/>
      <c r="H114" s="343"/>
      <c r="I114" s="343"/>
      <c r="J114" s="343"/>
      <c r="K114" s="343"/>
      <c r="L114" s="343">
        <f t="shared" si="4"/>
        <v>448.7</v>
      </c>
      <c r="M114" s="343"/>
      <c r="N114" s="343"/>
      <c r="O114" s="343">
        <f t="shared" si="5"/>
        <v>641</v>
      </c>
      <c r="P114" s="343"/>
      <c r="Q114" s="343"/>
      <c r="R114" s="343"/>
      <c r="S114" s="343"/>
      <c r="T114" s="343"/>
      <c r="U114" s="343"/>
      <c r="V114" s="343"/>
      <c r="W114" s="343"/>
      <c r="X114" s="343"/>
      <c r="Y114" s="343"/>
      <c r="Z114" s="343"/>
      <c r="AA114" s="343"/>
      <c r="AB114" s="343"/>
      <c r="AC114" s="343"/>
      <c r="AD114" s="343"/>
      <c r="AE114" s="343"/>
      <c r="AF114" s="343"/>
      <c r="AG114" s="343"/>
      <c r="AH114" s="343"/>
      <c r="AI114" s="343"/>
    </row>
    <row r="115" spans="1:35">
      <c r="A115" s="355" t="s">
        <v>40</v>
      </c>
      <c r="B115" s="343">
        <v>8.6999999999999993</v>
      </c>
      <c r="C115" s="343">
        <v>316</v>
      </c>
      <c r="D115" s="342">
        <v>200</v>
      </c>
      <c r="E115" s="358"/>
      <c r="F115" s="358"/>
      <c r="G115" s="343">
        <v>0</v>
      </c>
      <c r="H115" s="343">
        <v>13.6</v>
      </c>
      <c r="I115" s="343">
        <f>H115*0.61</f>
        <v>8.2959999999999994</v>
      </c>
      <c r="J115" s="343">
        <f>H115*0.27</f>
        <v>3.6720000000000002</v>
      </c>
      <c r="K115" s="343">
        <f>H115*0.2</f>
        <v>2.72</v>
      </c>
      <c r="L115" s="343">
        <f t="shared" si="4"/>
        <v>140</v>
      </c>
      <c r="M115" s="343">
        <v>0</v>
      </c>
      <c r="N115" s="343">
        <v>0</v>
      </c>
      <c r="O115" s="343">
        <f t="shared" si="5"/>
        <v>200</v>
      </c>
      <c r="P115" s="343">
        <v>0</v>
      </c>
      <c r="Q115" s="343">
        <v>12</v>
      </c>
      <c r="R115" s="343">
        <v>7.2</v>
      </c>
      <c r="S115" s="343"/>
      <c r="T115" s="343"/>
      <c r="U115" s="343"/>
      <c r="V115" s="343"/>
      <c r="W115" s="343"/>
      <c r="X115" s="343"/>
      <c r="Y115" s="343"/>
      <c r="Z115" s="343"/>
      <c r="AA115" s="343"/>
      <c r="AB115" s="343"/>
      <c r="AC115" s="343"/>
      <c r="AD115" s="343"/>
      <c r="AE115" s="343"/>
      <c r="AF115" s="343"/>
      <c r="AG115" s="343"/>
      <c r="AH115" s="343"/>
      <c r="AI115" s="343"/>
    </row>
    <row r="116" spans="1:35">
      <c r="A116" s="355" t="s">
        <v>40</v>
      </c>
      <c r="B116" s="343">
        <v>17.399999999999999</v>
      </c>
      <c r="C116" s="343">
        <v>631</v>
      </c>
      <c r="D116" s="342">
        <v>400</v>
      </c>
      <c r="E116" s="358"/>
      <c r="F116" s="358"/>
      <c r="G116" s="343">
        <v>0</v>
      </c>
      <c r="H116" s="343">
        <v>27.1</v>
      </c>
      <c r="I116" s="343">
        <f>H116*0.61</f>
        <v>16.530999999999999</v>
      </c>
      <c r="J116" s="343">
        <f>H116*0.27</f>
        <v>7.3170000000000011</v>
      </c>
      <c r="K116" s="343">
        <f>H116*0.2</f>
        <v>5.4200000000000008</v>
      </c>
      <c r="L116" s="343">
        <f t="shared" si="4"/>
        <v>280</v>
      </c>
      <c r="M116" s="343">
        <v>0</v>
      </c>
      <c r="N116" s="343">
        <v>0</v>
      </c>
      <c r="O116" s="343">
        <f t="shared" si="5"/>
        <v>400</v>
      </c>
      <c r="P116" s="343">
        <v>0</v>
      </c>
      <c r="Q116" s="343">
        <v>24</v>
      </c>
      <c r="R116" s="343">
        <v>14.4</v>
      </c>
      <c r="S116" s="343"/>
      <c r="T116" s="343"/>
      <c r="U116" s="343"/>
      <c r="V116" s="343"/>
      <c r="W116" s="343"/>
      <c r="X116" s="343"/>
      <c r="Y116" s="343"/>
      <c r="Z116" s="343"/>
      <c r="AA116" s="343"/>
      <c r="AB116" s="343"/>
      <c r="AC116" s="343"/>
      <c r="AD116" s="343"/>
      <c r="AE116" s="343"/>
      <c r="AF116" s="343"/>
      <c r="AG116" s="343"/>
      <c r="AH116" s="343"/>
      <c r="AI116" s="343"/>
    </row>
    <row r="117" spans="1:35">
      <c r="A117" s="355" t="s">
        <v>40</v>
      </c>
      <c r="B117" s="343">
        <v>21.8</v>
      </c>
      <c r="C117" s="343">
        <v>789</v>
      </c>
      <c r="D117" s="342">
        <v>500</v>
      </c>
      <c r="E117" s="358"/>
      <c r="F117" s="358"/>
      <c r="G117" s="343">
        <v>0</v>
      </c>
      <c r="H117" s="343">
        <v>33.9</v>
      </c>
      <c r="I117" s="343">
        <f>H117*0.61</f>
        <v>20.678999999999998</v>
      </c>
      <c r="J117" s="343">
        <f>H117*0.27</f>
        <v>9.1530000000000005</v>
      </c>
      <c r="K117" s="343">
        <f>H117*0.2</f>
        <v>6.78</v>
      </c>
      <c r="L117" s="343">
        <f t="shared" si="4"/>
        <v>350</v>
      </c>
      <c r="M117" s="343">
        <v>0</v>
      </c>
      <c r="N117" s="343">
        <v>0</v>
      </c>
      <c r="O117" s="343">
        <f t="shared" si="5"/>
        <v>500</v>
      </c>
      <c r="P117" s="343">
        <v>0</v>
      </c>
      <c r="Q117" s="343">
        <v>30</v>
      </c>
      <c r="R117" s="343">
        <v>18</v>
      </c>
      <c r="S117" s="343">
        <v>9.5</v>
      </c>
      <c r="T117" s="343">
        <v>28.5</v>
      </c>
      <c r="U117" s="343">
        <v>13.9</v>
      </c>
      <c r="V117" s="343">
        <v>46.6</v>
      </c>
      <c r="W117" s="343">
        <v>15</v>
      </c>
      <c r="X117" s="343">
        <v>0.5</v>
      </c>
      <c r="Y117" s="343">
        <v>100</v>
      </c>
      <c r="Z117" s="343">
        <v>3.5</v>
      </c>
      <c r="AA117" s="343">
        <v>400</v>
      </c>
      <c r="AB117" s="343">
        <v>400</v>
      </c>
      <c r="AC117" s="343">
        <v>1</v>
      </c>
      <c r="AD117" s="343">
        <v>400</v>
      </c>
      <c r="AE117" s="343">
        <v>22.5</v>
      </c>
      <c r="AF117" s="343">
        <v>3300</v>
      </c>
      <c r="AG117" s="343">
        <v>800</v>
      </c>
      <c r="AH117" s="343">
        <v>30</v>
      </c>
      <c r="AI117" s="343">
        <v>20</v>
      </c>
    </row>
    <row r="118" spans="1:35">
      <c r="A118" s="355" t="s">
        <v>40</v>
      </c>
      <c r="B118" s="343"/>
      <c r="C118" s="343"/>
      <c r="D118" s="342">
        <v>600</v>
      </c>
      <c r="E118" s="358"/>
      <c r="F118" s="358"/>
      <c r="G118" s="343">
        <v>0</v>
      </c>
      <c r="H118" s="343"/>
      <c r="I118" s="343"/>
      <c r="J118" s="343"/>
      <c r="K118" s="343"/>
      <c r="L118" s="343">
        <f t="shared" si="4"/>
        <v>420</v>
      </c>
      <c r="M118" s="343"/>
      <c r="N118" s="343"/>
      <c r="O118" s="343">
        <f t="shared" si="5"/>
        <v>600</v>
      </c>
      <c r="P118" s="343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</row>
    <row r="119" spans="1:35">
      <c r="A119" s="355" t="s">
        <v>39</v>
      </c>
      <c r="B119" s="343">
        <v>7.3</v>
      </c>
      <c r="C119" s="343">
        <v>288</v>
      </c>
      <c r="D119" s="342">
        <v>200</v>
      </c>
      <c r="E119" s="358"/>
      <c r="F119" s="358"/>
      <c r="G119" s="343">
        <v>0</v>
      </c>
      <c r="H119" s="343">
        <v>12.4</v>
      </c>
      <c r="I119" s="343">
        <f>H119*0.61</f>
        <v>7.5640000000000001</v>
      </c>
      <c r="J119" s="343">
        <f>H119*0.27</f>
        <v>3.3480000000000003</v>
      </c>
      <c r="K119" s="343">
        <f>H119*0.2</f>
        <v>2.4800000000000004</v>
      </c>
      <c r="L119" s="343">
        <f t="shared" si="4"/>
        <v>140</v>
      </c>
      <c r="M119" s="343">
        <v>0</v>
      </c>
      <c r="N119" s="343">
        <v>0</v>
      </c>
      <c r="O119" s="343">
        <f t="shared" si="5"/>
        <v>200</v>
      </c>
      <c r="P119" s="343">
        <v>0</v>
      </c>
      <c r="Q119" s="343">
        <v>8</v>
      </c>
      <c r="R119" s="343">
        <v>5.6</v>
      </c>
      <c r="S119" s="343"/>
      <c r="T119" s="343"/>
      <c r="U119" s="343"/>
      <c r="V119" s="343"/>
      <c r="W119" s="343"/>
      <c r="X119" s="343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</row>
    <row r="120" spans="1:35">
      <c r="A120" s="355" t="s">
        <v>39</v>
      </c>
      <c r="B120" s="343">
        <v>14.5</v>
      </c>
      <c r="C120" s="343">
        <v>576</v>
      </c>
      <c r="D120" s="342">
        <v>400</v>
      </c>
      <c r="E120" s="358"/>
      <c r="F120" s="358"/>
      <c r="G120" s="343">
        <v>0</v>
      </c>
      <c r="H120" s="343">
        <v>24.8</v>
      </c>
      <c r="I120" s="343">
        <f>H120*0.61</f>
        <v>15.128</v>
      </c>
      <c r="J120" s="343">
        <f>H120*0.27</f>
        <v>6.6960000000000006</v>
      </c>
      <c r="K120" s="343">
        <f>H120*0.2</f>
        <v>4.9600000000000009</v>
      </c>
      <c r="L120" s="343">
        <f t="shared" si="4"/>
        <v>280</v>
      </c>
      <c r="M120" s="343">
        <v>0</v>
      </c>
      <c r="N120" s="343">
        <v>0</v>
      </c>
      <c r="O120" s="343">
        <f t="shared" si="5"/>
        <v>400</v>
      </c>
      <c r="P120" s="343">
        <v>0</v>
      </c>
      <c r="Q120" s="343">
        <v>16</v>
      </c>
      <c r="R120" s="343">
        <v>11.2</v>
      </c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343"/>
      <c r="AE120" s="343"/>
      <c r="AF120" s="343"/>
      <c r="AG120" s="343"/>
      <c r="AH120" s="343"/>
      <c r="AI120" s="343"/>
    </row>
    <row r="121" spans="1:35">
      <c r="A121" s="355" t="s">
        <v>39</v>
      </c>
      <c r="B121" s="343">
        <v>18.2</v>
      </c>
      <c r="C121" s="343">
        <v>720</v>
      </c>
      <c r="D121" s="342">
        <v>500</v>
      </c>
      <c r="E121" s="358"/>
      <c r="F121" s="358"/>
      <c r="G121" s="343">
        <v>0</v>
      </c>
      <c r="H121" s="343">
        <v>31</v>
      </c>
      <c r="I121" s="343">
        <f>H121*0.61</f>
        <v>18.91</v>
      </c>
      <c r="J121" s="343">
        <f>H121*0.27</f>
        <v>8.370000000000001</v>
      </c>
      <c r="K121" s="343">
        <f>H121*0.2</f>
        <v>6.2</v>
      </c>
      <c r="L121" s="343">
        <f t="shared" si="4"/>
        <v>350</v>
      </c>
      <c r="M121" s="343">
        <v>0</v>
      </c>
      <c r="N121" s="343">
        <v>0</v>
      </c>
      <c r="O121" s="343">
        <f t="shared" si="5"/>
        <v>500</v>
      </c>
      <c r="P121" s="343">
        <v>0</v>
      </c>
      <c r="Q121" s="343">
        <v>20</v>
      </c>
      <c r="R121" s="343">
        <v>14</v>
      </c>
      <c r="S121" s="343">
        <v>7.5</v>
      </c>
      <c r="T121" s="343">
        <v>25</v>
      </c>
      <c r="U121" s="343">
        <v>10</v>
      </c>
      <c r="V121" s="343">
        <v>40</v>
      </c>
      <c r="W121" s="343">
        <v>15</v>
      </c>
      <c r="X121" s="343">
        <v>0.5</v>
      </c>
      <c r="Y121" s="343">
        <v>100</v>
      </c>
      <c r="Z121" s="343">
        <v>3.5</v>
      </c>
      <c r="AA121" s="343">
        <v>400</v>
      </c>
      <c r="AB121" s="343">
        <v>400</v>
      </c>
      <c r="AC121" s="343">
        <v>1</v>
      </c>
      <c r="AD121" s="343">
        <v>400</v>
      </c>
      <c r="AE121" s="343">
        <v>15</v>
      </c>
      <c r="AF121" s="343">
        <v>3300</v>
      </c>
      <c r="AG121" s="343">
        <v>500</v>
      </c>
      <c r="AH121" s="343">
        <v>30</v>
      </c>
      <c r="AI121" s="343">
        <v>20</v>
      </c>
    </row>
    <row r="122" spans="1:35">
      <c r="A122" s="355" t="s">
        <v>39</v>
      </c>
      <c r="B122" s="343"/>
      <c r="C122" s="343"/>
      <c r="D122" s="342">
        <v>600</v>
      </c>
      <c r="E122" s="358"/>
      <c r="F122" s="358"/>
      <c r="G122" s="343">
        <v>0</v>
      </c>
      <c r="H122" s="343"/>
      <c r="I122" s="343"/>
      <c r="J122" s="343"/>
      <c r="K122" s="343"/>
      <c r="L122" s="343">
        <f t="shared" si="4"/>
        <v>420</v>
      </c>
      <c r="M122" s="343"/>
      <c r="N122" s="343"/>
      <c r="O122" s="343">
        <f t="shared" si="5"/>
        <v>600</v>
      </c>
      <c r="P122" s="343"/>
      <c r="Q122" s="343"/>
      <c r="R122" s="343"/>
      <c r="S122" s="343"/>
      <c r="T122" s="343"/>
      <c r="U122" s="343"/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</row>
    <row r="123" spans="1:35">
      <c r="A123" s="354" t="s">
        <v>416</v>
      </c>
      <c r="B123" s="343">
        <v>9.3000000000000007</v>
      </c>
      <c r="C123" s="343">
        <v>307</v>
      </c>
      <c r="D123" s="342">
        <v>200</v>
      </c>
      <c r="E123" s="358"/>
      <c r="F123" s="359" t="s">
        <v>407</v>
      </c>
      <c r="G123" s="343">
        <v>0</v>
      </c>
      <c r="H123" s="343">
        <v>12</v>
      </c>
      <c r="I123" s="343">
        <f>H123*0.61</f>
        <v>7.32</v>
      </c>
      <c r="J123" s="343">
        <f>H123*0.27</f>
        <v>3.24</v>
      </c>
      <c r="K123" s="343">
        <f>H123*0.2</f>
        <v>2.4000000000000004</v>
      </c>
      <c r="L123" s="343">
        <f t="shared" si="4"/>
        <v>140</v>
      </c>
      <c r="M123" s="343">
        <v>0</v>
      </c>
      <c r="N123" s="343">
        <v>0</v>
      </c>
      <c r="O123" s="343">
        <f t="shared" si="5"/>
        <v>200</v>
      </c>
      <c r="P123" s="343">
        <v>0</v>
      </c>
      <c r="Q123" s="343">
        <v>12</v>
      </c>
      <c r="R123" s="343">
        <v>7.2</v>
      </c>
      <c r="S123" s="343"/>
      <c r="T123" s="343"/>
      <c r="U123" s="343"/>
      <c r="V123" s="343"/>
      <c r="W123" s="343"/>
      <c r="X123" s="343"/>
      <c r="Y123" s="343"/>
      <c r="Z123" s="343"/>
      <c r="AA123" s="343"/>
      <c r="AB123" s="343"/>
      <c r="AC123" s="343"/>
      <c r="AD123" s="343"/>
      <c r="AE123" s="343"/>
      <c r="AF123" s="343"/>
      <c r="AG123" s="343"/>
      <c r="AH123" s="343"/>
      <c r="AI123" s="343"/>
    </row>
    <row r="124" spans="1:35">
      <c r="A124" s="354" t="s">
        <v>416</v>
      </c>
      <c r="B124" s="343">
        <v>18.600000000000001</v>
      </c>
      <c r="C124" s="343">
        <v>614</v>
      </c>
      <c r="D124" s="342">
        <v>400</v>
      </c>
      <c r="E124" s="358"/>
      <c r="F124" s="359" t="s">
        <v>407</v>
      </c>
      <c r="G124" s="343">
        <v>0</v>
      </c>
      <c r="H124" s="343">
        <v>24.1</v>
      </c>
      <c r="I124" s="343">
        <f>H124*0.61</f>
        <v>14.701000000000001</v>
      </c>
      <c r="J124" s="343">
        <f>H124*0.27</f>
        <v>6.5070000000000006</v>
      </c>
      <c r="K124" s="343">
        <f>H124*0.2</f>
        <v>4.82</v>
      </c>
      <c r="L124" s="343">
        <f t="shared" si="4"/>
        <v>280</v>
      </c>
      <c r="M124" s="343">
        <v>0</v>
      </c>
      <c r="N124" s="343">
        <v>0</v>
      </c>
      <c r="O124" s="343">
        <f t="shared" si="5"/>
        <v>400</v>
      </c>
      <c r="P124" s="343">
        <v>0</v>
      </c>
      <c r="Q124" s="343">
        <v>14</v>
      </c>
      <c r="R124" s="343">
        <v>14.4</v>
      </c>
      <c r="S124" s="343"/>
      <c r="T124" s="343"/>
      <c r="U124" s="343"/>
      <c r="V124" s="343"/>
      <c r="W124" s="343"/>
      <c r="X124" s="343"/>
      <c r="Y124" s="343"/>
      <c r="Z124" s="343"/>
      <c r="AA124" s="343"/>
      <c r="AB124" s="343"/>
      <c r="AC124" s="343"/>
      <c r="AD124" s="343"/>
      <c r="AE124" s="343"/>
      <c r="AF124" s="343"/>
      <c r="AG124" s="343"/>
      <c r="AH124" s="343"/>
      <c r="AI124" s="343"/>
    </row>
    <row r="125" spans="1:35">
      <c r="A125" s="354" t="s">
        <v>416</v>
      </c>
      <c r="B125" s="343">
        <v>20</v>
      </c>
      <c r="C125" s="343">
        <v>699</v>
      </c>
      <c r="D125" s="342">
        <v>500</v>
      </c>
      <c r="E125" s="358"/>
      <c r="F125" s="359" t="s">
        <v>407</v>
      </c>
      <c r="G125" s="343">
        <v>0</v>
      </c>
      <c r="H125" s="343">
        <v>37.1</v>
      </c>
      <c r="I125" s="343">
        <f>H125*0.61</f>
        <v>22.631</v>
      </c>
      <c r="J125" s="343">
        <f>H125*0.27</f>
        <v>10.017000000000001</v>
      </c>
      <c r="K125" s="343">
        <f>H125*0.2</f>
        <v>7.4200000000000008</v>
      </c>
      <c r="L125" s="343">
        <f t="shared" si="4"/>
        <v>350</v>
      </c>
      <c r="M125" s="343">
        <v>0</v>
      </c>
      <c r="N125" s="343">
        <v>0</v>
      </c>
      <c r="O125" s="343">
        <f t="shared" si="5"/>
        <v>500</v>
      </c>
      <c r="P125" s="343">
        <v>0</v>
      </c>
      <c r="Q125" s="343">
        <v>40</v>
      </c>
      <c r="R125" s="343">
        <v>29</v>
      </c>
      <c r="S125" s="343">
        <v>15</v>
      </c>
      <c r="T125" s="343">
        <v>39</v>
      </c>
      <c r="U125" s="343">
        <v>25.5</v>
      </c>
      <c r="V125" s="343">
        <v>66.5</v>
      </c>
      <c r="W125" s="343">
        <v>18.8</v>
      </c>
      <c r="X125" s="343">
        <v>0.6</v>
      </c>
      <c r="Y125" s="343">
        <v>125</v>
      </c>
      <c r="Z125" s="343">
        <v>4.4000000000000004</v>
      </c>
      <c r="AA125" s="343">
        <v>500</v>
      </c>
      <c r="AB125" s="343">
        <v>500</v>
      </c>
      <c r="AC125" s="343">
        <v>1.25</v>
      </c>
      <c r="AD125" s="343">
        <v>500</v>
      </c>
      <c r="AE125" s="343">
        <v>22.5</v>
      </c>
      <c r="AF125" s="343">
        <v>3300</v>
      </c>
      <c r="AG125" s="343">
        <v>1000</v>
      </c>
      <c r="AH125" s="343">
        <v>62.5</v>
      </c>
      <c r="AI125" s="343">
        <v>25</v>
      </c>
    </row>
    <row r="126" spans="1:35">
      <c r="A126" s="354" t="s">
        <v>416</v>
      </c>
      <c r="B126" s="343"/>
      <c r="C126" s="343"/>
      <c r="D126" s="342">
        <v>600</v>
      </c>
      <c r="E126" s="358"/>
      <c r="F126" s="359" t="s">
        <v>407</v>
      </c>
      <c r="G126" s="343">
        <v>0</v>
      </c>
      <c r="H126" s="343"/>
      <c r="I126" s="343"/>
      <c r="J126" s="343"/>
      <c r="K126" s="343"/>
      <c r="L126" s="343">
        <f t="shared" si="4"/>
        <v>420</v>
      </c>
      <c r="M126" s="343"/>
      <c r="N126" s="343"/>
      <c r="O126" s="343">
        <f t="shared" si="5"/>
        <v>600</v>
      </c>
      <c r="P126" s="343"/>
      <c r="Q126" s="343"/>
      <c r="R126" s="343"/>
      <c r="S126" s="343"/>
      <c r="T126" s="343"/>
      <c r="U126" s="343"/>
      <c r="V126" s="343"/>
      <c r="W126" s="343"/>
      <c r="X126" s="343"/>
      <c r="Y126" s="343"/>
      <c r="Z126" s="343"/>
      <c r="AA126" s="343"/>
      <c r="AB126" s="343"/>
      <c r="AC126" s="343"/>
      <c r="AD126" s="343"/>
      <c r="AE126" s="343"/>
      <c r="AF126" s="343"/>
      <c r="AG126" s="343"/>
      <c r="AH126" s="343"/>
      <c r="AI126" s="343"/>
    </row>
    <row r="127" spans="1:35">
      <c r="A127" s="354" t="s">
        <v>416</v>
      </c>
      <c r="B127" s="343" t="s">
        <v>66</v>
      </c>
      <c r="C127" s="343">
        <v>345</v>
      </c>
      <c r="D127" s="342">
        <v>200</v>
      </c>
      <c r="E127" s="358"/>
      <c r="F127" s="358" t="s">
        <v>408</v>
      </c>
      <c r="G127" s="343">
        <v>0</v>
      </c>
      <c r="H127" s="343">
        <v>13.2</v>
      </c>
      <c r="I127" s="343">
        <f>H127*0.61</f>
        <v>8.0519999999999996</v>
      </c>
      <c r="J127" s="343">
        <f>H127*0.27</f>
        <v>3.5640000000000001</v>
      </c>
      <c r="K127" s="343">
        <f>H127*0.2</f>
        <v>2.64</v>
      </c>
      <c r="L127" s="343">
        <f t="shared" si="4"/>
        <v>140</v>
      </c>
      <c r="M127" s="343">
        <v>0</v>
      </c>
      <c r="N127" s="343">
        <v>0</v>
      </c>
      <c r="O127" s="343">
        <f t="shared" si="5"/>
        <v>200</v>
      </c>
      <c r="P127" s="343">
        <v>0</v>
      </c>
      <c r="Q127" s="343">
        <v>14</v>
      </c>
      <c r="R127" s="343">
        <v>8.4</v>
      </c>
      <c r="S127" s="343"/>
      <c r="T127" s="343"/>
      <c r="U127" s="343"/>
      <c r="V127" s="343"/>
      <c r="W127" s="343"/>
      <c r="X127" s="343"/>
      <c r="Y127" s="343"/>
      <c r="Z127" s="343"/>
      <c r="AA127" s="343"/>
      <c r="AB127" s="343"/>
      <c r="AC127" s="343"/>
      <c r="AD127" s="343"/>
      <c r="AE127" s="343"/>
      <c r="AF127" s="343"/>
      <c r="AG127" s="343"/>
      <c r="AH127" s="343"/>
      <c r="AI127" s="343"/>
    </row>
    <row r="128" spans="1:35">
      <c r="A128" s="354" t="s">
        <v>416</v>
      </c>
      <c r="B128" s="343">
        <v>21.3</v>
      </c>
      <c r="C128" s="343">
        <v>689</v>
      </c>
      <c r="D128" s="342">
        <v>400</v>
      </c>
      <c r="E128" s="358"/>
      <c r="F128" s="358" t="s">
        <v>408</v>
      </c>
      <c r="G128" s="343">
        <v>0</v>
      </c>
      <c r="H128" s="343">
        <v>26.4</v>
      </c>
      <c r="I128" s="343">
        <f>H128*0.61</f>
        <v>16.103999999999999</v>
      </c>
      <c r="J128" s="343">
        <f>H128*0.27</f>
        <v>7.1280000000000001</v>
      </c>
      <c r="K128" s="343">
        <f>H128*0.2</f>
        <v>5.28</v>
      </c>
      <c r="L128" s="343">
        <f t="shared" si="4"/>
        <v>280</v>
      </c>
      <c r="M128" s="343">
        <v>0</v>
      </c>
      <c r="N128" s="343">
        <v>0</v>
      </c>
      <c r="O128" s="343">
        <f t="shared" si="5"/>
        <v>400</v>
      </c>
      <c r="P128" s="343">
        <v>0</v>
      </c>
      <c r="Q128" s="343">
        <v>18</v>
      </c>
      <c r="R128" s="343">
        <v>16.8</v>
      </c>
      <c r="S128" s="343"/>
      <c r="T128" s="343"/>
      <c r="U128" s="343"/>
      <c r="V128" s="343"/>
      <c r="W128" s="343"/>
      <c r="X128" s="343"/>
      <c r="Y128" s="343"/>
      <c r="Z128" s="343"/>
      <c r="AA128" s="343"/>
      <c r="AB128" s="343"/>
      <c r="AC128" s="343"/>
      <c r="AD128" s="343"/>
      <c r="AE128" s="343"/>
      <c r="AF128" s="343"/>
      <c r="AG128" s="343"/>
      <c r="AH128" s="343"/>
      <c r="AI128" s="343"/>
    </row>
    <row r="129" spans="1:35">
      <c r="A129" s="354" t="s">
        <v>416</v>
      </c>
      <c r="B129" s="343">
        <v>23.3</v>
      </c>
      <c r="C129" s="343">
        <v>768</v>
      </c>
      <c r="D129" s="342">
        <v>500</v>
      </c>
      <c r="E129" s="358"/>
      <c r="F129" s="358" t="s">
        <v>408</v>
      </c>
      <c r="G129" s="343">
        <v>0</v>
      </c>
      <c r="H129" s="343">
        <v>30.1</v>
      </c>
      <c r="I129" s="343">
        <f>H129*0.61</f>
        <v>18.361000000000001</v>
      </c>
      <c r="J129" s="343">
        <f>H129*0.27</f>
        <v>8.1270000000000007</v>
      </c>
      <c r="K129" s="343">
        <f>H129*0.2</f>
        <v>6.0200000000000005</v>
      </c>
      <c r="L129" s="343">
        <f t="shared" si="4"/>
        <v>350</v>
      </c>
      <c r="M129" s="343">
        <v>0</v>
      </c>
      <c r="N129" s="343">
        <v>0</v>
      </c>
      <c r="O129" s="343">
        <f t="shared" si="5"/>
        <v>500</v>
      </c>
      <c r="P129" s="343">
        <v>0</v>
      </c>
      <c r="Q129" s="343">
        <v>30</v>
      </c>
      <c r="R129" s="343">
        <v>18</v>
      </c>
      <c r="S129" s="343">
        <v>9.5</v>
      </c>
      <c r="T129" s="343">
        <v>28.5</v>
      </c>
      <c r="U129" s="343">
        <v>13.9</v>
      </c>
      <c r="V129" s="343">
        <v>46.6</v>
      </c>
      <c r="W129" s="343">
        <v>15</v>
      </c>
      <c r="X129" s="343">
        <v>0.5</v>
      </c>
      <c r="Y129" s="343">
        <v>100</v>
      </c>
      <c r="Z129" s="343">
        <v>3.5</v>
      </c>
      <c r="AA129" s="343">
        <v>400</v>
      </c>
      <c r="AB129" s="343">
        <v>400</v>
      </c>
      <c r="AC129" s="343">
        <v>1</v>
      </c>
      <c r="AD129" s="343">
        <v>400</v>
      </c>
      <c r="AE129" s="343">
        <v>22.5</v>
      </c>
      <c r="AF129" s="343">
        <v>3300</v>
      </c>
      <c r="AG129" s="343">
        <v>800</v>
      </c>
      <c r="AH129" s="343">
        <v>30</v>
      </c>
      <c r="AI129" s="343">
        <v>20</v>
      </c>
    </row>
    <row r="130" spans="1:35">
      <c r="A130" s="354" t="s">
        <v>416</v>
      </c>
      <c r="B130" s="343"/>
      <c r="C130" s="343"/>
      <c r="D130" s="342">
        <v>600</v>
      </c>
      <c r="E130" s="358"/>
      <c r="F130" s="358" t="s">
        <v>408</v>
      </c>
      <c r="G130" s="343">
        <v>0</v>
      </c>
      <c r="H130" s="343"/>
      <c r="I130" s="343"/>
      <c r="J130" s="343"/>
      <c r="K130" s="343"/>
      <c r="L130" s="343">
        <f t="shared" si="4"/>
        <v>420</v>
      </c>
      <c r="M130" s="343"/>
      <c r="N130" s="343"/>
      <c r="O130" s="343">
        <f t="shared" si="5"/>
        <v>600</v>
      </c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  <c r="AA130" s="343"/>
      <c r="AB130" s="343"/>
      <c r="AC130" s="343"/>
      <c r="AD130" s="343"/>
      <c r="AE130" s="343"/>
      <c r="AF130" s="343"/>
      <c r="AG130" s="343"/>
      <c r="AH130" s="343"/>
      <c r="AI130" s="343"/>
    </row>
    <row r="131" spans="1:35">
      <c r="A131" s="354" t="s">
        <v>416</v>
      </c>
      <c r="B131" s="343">
        <v>8</v>
      </c>
      <c r="C131" s="343">
        <v>80</v>
      </c>
      <c r="D131" s="342">
        <v>200</v>
      </c>
      <c r="E131" s="358"/>
      <c r="F131" s="359" t="s">
        <v>409</v>
      </c>
      <c r="G131" s="343">
        <v>0</v>
      </c>
      <c r="H131" s="343">
        <v>14.8</v>
      </c>
      <c r="I131" s="343">
        <f>H131*0.61</f>
        <v>9.0280000000000005</v>
      </c>
      <c r="J131" s="343">
        <f>H131*0.27</f>
        <v>3.9960000000000004</v>
      </c>
      <c r="K131" s="343">
        <f>H131*0.2</f>
        <v>2.9600000000000004</v>
      </c>
      <c r="L131" s="343">
        <f t="shared" si="4"/>
        <v>140</v>
      </c>
      <c r="M131" s="343">
        <v>0</v>
      </c>
      <c r="N131" s="343">
        <v>0</v>
      </c>
      <c r="O131" s="343">
        <f t="shared" si="5"/>
        <v>200</v>
      </c>
      <c r="P131" s="343">
        <v>0</v>
      </c>
      <c r="Q131" s="343">
        <v>16</v>
      </c>
      <c r="R131" s="343">
        <v>11.6</v>
      </c>
      <c r="S131" s="343"/>
      <c r="T131" s="343"/>
      <c r="U131" s="343"/>
      <c r="V131" s="343"/>
      <c r="W131" s="343"/>
      <c r="X131" s="343"/>
      <c r="Y131" s="343"/>
      <c r="Z131" s="343"/>
      <c r="AA131" s="343"/>
      <c r="AB131" s="343"/>
      <c r="AC131" s="343"/>
      <c r="AD131" s="343"/>
      <c r="AE131" s="343"/>
      <c r="AF131" s="343"/>
      <c r="AG131" s="343"/>
      <c r="AH131" s="343"/>
      <c r="AI131" s="343"/>
    </row>
    <row r="132" spans="1:35">
      <c r="A132" s="354" t="s">
        <v>416</v>
      </c>
      <c r="B132" s="343">
        <v>16</v>
      </c>
      <c r="C132" s="343">
        <v>559</v>
      </c>
      <c r="D132" s="342">
        <v>400</v>
      </c>
      <c r="E132" s="358"/>
      <c r="F132" s="359" t="s">
        <v>409</v>
      </c>
      <c r="G132" s="343">
        <v>0</v>
      </c>
      <c r="H132" s="343">
        <v>29.6</v>
      </c>
      <c r="I132" s="343">
        <f>H132*0.61</f>
        <v>18.056000000000001</v>
      </c>
      <c r="J132" s="343">
        <f>H132*0.27</f>
        <v>7.9920000000000009</v>
      </c>
      <c r="K132" s="343">
        <f>H132*0.2</f>
        <v>5.9200000000000008</v>
      </c>
      <c r="L132" s="343">
        <f t="shared" ref="L132:L138" si="6">D132*0.7</f>
        <v>280</v>
      </c>
      <c r="M132" s="343">
        <v>0</v>
      </c>
      <c r="N132" s="343">
        <v>0</v>
      </c>
      <c r="O132" s="343">
        <f t="shared" ref="O132:O138" si="7">(D132*0.1%)*1000</f>
        <v>400</v>
      </c>
      <c r="P132" s="343">
        <v>0</v>
      </c>
      <c r="Q132" s="343">
        <v>32</v>
      </c>
      <c r="R132" s="343">
        <v>23.2</v>
      </c>
      <c r="S132" s="343"/>
      <c r="T132" s="343"/>
      <c r="U132" s="343"/>
      <c r="V132" s="343"/>
      <c r="W132" s="343"/>
      <c r="X132" s="343"/>
      <c r="Y132" s="343"/>
      <c r="Z132" s="343"/>
      <c r="AA132" s="343"/>
      <c r="AB132" s="343"/>
      <c r="AC132" s="343"/>
      <c r="AD132" s="343"/>
      <c r="AE132" s="343"/>
      <c r="AF132" s="343"/>
      <c r="AG132" s="343"/>
      <c r="AH132" s="343"/>
      <c r="AI132" s="343"/>
    </row>
    <row r="133" spans="1:35">
      <c r="A133" s="354" t="s">
        <v>416</v>
      </c>
      <c r="B133" s="343">
        <v>26.6</v>
      </c>
      <c r="C133" s="343">
        <v>862</v>
      </c>
      <c r="D133" s="342">
        <v>500</v>
      </c>
      <c r="E133" s="358"/>
      <c r="F133" s="359" t="s">
        <v>409</v>
      </c>
      <c r="G133" s="343">
        <v>0</v>
      </c>
      <c r="H133" s="343">
        <v>33</v>
      </c>
      <c r="I133" s="343">
        <f>H133*0.61</f>
        <v>20.13</v>
      </c>
      <c r="J133" s="343">
        <f>H133*0.27</f>
        <v>8.91</v>
      </c>
      <c r="K133" s="343">
        <f>H133*0.2</f>
        <v>6.6000000000000005</v>
      </c>
      <c r="L133" s="343">
        <f t="shared" si="6"/>
        <v>350</v>
      </c>
      <c r="M133" s="343">
        <v>0</v>
      </c>
      <c r="N133" s="343">
        <v>0</v>
      </c>
      <c r="O133" s="343">
        <f t="shared" si="7"/>
        <v>500</v>
      </c>
      <c r="P133" s="343">
        <v>0</v>
      </c>
      <c r="Q133" s="343">
        <v>35</v>
      </c>
      <c r="R133" s="343">
        <v>21</v>
      </c>
      <c r="S133" s="343">
        <v>11.5</v>
      </c>
      <c r="T133" s="343">
        <v>32</v>
      </c>
      <c r="U133" s="343">
        <v>17.8</v>
      </c>
      <c r="V133" s="343">
        <v>53.3</v>
      </c>
      <c r="W133" s="343">
        <v>16.899999999999999</v>
      </c>
      <c r="X133" s="343">
        <v>0.6</v>
      </c>
      <c r="Y133" s="343">
        <v>112.5</v>
      </c>
      <c r="Z133" s="343">
        <v>4</v>
      </c>
      <c r="AA133" s="343">
        <v>450</v>
      </c>
      <c r="AB133" s="343">
        <v>450</v>
      </c>
      <c r="AC133" s="343">
        <v>1.1299999999999999</v>
      </c>
      <c r="AD133" s="343">
        <v>450</v>
      </c>
      <c r="AE133" s="343">
        <v>22.5</v>
      </c>
      <c r="AF133" s="343">
        <v>3300</v>
      </c>
      <c r="AG133" s="343">
        <v>900</v>
      </c>
      <c r="AH133" s="343">
        <v>46.3</v>
      </c>
      <c r="AI133" s="343">
        <v>22.5</v>
      </c>
    </row>
    <row r="134" spans="1:35">
      <c r="A134" s="354" t="s">
        <v>416</v>
      </c>
      <c r="B134" s="343"/>
      <c r="C134" s="343"/>
      <c r="D134" s="342">
        <v>600</v>
      </c>
      <c r="E134" s="358"/>
      <c r="F134" s="359" t="s">
        <v>409</v>
      </c>
      <c r="G134" s="343">
        <v>0</v>
      </c>
      <c r="H134" s="343"/>
      <c r="I134" s="343"/>
      <c r="J134" s="343"/>
      <c r="K134" s="343"/>
      <c r="L134" s="343">
        <f t="shared" si="6"/>
        <v>420</v>
      </c>
      <c r="M134" s="343"/>
      <c r="N134" s="343"/>
      <c r="O134" s="343">
        <f t="shared" si="7"/>
        <v>600</v>
      </c>
      <c r="P134" s="343"/>
      <c r="Q134" s="343"/>
      <c r="R134" s="343"/>
      <c r="S134" s="343"/>
      <c r="T134" s="343"/>
      <c r="U134" s="343"/>
      <c r="V134" s="343"/>
      <c r="W134" s="343"/>
      <c r="X134" s="343"/>
      <c r="Y134" s="343"/>
      <c r="Z134" s="343"/>
      <c r="AA134" s="343"/>
      <c r="AB134" s="343"/>
      <c r="AC134" s="343"/>
      <c r="AD134" s="343"/>
      <c r="AE134" s="343"/>
      <c r="AF134" s="343"/>
      <c r="AG134" s="343"/>
      <c r="AH134" s="343"/>
      <c r="AI134" s="343"/>
    </row>
    <row r="135" spans="1:35">
      <c r="A135" s="354" t="s">
        <v>416</v>
      </c>
      <c r="B135" s="343">
        <v>13.8</v>
      </c>
      <c r="C135" s="343">
        <v>402</v>
      </c>
      <c r="D135" s="342">
        <v>200</v>
      </c>
      <c r="E135" s="358"/>
      <c r="F135" s="358" t="s">
        <v>411</v>
      </c>
      <c r="G135" s="343">
        <v>0</v>
      </c>
      <c r="H135" s="343">
        <v>17.3</v>
      </c>
      <c r="I135" s="343">
        <f>H135*0.61</f>
        <v>10.553000000000001</v>
      </c>
      <c r="J135" s="343">
        <f>H135*0.27</f>
        <v>4.6710000000000003</v>
      </c>
      <c r="K135" s="343">
        <f>H135*0.2</f>
        <v>3.4600000000000004</v>
      </c>
      <c r="L135" s="343">
        <f t="shared" si="6"/>
        <v>140</v>
      </c>
      <c r="M135" s="343">
        <v>0</v>
      </c>
      <c r="N135" s="343">
        <v>0</v>
      </c>
      <c r="O135" s="343">
        <f t="shared" si="7"/>
        <v>200</v>
      </c>
      <c r="P135" s="343">
        <v>0</v>
      </c>
      <c r="Q135" s="343">
        <v>16</v>
      </c>
      <c r="R135" s="343">
        <v>11.6</v>
      </c>
      <c r="S135" s="343"/>
      <c r="T135" s="343"/>
      <c r="U135" s="343"/>
      <c r="V135" s="343"/>
      <c r="W135" s="343"/>
      <c r="X135" s="343"/>
      <c r="Y135" s="343"/>
      <c r="Z135" s="343"/>
      <c r="AA135" s="343"/>
      <c r="AB135" s="343"/>
      <c r="AC135" s="343"/>
      <c r="AD135" s="343"/>
      <c r="AE135" s="343"/>
      <c r="AF135" s="343"/>
      <c r="AG135" s="343"/>
      <c r="AH135" s="343"/>
      <c r="AI135" s="343"/>
    </row>
    <row r="136" spans="1:35">
      <c r="A136" s="354" t="s">
        <v>416</v>
      </c>
      <c r="B136" s="343">
        <v>27.6</v>
      </c>
      <c r="C136" s="343">
        <v>804</v>
      </c>
      <c r="D136" s="342">
        <v>400</v>
      </c>
      <c r="E136" s="358"/>
      <c r="F136" s="358" t="s">
        <v>411</v>
      </c>
      <c r="G136" s="17">
        <v>0</v>
      </c>
      <c r="H136" s="343">
        <v>34.6</v>
      </c>
      <c r="I136" s="343">
        <f>H136*0.61</f>
        <v>21.106000000000002</v>
      </c>
      <c r="J136" s="343">
        <f>H136*0.27</f>
        <v>9.3420000000000005</v>
      </c>
      <c r="K136" s="343">
        <f>H136*0.2</f>
        <v>6.9200000000000008</v>
      </c>
      <c r="L136" s="343">
        <f t="shared" si="6"/>
        <v>280</v>
      </c>
      <c r="M136" s="343">
        <v>0</v>
      </c>
      <c r="N136" s="343">
        <v>0</v>
      </c>
      <c r="O136" s="343">
        <f t="shared" si="7"/>
        <v>400</v>
      </c>
      <c r="P136" s="343">
        <v>0</v>
      </c>
      <c r="Q136" s="343">
        <v>32</v>
      </c>
      <c r="R136" s="343">
        <v>23.2</v>
      </c>
      <c r="S136" s="343"/>
      <c r="T136" s="343"/>
      <c r="U136" s="343"/>
      <c r="V136" s="343"/>
      <c r="W136" s="343"/>
      <c r="X136" s="343"/>
      <c r="Y136" s="343"/>
      <c r="Z136" s="343"/>
      <c r="AA136" s="343"/>
      <c r="AB136" s="343"/>
      <c r="AC136" s="343"/>
      <c r="AD136" s="343"/>
      <c r="AE136" s="343"/>
      <c r="AF136" s="343"/>
      <c r="AG136" s="343"/>
      <c r="AH136" s="343"/>
      <c r="AI136" s="343"/>
    </row>
    <row r="137" spans="1:35">
      <c r="A137" s="354" t="s">
        <v>416</v>
      </c>
      <c r="B137" s="343">
        <v>34.5</v>
      </c>
      <c r="C137" s="343">
        <v>1004</v>
      </c>
      <c r="D137" s="342">
        <v>500</v>
      </c>
      <c r="E137" s="358"/>
      <c r="F137" s="358" t="s">
        <v>411</v>
      </c>
      <c r="G137" s="17">
        <v>0</v>
      </c>
      <c r="H137" s="343">
        <v>43.2</v>
      </c>
      <c r="I137" s="343">
        <f>H137*0.61</f>
        <v>26.352</v>
      </c>
      <c r="J137" s="343">
        <f>H137*0.27</f>
        <v>11.664000000000001</v>
      </c>
      <c r="K137" s="343">
        <f>H137*0.2</f>
        <v>8.64</v>
      </c>
      <c r="L137" s="343">
        <f t="shared" si="6"/>
        <v>350</v>
      </c>
      <c r="M137" s="343">
        <v>0</v>
      </c>
      <c r="N137" s="343">
        <v>0</v>
      </c>
      <c r="O137" s="343">
        <f t="shared" si="7"/>
        <v>500</v>
      </c>
      <c r="P137" s="343">
        <v>0</v>
      </c>
      <c r="Q137" s="343">
        <v>40</v>
      </c>
      <c r="R137" s="343">
        <v>29</v>
      </c>
      <c r="S137" s="343">
        <v>15</v>
      </c>
      <c r="T137" s="343">
        <v>53</v>
      </c>
      <c r="U137" s="343">
        <v>41</v>
      </c>
      <c r="V137" s="343">
        <v>93</v>
      </c>
      <c r="W137" s="343">
        <v>18.8</v>
      </c>
      <c r="X137" s="343">
        <v>0.6</v>
      </c>
      <c r="Y137" s="343">
        <v>125</v>
      </c>
      <c r="Z137" s="343">
        <v>4.4000000000000004</v>
      </c>
      <c r="AA137" s="343">
        <v>500</v>
      </c>
      <c r="AB137" s="343">
        <v>500</v>
      </c>
      <c r="AC137" s="343">
        <v>1.25</v>
      </c>
      <c r="AD137" s="343">
        <v>500</v>
      </c>
      <c r="AE137" s="343">
        <v>22.5</v>
      </c>
      <c r="AF137" s="343">
        <v>3300</v>
      </c>
      <c r="AG137" s="343">
        <v>1000</v>
      </c>
      <c r="AH137" s="343">
        <v>62.5</v>
      </c>
      <c r="AI137" s="343">
        <v>25</v>
      </c>
    </row>
    <row r="138" spans="1:35">
      <c r="A138" s="354" t="s">
        <v>416</v>
      </c>
      <c r="B138" s="343"/>
      <c r="C138" s="343"/>
      <c r="D138" s="342">
        <v>600</v>
      </c>
      <c r="E138" s="358"/>
      <c r="F138" s="358" t="s">
        <v>411</v>
      </c>
      <c r="G138" s="17">
        <v>0</v>
      </c>
      <c r="H138" s="343"/>
      <c r="I138" s="343"/>
      <c r="J138" s="343"/>
      <c r="K138" s="343"/>
      <c r="L138" s="343">
        <f t="shared" si="6"/>
        <v>420</v>
      </c>
      <c r="M138" s="343"/>
      <c r="N138" s="343"/>
      <c r="O138" s="343">
        <f t="shared" si="7"/>
        <v>600</v>
      </c>
      <c r="P138" s="343"/>
      <c r="Q138" s="343"/>
      <c r="R138" s="343"/>
      <c r="S138" s="343"/>
      <c r="T138" s="343"/>
      <c r="U138" s="343"/>
      <c r="V138" s="343"/>
      <c r="W138" s="343"/>
      <c r="X138" s="343"/>
      <c r="Y138" s="343"/>
      <c r="Z138" s="343"/>
      <c r="AA138" s="343"/>
      <c r="AB138" s="343"/>
      <c r="AC138" s="343"/>
      <c r="AD138" s="343"/>
      <c r="AE138" s="343"/>
      <c r="AF138" s="343"/>
      <c r="AG138" s="343"/>
      <c r="AH138" s="343"/>
      <c r="AI138" s="343"/>
    </row>
  </sheetData>
  <mergeCells count="3">
    <mergeCell ref="AN2:AO2"/>
    <mergeCell ref="H1:AI1"/>
    <mergeCell ref="A1:G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28" t="s">
        <v>250</v>
      </c>
      <c r="E3" s="29"/>
      <c r="F3" s="29"/>
      <c r="G3" s="29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0" t="s">
        <v>251</v>
      </c>
      <c r="E4" s="31"/>
      <c r="F4" s="31"/>
      <c r="G4" s="31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2" t="s">
        <v>252</v>
      </c>
      <c r="E5" s="32"/>
      <c r="F5" s="33"/>
      <c r="G5" s="34">
        <v>14</v>
      </c>
      <c r="H5" s="35"/>
      <c r="I5" s="20"/>
      <c r="J5" s="35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6" t="s">
        <v>253</v>
      </c>
      <c r="E6" s="36"/>
      <c r="F6" s="37"/>
      <c r="G6" s="38">
        <v>34.700000000000003</v>
      </c>
      <c r="H6" s="35"/>
      <c r="I6" s="20"/>
      <c r="J6" s="35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6" t="s">
        <v>254</v>
      </c>
      <c r="E7" s="36"/>
      <c r="F7" s="37"/>
      <c r="G7" s="38">
        <v>67.900000000000006</v>
      </c>
      <c r="H7" s="35"/>
      <c r="I7" s="20"/>
      <c r="J7" s="35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6" t="s">
        <v>255</v>
      </c>
      <c r="E8" s="36"/>
      <c r="F8" s="37"/>
      <c r="G8" s="38">
        <v>1.7</v>
      </c>
      <c r="H8" s="35"/>
      <c r="I8" s="20"/>
      <c r="J8" s="35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39" t="s">
        <v>256</v>
      </c>
      <c r="E9" s="39"/>
      <c r="F9" s="40"/>
      <c r="G9" s="38">
        <v>6.8</v>
      </c>
      <c r="H9" s="41"/>
      <c r="I9" s="20"/>
      <c r="J9" s="4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2" t="s">
        <v>257</v>
      </c>
      <c r="E10" s="42"/>
      <c r="F10" s="43"/>
      <c r="G10" s="44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7"/>
      <c r="B11" s="27"/>
      <c r="C11" s="27"/>
      <c r="D11" s="45" t="s">
        <v>258</v>
      </c>
      <c r="E11" s="46"/>
      <c r="F11" s="46"/>
      <c r="G11" s="47">
        <f>2.118+(0.01218*G5)-(0.00937*G6)-(0.00383*(G7-G6))+(0.04718*G8)+(0.02035*G9)-(0.0262*G10)</f>
        <v>1.803291</v>
      </c>
      <c r="H11" s="48"/>
      <c r="I11" s="20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29" ht="14.4">
      <c r="A12" s="27"/>
      <c r="B12" s="27"/>
      <c r="C12" s="27"/>
      <c r="D12" s="49"/>
      <c r="E12" s="27"/>
      <c r="F12" s="27"/>
      <c r="G12" s="50"/>
      <c r="H12" s="48"/>
      <c r="I12" s="20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</row>
    <row r="13" spans="1:29" ht="14.4">
      <c r="A13" s="27"/>
      <c r="B13" s="27"/>
      <c r="C13" s="27"/>
      <c r="D13" s="49"/>
      <c r="E13" s="27"/>
      <c r="F13" s="27"/>
      <c r="G13" s="27"/>
      <c r="H13" s="48"/>
      <c r="I13" s="20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</row>
    <row r="14" spans="1:29" ht="14.4">
      <c r="A14" s="27"/>
      <c r="B14" s="27"/>
      <c r="C14" s="27"/>
      <c r="D14" s="51" t="s">
        <v>259</v>
      </c>
      <c r="E14" s="29"/>
      <c r="F14" s="29"/>
      <c r="G14" s="29"/>
      <c r="H14" s="48"/>
      <c r="I14" s="20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</row>
    <row r="15" spans="1:29" ht="14.4">
      <c r="A15" s="27"/>
      <c r="B15" s="27"/>
      <c r="C15" s="27"/>
      <c r="D15" s="52" t="s">
        <v>260</v>
      </c>
      <c r="E15" s="53"/>
      <c r="F15" s="53"/>
      <c r="G15" s="53"/>
      <c r="H15" s="48"/>
      <c r="I15" s="20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</row>
    <row r="16" spans="1:29" ht="14.4">
      <c r="A16" s="27"/>
      <c r="B16" s="27"/>
      <c r="C16" s="27"/>
      <c r="D16" s="36" t="s">
        <v>253</v>
      </c>
      <c r="E16" s="54"/>
      <c r="F16" s="55"/>
      <c r="G16" s="56">
        <v>34.700000000000003</v>
      </c>
      <c r="H16" s="48"/>
      <c r="I16" s="20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</row>
    <row r="17" spans="1:29" ht="14.4">
      <c r="A17" s="27"/>
      <c r="B17" s="27"/>
      <c r="C17" s="27"/>
      <c r="D17" s="57" t="s">
        <v>252</v>
      </c>
      <c r="E17" s="58"/>
      <c r="F17" s="59"/>
      <c r="G17" s="44">
        <v>14</v>
      </c>
      <c r="H17" s="48"/>
      <c r="I17" s="20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</row>
    <row r="18" spans="1:29" ht="18">
      <c r="A18" s="27"/>
      <c r="B18" s="27"/>
      <c r="C18" s="27"/>
      <c r="D18" s="60" t="s">
        <v>258</v>
      </c>
      <c r="E18" s="61"/>
      <c r="F18" s="62"/>
      <c r="G18" s="63">
        <f>4.22-(0.11*G16)+0.0332*(G17)+0.00112*(POWER(G16,2))</f>
        <v>2.2163807999999996</v>
      </c>
      <c r="H18" s="48"/>
      <c r="I18" s="20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</row>
    <row r="19" spans="1:29" ht="14.4">
      <c r="A19" s="27"/>
      <c r="B19" s="27"/>
      <c r="C19" s="27"/>
      <c r="D19" s="64"/>
      <c r="E19" s="65"/>
      <c r="F19" s="65"/>
      <c r="G19" s="65"/>
      <c r="H19" s="48"/>
      <c r="I19" s="20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</row>
    <row r="20" spans="1:29" ht="14.4">
      <c r="A20" s="27"/>
      <c r="B20" s="27"/>
      <c r="C20" s="27"/>
      <c r="D20" s="49"/>
      <c r="E20" s="27"/>
      <c r="F20" s="27"/>
      <c r="G20" s="27"/>
      <c r="H20" s="48"/>
      <c r="I20" s="20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</row>
    <row r="21" spans="1:29" ht="15.75" customHeight="1">
      <c r="A21" s="27"/>
      <c r="B21" s="27"/>
      <c r="C21" s="27"/>
      <c r="D21" s="51" t="s">
        <v>261</v>
      </c>
      <c r="E21" s="66"/>
      <c r="F21" s="66"/>
      <c r="G21" s="66"/>
      <c r="H21" s="48"/>
      <c r="I21" s="20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</row>
    <row r="22" spans="1:29" ht="15.75" customHeight="1">
      <c r="A22" s="27"/>
      <c r="B22" s="27"/>
      <c r="C22" s="27"/>
      <c r="D22" s="52" t="s">
        <v>260</v>
      </c>
      <c r="E22" s="53"/>
      <c r="F22" s="53"/>
      <c r="G22" s="53"/>
      <c r="H22" s="48"/>
      <c r="I22" s="20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</row>
    <row r="23" spans="1:29" ht="15.75" customHeight="1">
      <c r="A23" s="27"/>
      <c r="B23" s="27"/>
      <c r="C23" s="27"/>
      <c r="D23" s="57" t="s">
        <v>253</v>
      </c>
      <c r="E23" s="67"/>
      <c r="F23" s="68"/>
      <c r="G23" s="69">
        <v>34.700000000000003</v>
      </c>
      <c r="H23" s="48"/>
      <c r="I23" s="20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</row>
    <row r="24" spans="1:29" ht="15.75" customHeight="1">
      <c r="A24" s="27"/>
      <c r="B24" s="27"/>
      <c r="C24" s="27"/>
      <c r="D24" s="60" t="s">
        <v>258</v>
      </c>
      <c r="E24" s="61"/>
      <c r="F24" s="62"/>
      <c r="G24" s="63">
        <f>4.07-(0.055*G23)</f>
        <v>2.1615000000000002</v>
      </c>
      <c r="H24" s="48"/>
      <c r="I24" s="20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</row>
    <row r="25" spans="1:29" ht="15.75" customHeight="1">
      <c r="A25" s="27"/>
      <c r="B25" s="27"/>
      <c r="C25" s="27"/>
      <c r="D25" s="27"/>
      <c r="E25" s="27"/>
      <c r="F25" s="27"/>
      <c r="G25" s="27"/>
      <c r="H25" s="48"/>
      <c r="I25" s="20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</row>
    <row r="26" spans="1:29" ht="15.75" customHeight="1">
      <c r="A26" s="27"/>
      <c r="B26" s="27"/>
      <c r="C26" s="27"/>
      <c r="D26" s="27"/>
      <c r="E26" s="27"/>
      <c r="F26" s="27"/>
      <c r="G26" s="27"/>
      <c r="H26" s="48"/>
      <c r="I26" s="20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</row>
    <row r="27" spans="1:29" ht="15.75" customHeight="1">
      <c r="A27" s="27"/>
      <c r="B27" s="27"/>
      <c r="C27" s="27"/>
      <c r="D27" s="27"/>
      <c r="E27" s="27"/>
      <c r="F27" s="27"/>
      <c r="G27" s="27"/>
      <c r="H27" s="48"/>
      <c r="I27" s="20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</row>
    <row r="28" spans="1:29" ht="15.75" customHeight="1">
      <c r="A28" s="27"/>
      <c r="B28" s="27"/>
      <c r="C28" s="27"/>
      <c r="D28" s="27"/>
      <c r="E28" s="27"/>
      <c r="F28" s="27"/>
      <c r="G28" s="27"/>
      <c r="H28" s="48"/>
      <c r="I28" s="20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</row>
    <row r="29" spans="1:29" ht="15.75" customHeight="1">
      <c r="A29" s="27"/>
      <c r="B29" s="27"/>
      <c r="C29" s="27"/>
      <c r="D29" s="27"/>
      <c r="E29" s="27"/>
      <c r="F29" s="27"/>
      <c r="G29" s="27"/>
      <c r="H29" s="48"/>
      <c r="I29" s="21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</row>
    <row r="30" spans="1:29" ht="15.75" customHeight="1">
      <c r="A30" s="27"/>
      <c r="B30" s="27"/>
      <c r="C30" s="27"/>
      <c r="D30" s="27"/>
      <c r="E30" s="27"/>
      <c r="F30" s="27"/>
      <c r="G30" s="27"/>
      <c r="H30" s="48"/>
      <c r="I30" s="21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</row>
    <row r="31" spans="1:29" ht="15.75" customHeight="1">
      <c r="A31" s="27"/>
      <c r="B31" s="27"/>
      <c r="C31" s="27"/>
      <c r="D31" s="27"/>
      <c r="E31" s="27"/>
      <c r="F31" s="27"/>
      <c r="G31" s="27"/>
      <c r="H31" s="48"/>
      <c r="I31" s="21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</row>
    <row r="32" spans="1:29" ht="15.75" customHeight="1">
      <c r="A32" s="27"/>
      <c r="B32" s="27"/>
      <c r="C32" s="27"/>
      <c r="D32" s="27"/>
      <c r="E32" s="27"/>
      <c r="F32" s="27"/>
      <c r="G32" s="27"/>
      <c r="H32" s="48"/>
      <c r="I32" s="21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</row>
    <row r="33" spans="1:29" ht="15.75" customHeight="1">
      <c r="A33" s="27"/>
      <c r="B33" s="27"/>
      <c r="C33" s="27"/>
      <c r="D33" s="15"/>
      <c r="E33" s="15"/>
      <c r="F33" s="48"/>
      <c r="G33" s="48"/>
      <c r="H33" s="48"/>
      <c r="I33" s="22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</row>
    <row r="34" spans="1:29" ht="15.75" customHeight="1">
      <c r="A34" s="27"/>
      <c r="B34" s="27"/>
      <c r="C34" s="27"/>
      <c r="D34" s="15"/>
      <c r="E34" s="15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</row>
    <row r="35" spans="1:29" ht="15.75" customHeight="1">
      <c r="A35" s="27"/>
      <c r="B35" s="27"/>
      <c r="C35" s="27"/>
      <c r="D35" s="15"/>
      <c r="E35" s="15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</row>
    <row r="36" spans="1:29" ht="15.75" customHeight="1">
      <c r="A36" s="27"/>
      <c r="B36" s="27"/>
      <c r="C36" s="27"/>
      <c r="D36" s="15"/>
      <c r="E36" s="15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</row>
    <row r="37" spans="1:29" ht="15.75" customHeight="1">
      <c r="A37" s="27"/>
      <c r="B37" s="27"/>
      <c r="C37" s="27"/>
      <c r="D37" s="15"/>
      <c r="E37" s="15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</row>
    <row r="38" spans="1:29" ht="15.75" customHeight="1">
      <c r="A38" s="27"/>
      <c r="B38" s="27"/>
      <c r="C38" s="27"/>
      <c r="D38" s="15"/>
      <c r="E38" s="15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</row>
    <row r="39" spans="1:29" ht="15.75" customHeight="1">
      <c r="A39" s="27"/>
      <c r="B39" s="27"/>
      <c r="C39" s="27"/>
      <c r="D39" s="15"/>
      <c r="E39" s="15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</row>
    <row r="40" spans="1:29" ht="15.75" customHeight="1">
      <c r="A40" s="27"/>
      <c r="B40" s="27"/>
      <c r="C40" s="27"/>
      <c r="D40" s="15"/>
      <c r="E40" s="15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</row>
    <row r="41" spans="1:29" ht="15.75" customHeight="1">
      <c r="A41" s="27"/>
      <c r="B41" s="27"/>
      <c r="C41" s="27"/>
      <c r="D41" s="15"/>
      <c r="E41" s="15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</row>
    <row r="42" spans="1:29" ht="15.75" customHeight="1">
      <c r="A42" s="27"/>
      <c r="B42" s="27"/>
      <c r="C42" s="27"/>
      <c r="D42" s="15"/>
      <c r="E42" s="15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</row>
    <row r="43" spans="1:29" ht="15.75" customHeight="1">
      <c r="A43" s="27"/>
      <c r="B43" s="27"/>
      <c r="C43" s="27"/>
      <c r="D43" s="15"/>
      <c r="E43" s="15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</row>
    <row r="44" spans="1:29" ht="15.75" customHeight="1">
      <c r="A44" s="27"/>
      <c r="B44" s="27"/>
      <c r="C44" s="27"/>
      <c r="D44" s="15"/>
      <c r="E44" s="15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</row>
    <row r="45" spans="1:29" ht="15.75" customHeight="1">
      <c r="A45" s="27"/>
      <c r="B45" s="27"/>
      <c r="C45" s="27"/>
      <c r="D45" s="15"/>
      <c r="E45" s="15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</row>
    <row r="46" spans="1:29" ht="15.75" customHeight="1">
      <c r="A46" s="27"/>
      <c r="B46" s="27"/>
      <c r="C46" s="27"/>
      <c r="D46" s="15"/>
      <c r="E46" s="15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</row>
    <row r="47" spans="1:29" ht="15.75" customHeight="1">
      <c r="A47" s="27"/>
      <c r="B47" s="27"/>
      <c r="C47" s="27"/>
      <c r="D47" s="15"/>
      <c r="E47" s="15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</row>
    <row r="48" spans="1:29" ht="15.75" customHeight="1">
      <c r="A48" s="27"/>
      <c r="B48" s="27"/>
      <c r="C48" s="27"/>
      <c r="D48" s="15"/>
      <c r="E48" s="15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</row>
    <row r="49" spans="1:29" ht="15.75" customHeight="1">
      <c r="A49" s="27"/>
      <c r="B49" s="27"/>
      <c r="C49" s="27"/>
      <c r="D49" s="15"/>
      <c r="E49" s="15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</row>
    <row r="50" spans="1:29" ht="15.75" customHeight="1">
      <c r="A50" s="27"/>
      <c r="B50" s="27"/>
      <c r="C50" s="27"/>
      <c r="D50" s="15"/>
      <c r="E50" s="15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</row>
    <row r="51" spans="1:29" ht="15.75" customHeight="1">
      <c r="A51" s="27"/>
      <c r="B51" s="27"/>
      <c r="C51" s="27"/>
      <c r="D51" s="15"/>
      <c r="E51" s="15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</row>
    <row r="52" spans="1:29" ht="15.75" customHeight="1">
      <c r="A52" s="27"/>
      <c r="B52" s="27"/>
      <c r="C52" s="27"/>
      <c r="D52" s="15"/>
      <c r="E52" s="15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</row>
    <row r="53" spans="1:29" ht="15.75" customHeight="1">
      <c r="A53" s="27"/>
      <c r="B53" s="27"/>
      <c r="C53" s="27"/>
      <c r="D53" s="15"/>
      <c r="E53" s="15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</row>
    <row r="54" spans="1:29" ht="15.75" customHeight="1">
      <c r="A54" s="27"/>
      <c r="B54" s="27"/>
      <c r="C54" s="27"/>
      <c r="D54" s="15"/>
      <c r="E54" s="15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</row>
    <row r="55" spans="1:29" ht="15.75" customHeight="1">
      <c r="A55" s="27"/>
      <c r="B55" s="27"/>
      <c r="C55" s="27"/>
      <c r="D55" s="15"/>
      <c r="E55" s="15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</row>
    <row r="56" spans="1:29" ht="15.75" customHeight="1">
      <c r="A56" s="27"/>
      <c r="B56" s="27"/>
      <c r="C56" s="27"/>
      <c r="D56" s="15"/>
      <c r="E56" s="15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</row>
    <row r="57" spans="1:29" ht="15.75" customHeight="1">
      <c r="A57" s="27"/>
      <c r="B57" s="27"/>
      <c r="C57" s="27"/>
      <c r="D57" s="15"/>
      <c r="E57" s="15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</row>
    <row r="58" spans="1:29" ht="15.75" customHeight="1">
      <c r="A58" s="27"/>
      <c r="B58" s="27"/>
      <c r="C58" s="27"/>
      <c r="D58" s="15"/>
      <c r="E58" s="15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</row>
    <row r="59" spans="1:29" ht="15.75" customHeight="1">
      <c r="A59" s="27"/>
      <c r="B59" s="27"/>
      <c r="C59" s="27"/>
      <c r="D59" s="15"/>
      <c r="E59" s="15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</row>
    <row r="60" spans="1:29" ht="15.75" customHeight="1">
      <c r="A60" s="27"/>
      <c r="B60" s="27"/>
      <c r="C60" s="27"/>
      <c r="D60" s="15"/>
      <c r="E60" s="15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</row>
    <row r="61" spans="1:29" ht="15.75" customHeight="1">
      <c r="A61" s="27"/>
      <c r="B61" s="27"/>
      <c r="C61" s="27"/>
      <c r="D61" s="15"/>
      <c r="E61" s="15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</row>
    <row r="62" spans="1:29" ht="15.75" customHeight="1">
      <c r="A62" s="27"/>
      <c r="B62" s="27"/>
      <c r="C62" s="27"/>
      <c r="D62" s="15"/>
      <c r="E62" s="15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</row>
    <row r="63" spans="1:29" ht="15.75" customHeight="1">
      <c r="A63" s="27"/>
      <c r="B63" s="27"/>
      <c r="C63" s="27"/>
      <c r="D63" s="15"/>
      <c r="E63" s="15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</row>
    <row r="64" spans="1:29" ht="15.75" customHeight="1">
      <c r="A64" s="27"/>
      <c r="B64" s="27"/>
      <c r="C64" s="27"/>
      <c r="D64" s="15"/>
      <c r="E64" s="15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</row>
    <row r="65" spans="1:29" ht="15.75" customHeight="1">
      <c r="A65" s="27"/>
      <c r="B65" s="27"/>
      <c r="C65" s="27"/>
      <c r="D65" s="15"/>
      <c r="E65" s="15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</row>
    <row r="66" spans="1:29" ht="15.75" customHeight="1">
      <c r="A66" s="27"/>
      <c r="B66" s="27"/>
      <c r="C66" s="27"/>
      <c r="D66" s="15"/>
      <c r="E66" s="15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</row>
    <row r="67" spans="1:29" ht="15.75" customHeight="1">
      <c r="A67" s="27"/>
      <c r="B67" s="27"/>
      <c r="C67" s="27"/>
      <c r="D67" s="15"/>
      <c r="E67" s="15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</row>
    <row r="68" spans="1:29" ht="15.75" customHeight="1">
      <c r="A68" s="27"/>
      <c r="B68" s="27"/>
      <c r="C68" s="27"/>
      <c r="D68" s="15"/>
      <c r="E68" s="15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</row>
    <row r="69" spans="1:29" ht="15.75" customHeight="1">
      <c r="A69" s="27"/>
      <c r="B69" s="27"/>
      <c r="C69" s="27"/>
      <c r="D69" s="15"/>
      <c r="E69" s="15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</row>
    <row r="70" spans="1:29" ht="15.75" customHeight="1">
      <c r="A70" s="27"/>
      <c r="B70" s="27"/>
      <c r="C70" s="27"/>
      <c r="D70" s="15"/>
      <c r="E70" s="15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</row>
    <row r="71" spans="1:29" ht="15.75" customHeight="1">
      <c r="A71" s="27"/>
      <c r="B71" s="27"/>
      <c r="C71" s="27"/>
      <c r="D71" s="15"/>
      <c r="E71" s="15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</row>
    <row r="72" spans="1:29" ht="15.75" customHeight="1">
      <c r="A72" s="27"/>
      <c r="B72" s="27"/>
      <c r="C72" s="27"/>
      <c r="D72" s="15"/>
      <c r="E72" s="15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</row>
    <row r="73" spans="1:29" ht="15.75" customHeight="1">
      <c r="A73" s="27"/>
      <c r="B73" s="27"/>
      <c r="C73" s="27"/>
      <c r="D73" s="15"/>
      <c r="E73" s="15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</row>
    <row r="74" spans="1:29" ht="15.75" customHeight="1">
      <c r="A74" s="27"/>
      <c r="B74" s="27"/>
      <c r="C74" s="27"/>
      <c r="D74" s="14"/>
      <c r="E74" s="14"/>
      <c r="F74" s="14"/>
      <c r="G74" s="14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abSelected="1" topLeftCell="B27" workbookViewId="0">
      <selection activeCell="H42" sqref="H42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0"/>
      <c r="E1" s="70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1" t="s">
        <v>262</v>
      </c>
      <c r="E2" s="71"/>
      <c r="F2" s="72"/>
      <c r="G2" s="73"/>
      <c r="H2" s="73"/>
      <c r="I2" s="73"/>
      <c r="J2" s="14"/>
      <c r="K2" s="14"/>
      <c r="L2" s="14"/>
      <c r="M2" s="14"/>
      <c r="N2" s="14"/>
      <c r="O2" s="1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5" t="s">
        <v>263</v>
      </c>
      <c r="E3" s="76" t="s">
        <v>264</v>
      </c>
      <c r="F3" s="77"/>
      <c r="G3" s="14"/>
      <c r="H3" s="78"/>
      <c r="I3" s="78"/>
      <c r="J3" s="14"/>
      <c r="K3" s="14"/>
      <c r="L3" s="14"/>
      <c r="M3" s="14"/>
      <c r="N3" s="14"/>
      <c r="O3" s="1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79" t="s">
        <v>265</v>
      </c>
      <c r="E4" s="80">
        <v>60</v>
      </c>
      <c r="F4" s="81"/>
      <c r="G4" s="14"/>
      <c r="H4" s="82"/>
      <c r="I4" s="82"/>
      <c r="J4" s="14"/>
      <c r="K4" s="14"/>
      <c r="L4" s="14"/>
      <c r="M4" s="14"/>
      <c r="N4" s="83"/>
      <c r="O4" s="83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79" t="s">
        <v>266</v>
      </c>
      <c r="E5" s="84" t="s">
        <v>267</v>
      </c>
      <c r="F5" s="77"/>
      <c r="G5" s="14"/>
      <c r="H5" s="78"/>
      <c r="I5" s="78"/>
      <c r="J5" s="14"/>
      <c r="K5" s="14"/>
      <c r="L5" s="14"/>
      <c r="M5" s="14"/>
      <c r="N5" s="83"/>
      <c r="O5" s="83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79" t="s">
        <v>268</v>
      </c>
      <c r="E6" s="85">
        <v>345</v>
      </c>
      <c r="F6" s="86"/>
      <c r="G6" s="14"/>
      <c r="H6" s="87"/>
      <c r="I6" s="87"/>
      <c r="J6" s="14"/>
      <c r="K6" s="14"/>
      <c r="L6" s="14"/>
      <c r="M6" s="14"/>
      <c r="N6" s="88"/>
      <c r="O6" s="88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89" t="s">
        <v>1</v>
      </c>
      <c r="E7" s="90" t="s">
        <v>44</v>
      </c>
      <c r="F7" s="91"/>
      <c r="G7" s="14"/>
      <c r="H7" s="92"/>
      <c r="I7" s="92"/>
      <c r="J7" s="14"/>
      <c r="K7" s="14"/>
      <c r="L7" s="14"/>
      <c r="M7" s="14"/>
      <c r="N7" s="83"/>
      <c r="O7" s="83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3"/>
      <c r="E8" s="14"/>
      <c r="F8" s="14"/>
      <c r="G8" s="94"/>
      <c r="H8" s="94"/>
      <c r="I8" s="94"/>
      <c r="J8" s="35"/>
      <c r="K8" s="35"/>
      <c r="L8" s="35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5" t="s">
        <v>269</v>
      </c>
      <c r="E9" s="70"/>
      <c r="F9" s="346" t="s">
        <v>359</v>
      </c>
      <c r="G9" s="351" t="s">
        <v>358</v>
      </c>
      <c r="H9" s="347"/>
      <c r="I9" s="347"/>
      <c r="J9" s="348"/>
      <c r="K9" s="348"/>
      <c r="L9" s="348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49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7" t="s">
        <v>270</v>
      </c>
      <c r="E10" s="97"/>
      <c r="F10" s="98"/>
      <c r="G10" s="350" t="s">
        <v>271</v>
      </c>
      <c r="H10" s="99" t="s">
        <v>3</v>
      </c>
      <c r="I10" s="99" t="s">
        <v>4</v>
      </c>
      <c r="J10" s="99" t="s">
        <v>5</v>
      </c>
      <c r="K10" s="99" t="s">
        <v>6</v>
      </c>
      <c r="L10" s="99" t="s">
        <v>7</v>
      </c>
      <c r="M10" s="99" t="s">
        <v>8</v>
      </c>
      <c r="N10" s="99" t="s">
        <v>9</v>
      </c>
      <c r="O10" s="99" t="s">
        <v>10</v>
      </c>
      <c r="P10" s="99" t="s">
        <v>11</v>
      </c>
      <c r="Q10" s="99" t="s">
        <v>272</v>
      </c>
      <c r="R10" s="99" t="s">
        <v>13</v>
      </c>
      <c r="S10" s="99" t="s">
        <v>14</v>
      </c>
      <c r="T10" s="99" t="s">
        <v>15</v>
      </c>
      <c r="U10" s="99" t="s">
        <v>16</v>
      </c>
      <c r="V10" s="99" t="s">
        <v>17</v>
      </c>
      <c r="W10" s="99" t="s">
        <v>18</v>
      </c>
      <c r="X10" s="99" t="s">
        <v>19</v>
      </c>
      <c r="Y10" s="99" t="s">
        <v>20</v>
      </c>
      <c r="Z10" s="99" t="s">
        <v>88</v>
      </c>
      <c r="AA10" s="99" t="s">
        <v>22</v>
      </c>
      <c r="AB10" s="100" t="s">
        <v>23</v>
      </c>
      <c r="AC10" s="100" t="s">
        <v>24</v>
      </c>
      <c r="AD10" s="100" t="s">
        <v>25</v>
      </c>
      <c r="AE10" s="100" t="s">
        <v>26</v>
      </c>
      <c r="AF10" s="100" t="s">
        <v>27</v>
      </c>
      <c r="AG10" s="100" t="s">
        <v>28</v>
      </c>
      <c r="AH10" s="100" t="s">
        <v>29</v>
      </c>
      <c r="AI10" s="100" t="s">
        <v>30</v>
      </c>
      <c r="AJ10" s="100" t="s">
        <v>31</v>
      </c>
      <c r="AK10" s="101" t="s">
        <v>32</v>
      </c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</row>
    <row r="11" spans="1:57" ht="18">
      <c r="A11" s="102"/>
      <c r="B11" s="19" t="s">
        <v>0</v>
      </c>
      <c r="C11" s="102"/>
      <c r="D11" s="103" t="str">
        <f>E7</f>
        <v>Égua Prenhe 7 Meses</v>
      </c>
      <c r="E11" s="103"/>
      <c r="F11" s="104"/>
      <c r="G11" s="105">
        <f>E6*2.5%</f>
        <v>8.625</v>
      </c>
      <c r="H11" s="105">
        <f>VLOOKUP($D$11,Exigências!$B$1:$AH$103,4,FALSE)</f>
        <v>7.2</v>
      </c>
      <c r="I11" s="105">
        <f>VLOOKUP($D$11,Exigências!$B$1:$AH$103,5,FALSE)</f>
        <v>291</v>
      </c>
      <c r="J11" s="105">
        <f>VLOOKUP($D$11,Exigências!$B$1:$AH$103,6,FALSE)</f>
        <v>12.5</v>
      </c>
      <c r="K11" s="105">
        <f>VLOOKUP($D$11,Exigências!$B$1:$AH$103,7,FALSE)</f>
        <v>7.625</v>
      </c>
      <c r="L11" s="105">
        <f>VLOOKUP($D$11,Exigências!$B$1:$AH$103,8,FALSE)</f>
        <v>3.375</v>
      </c>
      <c r="M11" s="105">
        <f>VLOOKUP($D$11,Exigências!$B$1:$AH$103,9,FALSE)</f>
        <v>2.5</v>
      </c>
      <c r="N11" s="105">
        <f>VLOOKUP($D$11,Exigências!$B$1:$AH$103,10,FALSE)</f>
        <v>144.19999999999999</v>
      </c>
      <c r="O11" s="105">
        <f>VLOOKUP($D$11,Exigências!$B$1:$AH$103,11,FALSE)</f>
        <v>0</v>
      </c>
      <c r="P11" s="105">
        <f>VLOOKUP($D$11,Exigências!$B$1:$AH$103,12,FALSE)</f>
        <v>0</v>
      </c>
      <c r="Q11" s="105">
        <f>VLOOKUP($D$11,Exigências!$B$1:$AH$103,13,FALSE)</f>
        <v>206.00000000000003</v>
      </c>
      <c r="R11" s="105">
        <f>VLOOKUP($D$11,Exigências!$B$1:$AH$103,14,FALSE)</f>
        <v>0</v>
      </c>
      <c r="S11" s="105">
        <f>VLOOKUP($D$11,Exigências!$B$1:$AH$103,15,FALSE)</f>
        <v>11.2</v>
      </c>
      <c r="T11" s="105">
        <f>VLOOKUP($D$11,Exigências!$B$1:$AH$103,16,FALSE)</f>
        <v>8</v>
      </c>
      <c r="U11" s="105">
        <f>VLOOKUP($D$11,Exigências!$B$1:$AH$103,17,FALSE)</f>
        <v>0</v>
      </c>
      <c r="V11" s="105">
        <f>VLOOKUP($D$11,Exigências!$B$1:$AH$103,18,FALSE)</f>
        <v>0</v>
      </c>
      <c r="W11" s="105">
        <f>VLOOKUP($D$11,Exigências!$B$1:$AH$103,19,FALSE)</f>
        <v>0</v>
      </c>
      <c r="X11" s="105">
        <f>VLOOKUP($D$11,Exigências!$B$1:$AH$103,20,FALSE)</f>
        <v>0</v>
      </c>
      <c r="Y11" s="105">
        <f>VLOOKUP($D$11,Exigências!$B$1:$AH$103,21,FALSE)</f>
        <v>0</v>
      </c>
      <c r="Z11" s="105">
        <f>VLOOKUP($D$11,Exigências!$B$1:$AH$103,22,FALSE)</f>
        <v>0</v>
      </c>
      <c r="AA11" s="105">
        <f>VLOOKUP($D$11,Exigências!$B$1:$AH$103,23,FALSE)</f>
        <v>0</v>
      </c>
      <c r="AB11" s="106">
        <f>VLOOKUP($D$11,Exigências!$B$1:$AH$103,24,FALSE)</f>
        <v>0</v>
      </c>
      <c r="AC11" s="106">
        <f>VLOOKUP($D$11,Exigências!$B$1:$AH$103,25,FALSE)</f>
        <v>0</v>
      </c>
      <c r="AD11" s="106">
        <f>VLOOKUP($D$11,Exigências!$B$1:$AH$103,26,FALSE)</f>
        <v>0</v>
      </c>
      <c r="AE11" s="106">
        <f>VLOOKUP($D$11,Exigências!$B$1:$AH$103,27,FALSE)</f>
        <v>0</v>
      </c>
      <c r="AF11" s="106">
        <f>VLOOKUP($D$11,Exigências!$B$1:$AH$103,28,FALSE)</f>
        <v>0</v>
      </c>
      <c r="AG11" s="106">
        <f>VLOOKUP($D$11,Exigências!$B$1:$AH$103,29,FALSE)</f>
        <v>0</v>
      </c>
      <c r="AH11" s="106">
        <f>VLOOKUP($D$11,Exigências!$B$1:$AH$103,30,FALSE)</f>
        <v>0</v>
      </c>
      <c r="AI11" s="106">
        <f>VLOOKUP($D$11,Exigências!$B$1:$AH$103,31,FALSE)</f>
        <v>0</v>
      </c>
      <c r="AJ11" s="106">
        <f>VLOOKUP($D$11,Exigências!$B$1:$AH$103,32,FALSE)</f>
        <v>0</v>
      </c>
      <c r="AK11" s="106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7"/>
      <c r="E12" s="107"/>
      <c r="F12" s="107"/>
      <c r="G12" s="108"/>
      <c r="H12" s="49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09" t="s">
        <v>273</v>
      </c>
      <c r="E13" s="110"/>
      <c r="F13" s="110"/>
      <c r="G13" s="111"/>
      <c r="H13" s="112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4" t="s">
        <v>274</v>
      </c>
      <c r="E14" s="115" t="s">
        <v>68</v>
      </c>
      <c r="F14" s="116" t="s">
        <v>69</v>
      </c>
      <c r="G14" s="115" t="s">
        <v>70</v>
      </c>
      <c r="H14" s="116" t="s">
        <v>3</v>
      </c>
      <c r="I14" s="116" t="s">
        <v>71</v>
      </c>
      <c r="J14" s="116" t="s">
        <v>275</v>
      </c>
      <c r="K14" s="116" t="s">
        <v>276</v>
      </c>
      <c r="L14" s="116" t="s">
        <v>277</v>
      </c>
      <c r="M14" s="116" t="s">
        <v>278</v>
      </c>
      <c r="N14" s="116" t="s">
        <v>76</v>
      </c>
      <c r="O14" s="116" t="s">
        <v>77</v>
      </c>
      <c r="P14" s="116" t="s">
        <v>78</v>
      </c>
      <c r="Q14" s="116" t="s">
        <v>79</v>
      </c>
      <c r="R14" s="116" t="s">
        <v>80</v>
      </c>
      <c r="S14" s="116" t="s">
        <v>81</v>
      </c>
      <c r="T14" s="116" t="s">
        <v>82</v>
      </c>
      <c r="U14" s="116" t="s">
        <v>83</v>
      </c>
      <c r="V14" s="116" t="s">
        <v>84</v>
      </c>
      <c r="W14" s="116" t="s">
        <v>85</v>
      </c>
      <c r="X14" s="116" t="s">
        <v>86</v>
      </c>
      <c r="Y14" s="116" t="s">
        <v>87</v>
      </c>
      <c r="Z14" s="99" t="s">
        <v>88</v>
      </c>
      <c r="AA14" s="116" t="s">
        <v>22</v>
      </c>
      <c r="AB14" s="117" t="s">
        <v>23</v>
      </c>
      <c r="AC14" s="117" t="s">
        <v>24</v>
      </c>
      <c r="AD14" s="117" t="s">
        <v>25</v>
      </c>
      <c r="AE14" s="117" t="s">
        <v>26</v>
      </c>
      <c r="AF14" s="117" t="s">
        <v>27</v>
      </c>
      <c r="AG14" s="117" t="s">
        <v>28</v>
      </c>
      <c r="AH14" s="117" t="s">
        <v>29</v>
      </c>
      <c r="AI14" s="117" t="s">
        <v>30</v>
      </c>
      <c r="AJ14" s="117" t="s">
        <v>31</v>
      </c>
      <c r="AK14" s="118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19" t="s">
        <v>106</v>
      </c>
      <c r="E15" s="120" t="str">
        <f>IFERROR(VLOOKUP($D15,Alimentos!$D$2:$AZ$153,2,FALSE),0)</f>
        <v>Concentrado</v>
      </c>
      <c r="F15" s="120">
        <v>0</v>
      </c>
      <c r="G15" s="121">
        <f>IFERROR(VLOOKUP($D15,Alimentos!$D$2:$AZ$153,4,FALSE),0)</f>
        <v>90</v>
      </c>
      <c r="H15" s="121">
        <f>IFERROR(VLOOKUP($D15,Alimentos!$D$2:$AZ$153,5,FALSE),0)</f>
        <v>3.27</v>
      </c>
      <c r="I15" s="121">
        <f>IFERROR(VLOOKUP($D15,Alimentos!$D$2:$AZ$153,6,FALSE),0)</f>
        <v>13.2</v>
      </c>
      <c r="J15" s="121">
        <f>IFERROR(VLOOKUP($D15,Alimentos!$D$2:$AZ$153,7,FALSE),0)</f>
        <v>0.55000000000000004</v>
      </c>
      <c r="K15" s="121">
        <f>IFERROR(VLOOKUP($D15,Alimentos!$D$2:$AZ$153,8,FALSE),0)</f>
        <v>0</v>
      </c>
      <c r="L15" s="121">
        <f>IFERROR(VLOOKUP($D15,Alimentos!$D$2:$AZ$153,9,FALSE),0)</f>
        <v>0</v>
      </c>
      <c r="M15" s="121">
        <f>IFERROR(VLOOKUP($D15,Alimentos!$D$2:$AZ$153,10,FALSE),0)</f>
        <v>0</v>
      </c>
      <c r="N15" s="121">
        <f>IFERROR(VLOOKUP($D15,Alimentos!$D$2:$AZ$153,11,FALSE),0)</f>
        <v>5.0999999999999996</v>
      </c>
      <c r="O15" s="121">
        <f>IFERROR(VLOOKUP($D15,Alimentos!$D$2:$AZ$153,12,FALSE),0)</f>
        <v>30</v>
      </c>
      <c r="P15" s="121">
        <f>IFERROR(VLOOKUP($D15,Alimentos!$D$2:$AZ$153,13,FALSE),0)</f>
        <v>14.6</v>
      </c>
      <c r="Q15" s="121">
        <f>IFERROR(VLOOKUP($D15,Alimentos!$D$2:$AZ$153,14,FALSE),0)</f>
        <v>0</v>
      </c>
      <c r="R15" s="121">
        <f>IFERROR(VLOOKUP($D15,Alimentos!$D$2:$AZ$153,15,FALSE),0)</f>
        <v>3.3</v>
      </c>
      <c r="S15" s="121">
        <f>IFERROR(VLOOKUP($D15,Alimentos!$D$2:$AZ$153,16,FALSE),0)</f>
        <v>0.11</v>
      </c>
      <c r="T15" s="121">
        <f>IFERROR(VLOOKUP($D15,Alimentos!$D$2:$AZ$153,17,FALSE),0)</f>
        <v>0.4</v>
      </c>
      <c r="U15" s="121">
        <f>IFERROR(VLOOKUP($D15,Alimentos!$D$2:$AZ$153,18,FALSE),0)</f>
        <v>0.16</v>
      </c>
      <c r="V15" s="121">
        <f>IFERROR(VLOOKUP($D15,Alimentos!$D$2:$AZ$153,19,FALSE),0)</f>
        <v>0.52</v>
      </c>
      <c r="W15" s="121">
        <f>IFERROR(VLOOKUP($D15,Alimentos!$D$2:$AZ$153,20,FALSE),0)</f>
        <v>0.03</v>
      </c>
      <c r="X15" s="121">
        <f>IFERROR(VLOOKUP($D15,Alimentos!$D$2:$AZ$153,21,FALSE),0)</f>
        <v>0</v>
      </c>
      <c r="Y15" s="121">
        <f>IFERROR(VLOOKUP($D15,Alimentos!$D$2:$AZ$153,22,FALSE),0)</f>
        <v>0.19</v>
      </c>
      <c r="Z15" s="121">
        <f>IFERROR(VLOOKUP($D15,Alimentos!$D$2:$AZ$153,23,FALSE),0)</f>
        <v>0.06</v>
      </c>
      <c r="AA15" s="121">
        <f>IFERROR(VLOOKUP($D15,Alimentos!$D$2:$AZ$153,24,FALSE),0)</f>
        <v>8</v>
      </c>
      <c r="AB15" s="122">
        <f>IFERROR(VLOOKUP($D15,Alimentos!$D$2:$AZ$153,25,FALSE),0)</f>
        <v>0</v>
      </c>
      <c r="AC15" s="122">
        <f>IFERROR(VLOOKUP($D15,Alimentos!$D$2:$AZ$153,26,FALSE),0)</f>
        <v>106</v>
      </c>
      <c r="AD15" s="122">
        <f>IFERROR(VLOOKUP($D15,Alimentos!$D$2:$AZ$153,27,FALSE),0)</f>
        <v>43</v>
      </c>
      <c r="AE15" s="122">
        <f>IFERROR(VLOOKUP($D15,Alimentos!$D$2:$AZ$153,28,FALSE),0)</f>
        <v>0.48</v>
      </c>
      <c r="AF15" s="122">
        <f>IFERROR(VLOOKUP($D15,Alimentos!$D$2:$AZ$153,29,FALSE),0)</f>
        <v>41</v>
      </c>
      <c r="AG15" s="122">
        <f>IFERROR(VLOOKUP($D15,Alimentos!$D$2:$AZ$153,30,FALSE),0)</f>
        <v>0</v>
      </c>
      <c r="AH15" s="122">
        <f>IFERROR(VLOOKUP($D15,Alimentos!$D$2:$AZ$153,31,FALSE),0)</f>
        <v>0</v>
      </c>
      <c r="AI15" s="122">
        <f>IFERROR(VLOOKUP($D15,Alimentos!$D$2:$AZ$153,32,FALSE),0)</f>
        <v>0</v>
      </c>
      <c r="AJ15" s="122">
        <f>IFERROR(VLOOKUP($D15,Alimentos!$D$2:$AZ$153,33,FALSE),0)</f>
        <v>0</v>
      </c>
      <c r="AK15" s="123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4" t="s">
        <v>152</v>
      </c>
      <c r="E16" s="125" t="str">
        <f>IFERROR(VLOOKUP($D16,Alimentos!$D$2:$AZ$153,2,FALSE),0)</f>
        <v>Concentrado</v>
      </c>
      <c r="F16" s="120">
        <f>IFERROR(VLOOKUP($D16,Alimentos!$D$2:$AZ$153,3,FALSE),0)</f>
        <v>0</v>
      </c>
      <c r="G16" s="121">
        <f>IFERROR(VLOOKUP($D16,Alimentos!$D$2:$AZ$153,4,FALSE),0)</f>
        <v>98</v>
      </c>
      <c r="H16" s="126">
        <f>IFERROR(VLOOKUP($D16,Alimentos!$D$2:$AZ$153,5,FALSE),0)</f>
        <v>4.2</v>
      </c>
      <c r="I16" s="126">
        <f>IFERROR(VLOOKUP($D16,Alimentos!$D$2:$AZ$153,6,FALSE),0)</f>
        <v>12</v>
      </c>
      <c r="J16" s="126">
        <f>IFERROR(VLOOKUP($D16,Alimentos!$D$2:$AZ$153,7,FALSE),0)</f>
        <v>6</v>
      </c>
      <c r="K16" s="126">
        <f>IFERROR(VLOOKUP($D16,Alimentos!$D$2:$AZ$153,8,FALSE),0)</f>
        <v>0</v>
      </c>
      <c r="L16" s="126">
        <f>IFERROR(VLOOKUP($D16,Alimentos!$D$2:$AZ$153,9,FALSE),0)</f>
        <v>1.8</v>
      </c>
      <c r="M16" s="126">
        <f>IFERROR(VLOOKUP($D16,Alimentos!$D$2:$AZ$153,10,FALSE),0)</f>
        <v>0</v>
      </c>
      <c r="N16" s="126">
        <f>IFERROR(VLOOKUP($D16,Alimentos!$D$2:$AZ$153,11,FALSE),0)</f>
        <v>11</v>
      </c>
      <c r="O16" s="126">
        <f>IFERROR(VLOOKUP($D16,Alimentos!$D$2:$AZ$153,12,FALSE),0)</f>
        <v>0</v>
      </c>
      <c r="P16" s="126">
        <f>IFERROR(VLOOKUP($D16,Alimentos!$D$2:$AZ$153,13,FALSE),0)</f>
        <v>0</v>
      </c>
      <c r="Q16" s="126">
        <f>IFERROR(VLOOKUP($D16,Alimentos!$D$2:$AZ$153,14,FALSE),0)</f>
        <v>0</v>
      </c>
      <c r="R16" s="126">
        <f>IFERROR(VLOOKUP($D16,Alimentos!$D$2:$AZ$153,15,FALSE),0)</f>
        <v>0</v>
      </c>
      <c r="S16" s="126">
        <f>IFERROR(VLOOKUP($D16,Alimentos!$D$2:$AZ$153,16,FALSE),0)</f>
        <v>14</v>
      </c>
      <c r="T16" s="126">
        <f>IFERROR(VLOOKUP($D16,Alimentos!$D$2:$AZ$153,17,FALSE),0)</f>
        <v>6</v>
      </c>
      <c r="U16" s="126">
        <f>IFERROR(VLOOKUP($D16,Alimentos!$D$2:$AZ$153,18,FALSE),0)</f>
        <v>0</v>
      </c>
      <c r="V16" s="126">
        <f>IFERROR(VLOOKUP($D16,Alimentos!$D$2:$AZ$153,19,FALSE),0)</f>
        <v>0</v>
      </c>
      <c r="W16" s="126">
        <f>IFERROR(VLOOKUP($D16,Alimentos!$D$2:$AZ$153,20,FALSE),0)</f>
        <v>0</v>
      </c>
      <c r="X16" s="126">
        <f>IFERROR(VLOOKUP($D16,Alimentos!$D$2:$AZ$153,21,FALSE),0)</f>
        <v>0</v>
      </c>
      <c r="Y16" s="126">
        <f>IFERROR(VLOOKUP($D16,Alimentos!$D$2:$AZ$153,22,FALSE),0)</f>
        <v>0</v>
      </c>
      <c r="Z16" s="126">
        <f>IFERROR(VLOOKUP($D16,Alimentos!$D$2:$AZ$153,23,FALSE),0)</f>
        <v>0</v>
      </c>
      <c r="AA16" s="126">
        <f>IFERROR(VLOOKUP($D16,Alimentos!$D$2:$AZ$153,24,FALSE),0)</f>
        <v>0</v>
      </c>
      <c r="AB16" s="127">
        <f>IFERROR(VLOOKUP($D16,Alimentos!$D$2:$AZ$153,25,FALSE),0)</f>
        <v>0</v>
      </c>
      <c r="AC16" s="127">
        <f>IFERROR(VLOOKUP($D16,Alimentos!$D$2:$AZ$153,26,FALSE),0)</f>
        <v>0</v>
      </c>
      <c r="AD16" s="127">
        <f>IFERROR(VLOOKUP($D16,Alimentos!$D$2:$AZ$153,27,FALSE),0)</f>
        <v>0</v>
      </c>
      <c r="AE16" s="127">
        <f>IFERROR(VLOOKUP($D16,Alimentos!$D$2:$AZ$153,28,FALSE),0)</f>
        <v>0</v>
      </c>
      <c r="AF16" s="127">
        <f>IFERROR(VLOOKUP($D16,Alimentos!$D$2:$AZ$153,29,FALSE),0)</f>
        <v>0</v>
      </c>
      <c r="AG16" s="127">
        <f>IFERROR(VLOOKUP($D16,Alimentos!$D$2:$AZ$153,30,FALSE),0)</f>
        <v>0</v>
      </c>
      <c r="AH16" s="127">
        <f>IFERROR(VLOOKUP($D16,Alimentos!$D$2:$AZ$153,31,FALSE),0)</f>
        <v>0</v>
      </c>
      <c r="AI16" s="127">
        <f>IFERROR(VLOOKUP($D16,Alimentos!$D$2:$AZ$153,32,FALSE),0)</f>
        <v>0</v>
      </c>
      <c r="AJ16" s="127">
        <f>IFERROR(VLOOKUP($D16,Alimentos!$D$2:$AZ$153,33,FALSE),0)</f>
        <v>0</v>
      </c>
      <c r="AK16" s="128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4" t="s">
        <v>154</v>
      </c>
      <c r="E17" s="125" t="str">
        <f>IFERROR(VLOOKUP($D17,Alimentos!$D$2:$AZ$153,2,FALSE),0)</f>
        <v>Concentrado</v>
      </c>
      <c r="F17" s="129">
        <f>IFERROR(VLOOKUP($D17,Alimentos!$D$2:$AZ$153,3,FALSE),0)</f>
        <v>0</v>
      </c>
      <c r="G17" s="126">
        <f>IFERROR(VLOOKUP($D17,Alimentos!$D$2:$AZ$153,4,FALSE),0)</f>
        <v>87</v>
      </c>
      <c r="H17" s="126">
        <f>IFERROR(VLOOKUP($D17,Alimentos!$D$2:$AZ$153,5,FALSE),0)</f>
        <v>3</v>
      </c>
      <c r="I17" s="126">
        <f>IFERROR(VLOOKUP($D17,Alimentos!$D$2:$AZ$153,6,FALSE),0)</f>
        <v>13</v>
      </c>
      <c r="J17" s="126">
        <f>IFERROR(VLOOKUP($D17,Alimentos!$D$2:$AZ$153,7,FALSE),0)</f>
        <v>0.5</v>
      </c>
      <c r="K17" s="126">
        <f>IFERROR(VLOOKUP($D17,Alimentos!$D$2:$AZ$153,8,FALSE),0)</f>
        <v>0</v>
      </c>
      <c r="L17" s="126">
        <f>IFERROR(VLOOKUP($D17,Alimentos!$D$2:$AZ$153,9,FALSE),0)</f>
        <v>0.17</v>
      </c>
      <c r="M17" s="126">
        <f>IFERROR(VLOOKUP($D17,Alimentos!$D$2:$AZ$153,10,FALSE),0)</f>
        <v>0</v>
      </c>
      <c r="N17" s="126">
        <f>IFERROR(VLOOKUP($D17,Alimentos!$D$2:$AZ$153,11,FALSE),0)</f>
        <v>2</v>
      </c>
      <c r="O17" s="126">
        <f>IFERROR(VLOOKUP($D17,Alimentos!$D$2:$AZ$153,12,FALSE),0)</f>
        <v>20</v>
      </c>
      <c r="P17" s="126">
        <f>IFERROR(VLOOKUP($D17,Alimentos!$D$2:$AZ$153,13,FALSE),0)</f>
        <v>26</v>
      </c>
      <c r="Q17" s="126">
        <f>IFERROR(VLOOKUP($D17,Alimentos!$D$2:$AZ$153,14,FALSE),0)</f>
        <v>45</v>
      </c>
      <c r="R17" s="126">
        <f>IFERROR(VLOOKUP($D17,Alimentos!$D$2:$AZ$153,15,FALSE),0)</f>
        <v>12</v>
      </c>
      <c r="S17" s="126">
        <f>IFERROR(VLOOKUP($D17,Alimentos!$D$2:$AZ$153,16,FALSE),0)</f>
        <v>1</v>
      </c>
      <c r="T17" s="126">
        <f>IFERROR(VLOOKUP($D17,Alimentos!$D$2:$AZ$153,17,FALSE),0)</f>
        <v>0.5</v>
      </c>
      <c r="U17" s="126">
        <f>IFERROR(VLOOKUP($D17,Alimentos!$D$2:$AZ$153,18,FALSE),0)</f>
        <v>0</v>
      </c>
      <c r="V17" s="126">
        <f>IFERROR(VLOOKUP($D17,Alimentos!$D$2:$AZ$153,19,FALSE),0)</f>
        <v>0</v>
      </c>
      <c r="W17" s="126">
        <f>IFERROR(VLOOKUP($D17,Alimentos!$D$2:$AZ$153,20,FALSE),0)</f>
        <v>0</v>
      </c>
      <c r="X17" s="126">
        <f>IFERROR(VLOOKUP($D17,Alimentos!$D$2:$AZ$153,21,FALSE),0)</f>
        <v>0</v>
      </c>
      <c r="Y17" s="126">
        <f>IFERROR(VLOOKUP($D17,Alimentos!$D$2:$AZ$153,22,FALSE),0)</f>
        <v>0</v>
      </c>
      <c r="Z17" s="126">
        <f>IFERROR(VLOOKUP($D17,Alimentos!$D$2:$AZ$153,23,FALSE),0)</f>
        <v>0.12</v>
      </c>
      <c r="AA17" s="126">
        <f>IFERROR(VLOOKUP($D17,Alimentos!$D$2:$AZ$153,24,FALSE),0)</f>
        <v>24</v>
      </c>
      <c r="AB17" s="127">
        <f>IFERROR(VLOOKUP($D17,Alimentos!$D$2:$AZ$153,25,FALSE),0)</f>
        <v>1.5</v>
      </c>
      <c r="AC17" s="127">
        <f>IFERROR(VLOOKUP($D17,Alimentos!$D$2:$AZ$153,26,FALSE),0)</f>
        <v>62</v>
      </c>
      <c r="AD17" s="127">
        <f>IFERROR(VLOOKUP($D17,Alimentos!$D$2:$AZ$153,27,FALSE),0)</f>
        <v>62</v>
      </c>
      <c r="AE17" s="127">
        <f>IFERROR(VLOOKUP($D17,Alimentos!$D$2:$AZ$153,28,FALSE),0)</f>
        <v>0.06</v>
      </c>
      <c r="AF17" s="127">
        <f>IFERROR(VLOOKUP($D17,Alimentos!$D$2:$AZ$153,29,FALSE),0)</f>
        <v>74</v>
      </c>
      <c r="AG17" s="127">
        <f>IFERROR(VLOOKUP($D17,Alimentos!$D$2:$AZ$153,30,FALSE),0)</f>
        <v>66</v>
      </c>
      <c r="AH17" s="127">
        <f>IFERROR(VLOOKUP($D17,Alimentos!$D$2:$AZ$153,31,FALSE),0)</f>
        <v>660</v>
      </c>
      <c r="AI17" s="127">
        <f>IFERROR(VLOOKUP($D17,Alimentos!$D$2:$AZ$153,32,FALSE),0)</f>
        <v>80</v>
      </c>
      <c r="AJ17" s="127">
        <f>IFERROR(VLOOKUP($D17,Alimentos!$D$2:$AZ$153,33,FALSE),0)</f>
        <v>2.5</v>
      </c>
      <c r="AK17" s="128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4" t="s">
        <v>155</v>
      </c>
      <c r="E18" s="125" t="str">
        <f>IFERROR(VLOOKUP($D18,Alimentos!$D$2:$AZ$153,2,FALSE),0)</f>
        <v>Concentrado</v>
      </c>
      <c r="F18" s="129">
        <f>IFERROR(VLOOKUP($D18,Alimentos!$D$2:$AZ$153,3,FALSE),0)</f>
        <v>0</v>
      </c>
      <c r="G18" s="126">
        <f>IFERROR(VLOOKUP($D18,Alimentos!$D$2:$AZ$153,4,FALSE),0)</f>
        <v>89</v>
      </c>
      <c r="H18" s="126">
        <f>IFERROR(VLOOKUP($D18,Alimentos!$D$2:$AZ$153,5,FALSE),0)</f>
        <v>3.2</v>
      </c>
      <c r="I18" s="126">
        <f>IFERROR(VLOOKUP($D18,Alimentos!$D$2:$AZ$153,6,FALSE),0)</f>
        <v>15</v>
      </c>
      <c r="J18" s="126">
        <f>IFERROR(VLOOKUP($D18,Alimentos!$D$2:$AZ$153,7,FALSE),0)</f>
        <v>0</v>
      </c>
      <c r="K18" s="126">
        <f>IFERROR(VLOOKUP($D18,Alimentos!$D$2:$AZ$153,8,FALSE),0)</f>
        <v>0</v>
      </c>
      <c r="L18" s="126">
        <f>IFERROR(VLOOKUP($D18,Alimentos!$D$2:$AZ$153,9,FALSE),0)</f>
        <v>0</v>
      </c>
      <c r="M18" s="126">
        <f>IFERROR(VLOOKUP($D18,Alimentos!$D$2:$AZ$153,10,FALSE),0)</f>
        <v>0</v>
      </c>
      <c r="N18" s="126">
        <f>IFERROR(VLOOKUP($D18,Alimentos!$D$2:$AZ$153,11,FALSE),0)</f>
        <v>3</v>
      </c>
      <c r="O18" s="126">
        <f>IFERROR(VLOOKUP($D18,Alimentos!$D$2:$AZ$153,12,FALSE),0)</f>
        <v>20</v>
      </c>
      <c r="P18" s="126">
        <f>IFERROR(VLOOKUP($D18,Alimentos!$D$2:$AZ$153,13,FALSE),0)</f>
        <v>0</v>
      </c>
      <c r="Q18" s="126">
        <f>IFERROR(VLOOKUP($D18,Alimentos!$D$2:$AZ$153,14,FALSE),0)</f>
        <v>40</v>
      </c>
      <c r="R18" s="126">
        <f>IFERROR(VLOOKUP($D18,Alimentos!$D$2:$AZ$153,15,FALSE),0)</f>
        <v>0</v>
      </c>
      <c r="S18" s="126">
        <f>IFERROR(VLOOKUP($D18,Alimentos!$D$2:$AZ$153,16,FALSE),0)</f>
        <v>2.5</v>
      </c>
      <c r="T18" s="126">
        <f>IFERROR(VLOOKUP($D18,Alimentos!$D$2:$AZ$153,17,FALSE),0)</f>
        <v>0.5</v>
      </c>
      <c r="U18" s="126">
        <f>IFERROR(VLOOKUP($D18,Alimentos!$D$2:$AZ$153,18,FALSE),0)</f>
        <v>0</v>
      </c>
      <c r="V18" s="126">
        <f>IFERROR(VLOOKUP($D18,Alimentos!$D$2:$AZ$153,19,FALSE),0)</f>
        <v>0</v>
      </c>
      <c r="W18" s="126">
        <f>IFERROR(VLOOKUP($D18,Alimentos!$D$2:$AZ$153,20,FALSE),0)</f>
        <v>0</v>
      </c>
      <c r="X18" s="126">
        <f>IFERROR(VLOOKUP($D18,Alimentos!$D$2:$AZ$153,21,FALSE),0)</f>
        <v>0</v>
      </c>
      <c r="Y18" s="126">
        <f>IFERROR(VLOOKUP($D18,Alimentos!$D$2:$AZ$153,22,FALSE),0)</f>
        <v>0</v>
      </c>
      <c r="Z18" s="126">
        <f>IFERROR(VLOOKUP($D18,Alimentos!$D$2:$AZ$153,23,FALSE),0)</f>
        <v>0</v>
      </c>
      <c r="AA18" s="126">
        <f>IFERROR(VLOOKUP($D18,Alimentos!$D$2:$AZ$153,24,FALSE),0)</f>
        <v>0</v>
      </c>
      <c r="AB18" s="127">
        <f>IFERROR(VLOOKUP($D18,Alimentos!$D$2:$AZ$153,25,FALSE),0)</f>
        <v>0</v>
      </c>
      <c r="AC18" s="127">
        <f>IFERROR(VLOOKUP($D18,Alimentos!$D$2:$AZ$153,26,FALSE),0)</f>
        <v>0</v>
      </c>
      <c r="AD18" s="127">
        <f>IFERROR(VLOOKUP($D18,Alimentos!$D$2:$AZ$153,27,FALSE),0)</f>
        <v>0</v>
      </c>
      <c r="AE18" s="127">
        <f>IFERROR(VLOOKUP($D18,Alimentos!$D$2:$AZ$153,28,FALSE),0)</f>
        <v>0</v>
      </c>
      <c r="AF18" s="127">
        <f>IFERROR(VLOOKUP($D18,Alimentos!$D$2:$AZ$153,29,FALSE),0)</f>
        <v>0</v>
      </c>
      <c r="AG18" s="127">
        <f>IFERROR(VLOOKUP($D18,Alimentos!$D$2:$AZ$153,30,FALSE),0)</f>
        <v>0</v>
      </c>
      <c r="AH18" s="127">
        <f>IFERROR(VLOOKUP($D18,Alimentos!$D$2:$AZ$153,31,FALSE),0)</f>
        <v>0</v>
      </c>
      <c r="AI18" s="127">
        <f>IFERROR(VLOOKUP($D18,Alimentos!$D$2:$AZ$153,32,FALSE),0)</f>
        <v>0</v>
      </c>
      <c r="AJ18" s="127">
        <f>IFERROR(VLOOKUP($D18,Alimentos!$D$2:$AZ$153,33,FALSE),0)</f>
        <v>0</v>
      </c>
      <c r="AK18" s="128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4" t="s">
        <v>187</v>
      </c>
      <c r="E19" s="125" t="str">
        <f>IFERROR(VLOOKUP($D19,Alimentos!$D$2:$AZ$153,2,FALSE),0)</f>
        <v>Gordura</v>
      </c>
      <c r="F19" s="129">
        <f>IFERROR(VLOOKUP($D19,Alimentos!$D$2:$AZ$153,3,FALSE),0)</f>
        <v>0</v>
      </c>
      <c r="G19" s="126">
        <f>IFERROR(VLOOKUP($D19,Alimentos!$D$2:$AZ$153,4,FALSE),0)</f>
        <v>100</v>
      </c>
      <c r="H19" s="126">
        <f>IFERROR(VLOOKUP($D19,Alimentos!$D$2:$AZ$153,5,FALSE),0)</f>
        <v>9.19</v>
      </c>
      <c r="I19" s="126">
        <f>IFERROR(VLOOKUP($D19,Alimentos!$D$2:$AZ$153,6,FALSE),0)</f>
        <v>0</v>
      </c>
      <c r="J19" s="126">
        <f>IFERROR(VLOOKUP($D19,Alimentos!$D$2:$AZ$153,7,FALSE),0)</f>
        <v>0</v>
      </c>
      <c r="K19" s="126">
        <f>IFERROR(VLOOKUP($D19,Alimentos!$D$2:$AZ$153,8,FALSE),0)</f>
        <v>0</v>
      </c>
      <c r="L19" s="126">
        <f>IFERROR(VLOOKUP($D19,Alimentos!$D$2:$AZ$153,9,FALSE),0)</f>
        <v>0</v>
      </c>
      <c r="M19" s="126">
        <f>IFERROR(VLOOKUP($D19,Alimentos!$D$2:$AZ$153,10,FALSE),0)</f>
        <v>0</v>
      </c>
      <c r="N19" s="126">
        <f>IFERROR(VLOOKUP($D19,Alimentos!$D$2:$AZ$153,11,FALSE),0)</f>
        <v>99.9</v>
      </c>
      <c r="O19" s="126">
        <f>IFERROR(VLOOKUP($D19,Alimentos!$D$2:$AZ$153,12,FALSE),0)</f>
        <v>0</v>
      </c>
      <c r="P19" s="126">
        <f>IFERROR(VLOOKUP($D19,Alimentos!$D$2:$AZ$153,13,FALSE),0)</f>
        <v>0</v>
      </c>
      <c r="Q19" s="126">
        <f>IFERROR(VLOOKUP($D19,Alimentos!$D$2:$AZ$153,14,FALSE),0)</f>
        <v>0</v>
      </c>
      <c r="R19" s="126">
        <f>IFERROR(VLOOKUP($D19,Alimentos!$D$2:$AZ$153,15,FALSE),0)</f>
        <v>0</v>
      </c>
      <c r="S19" s="126">
        <f>IFERROR(VLOOKUP($D19,Alimentos!$D$2:$AZ$153,16,FALSE),0)</f>
        <v>0</v>
      </c>
      <c r="T19" s="126">
        <f>IFERROR(VLOOKUP($D19,Alimentos!$D$2:$AZ$153,17,FALSE),0)</f>
        <v>0</v>
      </c>
      <c r="U19" s="126">
        <f>IFERROR(VLOOKUP($D19,Alimentos!$D$2:$AZ$153,18,FALSE),0)</f>
        <v>0</v>
      </c>
      <c r="V19" s="126">
        <f>IFERROR(VLOOKUP($D19,Alimentos!$D$2:$AZ$153,19,FALSE),0)</f>
        <v>0</v>
      </c>
      <c r="W19" s="126">
        <f>IFERROR(VLOOKUP($D19,Alimentos!$D$2:$AZ$153,20,FALSE),0)</f>
        <v>0</v>
      </c>
      <c r="X19" s="126">
        <f>IFERROR(VLOOKUP($D19,Alimentos!$D$2:$AZ$153,21,FALSE),0)</f>
        <v>0</v>
      </c>
      <c r="Y19" s="126">
        <f>IFERROR(VLOOKUP($D19,Alimentos!$D$2:$AZ$153,22,FALSE),0)</f>
        <v>0</v>
      </c>
      <c r="Z19" s="126">
        <f>IFERROR(VLOOKUP($D19,Alimentos!$D$2:$AZ$153,23,FALSE),0)</f>
        <v>0</v>
      </c>
      <c r="AA19" s="126">
        <f>IFERROR(VLOOKUP($D19,Alimentos!$D$2:$AZ$153,24,FALSE),0)</f>
        <v>0</v>
      </c>
      <c r="AB19" s="127">
        <f>IFERROR(VLOOKUP($D19,Alimentos!$D$2:$AZ$153,25,FALSE),0)</f>
        <v>0</v>
      </c>
      <c r="AC19" s="127">
        <f>IFERROR(VLOOKUP($D19,Alimentos!$D$2:$AZ$153,26,FALSE),0)</f>
        <v>0</v>
      </c>
      <c r="AD19" s="127">
        <f>IFERROR(VLOOKUP($D19,Alimentos!$D$2:$AZ$153,27,FALSE),0)</f>
        <v>0</v>
      </c>
      <c r="AE19" s="127">
        <f>IFERROR(VLOOKUP($D19,Alimentos!$D$2:$AZ$153,28,FALSE),0)</f>
        <v>0</v>
      </c>
      <c r="AF19" s="127">
        <f>IFERROR(VLOOKUP($D19,Alimentos!$D$2:$AZ$153,29,FALSE),0)</f>
        <v>0</v>
      </c>
      <c r="AG19" s="127">
        <f>IFERROR(VLOOKUP($D19,Alimentos!$D$2:$AZ$153,30,FALSE),0)</f>
        <v>0</v>
      </c>
      <c r="AH19" s="127">
        <f>IFERROR(VLOOKUP($D19,Alimentos!$D$2:$AZ$153,31,FALSE),0)</f>
        <v>0</v>
      </c>
      <c r="AI19" s="127">
        <f>IFERROR(VLOOKUP($D19,Alimentos!$D$2:$AZ$153,32,FALSE),0)</f>
        <v>0</v>
      </c>
      <c r="AJ19" s="127">
        <f>IFERROR(VLOOKUP($D19,Alimentos!$D$2:$AZ$153,33,FALSE),0)</f>
        <v>0</v>
      </c>
      <c r="AK19" s="128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4" t="s">
        <v>119</v>
      </c>
      <c r="E20" s="125" t="str">
        <f>IFERROR(VLOOKUP($D20,Alimentos!$D$2:$AZ$153,2,FALSE),0)</f>
        <v>Suplemento</v>
      </c>
      <c r="F20" s="129">
        <v>0</v>
      </c>
      <c r="G20" s="126">
        <f>IFERROR(VLOOKUP($D20,Alimentos!$D$2:$AZ$153,4,FALSE),0)</f>
        <v>99</v>
      </c>
      <c r="H20" s="126">
        <f>IFERROR(VLOOKUP($D20,Alimentos!$D$2:$AZ$153,5,FALSE),0)</f>
        <v>0</v>
      </c>
      <c r="I20" s="126">
        <f>IFERROR(VLOOKUP($D20,Alimentos!$D$2:$AZ$153,6,FALSE),0)</f>
        <v>20</v>
      </c>
      <c r="J20" s="126">
        <f>IFERROR(VLOOKUP($D20,Alimentos!$D$2:$AZ$153,7,FALSE),0)</f>
        <v>10.54</v>
      </c>
      <c r="K20" s="126">
        <f>IFERROR(VLOOKUP($D20,Alimentos!$D$2:$AZ$153,8,FALSE),0)</f>
        <v>6.33</v>
      </c>
      <c r="L20" s="126">
        <f>IFERROR(VLOOKUP($D20,Alimentos!$D$2:$AZ$153,9,FALSE),0)</f>
        <v>2.86</v>
      </c>
      <c r="M20" s="126">
        <f>IFERROR(VLOOKUP($D20,Alimentos!$D$2:$AZ$153,10,FALSE),0)</f>
        <v>2.11</v>
      </c>
      <c r="N20" s="126">
        <f>IFERROR(VLOOKUP($D20,Alimentos!$D$2:$AZ$153,11,FALSE),0)</f>
        <v>0</v>
      </c>
      <c r="O20" s="126">
        <f>IFERROR(VLOOKUP($D20,Alimentos!$D$2:$AZ$153,12,FALSE),0)</f>
        <v>0</v>
      </c>
      <c r="P20" s="126">
        <f>IFERROR(VLOOKUP($D20,Alimentos!$D$2:$AZ$153,13,FALSE),0)</f>
        <v>0</v>
      </c>
      <c r="Q20" s="126">
        <f>IFERROR(VLOOKUP($D20,Alimentos!$D$2:$AZ$153,14,FALSE),0)</f>
        <v>0</v>
      </c>
      <c r="R20" s="126">
        <f>IFERROR(VLOOKUP($D20,Alimentos!$D$2:$AZ$153,15,FALSE),0)</f>
        <v>99</v>
      </c>
      <c r="S20" s="126">
        <f>IFERROR(VLOOKUP($D20,Alimentos!$D$2:$AZ$153,16,FALSE),0)</f>
        <v>11.5</v>
      </c>
      <c r="T20" s="126">
        <f>IFERROR(VLOOKUP($D20,Alimentos!$D$2:$AZ$153,17,FALSE),0)</f>
        <v>5.79</v>
      </c>
      <c r="U20" s="126">
        <f>IFERROR(VLOOKUP($D20,Alimentos!$D$2:$AZ$153,18,FALSE),0)</f>
        <v>1.43</v>
      </c>
      <c r="V20" s="126">
        <f>IFERROR(VLOOKUP($D20,Alimentos!$D$2:$AZ$153,19,FALSE),0)</f>
        <v>0</v>
      </c>
      <c r="W20" s="126">
        <f>IFERROR(VLOOKUP($D20,Alimentos!$D$2:$AZ$153,20,FALSE),0)</f>
        <v>1.04</v>
      </c>
      <c r="X20" s="126">
        <f>IFERROR(VLOOKUP($D20,Alimentos!$D$2:$AZ$153,21,FALSE),0)</f>
        <v>0</v>
      </c>
      <c r="Y20" s="126">
        <f>IFERROR(VLOOKUP($D20,Alimentos!$D$2:$AZ$153,22,FALSE),0)</f>
        <v>2.0099999999999998</v>
      </c>
      <c r="Z20" s="126">
        <f>IFERROR(VLOOKUP($D20,Alimentos!$D$2:$AZ$153,23,FALSE),0)</f>
        <v>2</v>
      </c>
      <c r="AA20" s="126">
        <f>IFERROR(VLOOKUP($D20,Alimentos!$D$2:$AZ$153,24,FALSE),0)</f>
        <v>391.66</v>
      </c>
      <c r="AB20" s="127">
        <f>IFERROR(VLOOKUP($D20,Alimentos!$D$2:$AZ$153,25,FALSE),0)</f>
        <v>10.02</v>
      </c>
      <c r="AC20" s="127">
        <f>IFERROR(VLOOKUP($D20,Alimentos!$D$2:$AZ$153,26,FALSE),0)</f>
        <v>1949</v>
      </c>
      <c r="AD20" s="127">
        <f>IFERROR(VLOOKUP($D20,Alimentos!$D$2:$AZ$153,27,FALSE),0)</f>
        <v>1300</v>
      </c>
      <c r="AE20" s="127">
        <f>IFERROR(VLOOKUP($D20,Alimentos!$D$2:$AZ$153,28,FALSE),0)</f>
        <v>3.9</v>
      </c>
      <c r="AF20" s="127">
        <f>IFERROR(VLOOKUP($D20,Alimentos!$D$2:$AZ$153,29,FALSE),0)</f>
        <v>1580</v>
      </c>
      <c r="AG20" s="127">
        <f>IFERROR(VLOOKUP($D20,Alimentos!$D$2:$AZ$153,30,FALSE),0)</f>
        <v>7323</v>
      </c>
      <c r="AH20" s="127">
        <f>IFERROR(VLOOKUP($D20,Alimentos!$D$2:$AZ$153,31,FALSE),0)</f>
        <v>28216</v>
      </c>
      <c r="AI20" s="127">
        <f>IFERROR(VLOOKUP($D20,Alimentos!$D$2:$AZ$153,32,FALSE),0)</f>
        <v>3167</v>
      </c>
      <c r="AJ20" s="127">
        <f>IFERROR(VLOOKUP($D20,Alimentos!$D$2:$AZ$153,33,FALSE),0)</f>
        <v>0</v>
      </c>
      <c r="AK20" s="128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4"/>
      <c r="E21" s="125">
        <f>IFERROR(VLOOKUP($D21,Alimentos!$D$2:$AZ$153,2,FALSE),0)</f>
        <v>0</v>
      </c>
      <c r="F21" s="129">
        <f>IFERROR(VLOOKUP($D21,Alimentos!$D$2:$AZ$153,3,FALSE),0)</f>
        <v>0</v>
      </c>
      <c r="G21" s="126">
        <f>IFERROR(VLOOKUP($D21,Alimentos!$D$2:$AZ$153,4,FALSE),0)</f>
        <v>0</v>
      </c>
      <c r="H21" s="126">
        <f>IFERROR(VLOOKUP($D21,Alimentos!$D$2:$AZ$153,5,FALSE),0)</f>
        <v>0</v>
      </c>
      <c r="I21" s="126">
        <f>IFERROR(VLOOKUP($D21,Alimentos!$D$2:$AZ$153,6,FALSE),0)</f>
        <v>0</v>
      </c>
      <c r="J21" s="126">
        <f>IFERROR(VLOOKUP($D21,Alimentos!$D$2:$AZ$153,7,FALSE),0)</f>
        <v>0</v>
      </c>
      <c r="K21" s="126">
        <f>IFERROR(VLOOKUP($D21,Alimentos!$D$2:$AZ$153,8,FALSE),0)</f>
        <v>0</v>
      </c>
      <c r="L21" s="126">
        <f>IFERROR(VLOOKUP($D21,Alimentos!$D$2:$AZ$153,9,FALSE),0)</f>
        <v>0</v>
      </c>
      <c r="M21" s="126">
        <f>IFERROR(VLOOKUP($D21,Alimentos!$D$2:$AZ$153,10,FALSE),0)</f>
        <v>0</v>
      </c>
      <c r="N21" s="126">
        <f>IFERROR(VLOOKUP($D21,Alimentos!$D$2:$AZ$153,11,FALSE),0)</f>
        <v>0</v>
      </c>
      <c r="O21" s="126">
        <f>IFERROR(VLOOKUP($D21,Alimentos!$D$2:$AZ$153,12,FALSE),0)</f>
        <v>0</v>
      </c>
      <c r="P21" s="126">
        <f>IFERROR(VLOOKUP($D21,Alimentos!$D$2:$AZ$153,13,FALSE),0)</f>
        <v>0</v>
      </c>
      <c r="Q21" s="126">
        <f>IFERROR(VLOOKUP($D21,Alimentos!$D$2:$AZ$153,14,FALSE),0)</f>
        <v>0</v>
      </c>
      <c r="R21" s="126">
        <f>IFERROR(VLOOKUP($D21,Alimentos!$D$2:$AZ$153,15,FALSE),0)</f>
        <v>0</v>
      </c>
      <c r="S21" s="126">
        <f>IFERROR(VLOOKUP($D21,Alimentos!$D$2:$AZ$153,16,FALSE),0)</f>
        <v>0</v>
      </c>
      <c r="T21" s="126">
        <f>IFERROR(VLOOKUP($D21,Alimentos!$D$2:$AZ$153,17,FALSE),0)</f>
        <v>0</v>
      </c>
      <c r="U21" s="126">
        <f>IFERROR(VLOOKUP($D21,Alimentos!$D$2:$AZ$153,18,FALSE),0)</f>
        <v>0</v>
      </c>
      <c r="V21" s="126">
        <f>IFERROR(VLOOKUP($D21,Alimentos!$D$2:$AZ$153,19,FALSE),0)</f>
        <v>0</v>
      </c>
      <c r="W21" s="126">
        <f>IFERROR(VLOOKUP($D21,Alimentos!$D$2:$AZ$153,20,FALSE),0)</f>
        <v>0</v>
      </c>
      <c r="X21" s="126">
        <f>IFERROR(VLOOKUP($D21,Alimentos!$D$2:$AZ$153,21,FALSE),0)</f>
        <v>0</v>
      </c>
      <c r="Y21" s="126">
        <f>IFERROR(VLOOKUP($D21,Alimentos!$D$2:$AZ$153,22,FALSE),0)</f>
        <v>0</v>
      </c>
      <c r="Z21" s="126">
        <f>IFERROR(VLOOKUP($D21,Alimentos!$D$2:$AZ$153,23,FALSE),0)</f>
        <v>0</v>
      </c>
      <c r="AA21" s="126">
        <f>IFERROR(VLOOKUP($D21,Alimentos!$D$2:$AZ$153,24,FALSE),0)</f>
        <v>0</v>
      </c>
      <c r="AB21" s="127">
        <f>IFERROR(VLOOKUP($D21,Alimentos!$D$2:$AZ$153,25,FALSE),0)</f>
        <v>0</v>
      </c>
      <c r="AC21" s="127">
        <f>IFERROR(VLOOKUP($D21,Alimentos!$D$2:$AZ$153,26,FALSE),0)</f>
        <v>0</v>
      </c>
      <c r="AD21" s="127">
        <f>IFERROR(VLOOKUP($D21,Alimentos!$D$2:$AZ$153,27,FALSE),0)</f>
        <v>0</v>
      </c>
      <c r="AE21" s="127">
        <f>IFERROR(VLOOKUP($D21,Alimentos!$D$2:$AZ$153,28,FALSE),0)</f>
        <v>0</v>
      </c>
      <c r="AF21" s="127">
        <f>IFERROR(VLOOKUP($D21,Alimentos!$D$2:$AZ$153,29,FALSE),0)</f>
        <v>0</v>
      </c>
      <c r="AG21" s="127">
        <f>IFERROR(VLOOKUP($D21,Alimentos!$D$2:$AZ$153,30,FALSE),0)</f>
        <v>0</v>
      </c>
      <c r="AH21" s="127">
        <f>IFERROR(VLOOKUP($D21,Alimentos!$D$2:$AZ$153,31,FALSE),0)</f>
        <v>0</v>
      </c>
      <c r="AI21" s="127">
        <f>IFERROR(VLOOKUP($D21,Alimentos!$D$2:$AZ$153,32,FALSE),0)</f>
        <v>0</v>
      </c>
      <c r="AJ21" s="127">
        <f>IFERROR(VLOOKUP($D21,Alimentos!$D$2:$AZ$153,33,FALSE),0)</f>
        <v>0</v>
      </c>
      <c r="AK21" s="128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4"/>
      <c r="E22" s="125">
        <f>IFERROR(VLOOKUP($D22,Alimentos!$D$2:$AZ$153,2,FALSE),0)</f>
        <v>0</v>
      </c>
      <c r="F22" s="129">
        <f>IFERROR(VLOOKUP($D22,Alimentos!$D$2:$AZ$153,3,FALSE),0)</f>
        <v>0</v>
      </c>
      <c r="G22" s="126">
        <f>IFERROR(VLOOKUP($D22,Alimentos!$D$2:$AZ$153,4,FALSE),0)</f>
        <v>0</v>
      </c>
      <c r="H22" s="126">
        <f>IFERROR(VLOOKUP($D22,Alimentos!$D$2:$AZ$153,5,FALSE),0)</f>
        <v>0</v>
      </c>
      <c r="I22" s="126">
        <f>IFERROR(VLOOKUP($D22,Alimentos!$D$2:$AZ$153,6,FALSE),0)</f>
        <v>0</v>
      </c>
      <c r="J22" s="126">
        <f>IFERROR(VLOOKUP($D22,Alimentos!$D$2:$AZ$153,7,FALSE),0)</f>
        <v>0</v>
      </c>
      <c r="K22" s="126">
        <f>IFERROR(VLOOKUP($D22,Alimentos!$D$2:$AZ$153,8,FALSE),0)</f>
        <v>0</v>
      </c>
      <c r="L22" s="126">
        <f>IFERROR(VLOOKUP($D22,Alimentos!$D$2:$AZ$153,9,FALSE),0)</f>
        <v>0</v>
      </c>
      <c r="M22" s="126">
        <f>IFERROR(VLOOKUP($D22,Alimentos!$D$2:$AZ$153,10,FALSE),0)</f>
        <v>0</v>
      </c>
      <c r="N22" s="126">
        <f>IFERROR(VLOOKUP($D22,Alimentos!$D$2:$AZ$153,11,FALSE),0)</f>
        <v>0</v>
      </c>
      <c r="O22" s="126">
        <f>IFERROR(VLOOKUP($D22,Alimentos!$D$2:$AZ$153,12,FALSE),0)</f>
        <v>0</v>
      </c>
      <c r="P22" s="126">
        <f>IFERROR(VLOOKUP($D22,Alimentos!$D$2:$AZ$153,13,FALSE),0)</f>
        <v>0</v>
      </c>
      <c r="Q22" s="126">
        <f>IFERROR(VLOOKUP($D22,Alimentos!$D$2:$AZ$153,14,FALSE),0)</f>
        <v>0</v>
      </c>
      <c r="R22" s="126">
        <f>IFERROR(VLOOKUP($D22,Alimentos!$D$2:$AZ$153,15,FALSE),0)</f>
        <v>0</v>
      </c>
      <c r="S22" s="126">
        <f>IFERROR(VLOOKUP($D22,Alimentos!$D$2:$AZ$153,16,FALSE),0)</f>
        <v>0</v>
      </c>
      <c r="T22" s="126">
        <f>IFERROR(VLOOKUP($D22,Alimentos!$D$2:$AZ$153,17,FALSE),0)</f>
        <v>0</v>
      </c>
      <c r="U22" s="126">
        <f>IFERROR(VLOOKUP($D22,Alimentos!$D$2:$AZ$153,18,FALSE),0)</f>
        <v>0</v>
      </c>
      <c r="V22" s="126">
        <f>IFERROR(VLOOKUP($D22,Alimentos!$D$2:$AZ$153,19,FALSE),0)</f>
        <v>0</v>
      </c>
      <c r="W22" s="126">
        <f>IFERROR(VLOOKUP($D22,Alimentos!$D$2:$AZ$153,20,FALSE),0)</f>
        <v>0</v>
      </c>
      <c r="X22" s="126">
        <f>IFERROR(VLOOKUP($D22,Alimentos!$D$2:$AZ$153,21,FALSE),0)</f>
        <v>0</v>
      </c>
      <c r="Y22" s="126">
        <f>IFERROR(VLOOKUP($D22,Alimentos!$D$2:$AZ$153,22,FALSE),0)</f>
        <v>0</v>
      </c>
      <c r="Z22" s="126">
        <f>IFERROR(VLOOKUP($D22,Alimentos!$D$2:$AZ$153,23,FALSE),0)</f>
        <v>0</v>
      </c>
      <c r="AA22" s="126">
        <f>IFERROR(VLOOKUP($D22,Alimentos!$D$2:$AZ$153,24,FALSE),0)</f>
        <v>0</v>
      </c>
      <c r="AB22" s="127">
        <f>IFERROR(VLOOKUP($D22,Alimentos!$D$2:$AZ$153,25,FALSE),0)</f>
        <v>0</v>
      </c>
      <c r="AC22" s="127">
        <f>IFERROR(VLOOKUP($D22,Alimentos!$D$2:$AZ$153,26,FALSE),0)</f>
        <v>0</v>
      </c>
      <c r="AD22" s="127">
        <f>IFERROR(VLOOKUP($D22,Alimentos!$D$2:$AZ$153,27,FALSE),0)</f>
        <v>0</v>
      </c>
      <c r="AE22" s="127">
        <f>IFERROR(VLOOKUP($D22,Alimentos!$D$2:$AZ$153,28,FALSE),0)</f>
        <v>0</v>
      </c>
      <c r="AF22" s="127">
        <f>IFERROR(VLOOKUP($D22,Alimentos!$D$2:$AZ$153,29,FALSE),0)</f>
        <v>0</v>
      </c>
      <c r="AG22" s="127">
        <f>IFERROR(VLOOKUP($D22,Alimentos!$D$2:$AZ$153,30,FALSE),0)</f>
        <v>0</v>
      </c>
      <c r="AH22" s="127">
        <f>IFERROR(VLOOKUP($D22,Alimentos!$D$2:$AZ$153,31,FALSE),0)</f>
        <v>0</v>
      </c>
      <c r="AI22" s="127">
        <f>IFERROR(VLOOKUP($D22,Alimentos!$D$2:$AZ$153,32,FALSE),0)</f>
        <v>0</v>
      </c>
      <c r="AJ22" s="127">
        <f>IFERROR(VLOOKUP($D22,Alimentos!$D$2:$AZ$153,33,FALSE),0)</f>
        <v>0</v>
      </c>
      <c r="AK22" s="128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4"/>
      <c r="E23" s="125">
        <f>IFERROR(VLOOKUP($D23,Alimentos!$D$2:$AZ$153,2,FALSE),0)</f>
        <v>0</v>
      </c>
      <c r="F23" s="129">
        <f>IFERROR(VLOOKUP($D23,Alimentos!$D$2:$AZ$153,3,FALSE),0)</f>
        <v>0</v>
      </c>
      <c r="G23" s="126">
        <f>IFERROR(VLOOKUP($D23,Alimentos!$D$2:$AZ$153,4,FALSE),0)</f>
        <v>0</v>
      </c>
      <c r="H23" s="126">
        <f>IFERROR(VLOOKUP($D23,Alimentos!$D$2:$AZ$153,5,FALSE),0)</f>
        <v>0</v>
      </c>
      <c r="I23" s="126">
        <f>IFERROR(VLOOKUP($D23,Alimentos!$D$2:$AZ$153,6,FALSE),0)</f>
        <v>0</v>
      </c>
      <c r="J23" s="126">
        <f>IFERROR(VLOOKUP($D23,Alimentos!$D$2:$AZ$153,7,FALSE),0)</f>
        <v>0</v>
      </c>
      <c r="K23" s="126">
        <f>IFERROR(VLOOKUP($D23,Alimentos!$D$2:$AZ$153,8,FALSE),0)</f>
        <v>0</v>
      </c>
      <c r="L23" s="126">
        <f>IFERROR(VLOOKUP($D23,Alimentos!$D$2:$AZ$153,9,FALSE),0)</f>
        <v>0</v>
      </c>
      <c r="M23" s="126">
        <f>IFERROR(VLOOKUP($D23,Alimentos!$D$2:$AZ$153,10,FALSE),0)</f>
        <v>0</v>
      </c>
      <c r="N23" s="126">
        <f>IFERROR(VLOOKUP($D23,Alimentos!$D$2:$AZ$153,11,FALSE),0)</f>
        <v>0</v>
      </c>
      <c r="O23" s="126">
        <f>IFERROR(VLOOKUP($D23,Alimentos!$D$2:$AZ$153,12,FALSE),0)</f>
        <v>0</v>
      </c>
      <c r="P23" s="126">
        <f>IFERROR(VLOOKUP($D23,Alimentos!$D$2:$AZ$153,13,FALSE),0)</f>
        <v>0</v>
      </c>
      <c r="Q23" s="126">
        <f>IFERROR(VLOOKUP($D23,Alimentos!$D$2:$AZ$153,14,FALSE),0)</f>
        <v>0</v>
      </c>
      <c r="R23" s="126">
        <f>IFERROR(VLOOKUP($D23,Alimentos!$D$2:$AZ$153,15,FALSE),0)</f>
        <v>0</v>
      </c>
      <c r="S23" s="126">
        <f>IFERROR(VLOOKUP($D23,Alimentos!$D$2:$AZ$153,16,FALSE),0)</f>
        <v>0</v>
      </c>
      <c r="T23" s="126">
        <f>IFERROR(VLOOKUP($D23,Alimentos!$D$2:$AZ$153,17,FALSE),0)</f>
        <v>0</v>
      </c>
      <c r="U23" s="126">
        <f>IFERROR(VLOOKUP($D23,Alimentos!$D$2:$AZ$153,18,FALSE),0)</f>
        <v>0</v>
      </c>
      <c r="V23" s="126">
        <f>IFERROR(VLOOKUP($D23,Alimentos!$D$2:$AZ$153,19,FALSE),0)</f>
        <v>0</v>
      </c>
      <c r="W23" s="126">
        <f>IFERROR(VLOOKUP($D23,Alimentos!$D$2:$AZ$153,20,FALSE),0)</f>
        <v>0</v>
      </c>
      <c r="X23" s="126">
        <f>IFERROR(VLOOKUP($D23,Alimentos!$D$2:$AZ$153,21,FALSE),0)</f>
        <v>0</v>
      </c>
      <c r="Y23" s="126">
        <f>IFERROR(VLOOKUP($D23,Alimentos!$D$2:$AZ$153,22,FALSE),0)</f>
        <v>0</v>
      </c>
      <c r="Z23" s="126">
        <f>IFERROR(VLOOKUP($D23,Alimentos!$D$2:$AZ$153,23,FALSE),0)</f>
        <v>0</v>
      </c>
      <c r="AA23" s="126">
        <f>IFERROR(VLOOKUP($D23,Alimentos!$D$2:$AZ$153,24,FALSE),0)</f>
        <v>0</v>
      </c>
      <c r="AB23" s="127">
        <f>IFERROR(VLOOKUP($D23,Alimentos!$D$2:$AZ$153,25,FALSE),0)</f>
        <v>0</v>
      </c>
      <c r="AC23" s="127">
        <f>IFERROR(VLOOKUP($D23,Alimentos!$D$2:$AZ$153,26,FALSE),0)</f>
        <v>0</v>
      </c>
      <c r="AD23" s="127">
        <f>IFERROR(VLOOKUP($D23,Alimentos!$D$2:$AZ$153,27,FALSE),0)</f>
        <v>0</v>
      </c>
      <c r="AE23" s="127">
        <f>IFERROR(VLOOKUP($D23,Alimentos!$D$2:$AZ$153,28,FALSE),0)</f>
        <v>0</v>
      </c>
      <c r="AF23" s="127">
        <f>IFERROR(VLOOKUP($D23,Alimentos!$D$2:$AZ$153,29,FALSE),0)</f>
        <v>0</v>
      </c>
      <c r="AG23" s="127">
        <f>IFERROR(VLOOKUP($D23,Alimentos!$D$2:$AZ$153,30,FALSE),0)</f>
        <v>0</v>
      </c>
      <c r="AH23" s="127">
        <f>IFERROR(VLOOKUP($D23,Alimentos!$D$2:$AZ$153,31,FALSE),0)</f>
        <v>0</v>
      </c>
      <c r="AI23" s="127">
        <f>IFERROR(VLOOKUP($D23,Alimentos!$D$2:$AZ$153,32,FALSE),0)</f>
        <v>0</v>
      </c>
      <c r="AJ23" s="127">
        <f>IFERROR(VLOOKUP($D23,Alimentos!$D$2:$AZ$153,33,FALSE),0)</f>
        <v>0</v>
      </c>
      <c r="AK23" s="128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4"/>
      <c r="E24" s="125">
        <f>IFERROR(VLOOKUP($D24,Alimentos!$D$2:$AZ$153,2,FALSE),0)</f>
        <v>0</v>
      </c>
      <c r="F24" s="129">
        <f>IFERROR(VLOOKUP($D24,Alimentos!$D$2:$AZ$153,3,FALSE),0)</f>
        <v>0</v>
      </c>
      <c r="G24" s="126">
        <f>IFERROR(VLOOKUP($D24,Alimentos!$D$2:$AZ$153,4,FALSE),0)</f>
        <v>0</v>
      </c>
      <c r="H24" s="126">
        <f>IFERROR(VLOOKUP($D24,Alimentos!$D$2:$AZ$153,5,FALSE),0)</f>
        <v>0</v>
      </c>
      <c r="I24" s="126">
        <f>IFERROR(VLOOKUP($D24,Alimentos!$D$2:$AZ$153,6,FALSE),0)</f>
        <v>0</v>
      </c>
      <c r="J24" s="126">
        <f>IFERROR(VLOOKUP($D24,Alimentos!$D$2:$AZ$153,7,FALSE),0)</f>
        <v>0</v>
      </c>
      <c r="K24" s="126">
        <f>IFERROR(VLOOKUP($D24,Alimentos!$D$2:$AZ$153,8,FALSE),0)</f>
        <v>0</v>
      </c>
      <c r="L24" s="126">
        <f>IFERROR(VLOOKUP($D24,Alimentos!$D$2:$AZ$153,9,FALSE),0)</f>
        <v>0</v>
      </c>
      <c r="M24" s="126">
        <f>IFERROR(VLOOKUP($D24,Alimentos!$D$2:$AZ$153,10,FALSE),0)</f>
        <v>0</v>
      </c>
      <c r="N24" s="126">
        <f>IFERROR(VLOOKUP($D24,Alimentos!$D$2:$AZ$153,11,FALSE),0)</f>
        <v>0</v>
      </c>
      <c r="O24" s="126">
        <f>IFERROR(VLOOKUP($D24,Alimentos!$D$2:$AZ$153,12,FALSE),0)</f>
        <v>0</v>
      </c>
      <c r="P24" s="126">
        <f>IFERROR(VLOOKUP($D24,Alimentos!$D$2:$AZ$153,13,FALSE),0)</f>
        <v>0</v>
      </c>
      <c r="Q24" s="126">
        <f>IFERROR(VLOOKUP($D24,Alimentos!$D$2:$AZ$153,14,FALSE),0)</f>
        <v>0</v>
      </c>
      <c r="R24" s="126">
        <f>IFERROR(VLOOKUP($D24,Alimentos!$D$2:$AZ$153,15,FALSE),0)</f>
        <v>0</v>
      </c>
      <c r="S24" s="126">
        <f>IFERROR(VLOOKUP($D24,Alimentos!$D$2:$AZ$153,16,FALSE),0)</f>
        <v>0</v>
      </c>
      <c r="T24" s="126">
        <f>IFERROR(VLOOKUP($D24,Alimentos!$D$2:$AZ$153,17,FALSE),0)</f>
        <v>0</v>
      </c>
      <c r="U24" s="126">
        <f>IFERROR(VLOOKUP($D24,Alimentos!$D$2:$AZ$153,18,FALSE),0)</f>
        <v>0</v>
      </c>
      <c r="V24" s="126">
        <f>IFERROR(VLOOKUP($D24,Alimentos!$D$2:$AZ$153,19,FALSE),0)</f>
        <v>0</v>
      </c>
      <c r="W24" s="126">
        <f>IFERROR(VLOOKUP($D24,Alimentos!$D$2:$AZ$153,20,FALSE),0)</f>
        <v>0</v>
      </c>
      <c r="X24" s="126">
        <f>IFERROR(VLOOKUP($D24,Alimentos!$D$2:$AZ$153,21,FALSE),0)</f>
        <v>0</v>
      </c>
      <c r="Y24" s="126">
        <f>IFERROR(VLOOKUP($D24,Alimentos!$D$2:$AZ$153,22,FALSE),0)</f>
        <v>0</v>
      </c>
      <c r="Z24" s="126">
        <f>IFERROR(VLOOKUP($D24,Alimentos!$D$2:$AZ$153,23,FALSE),0)</f>
        <v>0</v>
      </c>
      <c r="AA24" s="126">
        <f>IFERROR(VLOOKUP($D24,Alimentos!$D$2:$AZ$153,24,FALSE),0)</f>
        <v>0</v>
      </c>
      <c r="AB24" s="127">
        <f>IFERROR(VLOOKUP($D24,Alimentos!$D$2:$AZ$153,25,FALSE),0)</f>
        <v>0</v>
      </c>
      <c r="AC24" s="127">
        <f>IFERROR(VLOOKUP($D24,Alimentos!$D$2:$AZ$153,26,FALSE),0)</f>
        <v>0</v>
      </c>
      <c r="AD24" s="127">
        <f>IFERROR(VLOOKUP($D24,Alimentos!$D$2:$AZ$153,27,FALSE),0)</f>
        <v>0</v>
      </c>
      <c r="AE24" s="127">
        <f>IFERROR(VLOOKUP($D24,Alimentos!$D$2:$AZ$153,28,FALSE),0)</f>
        <v>0</v>
      </c>
      <c r="AF24" s="127">
        <f>IFERROR(VLOOKUP($D24,Alimentos!$D$2:$AZ$153,29,FALSE),0)</f>
        <v>0</v>
      </c>
      <c r="AG24" s="127">
        <f>IFERROR(VLOOKUP($D24,Alimentos!$D$2:$AZ$153,30,FALSE),0)</f>
        <v>0</v>
      </c>
      <c r="AH24" s="127">
        <f>IFERROR(VLOOKUP($D24,Alimentos!$D$2:$AZ$153,31,FALSE),0)</f>
        <v>0</v>
      </c>
      <c r="AI24" s="127">
        <f>IFERROR(VLOOKUP($D24,Alimentos!$D$2:$AZ$153,32,FALSE),0)</f>
        <v>0</v>
      </c>
      <c r="AJ24" s="127">
        <f>IFERROR(VLOOKUP($D24,Alimentos!$D$2:$AZ$153,33,FALSE),0)</f>
        <v>0</v>
      </c>
      <c r="AK24" s="128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4"/>
      <c r="E25" s="125">
        <f>IFERROR(VLOOKUP($D25,Alimentos!$D$2:$AZ$153,2,FALSE),0)</f>
        <v>0</v>
      </c>
      <c r="F25" s="129">
        <f>IFERROR(VLOOKUP($D25,Alimentos!$D$2:$AZ$153,3,FALSE),0)</f>
        <v>0</v>
      </c>
      <c r="G25" s="126">
        <f>IFERROR(VLOOKUP($D25,Alimentos!$D$2:$AZ$153,4,FALSE),0)</f>
        <v>0</v>
      </c>
      <c r="H25" s="126">
        <f>IFERROR(VLOOKUP($D25,Alimentos!$D$2:$AZ$153,5,FALSE),0)</f>
        <v>0</v>
      </c>
      <c r="I25" s="126">
        <f>IFERROR(VLOOKUP($D25,Alimentos!$D$2:$AZ$153,6,FALSE),0)</f>
        <v>0</v>
      </c>
      <c r="J25" s="126">
        <f>IFERROR(VLOOKUP($D25,Alimentos!$D$2:$AZ$153,7,FALSE),0)</f>
        <v>0</v>
      </c>
      <c r="K25" s="126">
        <f>IFERROR(VLOOKUP($D25,Alimentos!$D$2:$AZ$153,8,FALSE),0)</f>
        <v>0</v>
      </c>
      <c r="L25" s="126">
        <f>IFERROR(VLOOKUP($D25,Alimentos!$D$2:$AZ$153,9,FALSE),0)</f>
        <v>0</v>
      </c>
      <c r="M25" s="126">
        <f>IFERROR(VLOOKUP($D25,Alimentos!$D$2:$AZ$153,10,FALSE),0)</f>
        <v>0</v>
      </c>
      <c r="N25" s="126">
        <f>IFERROR(VLOOKUP($D25,Alimentos!$D$2:$AZ$153,11,FALSE),0)</f>
        <v>0</v>
      </c>
      <c r="O25" s="126">
        <f>IFERROR(VLOOKUP($D25,Alimentos!$D$2:$AZ$153,12,FALSE),0)</f>
        <v>0</v>
      </c>
      <c r="P25" s="126">
        <f>IFERROR(VLOOKUP($D25,Alimentos!$D$2:$AZ$153,13,FALSE),0)</f>
        <v>0</v>
      </c>
      <c r="Q25" s="126">
        <f>IFERROR(VLOOKUP($D25,Alimentos!$D$2:$AZ$153,14,FALSE),0)</f>
        <v>0</v>
      </c>
      <c r="R25" s="126">
        <f>IFERROR(VLOOKUP($D25,Alimentos!$D$2:$AZ$153,15,FALSE),0)</f>
        <v>0</v>
      </c>
      <c r="S25" s="126">
        <f>IFERROR(VLOOKUP($D25,Alimentos!$D$2:$AZ$153,16,FALSE),0)</f>
        <v>0</v>
      </c>
      <c r="T25" s="126">
        <f>IFERROR(VLOOKUP($D25,Alimentos!$D$2:$AZ$153,17,FALSE),0)</f>
        <v>0</v>
      </c>
      <c r="U25" s="126">
        <f>IFERROR(VLOOKUP($D25,Alimentos!$D$2:$AZ$153,18,FALSE),0)</f>
        <v>0</v>
      </c>
      <c r="V25" s="126">
        <f>IFERROR(VLOOKUP($D25,Alimentos!$D$2:$AZ$153,19,FALSE),0)</f>
        <v>0</v>
      </c>
      <c r="W25" s="126">
        <f>IFERROR(VLOOKUP($D25,Alimentos!$D$2:$AZ$153,20,FALSE),0)</f>
        <v>0</v>
      </c>
      <c r="X25" s="126">
        <f>IFERROR(VLOOKUP($D25,Alimentos!$D$2:$AZ$153,21,FALSE),0)</f>
        <v>0</v>
      </c>
      <c r="Y25" s="126">
        <f>IFERROR(VLOOKUP($D25,Alimentos!$D$2:$AZ$153,22,FALSE),0)</f>
        <v>0</v>
      </c>
      <c r="Z25" s="126">
        <f>IFERROR(VLOOKUP($D25,Alimentos!$D$2:$AZ$153,23,FALSE),0)</f>
        <v>0</v>
      </c>
      <c r="AA25" s="126">
        <f>IFERROR(VLOOKUP($D25,Alimentos!$D$2:$AZ$153,24,FALSE),0)</f>
        <v>0</v>
      </c>
      <c r="AB25" s="127">
        <f>IFERROR(VLOOKUP($D25,Alimentos!$D$2:$AZ$153,25,FALSE),0)</f>
        <v>0</v>
      </c>
      <c r="AC25" s="127">
        <f>IFERROR(VLOOKUP($D25,Alimentos!$D$2:$AZ$153,26,FALSE),0)</f>
        <v>0</v>
      </c>
      <c r="AD25" s="127">
        <f>IFERROR(VLOOKUP($D25,Alimentos!$D$2:$AZ$153,27,FALSE),0)</f>
        <v>0</v>
      </c>
      <c r="AE25" s="127">
        <f>IFERROR(VLOOKUP($D25,Alimentos!$D$2:$AZ$153,28,FALSE),0)</f>
        <v>0</v>
      </c>
      <c r="AF25" s="127">
        <f>IFERROR(VLOOKUP($D25,Alimentos!$D$2:$AZ$153,29,FALSE),0)</f>
        <v>0</v>
      </c>
      <c r="AG25" s="127">
        <f>IFERROR(VLOOKUP($D25,Alimentos!$D$2:$AZ$153,30,FALSE),0)</f>
        <v>0</v>
      </c>
      <c r="AH25" s="127">
        <f>IFERROR(VLOOKUP($D25,Alimentos!$D$2:$AZ$153,31,FALSE),0)</f>
        <v>0</v>
      </c>
      <c r="AI25" s="127">
        <f>IFERROR(VLOOKUP($D25,Alimentos!$D$2:$AZ$153,32,FALSE),0)</f>
        <v>0</v>
      </c>
      <c r="AJ25" s="127">
        <f>IFERROR(VLOOKUP($D25,Alimentos!$D$2:$AZ$153,33,FALSE),0)</f>
        <v>0</v>
      </c>
      <c r="AK25" s="128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0"/>
      <c r="E26" s="131">
        <f>IFERROR(VLOOKUP($D26,Alimentos!$D$2:$AZ$153,2,FALSE),0)</f>
        <v>0</v>
      </c>
      <c r="F26" s="132">
        <f>IFERROR(VLOOKUP($D26,Alimentos!$D$2:$AZ$153,3,FALSE),0)</f>
        <v>0</v>
      </c>
      <c r="G26" s="133">
        <f>IFERROR(VLOOKUP($D26,Alimentos!$D$2:$AZ$153,4,FALSE),0)</f>
        <v>0</v>
      </c>
      <c r="H26" s="133">
        <f>IFERROR(VLOOKUP($D26,Alimentos!$D$2:$AZ$153,5,FALSE),0)</f>
        <v>0</v>
      </c>
      <c r="I26" s="133">
        <f>IFERROR(VLOOKUP($D26,Alimentos!$D$2:$AZ$153,6,FALSE),0)</f>
        <v>0</v>
      </c>
      <c r="J26" s="133">
        <f>IFERROR(VLOOKUP($D26,Alimentos!$D$2:$AZ$153,7,FALSE),0)</f>
        <v>0</v>
      </c>
      <c r="K26" s="133">
        <f>IFERROR(VLOOKUP($D26,Alimentos!$D$2:$AZ$153,8,FALSE),0)</f>
        <v>0</v>
      </c>
      <c r="L26" s="133">
        <f>IFERROR(VLOOKUP($D26,Alimentos!$D$2:$AZ$153,9,FALSE),0)</f>
        <v>0</v>
      </c>
      <c r="M26" s="133">
        <f>IFERROR(VLOOKUP($D26,Alimentos!$D$2:$AZ$153,10,FALSE),0)</f>
        <v>0</v>
      </c>
      <c r="N26" s="133">
        <f>IFERROR(VLOOKUP($D26,Alimentos!$D$2:$AZ$153,11,FALSE),0)</f>
        <v>0</v>
      </c>
      <c r="O26" s="133">
        <f>IFERROR(VLOOKUP($D26,Alimentos!$D$2:$AZ$153,12,FALSE),0)</f>
        <v>0</v>
      </c>
      <c r="P26" s="133">
        <f>IFERROR(VLOOKUP($D26,Alimentos!$D$2:$AZ$153,13,FALSE),0)</f>
        <v>0</v>
      </c>
      <c r="Q26" s="133">
        <f>IFERROR(VLOOKUP($D26,Alimentos!$D$2:$AZ$153,14,FALSE),0)</f>
        <v>0</v>
      </c>
      <c r="R26" s="133">
        <f>IFERROR(VLOOKUP($D26,Alimentos!$D$2:$AZ$153,15,FALSE),0)</f>
        <v>0</v>
      </c>
      <c r="S26" s="133">
        <f>IFERROR(VLOOKUP($D26,Alimentos!$D$2:$AZ$153,16,FALSE),0)</f>
        <v>0</v>
      </c>
      <c r="T26" s="133">
        <f>IFERROR(VLOOKUP($D26,Alimentos!$D$2:$AZ$153,17,FALSE),0)</f>
        <v>0</v>
      </c>
      <c r="U26" s="133">
        <f>IFERROR(VLOOKUP($D26,Alimentos!$D$2:$AZ$153,18,FALSE),0)</f>
        <v>0</v>
      </c>
      <c r="V26" s="133">
        <f>IFERROR(VLOOKUP($D26,Alimentos!$D$2:$AZ$153,19,FALSE),0)</f>
        <v>0</v>
      </c>
      <c r="W26" s="133">
        <f>IFERROR(VLOOKUP($D26,Alimentos!$D$2:$AZ$153,20,FALSE),0)</f>
        <v>0</v>
      </c>
      <c r="X26" s="133">
        <f>IFERROR(VLOOKUP($D26,Alimentos!$D$2:$AZ$153,21,FALSE),0)</f>
        <v>0</v>
      </c>
      <c r="Y26" s="133">
        <f>IFERROR(VLOOKUP($D26,Alimentos!$D$2:$AZ$153,22,FALSE),0)</f>
        <v>0</v>
      </c>
      <c r="Z26" s="133">
        <f>IFERROR(VLOOKUP($D26,Alimentos!$D$2:$AZ$153,23,FALSE),0)</f>
        <v>0</v>
      </c>
      <c r="AA26" s="133">
        <f>IFERROR(VLOOKUP($D26,Alimentos!$D$2:$AZ$153,24,FALSE),0)</f>
        <v>0</v>
      </c>
      <c r="AB26" s="134">
        <f>IFERROR(VLOOKUP($D26,Alimentos!$D$2:$AZ$153,25,FALSE),0)</f>
        <v>0</v>
      </c>
      <c r="AC26" s="134">
        <f>IFERROR(VLOOKUP($D26,Alimentos!$D$2:$AZ$153,26,FALSE),0)</f>
        <v>0</v>
      </c>
      <c r="AD26" s="134">
        <f>IFERROR(VLOOKUP($D26,Alimentos!$D$2:$AZ$153,27,FALSE),0)</f>
        <v>0</v>
      </c>
      <c r="AE26" s="134">
        <f>IFERROR(VLOOKUP($D26,Alimentos!$D$2:$AZ$153,28,FALSE),0)</f>
        <v>0</v>
      </c>
      <c r="AF26" s="134">
        <f>IFERROR(VLOOKUP($D26,Alimentos!$D$2:$AZ$153,29,FALSE),0)</f>
        <v>0</v>
      </c>
      <c r="AG26" s="134">
        <f>IFERROR(VLOOKUP($D26,Alimentos!$D$2:$AZ$153,30,FALSE),0)</f>
        <v>0</v>
      </c>
      <c r="AH26" s="134">
        <f>IFERROR(VLOOKUP($D26,Alimentos!$D$2:$AZ$153,31,FALSE),0)</f>
        <v>0</v>
      </c>
      <c r="AI26" s="134">
        <f>IFERROR(VLOOKUP($D26,Alimentos!$D$2:$AZ$153,32,FALSE),0)</f>
        <v>0</v>
      </c>
      <c r="AJ26" s="134">
        <f>IFERROR(VLOOKUP($D26,Alimentos!$D$2:$AZ$153,33,FALSE),0)</f>
        <v>0</v>
      </c>
      <c r="AK26" s="135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7"/>
      <c r="E27" s="107"/>
      <c r="F27" s="136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09" t="s">
        <v>279</v>
      </c>
      <c r="E28" s="110"/>
      <c r="F28" s="110"/>
      <c r="G28" s="111"/>
      <c r="H28" s="112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7" t="s">
        <v>274</v>
      </c>
      <c r="E29" s="138" t="s">
        <v>280</v>
      </c>
      <c r="F29" s="139" t="s">
        <v>69</v>
      </c>
      <c r="G29" s="115" t="s">
        <v>281</v>
      </c>
      <c r="H29" s="99" t="s">
        <v>3</v>
      </c>
      <c r="I29" s="99" t="s">
        <v>4</v>
      </c>
      <c r="J29" s="99" t="s">
        <v>5</v>
      </c>
      <c r="K29" s="99" t="s">
        <v>6</v>
      </c>
      <c r="L29" s="99" t="s">
        <v>7</v>
      </c>
      <c r="M29" s="99" t="s">
        <v>8</v>
      </c>
      <c r="N29" s="99" t="s">
        <v>282</v>
      </c>
      <c r="O29" s="99" t="s">
        <v>10</v>
      </c>
      <c r="P29" s="99" t="s">
        <v>11</v>
      </c>
      <c r="Q29" s="99" t="s">
        <v>283</v>
      </c>
      <c r="R29" s="99" t="s">
        <v>13</v>
      </c>
      <c r="S29" s="99" t="s">
        <v>14</v>
      </c>
      <c r="T29" s="99" t="s">
        <v>15</v>
      </c>
      <c r="U29" s="99" t="s">
        <v>16</v>
      </c>
      <c r="V29" s="99" t="s">
        <v>17</v>
      </c>
      <c r="W29" s="99" t="s">
        <v>18</v>
      </c>
      <c r="X29" s="99" t="s">
        <v>19</v>
      </c>
      <c r="Y29" s="99" t="s">
        <v>20</v>
      </c>
      <c r="Z29" s="99" t="s">
        <v>88</v>
      </c>
      <c r="AA29" s="99" t="s">
        <v>22</v>
      </c>
      <c r="AB29" s="100" t="s">
        <v>23</v>
      </c>
      <c r="AC29" s="100" t="s">
        <v>24</v>
      </c>
      <c r="AD29" s="100" t="s">
        <v>25</v>
      </c>
      <c r="AE29" s="100" t="s">
        <v>26</v>
      </c>
      <c r="AF29" s="100" t="s">
        <v>27</v>
      </c>
      <c r="AG29" s="100" t="s">
        <v>28</v>
      </c>
      <c r="AH29" s="100" t="s">
        <v>29</v>
      </c>
      <c r="AI29" s="100" t="s">
        <v>30</v>
      </c>
      <c r="AJ29" s="100" t="s">
        <v>31</v>
      </c>
      <c r="AK29" s="101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0" t="str">
        <f>IFERROR(D15,"")</f>
        <v>Aveia, grãos</v>
      </c>
      <c r="E30" s="141">
        <v>25</v>
      </c>
      <c r="F30" s="142">
        <f t="shared" ref="F30:F41" si="0">E30*F15</f>
        <v>0</v>
      </c>
      <c r="G30" s="143">
        <f t="shared" ref="G30:G41" si="1">E30*G15%</f>
        <v>22.5</v>
      </c>
      <c r="H30" s="143">
        <f t="shared" ref="H30:H41" si="2">($G30*H15)</f>
        <v>73.575000000000003</v>
      </c>
      <c r="I30" s="143">
        <f t="shared" ref="I30:Y30" si="3">($G30%*I15)*1000</f>
        <v>2969.9999999999995</v>
      </c>
      <c r="J30" s="143">
        <f t="shared" si="3"/>
        <v>123.75000000000001</v>
      </c>
      <c r="K30" s="143">
        <f t="shared" si="3"/>
        <v>0</v>
      </c>
      <c r="L30" s="143">
        <f t="shared" si="3"/>
        <v>0</v>
      </c>
      <c r="M30" s="143">
        <f t="shared" si="3"/>
        <v>0</v>
      </c>
      <c r="N30" s="143">
        <f t="shared" si="3"/>
        <v>1147.5</v>
      </c>
      <c r="O30" s="143">
        <f t="shared" si="3"/>
        <v>6750</v>
      </c>
      <c r="P30" s="143">
        <f t="shared" si="3"/>
        <v>3285</v>
      </c>
      <c r="Q30" s="143">
        <f t="shared" si="3"/>
        <v>0</v>
      </c>
      <c r="R30" s="143">
        <f t="shared" si="3"/>
        <v>742.49999999999989</v>
      </c>
      <c r="S30" s="143">
        <f t="shared" si="3"/>
        <v>24.75</v>
      </c>
      <c r="T30" s="143">
        <f t="shared" si="3"/>
        <v>90.000000000000014</v>
      </c>
      <c r="U30" s="143">
        <f t="shared" si="3"/>
        <v>36.000000000000007</v>
      </c>
      <c r="V30" s="143">
        <f t="shared" si="3"/>
        <v>117</v>
      </c>
      <c r="W30" s="143">
        <f t="shared" si="3"/>
        <v>6.75</v>
      </c>
      <c r="X30" s="143">
        <f t="shared" si="3"/>
        <v>0</v>
      </c>
      <c r="Y30" s="143">
        <f t="shared" si="3"/>
        <v>42.75</v>
      </c>
      <c r="Z30" s="143">
        <f t="shared" ref="Z30:AK30" si="4">($G30*Z15)</f>
        <v>1.3499999999999999</v>
      </c>
      <c r="AA30" s="143">
        <f t="shared" si="4"/>
        <v>180</v>
      </c>
      <c r="AB30" s="144">
        <f t="shared" si="4"/>
        <v>0</v>
      </c>
      <c r="AC30" s="144">
        <f t="shared" si="4"/>
        <v>2385</v>
      </c>
      <c r="AD30" s="144">
        <f t="shared" si="4"/>
        <v>967.5</v>
      </c>
      <c r="AE30" s="144">
        <f t="shared" si="4"/>
        <v>10.799999999999999</v>
      </c>
      <c r="AF30" s="144">
        <f t="shared" si="4"/>
        <v>922.5</v>
      </c>
      <c r="AG30" s="144">
        <f t="shared" si="4"/>
        <v>0</v>
      </c>
      <c r="AH30" s="144">
        <f t="shared" si="4"/>
        <v>0</v>
      </c>
      <c r="AI30" s="144">
        <f t="shared" si="4"/>
        <v>0</v>
      </c>
      <c r="AJ30" s="144">
        <f t="shared" si="4"/>
        <v>0</v>
      </c>
      <c r="AK30" s="145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6" t="str">
        <f t="shared" ref="D31:D41" si="5">IFERROR(D16,"")</f>
        <v>Guabi Beet</v>
      </c>
      <c r="E31" s="147">
        <v>2</v>
      </c>
      <c r="F31" s="148">
        <f t="shared" si="0"/>
        <v>0</v>
      </c>
      <c r="G31" s="121">
        <f t="shared" si="1"/>
        <v>1.96</v>
      </c>
      <c r="H31" s="126">
        <f t="shared" si="2"/>
        <v>8.2319999999999993</v>
      </c>
      <c r="I31" s="126">
        <f t="shared" ref="I31:Y31" si="6">($G31%*I16)*1000</f>
        <v>235.2</v>
      </c>
      <c r="J31" s="126">
        <f t="shared" si="6"/>
        <v>117.6</v>
      </c>
      <c r="K31" s="126">
        <f t="shared" si="6"/>
        <v>0</v>
      </c>
      <c r="L31" s="126">
        <f t="shared" si="6"/>
        <v>35.28</v>
      </c>
      <c r="M31" s="126">
        <f t="shared" si="6"/>
        <v>0</v>
      </c>
      <c r="N31" s="126">
        <f t="shared" si="6"/>
        <v>215.6</v>
      </c>
      <c r="O31" s="126">
        <f t="shared" si="6"/>
        <v>0</v>
      </c>
      <c r="P31" s="126">
        <f t="shared" si="6"/>
        <v>0</v>
      </c>
      <c r="Q31" s="126">
        <f t="shared" si="6"/>
        <v>0</v>
      </c>
      <c r="R31" s="126">
        <f t="shared" si="6"/>
        <v>0</v>
      </c>
      <c r="S31" s="126">
        <f t="shared" si="6"/>
        <v>274.39999999999998</v>
      </c>
      <c r="T31" s="126">
        <f t="shared" si="6"/>
        <v>117.6</v>
      </c>
      <c r="U31" s="126">
        <f t="shared" si="6"/>
        <v>0</v>
      </c>
      <c r="V31" s="126">
        <f t="shared" si="6"/>
        <v>0</v>
      </c>
      <c r="W31" s="126">
        <f t="shared" si="6"/>
        <v>0</v>
      </c>
      <c r="X31" s="126">
        <f t="shared" si="6"/>
        <v>0</v>
      </c>
      <c r="Y31" s="126">
        <f t="shared" si="6"/>
        <v>0</v>
      </c>
      <c r="Z31" s="126">
        <f t="shared" ref="Z31:AK31" si="7">($G31*Z16)</f>
        <v>0</v>
      </c>
      <c r="AA31" s="126">
        <f t="shared" si="7"/>
        <v>0</v>
      </c>
      <c r="AB31" s="127">
        <f t="shared" si="7"/>
        <v>0</v>
      </c>
      <c r="AC31" s="127">
        <f t="shared" si="7"/>
        <v>0</v>
      </c>
      <c r="AD31" s="127">
        <f t="shared" si="7"/>
        <v>0</v>
      </c>
      <c r="AE31" s="127">
        <f t="shared" si="7"/>
        <v>0</v>
      </c>
      <c r="AF31" s="127">
        <f t="shared" si="7"/>
        <v>0</v>
      </c>
      <c r="AG31" s="127">
        <f t="shared" si="7"/>
        <v>0</v>
      </c>
      <c r="AH31" s="127">
        <f t="shared" si="7"/>
        <v>0</v>
      </c>
      <c r="AI31" s="127">
        <f t="shared" si="7"/>
        <v>0</v>
      </c>
      <c r="AJ31" s="127">
        <f t="shared" si="7"/>
        <v>0</v>
      </c>
      <c r="AK31" s="128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6" t="str">
        <f t="shared" si="5"/>
        <v>Guabi Fribra</v>
      </c>
      <c r="E32" s="147">
        <v>1</v>
      </c>
      <c r="F32" s="148">
        <f t="shared" si="0"/>
        <v>0</v>
      </c>
      <c r="G32" s="126">
        <f t="shared" si="1"/>
        <v>0.87</v>
      </c>
      <c r="H32" s="126">
        <f t="shared" si="2"/>
        <v>2.61</v>
      </c>
      <c r="I32" s="126">
        <f t="shared" ref="I32:Y32" si="8">($G32%*I17)*1000</f>
        <v>113.1</v>
      </c>
      <c r="J32" s="126">
        <f t="shared" si="8"/>
        <v>4.3499999999999996</v>
      </c>
      <c r="K32" s="126">
        <f t="shared" si="8"/>
        <v>0</v>
      </c>
      <c r="L32" s="126">
        <f t="shared" si="8"/>
        <v>1.4790000000000001</v>
      </c>
      <c r="M32" s="126">
        <f t="shared" si="8"/>
        <v>0</v>
      </c>
      <c r="N32" s="126">
        <f t="shared" si="8"/>
        <v>17.399999999999999</v>
      </c>
      <c r="O32" s="126">
        <f t="shared" si="8"/>
        <v>174</v>
      </c>
      <c r="P32" s="126">
        <f t="shared" si="8"/>
        <v>226.2</v>
      </c>
      <c r="Q32" s="126">
        <f t="shared" si="8"/>
        <v>391.49999999999994</v>
      </c>
      <c r="R32" s="126">
        <f t="shared" si="8"/>
        <v>104.39999999999999</v>
      </c>
      <c r="S32" s="126">
        <f t="shared" si="8"/>
        <v>8.6999999999999993</v>
      </c>
      <c r="T32" s="126">
        <f t="shared" si="8"/>
        <v>4.3499999999999996</v>
      </c>
      <c r="U32" s="126">
        <f t="shared" si="8"/>
        <v>0</v>
      </c>
      <c r="V32" s="126">
        <f t="shared" si="8"/>
        <v>0</v>
      </c>
      <c r="W32" s="126">
        <f t="shared" si="8"/>
        <v>0</v>
      </c>
      <c r="X32" s="126">
        <f t="shared" si="8"/>
        <v>0</v>
      </c>
      <c r="Y32" s="126">
        <f t="shared" si="8"/>
        <v>0</v>
      </c>
      <c r="Z32" s="126">
        <f t="shared" ref="Z32:AK32" si="9">($G32*Z17)</f>
        <v>0.10439999999999999</v>
      </c>
      <c r="AA32" s="126">
        <f t="shared" si="9"/>
        <v>20.88</v>
      </c>
      <c r="AB32" s="127">
        <f t="shared" si="9"/>
        <v>1.3049999999999999</v>
      </c>
      <c r="AC32" s="127">
        <f t="shared" si="9"/>
        <v>53.94</v>
      </c>
      <c r="AD32" s="127">
        <f t="shared" si="9"/>
        <v>53.94</v>
      </c>
      <c r="AE32" s="127">
        <f t="shared" si="9"/>
        <v>5.2199999999999996E-2</v>
      </c>
      <c r="AF32" s="127">
        <f t="shared" si="9"/>
        <v>64.38</v>
      </c>
      <c r="AG32" s="127">
        <f t="shared" si="9"/>
        <v>57.42</v>
      </c>
      <c r="AH32" s="127">
        <f t="shared" si="9"/>
        <v>574.20000000000005</v>
      </c>
      <c r="AI32" s="127">
        <f t="shared" si="9"/>
        <v>69.599999999999994</v>
      </c>
      <c r="AJ32" s="127">
        <f t="shared" si="9"/>
        <v>2.1749999999999998</v>
      </c>
      <c r="AK32" s="128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6" t="str">
        <f t="shared" si="5"/>
        <v>Guabi Proequi 15 Melaçada</v>
      </c>
      <c r="E33" s="147">
        <v>1</v>
      </c>
      <c r="F33" s="148">
        <f t="shared" si="0"/>
        <v>0</v>
      </c>
      <c r="G33" s="126">
        <f t="shared" si="1"/>
        <v>0.89</v>
      </c>
      <c r="H33" s="126">
        <f t="shared" si="2"/>
        <v>2.8480000000000003</v>
      </c>
      <c r="I33" s="126">
        <f t="shared" ref="I33:Y33" si="10">($G33%*I18)*1000</f>
        <v>133.5</v>
      </c>
      <c r="J33" s="126">
        <f t="shared" si="10"/>
        <v>0</v>
      </c>
      <c r="K33" s="126">
        <f t="shared" si="10"/>
        <v>0</v>
      </c>
      <c r="L33" s="126">
        <f t="shared" si="10"/>
        <v>0</v>
      </c>
      <c r="M33" s="126">
        <f t="shared" si="10"/>
        <v>0</v>
      </c>
      <c r="N33" s="126">
        <f t="shared" si="10"/>
        <v>26.700000000000003</v>
      </c>
      <c r="O33" s="126">
        <f t="shared" si="10"/>
        <v>178</v>
      </c>
      <c r="P33" s="126">
        <f t="shared" si="10"/>
        <v>0</v>
      </c>
      <c r="Q33" s="126">
        <f t="shared" si="10"/>
        <v>356</v>
      </c>
      <c r="R33" s="126">
        <f t="shared" si="10"/>
        <v>0</v>
      </c>
      <c r="S33" s="126">
        <f t="shared" si="10"/>
        <v>22.25</v>
      </c>
      <c r="T33" s="126">
        <f t="shared" si="10"/>
        <v>4.45</v>
      </c>
      <c r="U33" s="126">
        <f t="shared" si="10"/>
        <v>0</v>
      </c>
      <c r="V33" s="126">
        <f t="shared" si="10"/>
        <v>0</v>
      </c>
      <c r="W33" s="126">
        <f t="shared" si="10"/>
        <v>0</v>
      </c>
      <c r="X33" s="126">
        <f t="shared" si="10"/>
        <v>0</v>
      </c>
      <c r="Y33" s="126">
        <f t="shared" si="10"/>
        <v>0</v>
      </c>
      <c r="Z33" s="126">
        <f t="shared" ref="Z33:AK33" si="11">($G33*Z18)</f>
        <v>0</v>
      </c>
      <c r="AA33" s="126">
        <f t="shared" si="11"/>
        <v>0</v>
      </c>
      <c r="AB33" s="127">
        <f t="shared" si="11"/>
        <v>0</v>
      </c>
      <c r="AC33" s="127">
        <f t="shared" si="11"/>
        <v>0</v>
      </c>
      <c r="AD33" s="127">
        <f t="shared" si="11"/>
        <v>0</v>
      </c>
      <c r="AE33" s="127">
        <f t="shared" si="11"/>
        <v>0</v>
      </c>
      <c r="AF33" s="127">
        <f t="shared" si="11"/>
        <v>0</v>
      </c>
      <c r="AG33" s="127">
        <f t="shared" si="11"/>
        <v>0</v>
      </c>
      <c r="AH33" s="127">
        <f t="shared" si="11"/>
        <v>0</v>
      </c>
      <c r="AI33" s="127">
        <f t="shared" si="11"/>
        <v>0</v>
      </c>
      <c r="AJ33" s="127">
        <f t="shared" si="11"/>
        <v>0</v>
      </c>
      <c r="AK33" s="128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6" t="str">
        <f t="shared" si="5"/>
        <v>Óleo vegetal</v>
      </c>
      <c r="E34" s="147">
        <v>0.3</v>
      </c>
      <c r="F34" s="148">
        <f t="shared" si="0"/>
        <v>0</v>
      </c>
      <c r="G34" s="126">
        <f t="shared" si="1"/>
        <v>0.3</v>
      </c>
      <c r="H34" s="126">
        <f t="shared" si="2"/>
        <v>2.7569999999999997</v>
      </c>
      <c r="I34" s="126">
        <f t="shared" ref="I34:Y34" si="12">($G34%*I19)*1000</f>
        <v>0</v>
      </c>
      <c r="J34" s="126">
        <f t="shared" si="12"/>
        <v>0</v>
      </c>
      <c r="K34" s="126">
        <f t="shared" si="12"/>
        <v>0</v>
      </c>
      <c r="L34" s="126">
        <f t="shared" si="12"/>
        <v>0</v>
      </c>
      <c r="M34" s="126">
        <f t="shared" si="12"/>
        <v>0</v>
      </c>
      <c r="N34" s="126">
        <f t="shared" si="12"/>
        <v>299.70000000000005</v>
      </c>
      <c r="O34" s="126">
        <f t="shared" si="12"/>
        <v>0</v>
      </c>
      <c r="P34" s="126">
        <f t="shared" si="12"/>
        <v>0</v>
      </c>
      <c r="Q34" s="126">
        <f t="shared" si="12"/>
        <v>0</v>
      </c>
      <c r="R34" s="126">
        <f t="shared" si="12"/>
        <v>0</v>
      </c>
      <c r="S34" s="126">
        <f t="shared" si="12"/>
        <v>0</v>
      </c>
      <c r="T34" s="126">
        <f t="shared" si="12"/>
        <v>0</v>
      </c>
      <c r="U34" s="126">
        <f t="shared" si="12"/>
        <v>0</v>
      </c>
      <c r="V34" s="126">
        <f t="shared" si="12"/>
        <v>0</v>
      </c>
      <c r="W34" s="126">
        <f t="shared" si="12"/>
        <v>0</v>
      </c>
      <c r="X34" s="126">
        <f t="shared" si="12"/>
        <v>0</v>
      </c>
      <c r="Y34" s="126">
        <f t="shared" si="12"/>
        <v>0</v>
      </c>
      <c r="Z34" s="126">
        <f t="shared" ref="Z34:AK34" si="13">($G34*Z19)</f>
        <v>0</v>
      </c>
      <c r="AA34" s="126">
        <f t="shared" si="13"/>
        <v>0</v>
      </c>
      <c r="AB34" s="127">
        <f t="shared" si="13"/>
        <v>0</v>
      </c>
      <c r="AC34" s="127">
        <f t="shared" si="13"/>
        <v>0</v>
      </c>
      <c r="AD34" s="127">
        <f t="shared" si="13"/>
        <v>0</v>
      </c>
      <c r="AE34" s="127">
        <f t="shared" si="13"/>
        <v>0</v>
      </c>
      <c r="AF34" s="127">
        <f t="shared" si="13"/>
        <v>0</v>
      </c>
      <c r="AG34" s="127">
        <f t="shared" si="13"/>
        <v>0</v>
      </c>
      <c r="AH34" s="127">
        <f t="shared" si="13"/>
        <v>0</v>
      </c>
      <c r="AI34" s="127">
        <f t="shared" si="13"/>
        <v>0</v>
      </c>
      <c r="AJ34" s="127">
        <f t="shared" si="13"/>
        <v>0</v>
      </c>
      <c r="AK34" s="128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6" t="str">
        <f t="shared" si="5"/>
        <v>Connect Pro Evolution</v>
      </c>
      <c r="E35" s="147">
        <v>0.2</v>
      </c>
      <c r="F35" s="148">
        <f t="shared" si="0"/>
        <v>0</v>
      </c>
      <c r="G35" s="126">
        <f t="shared" si="1"/>
        <v>0.19800000000000001</v>
      </c>
      <c r="H35" s="126">
        <f t="shared" si="2"/>
        <v>0</v>
      </c>
      <c r="I35" s="126">
        <f t="shared" ref="I35:Y35" si="14">($G35%*I20)*1000</f>
        <v>39.599999999999994</v>
      </c>
      <c r="J35" s="126">
        <f t="shared" si="14"/>
        <v>20.869199999999996</v>
      </c>
      <c r="K35" s="126">
        <f t="shared" si="14"/>
        <v>12.5334</v>
      </c>
      <c r="L35" s="126">
        <f t="shared" si="14"/>
        <v>5.6627999999999998</v>
      </c>
      <c r="M35" s="126">
        <f t="shared" si="14"/>
        <v>4.1777999999999995</v>
      </c>
      <c r="N35" s="126">
        <f t="shared" si="14"/>
        <v>0</v>
      </c>
      <c r="O35" s="126">
        <f t="shared" si="14"/>
        <v>0</v>
      </c>
      <c r="P35" s="126">
        <f t="shared" si="14"/>
        <v>0</v>
      </c>
      <c r="Q35" s="126">
        <f t="shared" si="14"/>
        <v>0</v>
      </c>
      <c r="R35" s="126">
        <f t="shared" si="14"/>
        <v>196.02</v>
      </c>
      <c r="S35" s="126">
        <f t="shared" si="14"/>
        <v>22.77</v>
      </c>
      <c r="T35" s="126">
        <f t="shared" si="14"/>
        <v>11.4642</v>
      </c>
      <c r="U35" s="126">
        <f t="shared" si="14"/>
        <v>2.8313999999999999</v>
      </c>
      <c r="V35" s="126">
        <f t="shared" si="14"/>
        <v>0</v>
      </c>
      <c r="W35" s="126">
        <f t="shared" si="14"/>
        <v>2.0592000000000001</v>
      </c>
      <c r="X35" s="126">
        <f t="shared" si="14"/>
        <v>0</v>
      </c>
      <c r="Y35" s="126">
        <f t="shared" si="14"/>
        <v>3.9797999999999996</v>
      </c>
      <c r="Z35" s="126">
        <f t="shared" ref="Z35:AK35" si="15">($G35*Z20)</f>
        <v>0.39600000000000002</v>
      </c>
      <c r="AA35" s="126">
        <f t="shared" si="15"/>
        <v>77.548680000000004</v>
      </c>
      <c r="AB35" s="127">
        <f t="shared" si="15"/>
        <v>1.9839599999999999</v>
      </c>
      <c r="AC35" s="127">
        <f t="shared" si="15"/>
        <v>385.90200000000004</v>
      </c>
      <c r="AD35" s="127">
        <f t="shared" si="15"/>
        <v>257.40000000000003</v>
      </c>
      <c r="AE35" s="127">
        <f t="shared" si="15"/>
        <v>0.7722</v>
      </c>
      <c r="AF35" s="127">
        <f t="shared" si="15"/>
        <v>312.84000000000003</v>
      </c>
      <c r="AG35" s="127">
        <f t="shared" si="15"/>
        <v>1449.9540000000002</v>
      </c>
      <c r="AH35" s="127">
        <f t="shared" si="15"/>
        <v>5586.768</v>
      </c>
      <c r="AI35" s="127">
        <f t="shared" si="15"/>
        <v>627.06600000000003</v>
      </c>
      <c r="AJ35" s="127">
        <f t="shared" si="15"/>
        <v>0</v>
      </c>
      <c r="AK35" s="128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6">
        <f t="shared" si="5"/>
        <v>0</v>
      </c>
      <c r="E36" s="147"/>
      <c r="F36" s="148">
        <f t="shared" si="0"/>
        <v>0</v>
      </c>
      <c r="G36" s="126">
        <f t="shared" si="1"/>
        <v>0</v>
      </c>
      <c r="H36" s="126">
        <f t="shared" si="2"/>
        <v>0</v>
      </c>
      <c r="I36" s="126">
        <f t="shared" ref="I36:Y36" si="16">($G36%*I21)*1000</f>
        <v>0</v>
      </c>
      <c r="J36" s="126">
        <f t="shared" si="16"/>
        <v>0</v>
      </c>
      <c r="K36" s="126">
        <f t="shared" si="16"/>
        <v>0</v>
      </c>
      <c r="L36" s="126">
        <f t="shared" si="16"/>
        <v>0</v>
      </c>
      <c r="M36" s="126">
        <f t="shared" si="16"/>
        <v>0</v>
      </c>
      <c r="N36" s="126">
        <f t="shared" si="16"/>
        <v>0</v>
      </c>
      <c r="O36" s="126">
        <f t="shared" si="16"/>
        <v>0</v>
      </c>
      <c r="P36" s="126">
        <f t="shared" si="16"/>
        <v>0</v>
      </c>
      <c r="Q36" s="126">
        <f t="shared" si="16"/>
        <v>0</v>
      </c>
      <c r="R36" s="126">
        <f t="shared" si="16"/>
        <v>0</v>
      </c>
      <c r="S36" s="126">
        <f t="shared" si="16"/>
        <v>0</v>
      </c>
      <c r="T36" s="126">
        <f t="shared" si="16"/>
        <v>0</v>
      </c>
      <c r="U36" s="126">
        <f t="shared" si="16"/>
        <v>0</v>
      </c>
      <c r="V36" s="126">
        <f t="shared" si="16"/>
        <v>0</v>
      </c>
      <c r="W36" s="126">
        <f t="shared" si="16"/>
        <v>0</v>
      </c>
      <c r="X36" s="126">
        <f t="shared" si="16"/>
        <v>0</v>
      </c>
      <c r="Y36" s="126">
        <f t="shared" si="16"/>
        <v>0</v>
      </c>
      <c r="Z36" s="126">
        <f t="shared" ref="Z36:AK36" si="17">($G36*Z21)</f>
        <v>0</v>
      </c>
      <c r="AA36" s="126">
        <f t="shared" si="17"/>
        <v>0</v>
      </c>
      <c r="AB36" s="127">
        <f t="shared" si="17"/>
        <v>0</v>
      </c>
      <c r="AC36" s="127">
        <f t="shared" si="17"/>
        <v>0</v>
      </c>
      <c r="AD36" s="127">
        <f t="shared" si="17"/>
        <v>0</v>
      </c>
      <c r="AE36" s="127">
        <f t="shared" si="17"/>
        <v>0</v>
      </c>
      <c r="AF36" s="127">
        <f t="shared" si="17"/>
        <v>0</v>
      </c>
      <c r="AG36" s="127">
        <f t="shared" si="17"/>
        <v>0</v>
      </c>
      <c r="AH36" s="127">
        <f t="shared" si="17"/>
        <v>0</v>
      </c>
      <c r="AI36" s="127">
        <f t="shared" si="17"/>
        <v>0</v>
      </c>
      <c r="AJ36" s="127">
        <f t="shared" si="17"/>
        <v>0</v>
      </c>
      <c r="AK36" s="128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6">
        <f t="shared" si="5"/>
        <v>0</v>
      </c>
      <c r="E37" s="147"/>
      <c r="F37" s="148">
        <f t="shared" si="0"/>
        <v>0</v>
      </c>
      <c r="G37" s="126">
        <f t="shared" si="1"/>
        <v>0</v>
      </c>
      <c r="H37" s="126">
        <f t="shared" si="2"/>
        <v>0</v>
      </c>
      <c r="I37" s="126">
        <f t="shared" ref="I37:Y37" si="18">($G37%*I22)*1000</f>
        <v>0</v>
      </c>
      <c r="J37" s="126">
        <f t="shared" si="18"/>
        <v>0</v>
      </c>
      <c r="K37" s="126">
        <f t="shared" si="18"/>
        <v>0</v>
      </c>
      <c r="L37" s="126">
        <f t="shared" si="18"/>
        <v>0</v>
      </c>
      <c r="M37" s="126">
        <f t="shared" si="18"/>
        <v>0</v>
      </c>
      <c r="N37" s="126">
        <f t="shared" si="18"/>
        <v>0</v>
      </c>
      <c r="O37" s="126">
        <f t="shared" si="18"/>
        <v>0</v>
      </c>
      <c r="P37" s="126">
        <f t="shared" si="18"/>
        <v>0</v>
      </c>
      <c r="Q37" s="126">
        <f t="shared" si="18"/>
        <v>0</v>
      </c>
      <c r="R37" s="126">
        <f t="shared" si="18"/>
        <v>0</v>
      </c>
      <c r="S37" s="126">
        <f t="shared" si="18"/>
        <v>0</v>
      </c>
      <c r="T37" s="126">
        <f t="shared" si="18"/>
        <v>0</v>
      </c>
      <c r="U37" s="126">
        <f t="shared" si="18"/>
        <v>0</v>
      </c>
      <c r="V37" s="126">
        <f t="shared" si="18"/>
        <v>0</v>
      </c>
      <c r="W37" s="126">
        <f t="shared" si="18"/>
        <v>0</v>
      </c>
      <c r="X37" s="126">
        <f t="shared" si="18"/>
        <v>0</v>
      </c>
      <c r="Y37" s="126">
        <f t="shared" si="18"/>
        <v>0</v>
      </c>
      <c r="Z37" s="126">
        <f t="shared" ref="Z37:AK37" si="19">($G37*Z22)</f>
        <v>0</v>
      </c>
      <c r="AA37" s="126">
        <f t="shared" si="19"/>
        <v>0</v>
      </c>
      <c r="AB37" s="127">
        <f t="shared" si="19"/>
        <v>0</v>
      </c>
      <c r="AC37" s="127">
        <f t="shared" si="19"/>
        <v>0</v>
      </c>
      <c r="AD37" s="127">
        <f t="shared" si="19"/>
        <v>0</v>
      </c>
      <c r="AE37" s="127">
        <f t="shared" si="19"/>
        <v>0</v>
      </c>
      <c r="AF37" s="127">
        <f t="shared" si="19"/>
        <v>0</v>
      </c>
      <c r="AG37" s="127">
        <f t="shared" si="19"/>
        <v>0</v>
      </c>
      <c r="AH37" s="127">
        <f t="shared" si="19"/>
        <v>0</v>
      </c>
      <c r="AI37" s="127">
        <f t="shared" si="19"/>
        <v>0</v>
      </c>
      <c r="AJ37" s="127">
        <f t="shared" si="19"/>
        <v>0</v>
      </c>
      <c r="AK37" s="128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6">
        <f t="shared" si="5"/>
        <v>0</v>
      </c>
      <c r="E38" s="147"/>
      <c r="F38" s="148">
        <f t="shared" si="0"/>
        <v>0</v>
      </c>
      <c r="G38" s="126">
        <f t="shared" si="1"/>
        <v>0</v>
      </c>
      <c r="H38" s="126">
        <f t="shared" si="2"/>
        <v>0</v>
      </c>
      <c r="I38" s="126">
        <f t="shared" ref="I38:Y38" si="20">($G38%*I23)*1000</f>
        <v>0</v>
      </c>
      <c r="J38" s="126">
        <f t="shared" si="20"/>
        <v>0</v>
      </c>
      <c r="K38" s="126">
        <f t="shared" si="20"/>
        <v>0</v>
      </c>
      <c r="L38" s="126">
        <f t="shared" si="20"/>
        <v>0</v>
      </c>
      <c r="M38" s="126">
        <f t="shared" si="20"/>
        <v>0</v>
      </c>
      <c r="N38" s="126">
        <f t="shared" si="20"/>
        <v>0</v>
      </c>
      <c r="O38" s="126">
        <f t="shared" si="20"/>
        <v>0</v>
      </c>
      <c r="P38" s="126">
        <f t="shared" si="20"/>
        <v>0</v>
      </c>
      <c r="Q38" s="126">
        <f t="shared" si="20"/>
        <v>0</v>
      </c>
      <c r="R38" s="126">
        <f t="shared" si="20"/>
        <v>0</v>
      </c>
      <c r="S38" s="126">
        <f t="shared" si="20"/>
        <v>0</v>
      </c>
      <c r="T38" s="126">
        <f t="shared" si="20"/>
        <v>0</v>
      </c>
      <c r="U38" s="126">
        <f t="shared" si="20"/>
        <v>0</v>
      </c>
      <c r="V38" s="126">
        <f t="shared" si="20"/>
        <v>0</v>
      </c>
      <c r="W38" s="126">
        <f t="shared" si="20"/>
        <v>0</v>
      </c>
      <c r="X38" s="126">
        <f t="shared" si="20"/>
        <v>0</v>
      </c>
      <c r="Y38" s="126">
        <f t="shared" si="20"/>
        <v>0</v>
      </c>
      <c r="Z38" s="126">
        <f t="shared" ref="Z38:AK38" si="21">($G38*Z23)</f>
        <v>0</v>
      </c>
      <c r="AA38" s="126">
        <f t="shared" si="21"/>
        <v>0</v>
      </c>
      <c r="AB38" s="127">
        <f t="shared" si="21"/>
        <v>0</v>
      </c>
      <c r="AC38" s="127">
        <f t="shared" si="21"/>
        <v>0</v>
      </c>
      <c r="AD38" s="127">
        <f t="shared" si="21"/>
        <v>0</v>
      </c>
      <c r="AE38" s="127">
        <f t="shared" si="21"/>
        <v>0</v>
      </c>
      <c r="AF38" s="127">
        <f t="shared" si="21"/>
        <v>0</v>
      </c>
      <c r="AG38" s="127">
        <f t="shared" si="21"/>
        <v>0</v>
      </c>
      <c r="AH38" s="127">
        <f t="shared" si="21"/>
        <v>0</v>
      </c>
      <c r="AI38" s="127">
        <f t="shared" si="21"/>
        <v>0</v>
      </c>
      <c r="AJ38" s="127">
        <f t="shared" si="21"/>
        <v>0</v>
      </c>
      <c r="AK38" s="128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6">
        <f t="shared" si="5"/>
        <v>0</v>
      </c>
      <c r="E39" s="147"/>
      <c r="F39" s="148">
        <f t="shared" si="0"/>
        <v>0</v>
      </c>
      <c r="G39" s="126">
        <f t="shared" si="1"/>
        <v>0</v>
      </c>
      <c r="H39" s="126">
        <f t="shared" si="2"/>
        <v>0</v>
      </c>
      <c r="I39" s="126">
        <f t="shared" ref="I39:Y39" si="22">($G39%*I24)*1000</f>
        <v>0</v>
      </c>
      <c r="J39" s="126">
        <f t="shared" si="22"/>
        <v>0</v>
      </c>
      <c r="K39" s="126">
        <f t="shared" si="22"/>
        <v>0</v>
      </c>
      <c r="L39" s="126">
        <f t="shared" si="22"/>
        <v>0</v>
      </c>
      <c r="M39" s="126">
        <f t="shared" si="22"/>
        <v>0</v>
      </c>
      <c r="N39" s="126">
        <f t="shared" si="22"/>
        <v>0</v>
      </c>
      <c r="O39" s="126">
        <f t="shared" si="22"/>
        <v>0</v>
      </c>
      <c r="P39" s="126">
        <f t="shared" si="22"/>
        <v>0</v>
      </c>
      <c r="Q39" s="126">
        <f t="shared" si="22"/>
        <v>0</v>
      </c>
      <c r="R39" s="126">
        <f t="shared" si="22"/>
        <v>0</v>
      </c>
      <c r="S39" s="126">
        <f t="shared" si="22"/>
        <v>0</v>
      </c>
      <c r="T39" s="126">
        <f t="shared" si="22"/>
        <v>0</v>
      </c>
      <c r="U39" s="126">
        <f t="shared" si="22"/>
        <v>0</v>
      </c>
      <c r="V39" s="126">
        <f t="shared" si="22"/>
        <v>0</v>
      </c>
      <c r="W39" s="126">
        <f t="shared" si="22"/>
        <v>0</v>
      </c>
      <c r="X39" s="126">
        <f t="shared" si="22"/>
        <v>0</v>
      </c>
      <c r="Y39" s="126">
        <f t="shared" si="22"/>
        <v>0</v>
      </c>
      <c r="Z39" s="126">
        <f t="shared" ref="Z39:AK39" si="23">($G39*Z24)</f>
        <v>0</v>
      </c>
      <c r="AA39" s="126">
        <f t="shared" si="23"/>
        <v>0</v>
      </c>
      <c r="AB39" s="127">
        <f t="shared" si="23"/>
        <v>0</v>
      </c>
      <c r="AC39" s="127">
        <f t="shared" si="23"/>
        <v>0</v>
      </c>
      <c r="AD39" s="127">
        <f t="shared" si="23"/>
        <v>0</v>
      </c>
      <c r="AE39" s="127">
        <f t="shared" si="23"/>
        <v>0</v>
      </c>
      <c r="AF39" s="127">
        <f t="shared" si="23"/>
        <v>0</v>
      </c>
      <c r="AG39" s="127">
        <f t="shared" si="23"/>
        <v>0</v>
      </c>
      <c r="AH39" s="127">
        <f t="shared" si="23"/>
        <v>0</v>
      </c>
      <c r="AI39" s="127">
        <f t="shared" si="23"/>
        <v>0</v>
      </c>
      <c r="AJ39" s="127">
        <f t="shared" si="23"/>
        <v>0</v>
      </c>
      <c r="AK39" s="128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49">
        <f t="shared" si="5"/>
        <v>0</v>
      </c>
      <c r="E40" s="150"/>
      <c r="F40" s="151">
        <f t="shared" si="0"/>
        <v>0</v>
      </c>
      <c r="G40" s="152">
        <f t="shared" si="1"/>
        <v>0</v>
      </c>
      <c r="H40" s="152">
        <f t="shared" si="2"/>
        <v>0</v>
      </c>
      <c r="I40" s="152">
        <f t="shared" ref="I40:Y40" si="24">($G40%*I25)*1000</f>
        <v>0</v>
      </c>
      <c r="J40" s="152">
        <f t="shared" si="24"/>
        <v>0</v>
      </c>
      <c r="K40" s="152">
        <f t="shared" si="24"/>
        <v>0</v>
      </c>
      <c r="L40" s="152">
        <f t="shared" si="24"/>
        <v>0</v>
      </c>
      <c r="M40" s="152">
        <f t="shared" si="24"/>
        <v>0</v>
      </c>
      <c r="N40" s="152">
        <f t="shared" si="24"/>
        <v>0</v>
      </c>
      <c r="O40" s="152">
        <f t="shared" si="24"/>
        <v>0</v>
      </c>
      <c r="P40" s="152">
        <f t="shared" si="24"/>
        <v>0</v>
      </c>
      <c r="Q40" s="152">
        <f t="shared" si="24"/>
        <v>0</v>
      </c>
      <c r="R40" s="152">
        <f t="shared" si="24"/>
        <v>0</v>
      </c>
      <c r="S40" s="152">
        <f t="shared" si="24"/>
        <v>0</v>
      </c>
      <c r="T40" s="152">
        <f t="shared" si="24"/>
        <v>0</v>
      </c>
      <c r="U40" s="152">
        <f t="shared" si="24"/>
        <v>0</v>
      </c>
      <c r="V40" s="152">
        <f t="shared" si="24"/>
        <v>0</v>
      </c>
      <c r="W40" s="152">
        <f t="shared" si="24"/>
        <v>0</v>
      </c>
      <c r="X40" s="152">
        <f t="shared" si="24"/>
        <v>0</v>
      </c>
      <c r="Y40" s="152">
        <f t="shared" si="24"/>
        <v>0</v>
      </c>
      <c r="Z40" s="152">
        <f t="shared" ref="Z40:AK40" si="25">($G40*Z25)</f>
        <v>0</v>
      </c>
      <c r="AA40" s="152">
        <f t="shared" si="25"/>
        <v>0</v>
      </c>
      <c r="AB40" s="153">
        <f t="shared" si="25"/>
        <v>0</v>
      </c>
      <c r="AC40" s="153">
        <f t="shared" si="25"/>
        <v>0</v>
      </c>
      <c r="AD40" s="153">
        <f t="shared" si="25"/>
        <v>0</v>
      </c>
      <c r="AE40" s="153">
        <f t="shared" si="25"/>
        <v>0</v>
      </c>
      <c r="AF40" s="153">
        <f t="shared" si="25"/>
        <v>0</v>
      </c>
      <c r="AG40" s="153">
        <f t="shared" si="25"/>
        <v>0</v>
      </c>
      <c r="AH40" s="153">
        <f t="shared" si="25"/>
        <v>0</v>
      </c>
      <c r="AI40" s="153">
        <f t="shared" si="25"/>
        <v>0</v>
      </c>
      <c r="AJ40" s="153">
        <f t="shared" si="25"/>
        <v>0</v>
      </c>
      <c r="AK40" s="154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5">
        <f t="shared" si="5"/>
        <v>0</v>
      </c>
      <c r="E41" s="156"/>
      <c r="F41" s="157">
        <f t="shared" si="0"/>
        <v>0</v>
      </c>
      <c r="G41" s="133">
        <f t="shared" si="1"/>
        <v>0</v>
      </c>
      <c r="H41" s="133">
        <f t="shared" si="2"/>
        <v>0</v>
      </c>
      <c r="I41" s="133">
        <f t="shared" ref="I41:Y41" si="26">($G41%*I26)*1000</f>
        <v>0</v>
      </c>
      <c r="J41" s="133">
        <f t="shared" si="26"/>
        <v>0</v>
      </c>
      <c r="K41" s="133">
        <f t="shared" si="26"/>
        <v>0</v>
      </c>
      <c r="L41" s="133">
        <f t="shared" si="26"/>
        <v>0</v>
      </c>
      <c r="M41" s="133">
        <f t="shared" si="26"/>
        <v>0</v>
      </c>
      <c r="N41" s="133">
        <f t="shared" si="26"/>
        <v>0</v>
      </c>
      <c r="O41" s="133">
        <f t="shared" si="26"/>
        <v>0</v>
      </c>
      <c r="P41" s="133">
        <f t="shared" si="26"/>
        <v>0</v>
      </c>
      <c r="Q41" s="133">
        <f t="shared" si="26"/>
        <v>0</v>
      </c>
      <c r="R41" s="133">
        <f t="shared" si="26"/>
        <v>0</v>
      </c>
      <c r="S41" s="133">
        <f t="shared" si="26"/>
        <v>0</v>
      </c>
      <c r="T41" s="133">
        <f t="shared" si="26"/>
        <v>0</v>
      </c>
      <c r="U41" s="133">
        <f t="shared" si="26"/>
        <v>0</v>
      </c>
      <c r="V41" s="133">
        <f t="shared" si="26"/>
        <v>0</v>
      </c>
      <c r="W41" s="133">
        <f t="shared" si="26"/>
        <v>0</v>
      </c>
      <c r="X41" s="133">
        <f t="shared" si="26"/>
        <v>0</v>
      </c>
      <c r="Y41" s="133">
        <f t="shared" si="26"/>
        <v>0</v>
      </c>
      <c r="Z41" s="133">
        <f t="shared" ref="Z41:AK41" si="27">($G41*Z26)</f>
        <v>0</v>
      </c>
      <c r="AA41" s="133">
        <f t="shared" si="27"/>
        <v>0</v>
      </c>
      <c r="AB41" s="134">
        <f t="shared" si="27"/>
        <v>0</v>
      </c>
      <c r="AC41" s="134">
        <f t="shared" si="27"/>
        <v>0</v>
      </c>
      <c r="AD41" s="134">
        <f t="shared" si="27"/>
        <v>0</v>
      </c>
      <c r="AE41" s="134">
        <f t="shared" si="27"/>
        <v>0</v>
      </c>
      <c r="AF41" s="134">
        <f t="shared" si="27"/>
        <v>0</v>
      </c>
      <c r="AG41" s="134">
        <f t="shared" si="27"/>
        <v>0</v>
      </c>
      <c r="AH41" s="134">
        <f t="shared" si="27"/>
        <v>0</v>
      </c>
      <c r="AI41" s="134">
        <f t="shared" si="27"/>
        <v>0</v>
      </c>
      <c r="AJ41" s="134">
        <f t="shared" si="27"/>
        <v>0</v>
      </c>
      <c r="AK41" s="135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58" t="s">
        <v>284</v>
      </c>
      <c r="E42" s="159"/>
      <c r="F42" s="160">
        <f t="shared" ref="F42:AK42" si="28">SUM(F30:F41)</f>
        <v>0</v>
      </c>
      <c r="G42" s="161">
        <f t="shared" si="28"/>
        <v>26.718000000000004</v>
      </c>
      <c r="H42" s="161">
        <f t="shared" si="28"/>
        <v>90.022000000000006</v>
      </c>
      <c r="I42" s="161">
        <f t="shared" si="28"/>
        <v>3491.3999999999992</v>
      </c>
      <c r="J42" s="161">
        <f t="shared" si="28"/>
        <v>266.56920000000002</v>
      </c>
      <c r="K42" s="161">
        <f t="shared" si="28"/>
        <v>12.5334</v>
      </c>
      <c r="L42" s="161">
        <f t="shared" si="28"/>
        <v>42.421799999999998</v>
      </c>
      <c r="M42" s="161">
        <f t="shared" si="28"/>
        <v>4.1777999999999995</v>
      </c>
      <c r="N42" s="161">
        <f t="shared" si="28"/>
        <v>1706.9</v>
      </c>
      <c r="O42" s="161">
        <f t="shared" si="28"/>
        <v>7102</v>
      </c>
      <c r="P42" s="161">
        <f t="shared" si="28"/>
        <v>3511.2</v>
      </c>
      <c r="Q42" s="162">
        <f t="shared" si="28"/>
        <v>747.5</v>
      </c>
      <c r="R42" s="161">
        <f t="shared" si="28"/>
        <v>1042.9199999999998</v>
      </c>
      <c r="S42" s="161">
        <f t="shared" si="28"/>
        <v>352.86999999999995</v>
      </c>
      <c r="T42" s="161">
        <f t="shared" si="28"/>
        <v>227.86420000000001</v>
      </c>
      <c r="U42" s="161">
        <f t="shared" si="28"/>
        <v>38.831400000000009</v>
      </c>
      <c r="V42" s="161">
        <f t="shared" si="28"/>
        <v>117</v>
      </c>
      <c r="W42" s="161">
        <f t="shared" si="28"/>
        <v>8.8092000000000006</v>
      </c>
      <c r="X42" s="161">
        <f t="shared" si="28"/>
        <v>0</v>
      </c>
      <c r="Y42" s="161">
        <f t="shared" si="28"/>
        <v>46.729799999999997</v>
      </c>
      <c r="Z42" s="161">
        <f t="shared" si="28"/>
        <v>1.8504</v>
      </c>
      <c r="AA42" s="161">
        <f t="shared" si="28"/>
        <v>278.42867999999999</v>
      </c>
      <c r="AB42" s="163">
        <f t="shared" si="28"/>
        <v>3.2889599999999999</v>
      </c>
      <c r="AC42" s="163">
        <f t="shared" si="28"/>
        <v>2824.8420000000001</v>
      </c>
      <c r="AD42" s="163">
        <f t="shared" si="28"/>
        <v>1278.8400000000001</v>
      </c>
      <c r="AE42" s="163">
        <f t="shared" si="28"/>
        <v>11.624399999999998</v>
      </c>
      <c r="AF42" s="163">
        <f t="shared" si="28"/>
        <v>1299.72</v>
      </c>
      <c r="AG42" s="163">
        <f t="shared" si="28"/>
        <v>1507.3740000000003</v>
      </c>
      <c r="AH42" s="163">
        <f t="shared" si="28"/>
        <v>6160.9679999999998</v>
      </c>
      <c r="AI42" s="163">
        <f t="shared" si="28"/>
        <v>696.66600000000005</v>
      </c>
      <c r="AJ42" s="163">
        <f t="shared" si="28"/>
        <v>2.1749999999999998</v>
      </c>
      <c r="AK42" s="164">
        <f t="shared" si="28"/>
        <v>1.0874999999999999</v>
      </c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</row>
    <row r="43" spans="1:57" ht="15.75" customHeight="1">
      <c r="A43" s="15"/>
      <c r="B43" s="15"/>
      <c r="C43" s="15"/>
      <c r="D43" s="166" t="s">
        <v>285</v>
      </c>
      <c r="E43" s="166"/>
      <c r="F43" s="167"/>
      <c r="G43" s="168">
        <f t="shared" ref="G43:AK43" si="29">G11</f>
        <v>8.625</v>
      </c>
      <c r="H43" s="168">
        <f>H12</f>
        <v>0</v>
      </c>
      <c r="I43" s="168">
        <f t="shared" si="29"/>
        <v>291</v>
      </c>
      <c r="J43" s="168">
        <f t="shared" si="29"/>
        <v>12.5</v>
      </c>
      <c r="K43" s="168">
        <f t="shared" si="29"/>
        <v>7.625</v>
      </c>
      <c r="L43" s="168">
        <f t="shared" si="29"/>
        <v>3.375</v>
      </c>
      <c r="M43" s="168">
        <f t="shared" si="29"/>
        <v>2.5</v>
      </c>
      <c r="N43" s="168">
        <f t="shared" si="29"/>
        <v>144.19999999999999</v>
      </c>
      <c r="O43" s="168">
        <f t="shared" si="29"/>
        <v>0</v>
      </c>
      <c r="P43" s="168">
        <f t="shared" si="29"/>
        <v>0</v>
      </c>
      <c r="Q43" s="169">
        <f t="shared" si="29"/>
        <v>206.00000000000003</v>
      </c>
      <c r="R43" s="168">
        <f t="shared" si="29"/>
        <v>0</v>
      </c>
      <c r="S43" s="168">
        <f t="shared" si="29"/>
        <v>11.2</v>
      </c>
      <c r="T43" s="168">
        <f t="shared" si="29"/>
        <v>8</v>
      </c>
      <c r="U43" s="168">
        <f t="shared" si="29"/>
        <v>0</v>
      </c>
      <c r="V43" s="168">
        <f t="shared" si="29"/>
        <v>0</v>
      </c>
      <c r="W43" s="168">
        <f t="shared" si="29"/>
        <v>0</v>
      </c>
      <c r="X43" s="168">
        <f t="shared" si="29"/>
        <v>0</v>
      </c>
      <c r="Y43" s="168">
        <f t="shared" si="29"/>
        <v>0</v>
      </c>
      <c r="Z43" s="168">
        <f t="shared" si="29"/>
        <v>0</v>
      </c>
      <c r="AA43" s="168">
        <f t="shared" si="29"/>
        <v>0</v>
      </c>
      <c r="AB43" s="170">
        <f t="shared" si="29"/>
        <v>0</v>
      </c>
      <c r="AC43" s="170">
        <f t="shared" si="29"/>
        <v>0</v>
      </c>
      <c r="AD43" s="170">
        <f t="shared" si="29"/>
        <v>0</v>
      </c>
      <c r="AE43" s="170">
        <f t="shared" si="29"/>
        <v>0</v>
      </c>
      <c r="AF43" s="170">
        <f t="shared" si="29"/>
        <v>0</v>
      </c>
      <c r="AG43" s="170">
        <f t="shared" si="29"/>
        <v>0</v>
      </c>
      <c r="AH43" s="170">
        <f t="shared" si="29"/>
        <v>0</v>
      </c>
      <c r="AI43" s="170">
        <f t="shared" si="29"/>
        <v>0</v>
      </c>
      <c r="AJ43" s="170">
        <f t="shared" si="29"/>
        <v>0</v>
      </c>
      <c r="AK43" s="171">
        <f t="shared" si="29"/>
        <v>0</v>
      </c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</row>
    <row r="44" spans="1:57" ht="15.75" customHeight="1">
      <c r="A44" s="15"/>
      <c r="B44" s="15"/>
      <c r="C44" s="15"/>
      <c r="D44" s="172" t="s">
        <v>286</v>
      </c>
      <c r="E44" s="172"/>
      <c r="F44" s="173"/>
      <c r="G44" s="174">
        <f t="shared" ref="G44:P44" si="30">G42-G43</f>
        <v>18.093000000000004</v>
      </c>
      <c r="H44" s="174">
        <f t="shared" si="30"/>
        <v>90.022000000000006</v>
      </c>
      <c r="I44" s="174">
        <f t="shared" si="30"/>
        <v>3200.3999999999992</v>
      </c>
      <c r="J44" s="174">
        <f t="shared" si="30"/>
        <v>254.06920000000002</v>
      </c>
      <c r="K44" s="174">
        <f t="shared" si="30"/>
        <v>4.9084000000000003</v>
      </c>
      <c r="L44" s="174">
        <f t="shared" si="30"/>
        <v>39.046799999999998</v>
      </c>
      <c r="M44" s="174">
        <f t="shared" si="30"/>
        <v>1.6777999999999995</v>
      </c>
      <c r="N44" s="174">
        <f t="shared" si="30"/>
        <v>1562.7</v>
      </c>
      <c r="O44" s="174">
        <f t="shared" si="30"/>
        <v>7102</v>
      </c>
      <c r="P44" s="174">
        <f t="shared" si="30"/>
        <v>3511.2</v>
      </c>
      <c r="Q44" s="174">
        <f>Q42/Q43</f>
        <v>3.6286407766990285</v>
      </c>
      <c r="R44" s="174">
        <f t="shared" ref="R44:AK44" si="31">R42-R43</f>
        <v>1042.9199999999998</v>
      </c>
      <c r="S44" s="174">
        <f t="shared" si="31"/>
        <v>341.66999999999996</v>
      </c>
      <c r="T44" s="174">
        <f t="shared" si="31"/>
        <v>219.86420000000001</v>
      </c>
      <c r="U44" s="174">
        <f t="shared" si="31"/>
        <v>38.831400000000009</v>
      </c>
      <c r="V44" s="174">
        <f t="shared" si="31"/>
        <v>117</v>
      </c>
      <c r="W44" s="174">
        <f t="shared" si="31"/>
        <v>8.8092000000000006</v>
      </c>
      <c r="X44" s="174">
        <f t="shared" si="31"/>
        <v>0</v>
      </c>
      <c r="Y44" s="174">
        <f t="shared" si="31"/>
        <v>46.729799999999997</v>
      </c>
      <c r="Z44" s="174">
        <f t="shared" si="31"/>
        <v>1.8504</v>
      </c>
      <c r="AA44" s="174">
        <f t="shared" si="31"/>
        <v>278.42867999999999</v>
      </c>
      <c r="AB44" s="175">
        <f t="shared" si="31"/>
        <v>3.2889599999999999</v>
      </c>
      <c r="AC44" s="175">
        <f t="shared" si="31"/>
        <v>2824.8420000000001</v>
      </c>
      <c r="AD44" s="175">
        <f t="shared" si="31"/>
        <v>1278.8400000000001</v>
      </c>
      <c r="AE44" s="175">
        <f t="shared" si="31"/>
        <v>11.624399999999998</v>
      </c>
      <c r="AF44" s="175">
        <f t="shared" si="31"/>
        <v>1299.72</v>
      </c>
      <c r="AG44" s="175">
        <f t="shared" si="31"/>
        <v>1507.3740000000003</v>
      </c>
      <c r="AH44" s="175">
        <f t="shared" si="31"/>
        <v>6160.9679999999998</v>
      </c>
      <c r="AI44" s="175">
        <f t="shared" si="31"/>
        <v>696.66600000000005</v>
      </c>
      <c r="AJ44" s="175">
        <f t="shared" si="31"/>
        <v>2.1749999999999998</v>
      </c>
      <c r="AK44" s="175">
        <f t="shared" si="31"/>
        <v>1.0874999999999999</v>
      </c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</row>
    <row r="45" spans="1:57" ht="15.75" customHeight="1">
      <c r="A45" s="165"/>
      <c r="B45" s="15"/>
      <c r="C45" s="165"/>
      <c r="D45" s="176"/>
      <c r="E45" s="176"/>
      <c r="F45" s="177"/>
      <c r="G45" s="178" t="s">
        <v>281</v>
      </c>
      <c r="H45" s="179" t="s">
        <v>3</v>
      </c>
      <c r="I45" s="179" t="s">
        <v>4</v>
      </c>
      <c r="J45" s="179" t="s">
        <v>5</v>
      </c>
      <c r="K45" s="179" t="s">
        <v>6</v>
      </c>
      <c r="L45" s="179" t="s">
        <v>7</v>
      </c>
      <c r="M45" s="179" t="s">
        <v>8</v>
      </c>
      <c r="N45" s="179" t="s">
        <v>282</v>
      </c>
      <c r="O45" s="179" t="s">
        <v>10</v>
      </c>
      <c r="P45" s="179" t="s">
        <v>11</v>
      </c>
      <c r="Q45" s="179" t="s">
        <v>287</v>
      </c>
      <c r="R45" s="179" t="s">
        <v>13</v>
      </c>
      <c r="S45" s="179" t="s">
        <v>14</v>
      </c>
      <c r="T45" s="179" t="s">
        <v>15</v>
      </c>
      <c r="U45" s="179" t="s">
        <v>16</v>
      </c>
      <c r="V45" s="179" t="s">
        <v>17</v>
      </c>
      <c r="W45" s="179" t="s">
        <v>18</v>
      </c>
      <c r="X45" s="179" t="s">
        <v>19</v>
      </c>
      <c r="Y45" s="179" t="s">
        <v>20</v>
      </c>
      <c r="Z45" s="179" t="s">
        <v>88</v>
      </c>
      <c r="AA45" s="179" t="s">
        <v>22</v>
      </c>
      <c r="AB45" s="180" t="s">
        <v>23</v>
      </c>
      <c r="AC45" s="180" t="s">
        <v>24</v>
      </c>
      <c r="AD45" s="180" t="s">
        <v>25</v>
      </c>
      <c r="AE45" s="180" t="s">
        <v>26</v>
      </c>
      <c r="AF45" s="180" t="s">
        <v>27</v>
      </c>
      <c r="AG45" s="180" t="s">
        <v>28</v>
      </c>
      <c r="AH45" s="180" t="s">
        <v>29</v>
      </c>
      <c r="AI45" s="180" t="s">
        <v>30</v>
      </c>
      <c r="AJ45" s="180" t="s">
        <v>31</v>
      </c>
      <c r="AK45" s="181" t="s">
        <v>32</v>
      </c>
      <c r="AL45" s="182"/>
      <c r="AM45" s="182"/>
      <c r="AN45" s="182"/>
      <c r="AO45" s="182"/>
      <c r="AP45" s="182"/>
      <c r="AQ45" s="182"/>
      <c r="AR45" s="182"/>
      <c r="AS45" s="182"/>
      <c r="AT45" s="182"/>
      <c r="AU45" s="182"/>
      <c r="AV45" s="182"/>
      <c r="AW45" s="182"/>
      <c r="AX45" s="182"/>
      <c r="AY45" s="182"/>
      <c r="AZ45" s="182"/>
      <c r="BA45" s="182"/>
      <c r="BB45" s="182"/>
      <c r="BC45" s="182"/>
      <c r="BD45" s="182"/>
      <c r="BE45" s="182"/>
    </row>
    <row r="46" spans="1:57" ht="15.75" customHeight="1">
      <c r="A46" s="165"/>
      <c r="B46" s="15"/>
      <c r="C46" s="165"/>
      <c r="D46" s="183"/>
      <c r="E46" s="183"/>
      <c r="F46" s="183"/>
      <c r="G46" s="184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6"/>
      <c r="AC46" s="186"/>
      <c r="AD46" s="186"/>
      <c r="AE46" s="186"/>
      <c r="AF46" s="186"/>
      <c r="AG46" s="186"/>
      <c r="AH46" s="186"/>
      <c r="AI46" s="186"/>
      <c r="AJ46" s="186"/>
      <c r="AK46" s="186"/>
      <c r="AL46" s="182"/>
      <c r="AM46" s="182"/>
      <c r="AN46" s="182"/>
      <c r="AO46" s="182"/>
      <c r="AP46" s="182"/>
      <c r="AQ46" s="182"/>
      <c r="AR46" s="182"/>
      <c r="AS46" s="182"/>
      <c r="AT46" s="182"/>
      <c r="AU46" s="182"/>
      <c r="AV46" s="182"/>
      <c r="AW46" s="182"/>
      <c r="AX46" s="182"/>
      <c r="AY46" s="182"/>
      <c r="AZ46" s="182"/>
      <c r="BA46" s="182"/>
      <c r="BB46" s="182"/>
      <c r="BC46" s="182"/>
      <c r="BD46" s="182"/>
      <c r="BE46" s="182"/>
    </row>
    <row r="47" spans="1:57" ht="16.5" customHeight="1">
      <c r="A47" s="165"/>
      <c r="B47" s="15"/>
      <c r="C47" s="165"/>
      <c r="D47" s="109" t="s">
        <v>288</v>
      </c>
      <c r="E47" s="111"/>
      <c r="F47" s="187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48"/>
      <c r="AC47" s="48"/>
      <c r="AD47" s="48"/>
      <c r="AE47" s="48"/>
      <c r="AF47" s="48"/>
      <c r="AG47" s="48"/>
      <c r="AH47" s="48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</row>
    <row r="48" spans="1:57" ht="15.75" customHeight="1">
      <c r="A48" s="182"/>
      <c r="B48" s="15"/>
      <c r="C48" s="182"/>
      <c r="D48" s="188" t="s">
        <v>289</v>
      </c>
      <c r="E48" s="188" t="s">
        <v>290</v>
      </c>
      <c r="F48" s="189" t="s">
        <v>291</v>
      </c>
      <c r="G48" s="108"/>
      <c r="H48" s="27"/>
      <c r="I48" s="109" t="s">
        <v>292</v>
      </c>
      <c r="J48" s="112"/>
      <c r="K48" s="190" t="s">
        <v>105</v>
      </c>
      <c r="L48" s="66"/>
      <c r="M48" s="112"/>
      <c r="N48" s="27"/>
      <c r="O48" s="27"/>
      <c r="P48" s="27"/>
      <c r="Q48" s="27"/>
      <c r="R48" s="27"/>
      <c r="S48" s="27"/>
      <c r="T48" s="136"/>
      <c r="U48" s="136"/>
      <c r="V48" s="136"/>
      <c r="W48" s="136"/>
      <c r="X48" s="136"/>
      <c r="Y48" s="136"/>
      <c r="Z48" s="136"/>
      <c r="AA48" s="136"/>
      <c r="AB48" s="48"/>
      <c r="AC48" s="48"/>
      <c r="AD48" s="48"/>
      <c r="AE48" s="48"/>
      <c r="AF48" s="48"/>
      <c r="AG48" s="48"/>
      <c r="AH48" s="48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</row>
    <row r="49" spans="1:57" ht="15.75" customHeight="1">
      <c r="A49" s="182"/>
      <c r="B49" s="15"/>
      <c r="C49" s="182"/>
      <c r="D49" s="191" t="s">
        <v>70</v>
      </c>
      <c r="E49" s="192">
        <f>G44</f>
        <v>18.093000000000004</v>
      </c>
      <c r="F49" s="193">
        <f>IFERROR(E49/G43,"")</f>
        <v>2.0977391304347832</v>
      </c>
      <c r="G49" s="108"/>
      <c r="H49" s="27"/>
      <c r="I49" s="194" t="s">
        <v>293</v>
      </c>
      <c r="J49" s="195"/>
      <c r="K49" s="196"/>
      <c r="L49" s="197" t="s">
        <v>294</v>
      </c>
      <c r="M49" s="198" t="s">
        <v>295</v>
      </c>
      <c r="N49" s="27"/>
      <c r="O49" s="27"/>
      <c r="P49" s="27"/>
      <c r="Q49" s="27"/>
      <c r="R49" s="27"/>
      <c r="S49" s="27"/>
      <c r="T49" s="136"/>
      <c r="U49" s="136"/>
      <c r="V49" s="136"/>
      <c r="W49" s="136"/>
      <c r="X49" s="136"/>
      <c r="Y49" s="136"/>
      <c r="Z49" s="136"/>
      <c r="AA49" s="136"/>
      <c r="AB49" s="48"/>
      <c r="AC49" s="48"/>
      <c r="AD49" s="48"/>
      <c r="AE49" s="48"/>
      <c r="AF49" s="48"/>
      <c r="AG49" s="48"/>
      <c r="AH49" s="48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</row>
    <row r="50" spans="1:57" ht="15.75" customHeight="1">
      <c r="A50" s="27"/>
      <c r="B50" s="15"/>
      <c r="C50" s="27"/>
      <c r="D50" s="199" t="s">
        <v>10</v>
      </c>
      <c r="E50" s="200">
        <f>O44</f>
        <v>7102</v>
      </c>
      <c r="F50" s="201"/>
      <c r="G50" s="136"/>
      <c r="H50" s="27"/>
      <c r="I50" s="202" t="s">
        <v>296</v>
      </c>
      <c r="J50" s="203"/>
      <c r="K50" s="204"/>
      <c r="L50" s="205" t="s">
        <v>297</v>
      </c>
      <c r="M50" s="200">
        <f>IFERROR(I42/H42,0)</f>
        <v>38.78385283597342</v>
      </c>
      <c r="N50" s="27"/>
      <c r="O50" s="27"/>
      <c r="P50" s="27"/>
      <c r="Q50" s="27"/>
      <c r="R50" s="27"/>
      <c r="S50" s="27"/>
      <c r="T50" s="136"/>
      <c r="U50" s="136"/>
      <c r="V50" s="136"/>
      <c r="W50" s="136"/>
      <c r="X50" s="136"/>
      <c r="Y50" s="136"/>
      <c r="Z50" s="136"/>
      <c r="AA50" s="136"/>
      <c r="AB50" s="48"/>
      <c r="AC50" s="48"/>
      <c r="AD50" s="48"/>
      <c r="AE50" s="48"/>
      <c r="AF50" s="48"/>
      <c r="AG50" s="48"/>
      <c r="AH50" s="48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</row>
    <row r="51" spans="1:57" ht="15.75" customHeight="1">
      <c r="A51" s="27"/>
      <c r="B51" s="15"/>
      <c r="C51" s="27"/>
      <c r="D51" s="206" t="s">
        <v>11</v>
      </c>
      <c r="E51" s="207">
        <f>P44</f>
        <v>3511.2</v>
      </c>
      <c r="F51" s="208"/>
      <c r="G51" s="136"/>
      <c r="H51" s="27"/>
      <c r="I51" s="199" t="s">
        <v>298</v>
      </c>
      <c r="J51" s="209"/>
      <c r="K51" s="204"/>
      <c r="L51" s="200">
        <v>2</v>
      </c>
      <c r="M51" s="200">
        <f>IFERROR(S42/T42,0)</f>
        <v>1.5485978051839646</v>
      </c>
      <c r="N51" s="27"/>
      <c r="O51" s="27"/>
      <c r="P51" s="27"/>
      <c r="Q51" s="27"/>
      <c r="R51" s="27"/>
      <c r="S51" s="27"/>
      <c r="T51" s="136"/>
      <c r="U51" s="136"/>
      <c r="V51" s="136"/>
      <c r="W51" s="136"/>
      <c r="X51" s="136"/>
      <c r="Y51" s="136"/>
      <c r="Z51" s="136"/>
      <c r="AA51" s="136"/>
      <c r="AB51" s="48"/>
      <c r="AC51" s="48"/>
      <c r="AD51" s="48"/>
      <c r="AE51" s="48"/>
      <c r="AF51" s="48"/>
      <c r="AG51" s="48"/>
      <c r="AH51" s="48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</row>
    <row r="52" spans="1:57" ht="15.75" customHeight="1">
      <c r="A52" s="27"/>
      <c r="B52" s="15"/>
      <c r="C52" s="27"/>
      <c r="D52" s="210"/>
      <c r="E52" s="210"/>
      <c r="F52" s="211"/>
      <c r="G52" s="136"/>
      <c r="H52" s="27"/>
      <c r="I52" s="199" t="s">
        <v>299</v>
      </c>
      <c r="J52" s="212"/>
      <c r="K52" s="204"/>
      <c r="L52" s="200">
        <v>0.61</v>
      </c>
      <c r="M52" s="200">
        <f>IFERROR(K42/J42,0)</f>
        <v>4.7017434872445876E-2</v>
      </c>
      <c r="N52" s="27"/>
      <c r="O52" s="27"/>
      <c r="P52" s="27"/>
      <c r="Q52" s="27"/>
      <c r="R52" s="27"/>
      <c r="S52" s="27"/>
      <c r="T52" s="136"/>
      <c r="U52" s="136"/>
      <c r="V52" s="136"/>
      <c r="W52" s="136"/>
      <c r="X52" s="136"/>
      <c r="Y52" s="136"/>
      <c r="Z52" s="136"/>
      <c r="AA52" s="136"/>
      <c r="AB52" s="48"/>
      <c r="AC52" s="48"/>
      <c r="AD52" s="48"/>
      <c r="AE52" s="48"/>
      <c r="AF52" s="48"/>
      <c r="AG52" s="48"/>
      <c r="AH52" s="48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</row>
    <row r="53" spans="1:57" ht="15.75" customHeight="1">
      <c r="A53" s="27"/>
      <c r="B53" s="15"/>
      <c r="C53" s="27"/>
      <c r="D53" s="213" t="s">
        <v>300</v>
      </c>
      <c r="E53" s="214" t="s">
        <v>290</v>
      </c>
      <c r="F53" s="215" t="s">
        <v>291</v>
      </c>
      <c r="G53" s="136"/>
      <c r="H53" s="27"/>
      <c r="I53" s="199" t="s">
        <v>301</v>
      </c>
      <c r="J53" s="212"/>
      <c r="K53" s="204"/>
      <c r="L53" s="200">
        <v>0.27</v>
      </c>
      <c r="M53" s="200">
        <f>IFERROR(L42/J42,0)</f>
        <v>0.1591399156391661</v>
      </c>
      <c r="N53" s="27"/>
      <c r="O53" s="27"/>
      <c r="P53" s="27"/>
      <c r="Q53" s="27"/>
      <c r="R53" s="27"/>
      <c r="S53" s="27"/>
      <c r="T53" s="136"/>
      <c r="U53" s="136"/>
      <c r="V53" s="136"/>
      <c r="W53" s="136"/>
      <c r="X53" s="136"/>
      <c r="Y53" s="136"/>
      <c r="Z53" s="136"/>
      <c r="AA53" s="136"/>
      <c r="AB53" s="48"/>
      <c r="AC53" s="48"/>
      <c r="AD53" s="48"/>
      <c r="AE53" s="48"/>
      <c r="AF53" s="48"/>
      <c r="AG53" s="48"/>
      <c r="AH53" s="48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</row>
    <row r="54" spans="1:57" ht="15.75" customHeight="1">
      <c r="A54" s="27"/>
      <c r="B54" s="15"/>
      <c r="C54" s="27"/>
      <c r="D54" s="216" t="s">
        <v>302</v>
      </c>
      <c r="E54" s="217">
        <f>H44</f>
        <v>90.022000000000006</v>
      </c>
      <c r="F54" s="193" t="str">
        <f>IFERROR(E54/H43,"")</f>
        <v/>
      </c>
      <c r="G54" s="136"/>
      <c r="H54" s="27"/>
      <c r="I54" s="199" t="s">
        <v>303</v>
      </c>
      <c r="J54" s="212"/>
      <c r="K54" s="204"/>
      <c r="L54" s="200">
        <v>0.2</v>
      </c>
      <c r="M54" s="200">
        <f>IFERROR(M42/J42,0)</f>
        <v>1.5672478290815289E-2</v>
      </c>
      <c r="N54" s="27"/>
      <c r="O54" s="27"/>
      <c r="P54" s="27"/>
      <c r="Q54" s="27"/>
      <c r="R54" s="27"/>
      <c r="S54" s="27"/>
      <c r="T54" s="136"/>
      <c r="U54" s="136"/>
      <c r="V54" s="136"/>
      <c r="W54" s="136"/>
      <c r="X54" s="136"/>
      <c r="Y54" s="136"/>
      <c r="Z54" s="136"/>
      <c r="AA54" s="136"/>
      <c r="AB54" s="48"/>
      <c r="AC54" s="48"/>
      <c r="AD54" s="48"/>
      <c r="AE54" s="48"/>
      <c r="AF54" s="48"/>
      <c r="AG54" s="48"/>
      <c r="AH54" s="48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</row>
    <row r="55" spans="1:57" ht="15.75" customHeight="1">
      <c r="A55" s="27"/>
      <c r="B55" s="15"/>
      <c r="C55" s="27"/>
      <c r="D55" s="218" t="s">
        <v>9</v>
      </c>
      <c r="E55" s="219">
        <f>N44</f>
        <v>1562.7</v>
      </c>
      <c r="F55" s="193">
        <f>IFERROR(E55/N43,"")</f>
        <v>10.837031900138697</v>
      </c>
      <c r="G55" s="136"/>
      <c r="H55" s="27"/>
      <c r="I55" s="199" t="s">
        <v>304</v>
      </c>
      <c r="J55" s="212"/>
      <c r="K55" s="204"/>
      <c r="L55" s="200" t="s">
        <v>305</v>
      </c>
      <c r="M55" s="201">
        <f>SUMIFS(G30:G41,E15:E26,K48)/E6</f>
        <v>0</v>
      </c>
      <c r="N55" s="27"/>
      <c r="O55" s="27"/>
      <c r="P55" s="27"/>
      <c r="Q55" s="27"/>
      <c r="R55" s="27"/>
      <c r="S55" s="27"/>
      <c r="T55" s="136"/>
      <c r="U55" s="136"/>
      <c r="V55" s="136"/>
      <c r="W55" s="136"/>
      <c r="X55" s="136"/>
      <c r="Y55" s="136"/>
      <c r="Z55" s="136"/>
      <c r="AA55" s="136"/>
      <c r="AB55" s="48"/>
      <c r="AC55" s="48"/>
      <c r="AD55" s="48"/>
      <c r="AE55" s="48"/>
      <c r="AF55" s="48"/>
      <c r="AG55" s="48"/>
      <c r="AH55" s="48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</row>
    <row r="56" spans="1:57" ht="15.75" customHeight="1">
      <c r="A56" s="27"/>
      <c r="B56" s="15"/>
      <c r="C56" s="27"/>
      <c r="D56" s="220" t="s">
        <v>306</v>
      </c>
      <c r="E56" s="221">
        <f>Q44</f>
        <v>3.6286407766990285</v>
      </c>
      <c r="F56" s="221" t="s">
        <v>307</v>
      </c>
      <c r="G56" s="136"/>
      <c r="H56" s="27"/>
      <c r="I56" s="199" t="s">
        <v>308</v>
      </c>
      <c r="J56" s="212"/>
      <c r="K56" s="222"/>
      <c r="L56" s="223">
        <f>E56</f>
        <v>3.6286407766990285</v>
      </c>
      <c r="M56" s="224"/>
      <c r="N56" s="27"/>
      <c r="O56" s="27"/>
      <c r="P56" s="27"/>
      <c r="Q56" s="27"/>
      <c r="R56" s="27"/>
      <c r="S56" s="27"/>
      <c r="T56" s="136"/>
      <c r="U56" s="136"/>
      <c r="V56" s="136"/>
      <c r="W56" s="136"/>
      <c r="X56" s="136"/>
      <c r="Y56" s="136"/>
      <c r="Z56" s="136"/>
      <c r="AA56" s="136"/>
      <c r="AB56" s="48"/>
      <c r="AC56" s="48"/>
      <c r="AD56" s="48"/>
      <c r="AE56" s="48"/>
      <c r="AF56" s="48"/>
      <c r="AG56" s="48"/>
      <c r="AH56" s="48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</row>
    <row r="57" spans="1:57" ht="15.75" customHeight="1">
      <c r="A57" s="27"/>
      <c r="B57" s="15"/>
      <c r="C57" s="27"/>
      <c r="D57" s="225"/>
      <c r="E57" s="225"/>
      <c r="F57" s="27"/>
      <c r="G57" s="136"/>
      <c r="H57" s="27"/>
      <c r="I57" s="199" t="s">
        <v>309</v>
      </c>
      <c r="J57" s="212"/>
      <c r="K57" s="226"/>
      <c r="L57" s="200" t="s">
        <v>310</v>
      </c>
      <c r="M57" s="201">
        <f>G42/E6</f>
        <v>7.7443478260869572E-2</v>
      </c>
      <c r="N57" s="27"/>
      <c r="O57" s="27"/>
      <c r="P57" s="27"/>
      <c r="Q57" s="27"/>
      <c r="R57" s="27"/>
      <c r="S57" s="27"/>
      <c r="T57" s="136"/>
      <c r="U57" s="136"/>
      <c r="V57" s="136"/>
      <c r="W57" s="136"/>
      <c r="X57" s="136"/>
      <c r="Y57" s="136"/>
      <c r="Z57" s="136"/>
      <c r="AA57" s="136"/>
      <c r="AB57" s="48"/>
      <c r="AC57" s="48"/>
      <c r="AD57" s="48"/>
      <c r="AE57" s="48"/>
      <c r="AF57" s="48"/>
      <c r="AG57" s="48"/>
      <c r="AH57" s="48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</row>
    <row r="58" spans="1:57" ht="15.75" customHeight="1">
      <c r="A58" s="27"/>
      <c r="B58" s="15"/>
      <c r="C58" s="27"/>
      <c r="D58" s="227" t="s">
        <v>311</v>
      </c>
      <c r="E58" s="228" t="s">
        <v>290</v>
      </c>
      <c r="F58" s="229" t="s">
        <v>291</v>
      </c>
      <c r="G58" s="136"/>
      <c r="H58" s="27"/>
      <c r="I58" s="199" t="s">
        <v>312</v>
      </c>
      <c r="J58" s="212"/>
      <c r="K58" s="204"/>
      <c r="L58" s="200">
        <f>N11</f>
        <v>144.19999999999999</v>
      </c>
      <c r="M58" s="200">
        <f>N42</f>
        <v>1706.9</v>
      </c>
      <c r="N58" s="27"/>
      <c r="O58" s="27"/>
      <c r="P58" s="27"/>
      <c r="Q58" s="27"/>
      <c r="R58" s="27"/>
      <c r="S58" s="27"/>
      <c r="T58" s="136"/>
      <c r="U58" s="136"/>
      <c r="V58" s="136"/>
      <c r="W58" s="136"/>
      <c r="X58" s="136"/>
      <c r="Y58" s="136"/>
      <c r="Z58" s="136"/>
      <c r="AA58" s="136"/>
      <c r="AB58" s="48"/>
      <c r="AC58" s="48"/>
      <c r="AD58" s="48"/>
      <c r="AE58" s="48"/>
      <c r="AF58" s="48"/>
      <c r="AG58" s="48"/>
      <c r="AH58" s="48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</row>
    <row r="59" spans="1:57" ht="15.75" customHeight="1">
      <c r="A59" s="27"/>
      <c r="B59" s="15"/>
      <c r="C59" s="27"/>
      <c r="D59" s="216" t="s">
        <v>4</v>
      </c>
      <c r="E59" s="192">
        <f>I44</f>
        <v>3200.3999999999992</v>
      </c>
      <c r="F59" s="193">
        <f>IFERROR(E59/I43,"")</f>
        <v>10.997938144329893</v>
      </c>
      <c r="G59" s="136"/>
      <c r="H59" s="27"/>
      <c r="I59" s="230" t="s">
        <v>313</v>
      </c>
      <c r="J59" s="212"/>
      <c r="K59" s="204"/>
      <c r="L59" s="231" t="s">
        <v>314</v>
      </c>
      <c r="M59" s="200">
        <f>IFERROR(S42/T42,0)</f>
        <v>1.5485978051839646</v>
      </c>
      <c r="N59" s="27"/>
      <c r="O59" s="27"/>
      <c r="P59" s="27"/>
      <c r="Q59" s="27"/>
      <c r="R59" s="27"/>
      <c r="S59" s="27"/>
      <c r="T59" s="136"/>
      <c r="U59" s="136"/>
      <c r="V59" s="136"/>
      <c r="W59" s="136"/>
      <c r="X59" s="136"/>
      <c r="Y59" s="136"/>
      <c r="Z59" s="136"/>
      <c r="AA59" s="136"/>
      <c r="AB59" s="48"/>
      <c r="AC59" s="48"/>
      <c r="AD59" s="48"/>
      <c r="AE59" s="48"/>
      <c r="AF59" s="48"/>
      <c r="AG59" s="48"/>
      <c r="AH59" s="48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</row>
    <row r="60" spans="1:57" ht="15.75" customHeight="1">
      <c r="A60" s="27"/>
      <c r="B60" s="15"/>
      <c r="C60" s="27"/>
      <c r="D60" s="218" t="s">
        <v>5</v>
      </c>
      <c r="E60" s="200">
        <f>J44</f>
        <v>254.06920000000002</v>
      </c>
      <c r="F60" s="193">
        <f>IFERROR(E60/J43,"")</f>
        <v>20.325536000000003</v>
      </c>
      <c r="G60" s="136"/>
      <c r="H60" s="27"/>
      <c r="I60" s="230" t="s">
        <v>315</v>
      </c>
      <c r="J60" s="212"/>
      <c r="K60" s="204"/>
      <c r="L60" s="231" t="s">
        <v>316</v>
      </c>
      <c r="M60" s="200">
        <f>IFERROR(S42/U42,0)</f>
        <v>9.0872335275060863</v>
      </c>
      <c r="N60" s="27"/>
      <c r="O60" s="27"/>
      <c r="P60" s="27"/>
      <c r="Q60" s="27"/>
      <c r="R60" s="27"/>
      <c r="S60" s="27"/>
      <c r="T60" s="136"/>
      <c r="U60" s="136"/>
      <c r="V60" s="136"/>
      <c r="W60" s="136"/>
      <c r="X60" s="136"/>
      <c r="Y60" s="136"/>
      <c r="Z60" s="136"/>
      <c r="AA60" s="136"/>
      <c r="AB60" s="48"/>
      <c r="AC60" s="48"/>
      <c r="AD60" s="48"/>
      <c r="AE60" s="48"/>
      <c r="AF60" s="48"/>
      <c r="AG60" s="48"/>
      <c r="AH60" s="48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</row>
    <row r="61" spans="1:57" ht="15.75" customHeight="1">
      <c r="A61" s="27"/>
      <c r="B61" s="15"/>
      <c r="C61" s="27"/>
      <c r="D61" s="218" t="s">
        <v>6</v>
      </c>
      <c r="E61" s="200">
        <f>K44</f>
        <v>4.9084000000000003</v>
      </c>
      <c r="F61" s="193">
        <f>IFERROR(E61/K43,"")</f>
        <v>0.64372459016393446</v>
      </c>
      <c r="G61" s="136"/>
      <c r="H61" s="49"/>
      <c r="I61" s="230" t="s">
        <v>317</v>
      </c>
      <c r="J61" s="212"/>
      <c r="K61" s="204"/>
      <c r="L61" s="231" t="s">
        <v>318</v>
      </c>
      <c r="M61" s="200">
        <f>IFERROR(AF42/AA42,0)</f>
        <v>4.6680535927548847</v>
      </c>
      <c r="N61" s="49"/>
      <c r="O61" s="49"/>
      <c r="P61" s="49"/>
      <c r="Q61" s="49"/>
      <c r="R61" s="49"/>
      <c r="S61" s="136"/>
      <c r="T61" s="136"/>
      <c r="U61" s="136"/>
      <c r="V61" s="136"/>
      <c r="W61" s="136"/>
      <c r="X61" s="136"/>
      <c r="Y61" s="136"/>
      <c r="Z61" s="136"/>
      <c r="AA61" s="136"/>
      <c r="AB61" s="48"/>
      <c r="AC61" s="48"/>
      <c r="AD61" s="48"/>
      <c r="AE61" s="48"/>
      <c r="AF61" s="48"/>
      <c r="AG61" s="48"/>
      <c r="AH61" s="48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</row>
    <row r="62" spans="1:57" ht="15.75" customHeight="1">
      <c r="A62" s="27"/>
      <c r="B62" s="15"/>
      <c r="C62" s="27"/>
      <c r="D62" s="218" t="s">
        <v>7</v>
      </c>
      <c r="E62" s="200">
        <f>L44</f>
        <v>39.046799999999998</v>
      </c>
      <c r="F62" s="193">
        <f>IFERROR(E62/L43,"")</f>
        <v>11.569422222222222</v>
      </c>
      <c r="G62" s="49"/>
      <c r="H62" s="49"/>
      <c r="I62" s="230" t="s">
        <v>317</v>
      </c>
      <c r="J62" s="212"/>
      <c r="K62" s="204"/>
      <c r="L62" s="231" t="s">
        <v>319</v>
      </c>
      <c r="M62" s="200">
        <f>IFERROR(AF42/AA42,0)</f>
        <v>4.6680535927548847</v>
      </c>
      <c r="N62" s="49"/>
      <c r="O62" s="49"/>
      <c r="P62" s="49"/>
      <c r="Q62" s="136"/>
      <c r="R62" s="136"/>
      <c r="S62" s="136"/>
      <c r="T62" s="136"/>
      <c r="U62" s="136"/>
      <c r="V62" s="136"/>
      <c r="W62" s="136"/>
      <c r="X62" s="136"/>
      <c r="Y62" s="136"/>
      <c r="Z62" s="48"/>
      <c r="AA62" s="48"/>
      <c r="AB62" s="48"/>
      <c r="AC62" s="48"/>
      <c r="AD62" s="48"/>
      <c r="AE62" s="48"/>
      <c r="AF62" s="48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</row>
    <row r="63" spans="1:57" ht="15.75" customHeight="1">
      <c r="A63" s="27"/>
      <c r="B63" s="15"/>
      <c r="C63" s="27"/>
      <c r="D63" s="220" t="s">
        <v>8</v>
      </c>
      <c r="E63" s="207">
        <f>M44</f>
        <v>1.6777999999999995</v>
      </c>
      <c r="F63" s="208">
        <f>IFERROR(E63/M43,"")</f>
        <v>0.67111999999999983</v>
      </c>
      <c r="G63" s="136"/>
      <c r="H63" s="136"/>
      <c r="I63" s="230" t="s">
        <v>320</v>
      </c>
      <c r="J63" s="212"/>
      <c r="K63" s="204"/>
      <c r="L63" s="231" t="s">
        <v>321</v>
      </c>
      <c r="M63" s="200">
        <f>IFERROR(AD42/AF42,0)</f>
        <v>0.98393500138491374</v>
      </c>
      <c r="N63" s="49"/>
      <c r="O63" s="49"/>
      <c r="P63" s="49"/>
      <c r="Q63" s="136"/>
      <c r="R63" s="136"/>
      <c r="S63" s="136"/>
      <c r="T63" s="136"/>
      <c r="U63" s="136"/>
      <c r="V63" s="136"/>
      <c r="W63" s="136"/>
      <c r="X63" s="136"/>
      <c r="Y63" s="136"/>
      <c r="Z63" s="48"/>
      <c r="AA63" s="48"/>
      <c r="AB63" s="48"/>
      <c r="AC63" s="48"/>
      <c r="AD63" s="48"/>
      <c r="AE63" s="48"/>
      <c r="AF63" s="48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</row>
    <row r="64" spans="1:57" ht="15.75" customHeight="1">
      <c r="A64" s="27"/>
      <c r="B64" s="15"/>
      <c r="C64" s="27"/>
      <c r="D64" s="225"/>
      <c r="E64" s="225"/>
      <c r="F64" s="66"/>
      <c r="G64" s="136"/>
      <c r="H64" s="136"/>
      <c r="I64" s="230" t="s">
        <v>322</v>
      </c>
      <c r="J64" s="212"/>
      <c r="K64" s="204"/>
      <c r="L64" s="231" t="s">
        <v>323</v>
      </c>
      <c r="M64" s="200">
        <f>IFERROR(AD42/AA42,0)</f>
        <v>4.5930613182521292</v>
      </c>
      <c r="N64" s="49"/>
      <c r="O64" s="49"/>
      <c r="P64" s="49"/>
      <c r="Q64" s="136"/>
      <c r="R64" s="136"/>
      <c r="S64" s="136"/>
      <c r="T64" s="136"/>
      <c r="U64" s="136"/>
      <c r="V64" s="136"/>
      <c r="W64" s="136"/>
      <c r="X64" s="136"/>
      <c r="Y64" s="136"/>
      <c r="Z64" s="48"/>
      <c r="AA64" s="48"/>
      <c r="AB64" s="48"/>
      <c r="AC64" s="48"/>
      <c r="AD64" s="48"/>
      <c r="AE64" s="48"/>
      <c r="AF64" s="48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</row>
    <row r="65" spans="1:57" ht="15.75" customHeight="1">
      <c r="A65" s="27"/>
      <c r="B65" s="15"/>
      <c r="C65" s="27"/>
      <c r="D65" s="188" t="s">
        <v>324</v>
      </c>
      <c r="E65" s="232" t="s">
        <v>290</v>
      </c>
      <c r="F65" s="189" t="s">
        <v>291</v>
      </c>
      <c r="G65" s="136"/>
      <c r="H65" s="136"/>
      <c r="I65" s="233" t="s">
        <v>325</v>
      </c>
      <c r="J65" s="234"/>
      <c r="K65" s="234"/>
      <c r="L65" s="235" t="s">
        <v>316</v>
      </c>
      <c r="M65" s="200">
        <f>IFERROR(V42/W42,0)</f>
        <v>13.28156926849203</v>
      </c>
      <c r="N65" s="49"/>
      <c r="O65" s="49"/>
      <c r="P65" s="49"/>
      <c r="Q65" s="136"/>
      <c r="R65" s="136"/>
      <c r="S65" s="136"/>
      <c r="T65" s="136"/>
      <c r="U65" s="136"/>
      <c r="V65" s="136"/>
      <c r="W65" s="136"/>
      <c r="X65" s="136"/>
      <c r="Y65" s="136"/>
      <c r="Z65" s="48"/>
      <c r="AA65" s="48"/>
      <c r="AB65" s="48"/>
      <c r="AC65" s="48"/>
      <c r="AD65" s="48"/>
      <c r="AE65" s="48"/>
      <c r="AF65" s="48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</row>
    <row r="66" spans="1:57" ht="15.75" customHeight="1">
      <c r="A66" s="27"/>
      <c r="B66" s="15"/>
      <c r="C66" s="27"/>
      <c r="D66" s="236" t="s">
        <v>14</v>
      </c>
      <c r="E66" s="192">
        <f>S44</f>
        <v>341.66999999999996</v>
      </c>
      <c r="F66" s="193">
        <f>IFERROR(E66/S43,"")</f>
        <v>30.506249999999998</v>
      </c>
      <c r="G66" s="136"/>
      <c r="H66" s="136"/>
      <c r="I66" s="27"/>
      <c r="J66" s="27"/>
      <c r="K66" s="27"/>
      <c r="L66" s="237"/>
      <c r="M66" s="237"/>
      <c r="N66" s="49"/>
      <c r="O66" s="49"/>
      <c r="P66" s="49"/>
      <c r="Q66" s="136"/>
      <c r="R66" s="136"/>
      <c r="S66" s="136"/>
      <c r="T66" s="136"/>
      <c r="U66" s="136"/>
      <c r="V66" s="136"/>
      <c r="W66" s="136"/>
      <c r="X66" s="136"/>
      <c r="Y66" s="136"/>
      <c r="Z66" s="48"/>
      <c r="AA66" s="48"/>
      <c r="AB66" s="48"/>
      <c r="AC66" s="48"/>
      <c r="AD66" s="48"/>
      <c r="AE66" s="48"/>
      <c r="AF66" s="48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</row>
    <row r="67" spans="1:57" ht="15.75" customHeight="1">
      <c r="A67" s="27"/>
      <c r="B67" s="15"/>
      <c r="C67" s="27"/>
      <c r="D67" s="199" t="s">
        <v>15</v>
      </c>
      <c r="E67" s="200">
        <f>T44</f>
        <v>219.86420000000001</v>
      </c>
      <c r="F67" s="193">
        <f>IFERROR(E67/T43,"")</f>
        <v>27.483025000000001</v>
      </c>
      <c r="G67" s="136"/>
      <c r="H67" s="136"/>
      <c r="I67" s="27"/>
      <c r="J67" s="27"/>
      <c r="K67" s="27"/>
      <c r="L67" s="49"/>
      <c r="M67" s="49"/>
      <c r="N67" s="49"/>
      <c r="O67" s="49"/>
      <c r="P67" s="49"/>
      <c r="Q67" s="136"/>
      <c r="R67" s="136"/>
      <c r="S67" s="136"/>
      <c r="T67" s="136"/>
      <c r="U67" s="136"/>
      <c r="V67" s="136"/>
      <c r="W67" s="136"/>
      <c r="X67" s="136"/>
      <c r="Y67" s="136"/>
      <c r="Z67" s="48"/>
      <c r="AA67" s="48"/>
      <c r="AB67" s="48"/>
      <c r="AC67" s="48"/>
      <c r="AD67" s="48"/>
      <c r="AE67" s="48"/>
      <c r="AF67" s="48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</row>
    <row r="68" spans="1:57" ht="15.75" customHeight="1">
      <c r="A68" s="27"/>
      <c r="B68" s="15"/>
      <c r="C68" s="27"/>
      <c r="D68" s="199" t="s">
        <v>16</v>
      </c>
      <c r="E68" s="200">
        <f>U44</f>
        <v>38.831400000000009</v>
      </c>
      <c r="F68" s="193" t="str">
        <f>IFERROR(E68/U43,"")</f>
        <v/>
      </c>
      <c r="G68" s="136"/>
      <c r="H68" s="136"/>
      <c r="I68" s="27"/>
      <c r="J68" s="27"/>
      <c r="K68" s="27"/>
      <c r="L68" s="49"/>
      <c r="M68" s="49"/>
      <c r="N68" s="49"/>
      <c r="O68" s="49"/>
      <c r="P68" s="49"/>
      <c r="Q68" s="136"/>
      <c r="R68" s="136"/>
      <c r="S68" s="136"/>
      <c r="T68" s="136"/>
      <c r="U68" s="136"/>
      <c r="V68" s="136"/>
      <c r="W68" s="136"/>
      <c r="X68" s="136"/>
      <c r="Y68" s="136"/>
      <c r="Z68" s="48"/>
      <c r="AA68" s="48"/>
      <c r="AB68" s="48"/>
      <c r="AC68" s="48"/>
      <c r="AD68" s="48"/>
      <c r="AE68" s="48"/>
      <c r="AF68" s="48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</row>
    <row r="69" spans="1:57" ht="15.75" customHeight="1">
      <c r="A69" s="27"/>
      <c r="B69" s="15"/>
      <c r="C69" s="27"/>
      <c r="D69" s="199" t="s">
        <v>17</v>
      </c>
      <c r="E69" s="200">
        <f>V44</f>
        <v>117</v>
      </c>
      <c r="F69" s="193" t="str">
        <f>IFERROR(E69/V43,"")</f>
        <v/>
      </c>
      <c r="G69" s="136"/>
      <c r="H69" s="136"/>
      <c r="I69" s="27"/>
      <c r="J69" s="27"/>
      <c r="K69" s="27"/>
      <c r="L69" s="49"/>
      <c r="M69" s="49"/>
      <c r="N69" s="49"/>
      <c r="O69" s="49"/>
      <c r="P69" s="49"/>
      <c r="Q69" s="136"/>
      <c r="R69" s="136"/>
      <c r="S69" s="136"/>
      <c r="T69" s="136"/>
      <c r="U69" s="136"/>
      <c r="V69" s="136"/>
      <c r="W69" s="136"/>
      <c r="X69" s="136"/>
      <c r="Y69" s="136"/>
      <c r="Z69" s="48"/>
      <c r="AA69" s="48"/>
      <c r="AB69" s="48"/>
      <c r="AC69" s="48"/>
      <c r="AD69" s="48"/>
      <c r="AE69" s="48"/>
      <c r="AF69" s="48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</row>
    <row r="70" spans="1:57" ht="15.75" customHeight="1">
      <c r="A70" s="27"/>
      <c r="B70" s="15"/>
      <c r="C70" s="27"/>
      <c r="D70" s="199" t="s">
        <v>18</v>
      </c>
      <c r="E70" s="200">
        <f>W44</f>
        <v>8.8092000000000006</v>
      </c>
      <c r="F70" s="193" t="str">
        <f>IFERROR(E70/W43,"")</f>
        <v/>
      </c>
      <c r="G70" s="136"/>
      <c r="H70" s="136"/>
      <c r="I70" s="27"/>
      <c r="J70" s="27"/>
      <c r="K70" s="27"/>
      <c r="L70" s="49"/>
      <c r="M70" s="49"/>
      <c r="N70" s="49"/>
      <c r="O70" s="49"/>
      <c r="P70" s="49"/>
      <c r="Q70" s="136"/>
      <c r="R70" s="136"/>
      <c r="S70" s="136"/>
      <c r="T70" s="136"/>
      <c r="U70" s="136"/>
      <c r="V70" s="136"/>
      <c r="W70" s="136"/>
      <c r="X70" s="136"/>
      <c r="Y70" s="136"/>
      <c r="Z70" s="48"/>
      <c r="AA70" s="48"/>
      <c r="AB70" s="48"/>
      <c r="AC70" s="48"/>
      <c r="AD70" s="48"/>
      <c r="AE70" s="48"/>
      <c r="AF70" s="48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</row>
    <row r="71" spans="1:57" ht="15.75" customHeight="1">
      <c r="A71" s="27"/>
      <c r="B71" s="15"/>
      <c r="C71" s="27"/>
      <c r="D71" s="199" t="s">
        <v>19</v>
      </c>
      <c r="E71" s="200">
        <f>X44</f>
        <v>0</v>
      </c>
      <c r="F71" s="201" t="str">
        <f>IFERROR(E71/X43,"")</f>
        <v/>
      </c>
      <c r="G71" s="136"/>
      <c r="H71" s="136"/>
      <c r="I71" s="27"/>
      <c r="J71" s="27"/>
      <c r="K71" s="27"/>
      <c r="L71" s="49"/>
      <c r="M71" s="49"/>
      <c r="N71" s="49"/>
      <c r="O71" s="49"/>
      <c r="P71" s="49"/>
      <c r="Q71" s="136"/>
      <c r="R71" s="136"/>
      <c r="S71" s="136"/>
      <c r="T71" s="136"/>
      <c r="U71" s="136"/>
      <c r="V71" s="136"/>
      <c r="W71" s="136"/>
      <c r="X71" s="136"/>
      <c r="Y71" s="136"/>
      <c r="Z71" s="48"/>
      <c r="AA71" s="48"/>
      <c r="AB71" s="48"/>
      <c r="AC71" s="48"/>
      <c r="AD71" s="48"/>
      <c r="AE71" s="48"/>
      <c r="AF71" s="48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</row>
    <row r="72" spans="1:57" ht="15.75" customHeight="1">
      <c r="A72" s="27"/>
      <c r="B72" s="15"/>
      <c r="C72" s="27"/>
      <c r="D72" s="206" t="s">
        <v>20</v>
      </c>
      <c r="E72" s="207">
        <f>Y44</f>
        <v>46.729799999999997</v>
      </c>
      <c r="F72" s="238" t="str">
        <f>IFERROR(E72/Y43,"")</f>
        <v/>
      </c>
      <c r="G72" s="136"/>
      <c r="H72" s="136"/>
      <c r="I72" s="27"/>
      <c r="J72" s="27"/>
      <c r="K72" s="27"/>
      <c r="L72" s="49"/>
      <c r="M72" s="49"/>
      <c r="N72" s="49"/>
      <c r="O72" s="49"/>
      <c r="P72" s="49"/>
      <c r="Q72" s="136"/>
      <c r="R72" s="136"/>
      <c r="S72" s="136"/>
      <c r="T72" s="136"/>
      <c r="U72" s="136"/>
      <c r="V72" s="136"/>
      <c r="W72" s="136"/>
      <c r="X72" s="136"/>
      <c r="Y72" s="136"/>
      <c r="Z72" s="48"/>
      <c r="AA72" s="48"/>
      <c r="AB72" s="48"/>
      <c r="AC72" s="48"/>
      <c r="AD72" s="48"/>
      <c r="AE72" s="48"/>
      <c r="AF72" s="48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</row>
    <row r="73" spans="1:57" ht="15.75" customHeight="1">
      <c r="A73" s="27"/>
      <c r="B73" s="15"/>
      <c r="C73" s="27"/>
      <c r="D73" s="111"/>
      <c r="E73" s="187"/>
      <c r="F73" s="211"/>
      <c r="G73" s="136"/>
      <c r="H73" s="136"/>
      <c r="I73" s="27"/>
      <c r="J73" s="27"/>
      <c r="K73" s="27"/>
      <c r="L73" s="27"/>
      <c r="M73" s="49"/>
      <c r="N73" s="49"/>
      <c r="O73" s="49"/>
      <c r="P73" s="49"/>
      <c r="Q73" s="136"/>
      <c r="R73" s="136"/>
      <c r="S73" s="136"/>
      <c r="T73" s="136"/>
      <c r="U73" s="136"/>
      <c r="V73" s="136"/>
      <c r="W73" s="136"/>
      <c r="X73" s="136"/>
      <c r="Y73" s="136"/>
      <c r="Z73" s="48"/>
      <c r="AA73" s="48"/>
      <c r="AB73" s="48"/>
      <c r="AC73" s="48"/>
      <c r="AD73" s="48"/>
      <c r="AE73" s="48"/>
      <c r="AF73" s="48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</row>
    <row r="74" spans="1:57" ht="15.75" customHeight="1">
      <c r="A74" s="27"/>
      <c r="B74" s="15"/>
      <c r="C74" s="27"/>
      <c r="D74" s="239" t="s">
        <v>326</v>
      </c>
      <c r="E74" s="228" t="s">
        <v>290</v>
      </c>
      <c r="F74" s="240" t="s">
        <v>291</v>
      </c>
      <c r="G74" s="136"/>
      <c r="H74" s="136"/>
      <c r="I74" s="27"/>
      <c r="J74" s="27"/>
      <c r="K74" s="27"/>
      <c r="L74" s="27"/>
      <c r="M74" s="49"/>
      <c r="N74" s="49"/>
      <c r="O74" s="49"/>
      <c r="P74" s="49"/>
      <c r="Q74" s="136"/>
      <c r="R74" s="136"/>
      <c r="S74" s="136"/>
      <c r="T74" s="136"/>
      <c r="U74" s="136"/>
      <c r="V74" s="136"/>
      <c r="W74" s="136"/>
      <c r="X74" s="136"/>
      <c r="Y74" s="136"/>
      <c r="Z74" s="48"/>
      <c r="AA74" s="48"/>
      <c r="AB74" s="48"/>
      <c r="AC74" s="48"/>
      <c r="AD74" s="48"/>
      <c r="AE74" s="48"/>
      <c r="AF74" s="48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</row>
    <row r="75" spans="1:57" ht="15.75" customHeight="1">
      <c r="A75" s="27"/>
      <c r="B75" s="15"/>
      <c r="C75" s="27"/>
      <c r="D75" s="216" t="s">
        <v>21</v>
      </c>
      <c r="E75" s="217">
        <f>Z44</f>
        <v>1.8504</v>
      </c>
      <c r="F75" s="193" t="str">
        <f>IFERROR(E75/Z43,"")</f>
        <v/>
      </c>
      <c r="I75" s="27"/>
      <c r="J75" s="27"/>
      <c r="K75" s="27"/>
      <c r="L75" s="27"/>
      <c r="M75" s="27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48"/>
      <c r="AC75" s="48"/>
      <c r="AD75" s="48"/>
      <c r="AE75" s="48"/>
      <c r="AF75" s="48"/>
      <c r="AG75" s="48"/>
      <c r="AH75" s="48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</row>
    <row r="76" spans="1:57" ht="15.75" customHeight="1">
      <c r="A76" s="27"/>
      <c r="B76" s="15"/>
      <c r="C76" s="27"/>
      <c r="D76" s="218" t="s">
        <v>22</v>
      </c>
      <c r="E76" s="219">
        <f>AA44</f>
        <v>278.42867999999999</v>
      </c>
      <c r="F76" s="193" t="str">
        <f>IFERROR(E76/AA43,"")</f>
        <v/>
      </c>
      <c r="G76" s="27"/>
      <c r="H76" s="27"/>
      <c r="I76" s="27"/>
      <c r="J76" s="27"/>
      <c r="K76" s="27"/>
      <c r="L76" s="27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48"/>
      <c r="Z76" s="48"/>
      <c r="AA76" s="48"/>
      <c r="AB76" s="48"/>
      <c r="AC76" s="48"/>
      <c r="AD76" s="48"/>
      <c r="AE76" s="48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</row>
    <row r="77" spans="1:57" ht="15.75" customHeight="1">
      <c r="A77" s="27"/>
      <c r="B77" s="15"/>
      <c r="C77" s="27"/>
      <c r="D77" s="218" t="s">
        <v>23</v>
      </c>
      <c r="E77" s="219">
        <f>AB44</f>
        <v>3.2889599999999999</v>
      </c>
      <c r="F77" s="193" t="str">
        <f>IFERROR(E77/AB43,"")</f>
        <v/>
      </c>
      <c r="G77" s="27"/>
      <c r="H77" s="27"/>
      <c r="I77" s="27"/>
      <c r="J77" s="27"/>
      <c r="K77" s="27"/>
      <c r="L77" s="27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48"/>
      <c r="Z77" s="48"/>
      <c r="AA77" s="48"/>
      <c r="AB77" s="48"/>
      <c r="AC77" s="48"/>
      <c r="AD77" s="48"/>
      <c r="AE77" s="48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</row>
    <row r="78" spans="1:57" ht="15.75" customHeight="1">
      <c r="A78" s="27"/>
      <c r="B78" s="15"/>
      <c r="C78" s="27"/>
      <c r="D78" s="218" t="s">
        <v>24</v>
      </c>
      <c r="E78" s="219">
        <f>AC44</f>
        <v>2824.8420000000001</v>
      </c>
      <c r="F78" s="193" t="str">
        <f>IFERROR(E78/AC43,"")</f>
        <v/>
      </c>
      <c r="G78" s="27"/>
      <c r="H78" s="27"/>
      <c r="I78" s="27"/>
      <c r="J78" s="27"/>
      <c r="K78" s="27"/>
      <c r="L78" s="27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48"/>
      <c r="Z78" s="48"/>
      <c r="AA78" s="48"/>
      <c r="AB78" s="48"/>
      <c r="AC78" s="48"/>
      <c r="AD78" s="48"/>
      <c r="AE78" s="48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</row>
    <row r="79" spans="1:57" ht="15.75" customHeight="1">
      <c r="A79" s="27"/>
      <c r="B79" s="15"/>
      <c r="C79" s="27"/>
      <c r="D79" s="218" t="s">
        <v>25</v>
      </c>
      <c r="E79" s="219">
        <f>AD44</f>
        <v>1278.8400000000001</v>
      </c>
      <c r="F79" s="193" t="str">
        <f>IFERROR(E79/AD43,"")</f>
        <v/>
      </c>
      <c r="G79" s="27"/>
      <c r="H79" s="27"/>
      <c r="I79" s="27"/>
      <c r="J79" s="27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48"/>
      <c r="Z79" s="48"/>
      <c r="AA79" s="48"/>
      <c r="AB79" s="48"/>
      <c r="AC79" s="48"/>
      <c r="AD79" s="48"/>
      <c r="AE79" s="48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</row>
    <row r="80" spans="1:57" ht="15.75" customHeight="1">
      <c r="A80" s="27"/>
      <c r="B80" s="15"/>
      <c r="C80" s="27"/>
      <c r="D80" s="218" t="s">
        <v>26</v>
      </c>
      <c r="E80" s="219">
        <f>AE44</f>
        <v>11.624399999999998</v>
      </c>
      <c r="F80" s="241" t="str">
        <f>IFERROR(E80/AE43,"")</f>
        <v/>
      </c>
      <c r="G80" s="27"/>
      <c r="H80" s="27"/>
      <c r="I80" s="27"/>
      <c r="J80" s="27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48"/>
      <c r="Z80" s="48"/>
      <c r="AA80" s="48"/>
      <c r="AB80" s="48"/>
      <c r="AC80" s="48"/>
      <c r="AD80" s="48"/>
      <c r="AE80" s="48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</row>
    <row r="81" spans="1:57" ht="15.75" customHeight="1">
      <c r="A81" s="27"/>
      <c r="B81" s="27"/>
      <c r="C81" s="27"/>
      <c r="D81" s="220" t="s">
        <v>27</v>
      </c>
      <c r="E81" s="242">
        <f>AF44</f>
        <v>1299.72</v>
      </c>
      <c r="F81" s="243" t="str">
        <f>IFERROR(E81/AF43,"")</f>
        <v/>
      </c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48"/>
      <c r="Z81" s="48"/>
      <c r="AA81" s="48"/>
      <c r="AB81" s="48"/>
      <c r="AC81" s="48"/>
      <c r="AD81" s="48"/>
      <c r="AE81" s="48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</row>
    <row r="82" spans="1:57" ht="15.75" customHeight="1">
      <c r="A82" s="27"/>
      <c r="B82" s="27"/>
      <c r="C82" s="27"/>
      <c r="D82" s="211"/>
      <c r="E82" s="211"/>
      <c r="F82" s="211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48"/>
      <c r="Z82" s="48"/>
      <c r="AA82" s="48"/>
      <c r="AB82" s="48"/>
      <c r="AC82" s="48"/>
      <c r="AD82" s="48"/>
      <c r="AE82" s="48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</row>
    <row r="83" spans="1:57" ht="15.75" customHeight="1">
      <c r="A83" s="27"/>
      <c r="B83" s="27"/>
      <c r="C83" s="27"/>
      <c r="D83" s="239" t="s">
        <v>327</v>
      </c>
      <c r="E83" s="228" t="s">
        <v>290</v>
      </c>
      <c r="F83" s="240" t="s">
        <v>291</v>
      </c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48"/>
      <c r="Z83" s="48"/>
      <c r="AA83" s="48"/>
      <c r="AB83" s="48"/>
      <c r="AC83" s="48"/>
      <c r="AD83" s="48"/>
      <c r="AE83" s="48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</row>
    <row r="84" spans="1:57" ht="15.75" customHeight="1">
      <c r="A84" s="27"/>
      <c r="B84" s="27"/>
      <c r="C84" s="27"/>
      <c r="D84" s="244" t="s">
        <v>28</v>
      </c>
      <c r="E84" s="192">
        <f>AG44</f>
        <v>1507.3740000000003</v>
      </c>
      <c r="F84" s="193" t="str">
        <f>IFERROR(E84/AG43,"")</f>
        <v/>
      </c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48"/>
      <c r="Z84" s="48"/>
      <c r="AA84" s="48"/>
      <c r="AB84" s="48"/>
      <c r="AC84" s="48"/>
      <c r="AD84" s="48"/>
      <c r="AE84" s="48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</row>
    <row r="85" spans="1:57" ht="15.75" customHeight="1">
      <c r="A85" s="27"/>
      <c r="B85" s="27"/>
      <c r="C85" s="27"/>
      <c r="D85" s="230" t="s">
        <v>29</v>
      </c>
      <c r="E85" s="200">
        <f>AH44</f>
        <v>6160.9679999999998</v>
      </c>
      <c r="F85" s="193" t="str">
        <f>IFERROR(E85/AH43,"")</f>
        <v/>
      </c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48"/>
      <c r="Z85" s="48"/>
      <c r="AA85" s="48"/>
      <c r="AB85" s="48"/>
      <c r="AC85" s="48"/>
      <c r="AD85" s="48"/>
      <c r="AE85" s="48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</row>
    <row r="86" spans="1:57" ht="15.75" customHeight="1">
      <c r="A86" s="27"/>
      <c r="B86" s="27"/>
      <c r="C86" s="27"/>
      <c r="D86" s="230" t="s">
        <v>30</v>
      </c>
      <c r="E86" s="200">
        <f>AI44</f>
        <v>696.66600000000005</v>
      </c>
      <c r="F86" s="193" t="str">
        <f>IFERROR(E86/AI43,"")</f>
        <v/>
      </c>
      <c r="G86" s="136"/>
      <c r="H86" s="136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48"/>
      <c r="Z86" s="48"/>
      <c r="AA86" s="48"/>
      <c r="AB86" s="48"/>
      <c r="AC86" s="48"/>
      <c r="AD86" s="48"/>
      <c r="AE86" s="48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</row>
    <row r="87" spans="1:57" ht="15.75" customHeight="1">
      <c r="A87" s="27"/>
      <c r="B87" s="27"/>
      <c r="C87" s="27"/>
      <c r="D87" s="230" t="s">
        <v>31</v>
      </c>
      <c r="E87" s="200">
        <f>AJ44</f>
        <v>2.1749999999999998</v>
      </c>
      <c r="F87" s="241" t="str">
        <f>IFERROR(E87/AJ43,"")</f>
        <v/>
      </c>
      <c r="G87" s="136"/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48"/>
      <c r="Z87" s="48"/>
      <c r="AA87" s="48"/>
      <c r="AB87" s="48"/>
      <c r="AC87" s="48"/>
      <c r="AD87" s="48"/>
      <c r="AE87" s="48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</row>
    <row r="88" spans="1:57" ht="15.75" customHeight="1">
      <c r="A88" s="27"/>
      <c r="B88" s="27"/>
      <c r="C88" s="27"/>
      <c r="D88" s="245" t="s">
        <v>32</v>
      </c>
      <c r="E88" s="207">
        <f>AK44</f>
        <v>1.0874999999999999</v>
      </c>
      <c r="F88" s="243" t="str">
        <f>IFERROR(E88/AK43,"")</f>
        <v/>
      </c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48"/>
      <c r="Z88" s="48"/>
      <c r="AA88" s="48"/>
      <c r="AB88" s="48"/>
      <c r="AC88" s="48"/>
      <c r="AD88" s="48"/>
      <c r="AE88" s="48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</row>
    <row r="89" spans="1:57" ht="15.75" customHeight="1">
      <c r="A89" s="27"/>
      <c r="B89" s="27"/>
      <c r="C89" s="27"/>
      <c r="D89" s="108"/>
      <c r="E89" s="108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48"/>
      <c r="AC89" s="48"/>
      <c r="AD89" s="48"/>
      <c r="AE89" s="48"/>
      <c r="AF89" s="48"/>
      <c r="AG89" s="48"/>
      <c r="AH89" s="48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</row>
    <row r="90" spans="1:57" ht="15.75" customHeight="1">
      <c r="A90" s="27"/>
      <c r="B90" s="27"/>
      <c r="C90" s="27"/>
      <c r="D90" s="108"/>
      <c r="E90" s="108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48"/>
      <c r="AC90" s="48"/>
      <c r="AD90" s="48"/>
      <c r="AE90" s="48"/>
      <c r="AF90" s="48"/>
      <c r="AG90" s="48"/>
      <c r="AH90" s="48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</row>
    <row r="91" spans="1:57" ht="15.75" customHeight="1">
      <c r="A91" s="27"/>
      <c r="B91" s="27"/>
      <c r="C91" s="27"/>
      <c r="D91" s="108"/>
      <c r="E91" s="108"/>
      <c r="F91" s="136"/>
      <c r="G91" s="136"/>
      <c r="H91" s="136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48"/>
      <c r="AC91" s="48"/>
      <c r="AD91" s="48"/>
      <c r="AE91" s="48"/>
      <c r="AF91" s="48"/>
      <c r="AG91" s="48"/>
      <c r="AH91" s="48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</row>
    <row r="92" spans="1:57" ht="15.75" customHeight="1">
      <c r="A92" s="27"/>
      <c r="B92" s="27"/>
      <c r="C92" s="27"/>
      <c r="D92" s="108"/>
      <c r="E92" s="108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48"/>
      <c r="AC92" s="48"/>
      <c r="AD92" s="48"/>
      <c r="AE92" s="48"/>
      <c r="AF92" s="48"/>
      <c r="AG92" s="48"/>
      <c r="AH92" s="48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</row>
    <row r="93" spans="1:57" ht="15.75" customHeight="1">
      <c r="A93" s="27"/>
      <c r="B93" s="27"/>
      <c r="C93" s="27"/>
      <c r="D93" s="108"/>
      <c r="E93" s="108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48"/>
      <c r="AC93" s="48"/>
      <c r="AD93" s="48"/>
      <c r="AE93" s="48"/>
      <c r="AF93" s="48"/>
      <c r="AG93" s="48"/>
      <c r="AH93" s="48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</row>
    <row r="94" spans="1:57" ht="15.75" customHeight="1">
      <c r="A94" s="27"/>
      <c r="B94" s="27"/>
      <c r="C94" s="27"/>
      <c r="D94" s="108"/>
      <c r="E94" s="108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48"/>
      <c r="AC94" s="48"/>
      <c r="AD94" s="48"/>
      <c r="AE94" s="48"/>
      <c r="AF94" s="48"/>
      <c r="AG94" s="48"/>
      <c r="AH94" s="48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</row>
    <row r="95" spans="1:57" ht="15.75" customHeight="1">
      <c r="A95" s="27"/>
      <c r="B95" s="27"/>
      <c r="C95" s="27"/>
      <c r="D95" s="108"/>
      <c r="E95" s="108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48"/>
      <c r="AC95" s="48"/>
      <c r="AD95" s="48"/>
      <c r="AE95" s="48"/>
      <c r="AF95" s="48"/>
      <c r="AG95" s="48"/>
      <c r="AH95" s="48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</row>
    <row r="96" spans="1:57" ht="15.75" customHeight="1">
      <c r="A96" s="27"/>
      <c r="B96" s="27"/>
      <c r="C96" s="27"/>
      <c r="D96" s="108"/>
      <c r="E96" s="108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48"/>
      <c r="AC96" s="48"/>
      <c r="AD96" s="48"/>
      <c r="AE96" s="48"/>
      <c r="AF96" s="48"/>
      <c r="AG96" s="48"/>
      <c r="AH96" s="48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</row>
    <row r="97" spans="1:57" ht="15.75" customHeight="1">
      <c r="A97" s="27"/>
      <c r="B97" s="27"/>
      <c r="C97" s="27"/>
      <c r="D97" s="108"/>
      <c r="E97" s="108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48"/>
      <c r="AC97" s="48"/>
      <c r="AD97" s="48"/>
      <c r="AE97" s="48"/>
      <c r="AF97" s="48"/>
      <c r="AG97" s="48"/>
      <c r="AH97" s="48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</row>
    <row r="98" spans="1:57" ht="15.75" customHeight="1">
      <c r="A98" s="27"/>
      <c r="B98" s="27"/>
      <c r="C98" s="27"/>
      <c r="D98" s="108"/>
      <c r="E98" s="108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48"/>
      <c r="AC98" s="48"/>
      <c r="AD98" s="48"/>
      <c r="AE98" s="48"/>
      <c r="AF98" s="48"/>
      <c r="AG98" s="48"/>
      <c r="AH98" s="48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</row>
    <row r="99" spans="1:57" ht="15.75" customHeight="1">
      <c r="A99" s="27"/>
      <c r="B99" s="27"/>
      <c r="C99" s="27"/>
      <c r="D99" s="108"/>
      <c r="E99" s="108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48"/>
      <c r="AC99" s="48"/>
      <c r="AD99" s="48"/>
      <c r="AE99" s="48"/>
      <c r="AF99" s="48"/>
      <c r="AG99" s="48"/>
      <c r="AH99" s="48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</row>
    <row r="100" spans="1:57" ht="15.75" customHeight="1">
      <c r="A100" s="27"/>
      <c r="B100" s="27"/>
      <c r="C100" s="27"/>
      <c r="D100" s="108"/>
      <c r="E100" s="108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48"/>
      <c r="AC100" s="48"/>
      <c r="AD100" s="48"/>
      <c r="AE100" s="48"/>
      <c r="AF100" s="48"/>
      <c r="AG100" s="48"/>
      <c r="AH100" s="48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</row>
    <row r="101" spans="1:57" ht="15.75" customHeight="1">
      <c r="A101" s="27"/>
      <c r="B101" s="27"/>
      <c r="C101" s="27"/>
      <c r="D101" s="108"/>
      <c r="E101" s="108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48"/>
      <c r="AC101" s="48"/>
      <c r="AD101" s="48"/>
      <c r="AE101" s="48"/>
      <c r="AF101" s="48"/>
      <c r="AG101" s="48"/>
      <c r="AH101" s="48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</row>
    <row r="102" spans="1:57" ht="15.75" customHeight="1">
      <c r="A102" s="27"/>
      <c r="B102" s="27"/>
      <c r="C102" s="27"/>
      <c r="D102" s="108"/>
      <c r="E102" s="108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48"/>
      <c r="AC102" s="48"/>
      <c r="AD102" s="48"/>
      <c r="AE102" s="48"/>
      <c r="AF102" s="48"/>
      <c r="AG102" s="48"/>
      <c r="AH102" s="48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</row>
    <row r="103" spans="1:57" ht="15.75" customHeight="1">
      <c r="A103" s="27"/>
      <c r="B103" s="27"/>
      <c r="C103" s="27"/>
      <c r="D103" s="108"/>
      <c r="E103" s="108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48"/>
      <c r="AC103" s="48"/>
      <c r="AD103" s="48"/>
      <c r="AE103" s="48"/>
      <c r="AF103" s="48"/>
      <c r="AG103" s="48"/>
      <c r="AH103" s="48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</row>
    <row r="104" spans="1:57" ht="15.75" customHeight="1">
      <c r="A104" s="27"/>
      <c r="B104" s="27"/>
      <c r="C104" s="27"/>
      <c r="D104" s="108"/>
      <c r="E104" s="108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48"/>
      <c r="AC104" s="48"/>
      <c r="AD104" s="48"/>
      <c r="AE104" s="48"/>
      <c r="AF104" s="48"/>
      <c r="AG104" s="48"/>
      <c r="AH104" s="48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</row>
    <row r="105" spans="1:57" ht="15.75" customHeight="1">
      <c r="A105" s="27"/>
      <c r="B105" s="27"/>
      <c r="C105" s="27"/>
      <c r="D105" s="108"/>
      <c r="E105" s="108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48"/>
      <c r="AC105" s="48"/>
      <c r="AD105" s="48"/>
      <c r="AE105" s="48"/>
      <c r="AF105" s="48"/>
      <c r="AG105" s="48"/>
      <c r="AH105" s="48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</row>
    <row r="106" spans="1:57" ht="15.75" customHeight="1">
      <c r="A106" s="27"/>
      <c r="B106" s="27"/>
      <c r="C106" s="27"/>
      <c r="D106" s="108"/>
      <c r="E106" s="108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48"/>
      <c r="AC106" s="48"/>
      <c r="AD106" s="48"/>
      <c r="AE106" s="48"/>
      <c r="AF106" s="48"/>
      <c r="AG106" s="48"/>
      <c r="AH106" s="48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</row>
    <row r="107" spans="1:57" ht="15.75" customHeight="1">
      <c r="A107" s="27"/>
      <c r="B107" s="27"/>
      <c r="C107" s="27"/>
      <c r="D107" s="108"/>
      <c r="E107" s="108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48"/>
      <c r="AC107" s="48"/>
      <c r="AD107" s="48"/>
      <c r="AE107" s="48"/>
      <c r="AF107" s="48"/>
      <c r="AG107" s="48"/>
      <c r="AH107" s="48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</row>
    <row r="108" spans="1:57" ht="15.75" customHeight="1">
      <c r="A108" s="27"/>
      <c r="B108" s="27"/>
      <c r="C108" s="27"/>
      <c r="D108" s="108"/>
      <c r="E108" s="108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48"/>
      <c r="AC108" s="48"/>
      <c r="AD108" s="48"/>
      <c r="AE108" s="48"/>
      <c r="AF108" s="48"/>
      <c r="AG108" s="48"/>
      <c r="AH108" s="48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</row>
    <row r="109" spans="1:57" ht="15.75" customHeight="1">
      <c r="A109" s="27"/>
      <c r="B109" s="27"/>
      <c r="C109" s="27"/>
      <c r="D109" s="108"/>
      <c r="E109" s="108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48"/>
      <c r="AC109" s="48"/>
      <c r="AD109" s="48"/>
      <c r="AE109" s="48"/>
      <c r="AF109" s="48"/>
      <c r="AG109" s="48"/>
      <c r="AH109" s="48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</row>
    <row r="110" spans="1:57" ht="15.75" customHeight="1">
      <c r="A110" s="27"/>
      <c r="B110" s="27"/>
      <c r="C110" s="27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7"/>
      <c r="B111" s="27"/>
      <c r="C111" s="27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7"/>
      <c r="B112" s="27"/>
      <c r="C112" s="27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7"/>
      <c r="B113" s="27"/>
      <c r="C113" s="27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7"/>
      <c r="C114" s="14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7"/>
      <c r="C115" s="14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7"/>
      <c r="C116" s="14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7"/>
      <c r="C117" s="14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7"/>
      <c r="C118" s="14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7"/>
      <c r="C119" s="14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7"/>
      <c r="C120" s="14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7"/>
      <c r="C121" s="14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7"/>
      <c r="C122" s="14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7"/>
      <c r="C123" s="14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7"/>
      <c r="C124" s="14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7"/>
      <c r="C125" s="14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7"/>
      <c r="C126" s="14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7"/>
      <c r="C127" s="14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7"/>
      <c r="C128" s="14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7"/>
      <c r="C129" s="14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7"/>
      <c r="C130" s="14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7"/>
      <c r="C131" s="14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7"/>
      <c r="C132" s="14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7"/>
      <c r="C133" s="14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7"/>
      <c r="C134" s="14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7"/>
      <c r="C135" s="14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7"/>
      <c r="C136" s="14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7"/>
      <c r="C137" s="14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7"/>
      <c r="C138" s="14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7"/>
      <c r="C139" s="14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7"/>
      <c r="C140" s="14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7"/>
      <c r="C141" s="14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7"/>
      <c r="C142" s="14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7"/>
      <c r="C143" s="14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7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7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7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7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7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7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7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7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7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7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404" t="s">
        <v>328</v>
      </c>
      <c r="B2" s="383"/>
      <c r="C2" s="246"/>
      <c r="D2" s="246"/>
      <c r="E2" s="405"/>
      <c r="F2" s="383"/>
      <c r="G2" s="383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</row>
    <row r="3" spans="1:19" ht="15" customHeight="1">
      <c r="A3" s="383"/>
      <c r="B3" s="383"/>
      <c r="E3" s="396"/>
      <c r="F3" s="383"/>
      <c r="G3" s="383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</row>
    <row r="4" spans="1:19" ht="15" customHeight="1">
      <c r="A4" s="406" t="s">
        <v>329</v>
      </c>
      <c r="B4" s="383"/>
      <c r="E4" s="396"/>
      <c r="F4" s="383"/>
      <c r="G4" s="383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</row>
    <row r="5" spans="1:19" ht="15" customHeight="1">
      <c r="E5" s="396"/>
      <c r="F5" s="383"/>
      <c r="G5" s="383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</row>
    <row r="6" spans="1:19" ht="15" customHeight="1">
      <c r="E6" s="94"/>
      <c r="F6" s="94"/>
      <c r="G6" s="94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</row>
    <row r="7" spans="1:19" ht="15" customHeight="1">
      <c r="A7" s="397" t="s">
        <v>330</v>
      </c>
      <c r="B7" s="398"/>
      <c r="C7" s="398"/>
      <c r="D7" s="398"/>
      <c r="E7" s="398"/>
      <c r="F7" s="399"/>
      <c r="G7" s="94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</row>
    <row r="8" spans="1:19" ht="15" customHeight="1">
      <c r="A8" s="385" t="s">
        <v>263</v>
      </c>
      <c r="B8" s="386"/>
      <c r="C8" s="387"/>
      <c r="D8" s="388" t="str">
        <f>'Check de dieta'!E3</f>
        <v>Messi do Yuri</v>
      </c>
      <c r="E8" s="386"/>
      <c r="F8" s="386"/>
      <c r="G8" s="94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</row>
    <row r="9" spans="1:19" ht="15" customHeight="1">
      <c r="A9" s="389" t="s">
        <v>265</v>
      </c>
      <c r="B9" s="390"/>
      <c r="C9" s="391"/>
      <c r="D9" s="392">
        <f>'Check de dieta'!E4</f>
        <v>60</v>
      </c>
      <c r="E9" s="390"/>
      <c r="F9" s="390"/>
      <c r="G9" s="94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</row>
    <row r="10" spans="1:19" ht="15" customHeight="1">
      <c r="A10" s="389" t="s">
        <v>266</v>
      </c>
      <c r="B10" s="390"/>
      <c r="C10" s="391"/>
      <c r="D10" s="393" t="str">
        <f>'Check de dieta'!E5</f>
        <v>MM</v>
      </c>
      <c r="E10" s="390"/>
      <c r="F10" s="390"/>
      <c r="G10" s="94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</row>
    <row r="11" spans="1:19" ht="15" customHeight="1">
      <c r="A11" s="389" t="s">
        <v>268</v>
      </c>
      <c r="B11" s="390"/>
      <c r="C11" s="391"/>
      <c r="D11" s="392">
        <f>'Check de dieta'!E6</f>
        <v>345</v>
      </c>
      <c r="E11" s="390"/>
      <c r="F11" s="390"/>
      <c r="G11" s="94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</row>
    <row r="12" spans="1:19" ht="15" customHeight="1">
      <c r="A12" s="400" t="s">
        <v>1</v>
      </c>
      <c r="B12" s="395"/>
      <c r="C12" s="401"/>
      <c r="D12" s="394" t="str">
        <f>'Check de dieta'!E7</f>
        <v>Égua Prenhe 7 Meses</v>
      </c>
      <c r="E12" s="395"/>
      <c r="F12" s="395"/>
      <c r="G12" s="94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</row>
    <row r="13" spans="1:19" ht="15" customHeight="1">
      <c r="E13" s="94"/>
      <c r="F13" s="94"/>
      <c r="G13" s="94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</row>
    <row r="14" spans="1:19" ht="15" customHeight="1">
      <c r="E14" s="94"/>
      <c r="F14" s="94"/>
      <c r="G14" s="94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</row>
    <row r="15" spans="1:19" ht="15" customHeight="1">
      <c r="E15" s="94"/>
      <c r="F15" s="94"/>
      <c r="G15" s="94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</row>
    <row r="16" spans="1:19" ht="15" customHeight="1">
      <c r="A16" s="248" t="s">
        <v>331</v>
      </c>
      <c r="B16" s="70"/>
      <c r="C16" s="70"/>
      <c r="D16" s="70"/>
      <c r="E16" s="96"/>
      <c r="F16" s="96"/>
      <c r="G16" s="96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</row>
    <row r="17" spans="1:19" ht="15" customHeight="1">
      <c r="E17" s="94"/>
      <c r="F17" s="94"/>
      <c r="G17" s="94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</row>
    <row r="18" spans="1:19" ht="15" customHeight="1">
      <c r="A18" s="249" t="s">
        <v>274</v>
      </c>
      <c r="B18" s="250" t="s">
        <v>280</v>
      </c>
      <c r="E18" s="94"/>
      <c r="F18" s="94"/>
      <c r="G18" s="94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</row>
    <row r="19" spans="1:19" ht="15" customHeight="1">
      <c r="A19" s="251" t="str">
        <f>IFERROR('Check de dieta'!D30,"")</f>
        <v>Aveia, grãos</v>
      </c>
      <c r="B19" s="252">
        <f>'Check de dieta'!E30</f>
        <v>25</v>
      </c>
      <c r="E19" s="94"/>
      <c r="F19" s="94"/>
      <c r="G19" s="94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</row>
    <row r="20" spans="1:19" ht="15" customHeight="1">
      <c r="A20" s="253" t="str">
        <f>IFERROR('Check de dieta'!D31,"")</f>
        <v>Guabi Beet</v>
      </c>
      <c r="B20" s="254">
        <f>'Check de dieta'!E31</f>
        <v>2</v>
      </c>
      <c r="E20" s="94"/>
      <c r="F20" s="94"/>
      <c r="G20" s="94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</row>
    <row r="21" spans="1:19" ht="15" customHeight="1">
      <c r="A21" s="253" t="str">
        <f>IFERROR('Check de dieta'!D32,"")</f>
        <v>Guabi Fribra</v>
      </c>
      <c r="B21" s="254">
        <f>'Check de dieta'!E32</f>
        <v>1</v>
      </c>
      <c r="E21" s="94"/>
      <c r="F21" s="94"/>
      <c r="G21" s="94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</row>
    <row r="22" spans="1:19" ht="15" customHeight="1">
      <c r="A22" s="253" t="str">
        <f>IFERROR('Check de dieta'!D33,"")</f>
        <v>Guabi Proequi 15 Melaçada</v>
      </c>
      <c r="B22" s="254">
        <f>'Check de dieta'!E33</f>
        <v>1</v>
      </c>
      <c r="E22" s="94"/>
      <c r="F22" s="94"/>
      <c r="G22" s="94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</row>
    <row r="23" spans="1:19" ht="15" customHeight="1">
      <c r="A23" s="253" t="str">
        <f>IFERROR('Check de dieta'!D34,"")</f>
        <v>Óleo vegetal</v>
      </c>
      <c r="B23" s="254">
        <f>'Check de dieta'!E34</f>
        <v>0.3</v>
      </c>
      <c r="E23" s="94"/>
      <c r="F23" s="94"/>
      <c r="G23" s="94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</row>
    <row r="24" spans="1:19" ht="15" customHeight="1">
      <c r="A24" s="253" t="str">
        <f>IFERROR('Check de dieta'!D35,"")</f>
        <v>Connect Pro Evolution</v>
      </c>
      <c r="B24" s="254">
        <f>'Check de dieta'!E35</f>
        <v>0.2</v>
      </c>
      <c r="E24" s="94"/>
      <c r="F24" s="94"/>
      <c r="G24" s="94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</row>
    <row r="25" spans="1:19" ht="15" customHeight="1">
      <c r="A25" s="253">
        <f>IFERROR('Check de dieta'!D36,"")</f>
        <v>0</v>
      </c>
      <c r="B25" s="254">
        <f>'Check de dieta'!E36</f>
        <v>0</v>
      </c>
      <c r="E25" s="94"/>
      <c r="F25" s="94"/>
      <c r="G25" s="94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</row>
    <row r="26" spans="1:19" ht="15" customHeight="1">
      <c r="A26" s="253">
        <f>IFERROR('Check de dieta'!D37,"")</f>
        <v>0</v>
      </c>
      <c r="B26" s="254">
        <f>'Check de dieta'!E37</f>
        <v>0</v>
      </c>
      <c r="E26" s="94"/>
      <c r="F26" s="94"/>
      <c r="G26" s="94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</row>
    <row r="27" spans="1:19" ht="15" customHeight="1">
      <c r="A27" s="253">
        <f>IFERROR('Check de dieta'!D38,"")</f>
        <v>0</v>
      </c>
      <c r="B27" s="254">
        <f>'Check de dieta'!E38</f>
        <v>0</v>
      </c>
      <c r="E27" s="94"/>
      <c r="F27" s="94"/>
      <c r="G27" s="94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</row>
    <row r="28" spans="1:19" ht="15" customHeight="1">
      <c r="A28" s="253">
        <f>IFERROR('Check de dieta'!D39,"")</f>
        <v>0</v>
      </c>
      <c r="B28" s="254">
        <f>'Check de dieta'!E39</f>
        <v>0</v>
      </c>
      <c r="E28" s="94"/>
      <c r="F28" s="94"/>
      <c r="G28" s="94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</row>
    <row r="29" spans="1:19" ht="15" customHeight="1">
      <c r="A29" s="255">
        <f>IFERROR('Check de dieta'!D40,"")</f>
        <v>0</v>
      </c>
      <c r="B29" s="256">
        <f>'Check de dieta'!E40</f>
        <v>0</v>
      </c>
      <c r="E29" s="94"/>
      <c r="F29" s="94"/>
      <c r="G29" s="94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</row>
    <row r="30" spans="1:19" ht="15" customHeight="1">
      <c r="A30" s="257">
        <f>IFERROR('Check de dieta'!D41,"")</f>
        <v>0</v>
      </c>
      <c r="B30" s="258">
        <f>'Check de dieta'!E41</f>
        <v>0</v>
      </c>
      <c r="E30" s="94"/>
      <c r="F30" s="94"/>
      <c r="G30" s="94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</row>
    <row r="31" spans="1:19" ht="15" customHeight="1">
      <c r="A31" s="402" t="s">
        <v>284</v>
      </c>
      <c r="B31" s="403"/>
      <c r="E31" s="94"/>
      <c r="F31" s="94"/>
      <c r="G31" s="94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</row>
    <row r="32" spans="1:19" ht="15" customHeight="1">
      <c r="E32" s="94"/>
      <c r="F32" s="94"/>
      <c r="G32" s="94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</row>
    <row r="33" spans="1:26" ht="15" customHeight="1">
      <c r="A33" s="248" t="s">
        <v>332</v>
      </c>
      <c r="B33" s="248"/>
      <c r="C33" s="248"/>
      <c r="D33" s="248"/>
      <c r="E33" s="248"/>
      <c r="F33" s="248"/>
      <c r="G33" s="248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ht="15.75" customHeight="1">
      <c r="A34" s="15"/>
      <c r="B34" s="15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27"/>
      <c r="W34" s="27"/>
      <c r="X34" s="27"/>
      <c r="Y34" s="27"/>
      <c r="Z34" s="27"/>
    </row>
    <row r="35" spans="1:26" ht="15.75" customHeight="1">
      <c r="A35" s="259" t="s">
        <v>289</v>
      </c>
      <c r="B35" s="259" t="s">
        <v>290</v>
      </c>
      <c r="C35" s="260" t="s">
        <v>333</v>
      </c>
      <c r="D35" s="260" t="s">
        <v>334</v>
      </c>
      <c r="E35" s="15"/>
      <c r="F35" s="27"/>
      <c r="G35" s="27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27"/>
      <c r="W35" s="27"/>
      <c r="X35" s="27"/>
      <c r="Y35" s="27"/>
      <c r="Z35" s="27"/>
    </row>
    <row r="36" spans="1:26" ht="15.75" customHeight="1">
      <c r="A36" s="261" t="s">
        <v>70</v>
      </c>
      <c r="B36" s="262">
        <f>'Check de dieta'!G42</f>
        <v>26.718000000000004</v>
      </c>
      <c r="C36" s="262">
        <f>'Check de dieta'!G43</f>
        <v>8.625</v>
      </c>
      <c r="D36" s="262">
        <f>'Check de dieta'!G43*1.1</f>
        <v>9.4875000000000007</v>
      </c>
      <c r="E36" s="18"/>
      <c r="F36" s="27"/>
      <c r="G36" s="27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27"/>
      <c r="W36" s="27"/>
      <c r="X36" s="27"/>
      <c r="Y36" s="27"/>
      <c r="Z36" s="27"/>
    </row>
    <row r="37" spans="1:26" ht="15.75" customHeight="1">
      <c r="A37" s="26" t="s">
        <v>10</v>
      </c>
      <c r="B37" s="25">
        <f>'Check de dieta'!O42</f>
        <v>7102</v>
      </c>
      <c r="C37" s="25">
        <f>'Check de dieta'!O43</f>
        <v>0</v>
      </c>
      <c r="D37" s="25">
        <f>'Check de dieta'!N43*0.9</f>
        <v>129.78</v>
      </c>
      <c r="E37" s="48"/>
      <c r="F37" s="27"/>
      <c r="G37" s="27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27"/>
      <c r="W37" s="27"/>
      <c r="X37" s="27"/>
      <c r="Y37" s="27"/>
      <c r="Z37" s="27"/>
    </row>
    <row r="38" spans="1:26" ht="15.75" customHeight="1">
      <c r="A38" s="263" t="s">
        <v>11</v>
      </c>
      <c r="B38" s="264">
        <f>'Check de dieta'!P42</f>
        <v>3511.2</v>
      </c>
      <c r="C38" s="264">
        <f>'Check de dieta'!P43</f>
        <v>0</v>
      </c>
      <c r="D38" s="264">
        <f>'Check de dieta'!P43*0.9</f>
        <v>0</v>
      </c>
      <c r="E38" s="48"/>
      <c r="F38" s="27"/>
      <c r="G38" s="27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27"/>
      <c r="W38" s="27"/>
      <c r="X38" s="27"/>
      <c r="Y38" s="27"/>
      <c r="Z38" s="27"/>
    </row>
    <row r="39" spans="1:26" ht="15.75" customHeight="1">
      <c r="A39" s="259" t="s">
        <v>324</v>
      </c>
      <c r="B39" s="265" t="s">
        <v>290</v>
      </c>
      <c r="C39" s="260" t="s">
        <v>333</v>
      </c>
      <c r="D39" s="260" t="s">
        <v>334</v>
      </c>
      <c r="E39" s="48"/>
      <c r="F39" s="27"/>
      <c r="G39" s="27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27"/>
      <c r="W39" s="27"/>
      <c r="X39" s="27"/>
      <c r="Y39" s="27"/>
      <c r="Z39" s="27"/>
    </row>
    <row r="40" spans="1:26" ht="15.75" customHeight="1">
      <c r="A40" s="266" t="s">
        <v>14</v>
      </c>
      <c r="B40" s="262">
        <f>'Check de dieta'!S42</f>
        <v>352.86999999999995</v>
      </c>
      <c r="C40" s="262">
        <f>'Check de dieta'!S43</f>
        <v>11.2</v>
      </c>
      <c r="D40" s="262"/>
      <c r="E40" s="48"/>
      <c r="F40" s="27"/>
      <c r="G40" s="27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27"/>
      <c r="W40" s="27"/>
      <c r="X40" s="27"/>
      <c r="Y40" s="27"/>
      <c r="Z40" s="27"/>
    </row>
    <row r="41" spans="1:26" ht="15.75" customHeight="1">
      <c r="A41" s="26" t="s">
        <v>15</v>
      </c>
      <c r="B41" s="25">
        <f>'Check de dieta'!T42</f>
        <v>227.86420000000001</v>
      </c>
      <c r="C41" s="25">
        <f>'Check de dieta'!T43</f>
        <v>8</v>
      </c>
      <c r="D41" s="25"/>
      <c r="E41" s="48"/>
      <c r="F41" s="27"/>
      <c r="G41" s="27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27"/>
      <c r="W41" s="27"/>
      <c r="X41" s="27"/>
      <c r="Y41" s="27"/>
      <c r="Z41" s="27"/>
    </row>
    <row r="42" spans="1:26" ht="15.75" customHeight="1">
      <c r="A42" s="26" t="s">
        <v>16</v>
      </c>
      <c r="B42" s="25">
        <f>'Check de dieta'!U42</f>
        <v>38.831400000000009</v>
      </c>
      <c r="C42" s="25">
        <f>'Check de dieta'!U43</f>
        <v>0</v>
      </c>
      <c r="D42" s="25"/>
      <c r="E42" s="48"/>
      <c r="F42" s="27"/>
      <c r="G42" s="27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27"/>
      <c r="W42" s="27"/>
      <c r="X42" s="27"/>
      <c r="Y42" s="27"/>
      <c r="Z42" s="27"/>
    </row>
    <row r="43" spans="1:26" ht="15.75" customHeight="1">
      <c r="A43" s="26" t="s">
        <v>17</v>
      </c>
      <c r="B43" s="25">
        <f>'Check de dieta'!V42</f>
        <v>117</v>
      </c>
      <c r="C43" s="25">
        <f>'Check de dieta'!V43</f>
        <v>0</v>
      </c>
      <c r="D43" s="25"/>
      <c r="E43" s="48"/>
      <c r="F43" s="27"/>
      <c r="G43" s="27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27"/>
      <c r="W43" s="27"/>
      <c r="X43" s="27"/>
      <c r="Y43" s="27"/>
      <c r="Z43" s="27"/>
    </row>
    <row r="44" spans="1:26" ht="15.75" customHeight="1">
      <c r="A44" s="26" t="s">
        <v>18</v>
      </c>
      <c r="B44" s="25">
        <f>'Check de dieta'!W42</f>
        <v>8.8092000000000006</v>
      </c>
      <c r="C44" s="25">
        <f>'Check de dieta'!W43</f>
        <v>0</v>
      </c>
      <c r="D44" s="25"/>
      <c r="E44" s="48"/>
      <c r="F44" s="27"/>
      <c r="G44" s="27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27"/>
      <c r="W44" s="27"/>
      <c r="X44" s="27"/>
      <c r="Y44" s="27"/>
      <c r="Z44" s="27"/>
    </row>
    <row r="45" spans="1:26" ht="15.75" customHeight="1">
      <c r="A45" s="26" t="s">
        <v>19</v>
      </c>
      <c r="B45" s="25">
        <f>'Check de dieta'!X42</f>
        <v>0</v>
      </c>
      <c r="C45" s="25">
        <f>'Check de dieta'!X43</f>
        <v>0</v>
      </c>
      <c r="D45" s="25"/>
      <c r="E45" s="48"/>
      <c r="F45" s="27"/>
      <c r="G45" s="27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27"/>
      <c r="W45" s="27"/>
      <c r="X45" s="27"/>
      <c r="Y45" s="27"/>
      <c r="Z45" s="27"/>
    </row>
    <row r="46" spans="1:26" ht="15.75" customHeight="1">
      <c r="A46" s="263" t="s">
        <v>20</v>
      </c>
      <c r="B46" s="264">
        <f>'Check de dieta'!Y42</f>
        <v>46.729799999999997</v>
      </c>
      <c r="C46" s="264">
        <f>'Check de dieta'!Y43</f>
        <v>0</v>
      </c>
      <c r="D46" s="264"/>
      <c r="E46" s="48"/>
      <c r="F46" s="27"/>
      <c r="G46" s="27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27"/>
      <c r="W46" s="27"/>
      <c r="X46" s="27"/>
      <c r="Y46" s="27"/>
      <c r="Z46" s="27"/>
    </row>
    <row r="47" spans="1:26" ht="15.75" customHeight="1">
      <c r="A47" s="15"/>
      <c r="B47" s="48"/>
      <c r="C47" s="48"/>
      <c r="D47" s="48"/>
      <c r="E47" s="48"/>
      <c r="F47" s="27"/>
      <c r="G47" s="27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27"/>
      <c r="W47" s="27"/>
      <c r="X47" s="27"/>
      <c r="Y47" s="27"/>
      <c r="Z47" s="27"/>
    </row>
    <row r="48" spans="1:26" ht="15.75" customHeight="1">
      <c r="A48" s="15"/>
      <c r="B48" s="48"/>
      <c r="C48" s="48"/>
      <c r="D48" s="48"/>
      <c r="E48" s="48"/>
      <c r="F48" s="27"/>
      <c r="G48" s="27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27"/>
      <c r="W48" s="27"/>
      <c r="X48" s="27"/>
      <c r="Y48" s="27"/>
      <c r="Z48" s="27"/>
    </row>
    <row r="49" spans="1:26" ht="15.75" customHeight="1">
      <c r="A49" s="27"/>
      <c r="B49" s="27"/>
      <c r="C49" s="48"/>
      <c r="D49" s="48"/>
      <c r="E49" s="48"/>
      <c r="F49" s="27"/>
      <c r="G49" s="27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27"/>
      <c r="W49" s="27"/>
      <c r="X49" s="27"/>
      <c r="Y49" s="27"/>
      <c r="Z49" s="27"/>
    </row>
    <row r="50" spans="1:26" ht="15.75" customHeight="1">
      <c r="A50" s="267" t="s">
        <v>300</v>
      </c>
      <c r="B50" s="265" t="s">
        <v>290</v>
      </c>
      <c r="C50" s="260" t="s">
        <v>335</v>
      </c>
      <c r="D50" s="260" t="s">
        <v>334</v>
      </c>
      <c r="E50" s="248"/>
      <c r="F50" s="248"/>
      <c r="G50" s="2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27"/>
      <c r="W50" s="27"/>
      <c r="X50" s="27"/>
      <c r="Y50" s="27"/>
      <c r="Z50" s="27"/>
    </row>
    <row r="51" spans="1:26" ht="15.75" customHeight="1">
      <c r="A51" s="268" t="s">
        <v>302</v>
      </c>
      <c r="B51" s="262">
        <f>'Check de dieta'!H42</f>
        <v>90.022000000000006</v>
      </c>
      <c r="C51" s="262">
        <f>'Check de dieta'!H43</f>
        <v>0</v>
      </c>
      <c r="D51" s="262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27"/>
      <c r="W51" s="27"/>
      <c r="X51" s="27"/>
      <c r="Y51" s="27"/>
      <c r="Z51" s="27"/>
    </row>
    <row r="52" spans="1:26" ht="15.75" customHeight="1">
      <c r="A52" s="218" t="s">
        <v>282</v>
      </c>
      <c r="B52" s="25">
        <f>'Check de dieta'!N42</f>
        <v>1706.9</v>
      </c>
      <c r="C52" s="25">
        <f>'Check de dieta'!N43</f>
        <v>144.19999999999999</v>
      </c>
      <c r="D52" s="25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27"/>
      <c r="W52" s="27"/>
      <c r="X52" s="27"/>
      <c r="Y52" s="27"/>
      <c r="Z52" s="27"/>
    </row>
    <row r="53" spans="1:26" ht="15.75" customHeight="1">
      <c r="A53" s="220" t="s">
        <v>336</v>
      </c>
      <c r="B53" s="264">
        <f>'Check de dieta'!Q42</f>
        <v>747.5</v>
      </c>
      <c r="C53" s="264">
        <f>'Check de dieta'!Q43</f>
        <v>206.00000000000003</v>
      </c>
      <c r="D53" s="264"/>
    </row>
    <row r="54" spans="1:26" ht="15.75" customHeight="1">
      <c r="A54" s="269" t="s">
        <v>326</v>
      </c>
      <c r="B54" s="270" t="s">
        <v>290</v>
      </c>
      <c r="C54" s="260" t="s">
        <v>335</v>
      </c>
      <c r="D54" s="260" t="s">
        <v>334</v>
      </c>
      <c r="E54" s="70"/>
      <c r="F54" s="70"/>
      <c r="G54" s="70"/>
    </row>
    <row r="55" spans="1:26" ht="15.75" customHeight="1">
      <c r="A55" s="268" t="s">
        <v>21</v>
      </c>
      <c r="B55" s="262">
        <f>'Check de dieta'!Z42</f>
        <v>1.8504</v>
      </c>
      <c r="C55" s="262">
        <f>'Check de dieta'!Z43</f>
        <v>0</v>
      </c>
      <c r="D55" s="262"/>
    </row>
    <row r="56" spans="1:26" ht="15.75" customHeight="1">
      <c r="A56" s="218" t="s">
        <v>22</v>
      </c>
      <c r="B56" s="25">
        <f>'Check de dieta'!AA42</f>
        <v>278.42867999999999</v>
      </c>
      <c r="C56" s="25">
        <f>'Check de dieta'!AA43</f>
        <v>0</v>
      </c>
      <c r="D56" s="25"/>
    </row>
    <row r="57" spans="1:26" ht="15.75" customHeight="1">
      <c r="A57" s="218" t="s">
        <v>23</v>
      </c>
      <c r="B57" s="25">
        <f>'Check de dieta'!AB42</f>
        <v>3.2889599999999999</v>
      </c>
      <c r="C57" s="25">
        <f>'Check de dieta'!AB43</f>
        <v>0</v>
      </c>
      <c r="D57" s="25"/>
    </row>
    <row r="58" spans="1:26" ht="15.75" customHeight="1">
      <c r="A58" s="218" t="s">
        <v>24</v>
      </c>
      <c r="B58" s="25">
        <f>'Check de dieta'!AC42</f>
        <v>2824.8420000000001</v>
      </c>
      <c r="C58" s="25">
        <f>'Check de dieta'!AC43</f>
        <v>0</v>
      </c>
      <c r="D58" s="25"/>
    </row>
    <row r="59" spans="1:26" ht="15.75" customHeight="1">
      <c r="A59" s="218" t="s">
        <v>25</v>
      </c>
      <c r="B59" s="25">
        <f>'Check de dieta'!AD42</f>
        <v>1278.8400000000001</v>
      </c>
      <c r="C59" s="25">
        <f>'Check de dieta'!AD43</f>
        <v>0</v>
      </c>
      <c r="D59" s="25"/>
    </row>
    <row r="60" spans="1:26" ht="15.75" customHeight="1">
      <c r="A60" s="218" t="s">
        <v>26</v>
      </c>
      <c r="B60" s="25">
        <f>'Check de dieta'!AE42</f>
        <v>11.624399999999998</v>
      </c>
      <c r="C60" s="25">
        <f>'Check de dieta'!AE43</f>
        <v>0</v>
      </c>
      <c r="D60" s="25"/>
    </row>
    <row r="61" spans="1:26" ht="15.75" customHeight="1">
      <c r="A61" s="220" t="s">
        <v>27</v>
      </c>
      <c r="B61" s="264">
        <f>'Check de dieta'!AF42</f>
        <v>1299.72</v>
      </c>
      <c r="C61" s="264">
        <f>'Check de dieta'!AF43</f>
        <v>0</v>
      </c>
      <c r="D61" s="264"/>
    </row>
    <row r="62" spans="1:26" ht="15.75" customHeight="1">
      <c r="A62" s="269" t="s">
        <v>311</v>
      </c>
      <c r="B62" s="270" t="s">
        <v>290</v>
      </c>
      <c r="C62" s="260" t="s">
        <v>335</v>
      </c>
      <c r="D62" s="260" t="s">
        <v>334</v>
      </c>
      <c r="E62" s="70"/>
      <c r="F62" s="70"/>
      <c r="G62" s="70"/>
    </row>
    <row r="63" spans="1:26" ht="15.75" customHeight="1">
      <c r="A63" s="216" t="s">
        <v>4</v>
      </c>
      <c r="B63" s="262">
        <f>'Check de dieta'!I42</f>
        <v>3491.3999999999992</v>
      </c>
      <c r="C63" s="262">
        <f>'Check de dieta'!I43</f>
        <v>291</v>
      </c>
      <c r="D63" s="271"/>
    </row>
    <row r="64" spans="1:26" ht="15.75" customHeight="1">
      <c r="A64" s="218" t="s">
        <v>5</v>
      </c>
      <c r="B64" s="25">
        <f>'Check de dieta'!J42</f>
        <v>266.56920000000002</v>
      </c>
      <c r="C64" s="25">
        <f>'Check de dieta'!J43</f>
        <v>12.5</v>
      </c>
      <c r="D64" s="231"/>
    </row>
    <row r="65" spans="1:7" ht="15.75" customHeight="1">
      <c r="A65" s="218" t="s">
        <v>6</v>
      </c>
      <c r="B65" s="25">
        <f>'Check de dieta'!K42</f>
        <v>12.5334</v>
      </c>
      <c r="C65" s="25">
        <f>'Check de dieta'!K43</f>
        <v>7.625</v>
      </c>
      <c r="D65" s="231"/>
    </row>
    <row r="66" spans="1:7" ht="15.75" customHeight="1">
      <c r="A66" s="218" t="s">
        <v>7</v>
      </c>
      <c r="B66" s="25">
        <f>'Check de dieta'!L42</f>
        <v>42.421799999999998</v>
      </c>
      <c r="C66" s="25">
        <f>'Check de dieta'!L43</f>
        <v>3.375</v>
      </c>
      <c r="D66" s="231"/>
    </row>
    <row r="67" spans="1:7" ht="15.75" customHeight="1">
      <c r="A67" s="220" t="s">
        <v>8</v>
      </c>
      <c r="B67" s="264">
        <f>'Check de dieta'!M42</f>
        <v>4.1777999999999995</v>
      </c>
      <c r="C67" s="264">
        <f>'Check de dieta'!M43</f>
        <v>2.5</v>
      </c>
      <c r="D67" s="272"/>
    </row>
    <row r="68" spans="1:7" ht="15.75" customHeight="1">
      <c r="A68" s="48"/>
      <c r="B68" s="48"/>
      <c r="C68" s="48"/>
      <c r="D68" s="48"/>
    </row>
    <row r="69" spans="1:7" ht="15.75" customHeight="1">
      <c r="A69" s="269" t="s">
        <v>327</v>
      </c>
      <c r="B69" s="270" t="s">
        <v>290</v>
      </c>
      <c r="C69" s="260" t="s">
        <v>335</v>
      </c>
      <c r="D69" s="260" t="s">
        <v>334</v>
      </c>
      <c r="E69" s="70"/>
      <c r="F69" s="70"/>
      <c r="G69" s="70"/>
    </row>
    <row r="70" spans="1:7" ht="15.75" customHeight="1">
      <c r="A70" s="216" t="s">
        <v>28</v>
      </c>
      <c r="B70" s="262">
        <f>'Check de dieta'!AG42</f>
        <v>1507.3740000000003</v>
      </c>
      <c r="C70" s="23">
        <f>'Check de dieta'!AG43</f>
        <v>0</v>
      </c>
      <c r="D70" s="271"/>
    </row>
    <row r="71" spans="1:7" ht="15.75" customHeight="1">
      <c r="A71" s="218" t="s">
        <v>29</v>
      </c>
      <c r="B71" s="25">
        <f>'Check de dieta'!AH42</f>
        <v>6160.9679999999998</v>
      </c>
      <c r="C71" s="24">
        <f>'Check de dieta'!AH43</f>
        <v>0</v>
      </c>
      <c r="D71" s="231"/>
    </row>
    <row r="72" spans="1:7" ht="15.75" customHeight="1">
      <c r="A72" s="218" t="s">
        <v>30</v>
      </c>
      <c r="B72" s="25">
        <f>'Check de dieta'!AI42</f>
        <v>696.66600000000005</v>
      </c>
      <c r="C72" s="24">
        <f>'Check de dieta'!AI43</f>
        <v>0</v>
      </c>
      <c r="D72" s="231"/>
    </row>
    <row r="73" spans="1:7" ht="15.75" customHeight="1">
      <c r="A73" s="218" t="s">
        <v>31</v>
      </c>
      <c r="B73" s="25">
        <f>'Check de dieta'!AJ42</f>
        <v>2.1749999999999998</v>
      </c>
      <c r="C73" s="24">
        <f>'Check de dieta'!AJ43</f>
        <v>0</v>
      </c>
      <c r="D73" s="231"/>
    </row>
    <row r="74" spans="1:7" ht="15.75" customHeight="1">
      <c r="A74" s="220" t="s">
        <v>32</v>
      </c>
      <c r="B74" s="264">
        <f>'Check de dieta'!AK42</f>
        <v>1.0874999999999999</v>
      </c>
      <c r="C74" s="273">
        <f>'Check de dieta'!AK43</f>
        <v>0</v>
      </c>
      <c r="D74" s="272"/>
    </row>
    <row r="75" spans="1:7" ht="15.75" customHeight="1">
      <c r="A75" s="18"/>
      <c r="B75" s="48"/>
      <c r="C75" s="48"/>
      <c r="D75" s="18"/>
    </row>
    <row r="76" spans="1:7" ht="15.75" customHeight="1">
      <c r="A76" s="248" t="s">
        <v>337</v>
      </c>
      <c r="B76" s="248"/>
      <c r="C76" s="248"/>
      <c r="D76" s="248"/>
      <c r="E76" s="70"/>
      <c r="F76" s="70"/>
      <c r="G76" s="70"/>
    </row>
    <row r="77" spans="1:7" ht="15.75" customHeight="1">
      <c r="A77" s="27"/>
      <c r="B77" s="27"/>
      <c r="C77" s="48"/>
      <c r="D77" s="48"/>
    </row>
    <row r="78" spans="1:7" ht="15.75" customHeight="1">
      <c r="A78" s="382"/>
      <c r="B78" s="383"/>
      <c r="C78" s="383"/>
      <c r="D78" s="383"/>
      <c r="E78" s="383"/>
      <c r="F78" s="383"/>
      <c r="G78" s="383"/>
    </row>
    <row r="79" spans="1:7" ht="15.75" customHeight="1">
      <c r="A79" s="383"/>
      <c r="B79" s="383"/>
      <c r="C79" s="383"/>
      <c r="D79" s="383"/>
      <c r="E79" s="383"/>
      <c r="F79" s="383"/>
      <c r="G79" s="383"/>
    </row>
    <row r="80" spans="1:7" ht="15.75" customHeight="1">
      <c r="A80" s="383"/>
      <c r="B80" s="383"/>
      <c r="C80" s="383"/>
      <c r="D80" s="383"/>
      <c r="E80" s="383"/>
      <c r="F80" s="383"/>
      <c r="G80" s="383"/>
    </row>
    <row r="81" spans="1:7" ht="15.75" customHeight="1">
      <c r="A81" s="383"/>
      <c r="B81" s="383"/>
      <c r="C81" s="383"/>
      <c r="D81" s="383"/>
      <c r="E81" s="383"/>
      <c r="F81" s="383"/>
      <c r="G81" s="383"/>
    </row>
    <row r="82" spans="1:7" ht="15.75" customHeight="1">
      <c r="A82" s="383"/>
      <c r="B82" s="383"/>
      <c r="C82" s="383"/>
      <c r="D82" s="383"/>
      <c r="E82" s="383"/>
      <c r="F82" s="383"/>
      <c r="G82" s="383"/>
    </row>
    <row r="83" spans="1:7" ht="15.75" customHeight="1">
      <c r="A83" s="383"/>
      <c r="B83" s="383"/>
      <c r="C83" s="383"/>
      <c r="D83" s="383"/>
      <c r="E83" s="383"/>
      <c r="F83" s="383"/>
      <c r="G83" s="383"/>
    </row>
    <row r="84" spans="1:7" ht="15.75" customHeight="1">
      <c r="A84" s="383"/>
      <c r="B84" s="383"/>
      <c r="C84" s="383"/>
      <c r="D84" s="383"/>
      <c r="E84" s="383"/>
      <c r="F84" s="383"/>
      <c r="G84" s="383"/>
    </row>
    <row r="85" spans="1:7" ht="15.75" customHeight="1">
      <c r="A85" s="383"/>
      <c r="B85" s="383"/>
      <c r="C85" s="383"/>
      <c r="D85" s="383"/>
      <c r="E85" s="383"/>
      <c r="F85" s="383"/>
      <c r="G85" s="383"/>
    </row>
    <row r="86" spans="1:7" ht="15.75" customHeight="1">
      <c r="A86" s="383"/>
      <c r="B86" s="383"/>
      <c r="C86" s="383"/>
      <c r="D86" s="383"/>
      <c r="E86" s="383"/>
      <c r="F86" s="383"/>
      <c r="G86" s="383"/>
    </row>
    <row r="87" spans="1:7" ht="15.75" customHeight="1">
      <c r="A87" s="383"/>
      <c r="B87" s="383"/>
      <c r="C87" s="383"/>
      <c r="D87" s="383"/>
      <c r="E87" s="383"/>
      <c r="F87" s="383"/>
      <c r="G87" s="383"/>
    </row>
    <row r="88" spans="1:7" ht="15.75" customHeight="1">
      <c r="A88" s="383"/>
      <c r="B88" s="383"/>
      <c r="C88" s="383"/>
      <c r="D88" s="383"/>
      <c r="E88" s="383"/>
      <c r="F88" s="383"/>
      <c r="G88" s="383"/>
    </row>
    <row r="89" spans="1:7" ht="15.75" customHeight="1">
      <c r="A89" s="383"/>
      <c r="B89" s="383"/>
      <c r="C89" s="383"/>
      <c r="D89" s="383"/>
      <c r="E89" s="383"/>
      <c r="F89" s="383"/>
      <c r="G89" s="383"/>
    </row>
    <row r="90" spans="1:7" ht="15.75" customHeight="1">
      <c r="A90" s="383"/>
      <c r="B90" s="383"/>
      <c r="C90" s="383"/>
      <c r="D90" s="383"/>
      <c r="E90" s="383"/>
      <c r="F90" s="383"/>
      <c r="G90" s="383"/>
    </row>
    <row r="91" spans="1:7" ht="15.75" customHeight="1">
      <c r="A91" s="383"/>
      <c r="B91" s="383"/>
      <c r="C91" s="383"/>
      <c r="D91" s="383"/>
      <c r="E91" s="383"/>
      <c r="F91" s="383"/>
      <c r="G91" s="383"/>
    </row>
    <row r="92" spans="1:7" ht="15.75" customHeight="1">
      <c r="A92" s="383"/>
      <c r="B92" s="383"/>
      <c r="C92" s="383"/>
      <c r="D92" s="383"/>
      <c r="E92" s="383"/>
      <c r="F92" s="383"/>
      <c r="G92" s="383"/>
    </row>
    <row r="93" spans="1:7" ht="15.75" customHeight="1">
      <c r="A93" s="383"/>
      <c r="B93" s="383"/>
      <c r="C93" s="383"/>
      <c r="D93" s="383"/>
      <c r="E93" s="383"/>
      <c r="F93" s="383"/>
      <c r="G93" s="383"/>
    </row>
    <row r="94" spans="1:7" ht="15.75" customHeight="1"/>
    <row r="95" spans="1:7" ht="15.75" customHeight="1">
      <c r="A95" s="384" t="s">
        <v>338</v>
      </c>
      <c r="B95" s="383"/>
      <c r="C95" s="383"/>
      <c r="D95" s="383"/>
      <c r="E95" s="383"/>
      <c r="F95" s="383"/>
      <c r="G95" s="383"/>
    </row>
    <row r="96" spans="1:7" ht="15.75" customHeight="1">
      <c r="A96" s="384" t="s">
        <v>339</v>
      </c>
      <c r="B96" s="383"/>
      <c r="C96" s="383"/>
      <c r="D96" s="383"/>
      <c r="E96" s="383"/>
      <c r="F96" s="383"/>
      <c r="G96" s="383"/>
    </row>
    <row r="97" spans="1:7" ht="15.75" customHeight="1">
      <c r="A97" s="384" t="s">
        <v>340</v>
      </c>
      <c r="B97" s="383"/>
      <c r="C97" s="383"/>
      <c r="D97" s="383"/>
      <c r="E97" s="383"/>
      <c r="F97" s="383"/>
      <c r="G97" s="383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2:B3"/>
    <mergeCell ref="E2:G2"/>
    <mergeCell ref="E3:G3"/>
    <mergeCell ref="A4:B4"/>
    <mergeCell ref="E4:G4"/>
    <mergeCell ref="E5:G5"/>
    <mergeCell ref="A7:F7"/>
    <mergeCell ref="A11:C11"/>
    <mergeCell ref="A12:C12"/>
    <mergeCell ref="A31:B31"/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0"/>
      <c r="F3" s="70"/>
      <c r="G3" s="70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4" t="s">
        <v>341</v>
      </c>
      <c r="F4" s="275"/>
      <c r="G4" s="276"/>
      <c r="H4" s="14"/>
      <c r="I4" s="109" t="s">
        <v>342</v>
      </c>
      <c r="J4" s="111"/>
      <c r="K4" s="187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7" t="s">
        <v>343</v>
      </c>
      <c r="F5" s="278" t="s">
        <v>344</v>
      </c>
      <c r="G5" s="279"/>
      <c r="H5" s="14"/>
      <c r="I5" s="188" t="s">
        <v>289</v>
      </c>
      <c r="J5" s="188" t="s">
        <v>290</v>
      </c>
      <c r="K5" s="189" t="s">
        <v>291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7" t="s">
        <v>345</v>
      </c>
      <c r="F6" s="280">
        <f ca="1">TODAY()</f>
        <v>45922</v>
      </c>
      <c r="G6" s="278"/>
      <c r="H6" s="14"/>
      <c r="I6" s="191" t="s">
        <v>346</v>
      </c>
      <c r="J6" s="192">
        <f>'Check de dieta'!E49</f>
        <v>18.093000000000004</v>
      </c>
      <c r="K6" s="193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1" t="s">
        <v>347</v>
      </c>
      <c r="F7" s="282" t="s">
        <v>348</v>
      </c>
      <c r="G7" s="282"/>
      <c r="H7" s="14"/>
      <c r="I7" s="199" t="s">
        <v>10</v>
      </c>
      <c r="J7" s="192">
        <f>'Check de dieta'!E50</f>
        <v>7102</v>
      </c>
      <c r="K7" s="193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6" t="s">
        <v>11</v>
      </c>
      <c r="J8" s="192">
        <f>'Check de dieta'!E51</f>
        <v>3511.2</v>
      </c>
      <c r="K8" s="193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09" t="s">
        <v>349</v>
      </c>
      <c r="F9" s="111"/>
      <c r="G9" s="187"/>
      <c r="H9" s="14"/>
      <c r="I9" s="210"/>
      <c r="J9" s="210"/>
      <c r="K9" s="211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88" t="s">
        <v>350</v>
      </c>
      <c r="F10" s="188" t="s">
        <v>351</v>
      </c>
      <c r="G10" s="189" t="s">
        <v>352</v>
      </c>
      <c r="H10" s="136"/>
      <c r="I10" s="283" t="s">
        <v>300</v>
      </c>
      <c r="J10" s="232" t="s">
        <v>290</v>
      </c>
      <c r="K10" s="189" t="s">
        <v>291</v>
      </c>
      <c r="L10" s="136"/>
      <c r="M10" s="136"/>
      <c r="N10" s="136"/>
      <c r="O10" s="136"/>
      <c r="P10" s="136"/>
      <c r="Q10" s="136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4" t="str">
        <f>'Check de dieta'!D30</f>
        <v>Aveia, grãos</v>
      </c>
      <c r="F11" s="192">
        <f>'Check de dieta'!G30</f>
        <v>22.5</v>
      </c>
      <c r="G11" s="192">
        <f>'Check de dieta'!E30</f>
        <v>25</v>
      </c>
      <c r="H11" s="108"/>
      <c r="I11" s="244" t="s">
        <v>302</v>
      </c>
      <c r="J11" s="192">
        <f>'Check de dieta'!E54</f>
        <v>90.022000000000006</v>
      </c>
      <c r="K11" s="193" t="str">
        <f>'Check de dieta'!F54</f>
        <v/>
      </c>
      <c r="L11" s="14"/>
      <c r="M11" s="109" t="s">
        <v>353</v>
      </c>
      <c r="N11" s="112"/>
      <c r="O11" s="285"/>
      <c r="P11" s="70"/>
      <c r="Q11" s="70"/>
      <c r="R11" s="70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4" t="str">
        <f>'Check de dieta'!D31</f>
        <v>Guabi Beet</v>
      </c>
      <c r="F12" s="192">
        <f>'Check de dieta'!G31</f>
        <v>1.96</v>
      </c>
      <c r="G12" s="192">
        <f>'Check de dieta'!E31</f>
        <v>2</v>
      </c>
      <c r="H12" s="108"/>
      <c r="I12" s="230" t="s">
        <v>9</v>
      </c>
      <c r="J12" s="192">
        <f>'Check de dieta'!E55</f>
        <v>1562.7</v>
      </c>
      <c r="K12" s="193">
        <f>'Check de dieta'!F55</f>
        <v>10.837031900138697</v>
      </c>
      <c r="L12" s="14"/>
      <c r="M12" s="286" t="s">
        <v>293</v>
      </c>
      <c r="N12" s="287"/>
      <c r="O12" s="287"/>
      <c r="P12" s="287"/>
      <c r="Q12" s="286"/>
      <c r="R12" s="288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4" t="s">
        <v>354</v>
      </c>
      <c r="F13" s="192">
        <f>'Check de dieta'!G32</f>
        <v>0.87</v>
      </c>
      <c r="G13" s="192">
        <f>'Check de dieta'!E32</f>
        <v>1</v>
      </c>
      <c r="H13" s="136"/>
      <c r="I13" s="245" t="s">
        <v>306</v>
      </c>
      <c r="J13" s="289">
        <f>'Check de dieta'!E56</f>
        <v>3.6286407766990285</v>
      </c>
      <c r="K13" s="290"/>
      <c r="L13" s="14"/>
      <c r="M13" s="202" t="str">
        <f>'Check de dieta'!I50</f>
        <v>Proteina Bruta : Energia Digestível</v>
      </c>
      <c r="N13" s="291"/>
      <c r="O13" s="291"/>
      <c r="P13" s="292"/>
      <c r="Q13" s="293" t="str">
        <f>'Check de dieta'!L50</f>
        <v>&gt; 38</v>
      </c>
      <c r="R13" s="217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4" t="str">
        <f>'Check de dieta'!D33</f>
        <v>Guabi Proequi 15 Melaçada</v>
      </c>
      <c r="F14" s="192">
        <f>'Check de dieta'!G33</f>
        <v>0.89</v>
      </c>
      <c r="G14" s="192">
        <f>'Check de dieta'!E33</f>
        <v>1</v>
      </c>
      <c r="H14" s="136"/>
      <c r="I14" s="294"/>
      <c r="J14" s="294"/>
      <c r="K14" s="294"/>
      <c r="L14" s="14"/>
      <c r="M14" s="199" t="str">
        <f>'Check de dieta'!I51</f>
        <v>Cálcio : Fósforo</v>
      </c>
      <c r="N14" s="295"/>
      <c r="O14" s="295"/>
      <c r="P14" s="296"/>
      <c r="Q14" s="297">
        <f>'Check de dieta'!L51</f>
        <v>2</v>
      </c>
      <c r="R14" s="217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4" t="str">
        <f>'Check de dieta'!D34</f>
        <v>Óleo vegetal</v>
      </c>
      <c r="F15" s="192">
        <f>'Check de dieta'!G34</f>
        <v>0.3</v>
      </c>
      <c r="G15" s="192">
        <f>'Check de dieta'!E34</f>
        <v>0.3</v>
      </c>
      <c r="H15" s="136"/>
      <c r="I15" s="227" t="s">
        <v>311</v>
      </c>
      <c r="J15" s="228" t="s">
        <v>290</v>
      </c>
      <c r="K15" s="240" t="s">
        <v>291</v>
      </c>
      <c r="L15" s="14"/>
      <c r="M15" s="199" t="str">
        <f>'Check de dieta'!I52</f>
        <v>Treonina:Lisina</v>
      </c>
      <c r="N15" s="295"/>
      <c r="O15" s="295"/>
      <c r="P15" s="296"/>
      <c r="Q15" s="297">
        <f>'Check de dieta'!L52</f>
        <v>0.61</v>
      </c>
      <c r="R15" s="217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4" t="str">
        <f>'Check de dieta'!D35</f>
        <v>Connect Pro Evolution</v>
      </c>
      <c r="F16" s="192">
        <f>'Check de dieta'!G35</f>
        <v>0.19800000000000001</v>
      </c>
      <c r="G16" s="192">
        <f>'Check de dieta'!E35</f>
        <v>0.2</v>
      </c>
      <c r="H16" s="136"/>
      <c r="I16" s="244" t="s">
        <v>4</v>
      </c>
      <c r="J16" s="192">
        <f>'Check de dieta'!E59</f>
        <v>3200.3999999999992</v>
      </c>
      <c r="K16" s="193">
        <f>'Check de dieta'!F59</f>
        <v>10.997938144329893</v>
      </c>
      <c r="L16" s="14"/>
      <c r="M16" s="298" t="str">
        <f>'Check de dieta'!I53</f>
        <v>Metionina:Lisina</v>
      </c>
      <c r="N16" s="299"/>
      <c r="O16" s="299"/>
      <c r="P16" s="296"/>
      <c r="Q16" s="300">
        <f>'Check de dieta'!L53</f>
        <v>0.27</v>
      </c>
      <c r="R16" s="217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4">
        <f>'Check de dieta'!D36</f>
        <v>0</v>
      </c>
      <c r="F17" s="192">
        <f>'Check de dieta'!G36</f>
        <v>0</v>
      </c>
      <c r="G17" s="192">
        <f>'Check de dieta'!E36</f>
        <v>0</v>
      </c>
      <c r="H17" s="136"/>
      <c r="I17" s="230" t="s">
        <v>5</v>
      </c>
      <c r="J17" s="192">
        <f>'Check de dieta'!E60</f>
        <v>254.06920000000002</v>
      </c>
      <c r="K17" s="193">
        <f>'Check de dieta'!F60</f>
        <v>20.325536000000003</v>
      </c>
      <c r="L17" s="14"/>
      <c r="M17" s="199" t="str">
        <f>'Check de dieta'!I54</f>
        <v>Triptofano:Lisina</v>
      </c>
      <c r="N17" s="295"/>
      <c r="O17" s="295"/>
      <c r="P17" s="296"/>
      <c r="Q17" s="301">
        <f>'Check de dieta'!L54</f>
        <v>0.2</v>
      </c>
      <c r="R17" s="217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4">
        <f>'Check de dieta'!D37</f>
        <v>0</v>
      </c>
      <c r="F18" s="192">
        <f>'Check de dieta'!G37</f>
        <v>0</v>
      </c>
      <c r="G18" s="192">
        <f>'Check de dieta'!E37</f>
        <v>0</v>
      </c>
      <c r="H18" s="136"/>
      <c r="I18" s="230" t="s">
        <v>6</v>
      </c>
      <c r="J18" s="192">
        <f>'Check de dieta'!E61</f>
        <v>4.9084000000000003</v>
      </c>
      <c r="K18" s="193">
        <f>'Check de dieta'!F61</f>
        <v>0.64372459016393446</v>
      </c>
      <c r="L18" s="14"/>
      <c r="M18" s="236" t="str">
        <f>'Check de dieta'!I55</f>
        <v>Volumoso (%PC)</v>
      </c>
      <c r="N18" s="291"/>
      <c r="O18" s="291"/>
      <c r="P18" s="296"/>
      <c r="Q18" s="297" t="str">
        <f>'Check de dieta'!L55</f>
        <v>&gt; 1%</v>
      </c>
      <c r="R18" s="302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4">
        <f>'Check de dieta'!D38</f>
        <v>0</v>
      </c>
      <c r="F19" s="192">
        <f>'Check de dieta'!G38</f>
        <v>0</v>
      </c>
      <c r="G19" s="192">
        <f>'Check de dieta'!E38</f>
        <v>0</v>
      </c>
      <c r="H19" s="136"/>
      <c r="I19" s="199" t="s">
        <v>7</v>
      </c>
      <c r="J19" s="192">
        <f>'Check de dieta'!E62</f>
        <v>39.046799999999998</v>
      </c>
      <c r="K19" s="193">
        <f>'Check de dieta'!F62</f>
        <v>11.569422222222222</v>
      </c>
      <c r="L19" s="14"/>
      <c r="M19" s="199" t="str">
        <f>'Check de dieta'!I56</f>
        <v>Número Mínimo Refeição (Concentrado)</v>
      </c>
      <c r="N19" s="295"/>
      <c r="O19" s="295"/>
      <c r="P19" s="303"/>
      <c r="Q19" s="304">
        <f>'Check de dieta'!L56</f>
        <v>3.6286407766990285</v>
      </c>
      <c r="R19" s="305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4">
        <f>'Check de dieta'!D39</f>
        <v>0</v>
      </c>
      <c r="F20" s="192">
        <f>'Check de dieta'!G39</f>
        <v>0</v>
      </c>
      <c r="G20" s="192">
        <f>'Check de dieta'!E39</f>
        <v>0</v>
      </c>
      <c r="H20" s="136"/>
      <c r="I20" s="206" t="s">
        <v>8</v>
      </c>
      <c r="J20" s="306">
        <f>'Check de dieta'!E63</f>
        <v>1.6777999999999995</v>
      </c>
      <c r="K20" s="208">
        <f>'Check de dieta'!F63</f>
        <v>0.67111999999999983</v>
      </c>
      <c r="L20" s="14"/>
      <c r="M20" s="307" t="str">
        <f>'Check de dieta'!I57</f>
        <v>CMS (%PC)</v>
      </c>
      <c r="N20" s="295"/>
      <c r="O20" s="295"/>
      <c r="P20" s="296"/>
      <c r="Q20" s="301" t="str">
        <f>'Check de dieta'!L57</f>
        <v>&gt; 2</v>
      </c>
      <c r="R20" s="308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09">
        <f>'Check de dieta'!D40</f>
        <v>0</v>
      </c>
      <c r="F21" s="306">
        <f>'Check de dieta'!G40</f>
        <v>0</v>
      </c>
      <c r="G21" s="310">
        <f>'Check de dieta'!E40</f>
        <v>0</v>
      </c>
      <c r="H21" s="136"/>
      <c r="I21" s="14"/>
      <c r="J21" s="14"/>
      <c r="K21" s="70"/>
      <c r="L21" s="14"/>
      <c r="M21" s="199" t="str">
        <f>'Check de dieta'!I58</f>
        <v>EE (g)(Máx x Fornecido dieta)</v>
      </c>
      <c r="N21" s="295"/>
      <c r="O21" s="295"/>
      <c r="P21" s="296"/>
      <c r="Q21" s="301">
        <f>'Check de dieta'!L58</f>
        <v>144.19999999999999</v>
      </c>
      <c r="R21" s="219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1"/>
      <c r="F22" s="14"/>
      <c r="G22" s="312"/>
      <c r="H22" s="136"/>
      <c r="I22" s="313" t="s">
        <v>324</v>
      </c>
      <c r="J22" s="214" t="s">
        <v>290</v>
      </c>
      <c r="K22" s="189" t="s">
        <v>291</v>
      </c>
      <c r="L22" s="14"/>
      <c r="M22" s="307" t="str">
        <f>'Check de dieta'!I59</f>
        <v>Ca/P</v>
      </c>
      <c r="N22" s="295"/>
      <c r="O22" s="295"/>
      <c r="P22" s="296"/>
      <c r="Q22" s="301" t="str">
        <f>'Check de dieta'!L59</f>
        <v>1,2 a 3,5</v>
      </c>
      <c r="R22" s="219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1"/>
      <c r="F23" s="14"/>
      <c r="G23" s="14"/>
      <c r="H23" s="136"/>
      <c r="I23" s="236" t="s">
        <v>14</v>
      </c>
      <c r="J23" s="192">
        <f>'Check de dieta'!E66</f>
        <v>341.66999999999996</v>
      </c>
      <c r="K23" s="193">
        <f>'Check de dieta'!F66</f>
        <v>30.506249999999998</v>
      </c>
      <c r="L23" s="14"/>
      <c r="M23" s="307" t="str">
        <f>'Check de dieta'!I60</f>
        <v>Ca/Mg</v>
      </c>
      <c r="N23" s="295"/>
      <c r="O23" s="295"/>
      <c r="P23" s="296"/>
      <c r="Q23" s="297" t="str">
        <f>'Check de dieta'!L60</f>
        <v>1,5 a 6,0</v>
      </c>
      <c r="R23" s="219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4" t="s">
        <v>355</v>
      </c>
      <c r="F24" s="315"/>
      <c r="G24" s="316"/>
      <c r="H24" s="136"/>
      <c r="I24" s="199" t="s">
        <v>15</v>
      </c>
      <c r="J24" s="192">
        <f>'Check de dieta'!E67</f>
        <v>219.86420000000001</v>
      </c>
      <c r="K24" s="193">
        <f>'Check de dieta'!F67</f>
        <v>27.483025000000001</v>
      </c>
      <c r="L24" s="49"/>
      <c r="M24" s="317" t="str">
        <f>'Check de dieta'!I61</f>
        <v>Zn/Cu</v>
      </c>
      <c r="N24" s="295"/>
      <c r="O24" s="299"/>
      <c r="P24" s="296"/>
      <c r="Q24" s="300" t="str">
        <f>'Check de dieta'!L61</f>
        <v>&lt;3 jovens</v>
      </c>
      <c r="R24" s="217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18"/>
      <c r="F25" s="14"/>
      <c r="G25" s="319"/>
      <c r="H25" s="49"/>
      <c r="I25" s="199" t="s">
        <v>16</v>
      </c>
      <c r="J25" s="192">
        <f>'Check de dieta'!E68</f>
        <v>38.831400000000009</v>
      </c>
      <c r="K25" s="193" t="str">
        <f>'Check de dieta'!F68</f>
        <v/>
      </c>
      <c r="L25" s="49"/>
      <c r="M25" s="307" t="str">
        <f>'Check de dieta'!I62</f>
        <v>Zn/Cu</v>
      </c>
      <c r="N25" s="295"/>
      <c r="O25" s="295"/>
      <c r="P25" s="296"/>
      <c r="Q25" s="301" t="str">
        <f>'Check de dieta'!L62</f>
        <v>&lt;6 adultos</v>
      </c>
      <c r="R25" s="217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18"/>
      <c r="F26" s="14"/>
      <c r="G26" s="319"/>
      <c r="H26" s="136"/>
      <c r="I26" s="199" t="s">
        <v>17</v>
      </c>
      <c r="J26" s="192">
        <f>'Check de dieta'!E69</f>
        <v>117</v>
      </c>
      <c r="K26" s="193" t="str">
        <f>'Check de dieta'!F69</f>
        <v/>
      </c>
      <c r="L26" s="49"/>
      <c r="M26" s="307" t="str">
        <f>'Check de dieta'!I63</f>
        <v>Mn/Zn</v>
      </c>
      <c r="N26" s="295"/>
      <c r="O26" s="295"/>
      <c r="P26" s="296"/>
      <c r="Q26" s="297" t="str">
        <f>'Check de dieta'!L63</f>
        <v>1 a 2</v>
      </c>
      <c r="R26" s="217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0"/>
      <c r="F27" s="14"/>
      <c r="G27" s="319"/>
      <c r="H27" s="136"/>
      <c r="I27" s="199" t="s">
        <v>18</v>
      </c>
      <c r="J27" s="192">
        <f>'Check de dieta'!E70</f>
        <v>8.8092000000000006</v>
      </c>
      <c r="K27" s="193" t="str">
        <f>'Check de dieta'!F70</f>
        <v/>
      </c>
      <c r="L27" s="49"/>
      <c r="M27" s="317" t="str">
        <f>'Check de dieta'!I64</f>
        <v>Mn/Cu</v>
      </c>
      <c r="N27" s="295"/>
      <c r="O27" s="299"/>
      <c r="P27" s="296"/>
      <c r="Q27" s="300" t="str">
        <f>'Check de dieta'!L64</f>
        <v>2,25 a 5</v>
      </c>
      <c r="R27" s="321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0"/>
      <c r="F28" s="14"/>
      <c r="G28" s="319"/>
      <c r="H28" s="136"/>
      <c r="I28" s="199" t="s">
        <v>19</v>
      </c>
      <c r="J28" s="192">
        <f>'Check de dieta'!E71</f>
        <v>0</v>
      </c>
      <c r="K28" s="193" t="str">
        <f>'Check de dieta'!F71</f>
        <v/>
      </c>
      <c r="L28" s="49"/>
      <c r="M28" s="322" t="str">
        <f>'Check de dieta'!I65</f>
        <v>K/Na</v>
      </c>
      <c r="N28" s="323"/>
      <c r="O28" s="323"/>
      <c r="P28" s="324"/>
      <c r="Q28" s="325" t="str">
        <f>'Check de dieta'!L65</f>
        <v>1,5 a 6,0</v>
      </c>
      <c r="R28" s="326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0"/>
      <c r="F29" s="14"/>
      <c r="G29" s="319"/>
      <c r="H29" s="136"/>
      <c r="I29" s="206" t="s">
        <v>20</v>
      </c>
      <c r="J29" s="207">
        <f>'Check de dieta'!E72</f>
        <v>46.729799999999997</v>
      </c>
      <c r="K29" s="208" t="str">
        <f>'Check de dieta'!F72</f>
        <v/>
      </c>
      <c r="L29" s="49"/>
      <c r="M29" s="49"/>
      <c r="N29" s="49"/>
      <c r="O29" s="136"/>
      <c r="P29" s="327"/>
      <c r="Q29" s="237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0"/>
      <c r="F30" s="14"/>
      <c r="G30" s="319"/>
      <c r="H30" s="136"/>
      <c r="I30" s="14"/>
      <c r="J30" s="14"/>
      <c r="K30" s="294"/>
      <c r="L30" s="49"/>
      <c r="M30" s="328" t="s">
        <v>356</v>
      </c>
      <c r="N30" s="237"/>
      <c r="O30" s="327"/>
      <c r="P30" s="315"/>
      <c r="Q30" s="315"/>
      <c r="R30" s="316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0"/>
      <c r="F31" s="14"/>
      <c r="G31" s="319"/>
      <c r="H31" s="136"/>
      <c r="I31" s="329" t="s">
        <v>326</v>
      </c>
      <c r="J31" s="330" t="s">
        <v>290</v>
      </c>
      <c r="K31" s="240" t="s">
        <v>291</v>
      </c>
      <c r="L31" s="49"/>
      <c r="M31" s="331"/>
      <c r="N31" s="49"/>
      <c r="O31" s="136"/>
      <c r="P31" s="14"/>
      <c r="Q31" s="14"/>
      <c r="R31" s="319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0"/>
      <c r="F32" s="14"/>
      <c r="G32" s="319"/>
      <c r="H32" s="136"/>
      <c r="I32" s="236" t="s">
        <v>21</v>
      </c>
      <c r="J32" s="192">
        <f>'Check de dieta'!E75</f>
        <v>1.8504</v>
      </c>
      <c r="K32" s="193" t="str">
        <f>'Check de dieta'!F75</f>
        <v/>
      </c>
      <c r="L32" s="49"/>
      <c r="M32" s="331"/>
      <c r="N32" s="49"/>
      <c r="O32" s="136"/>
      <c r="P32" s="14"/>
      <c r="Q32" s="14"/>
      <c r="R32" s="319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0"/>
      <c r="F33" s="14"/>
      <c r="G33" s="319"/>
      <c r="H33" s="136"/>
      <c r="I33" s="199" t="s">
        <v>22</v>
      </c>
      <c r="J33" s="192">
        <f>'Check de dieta'!E76</f>
        <v>278.42867999999999</v>
      </c>
      <c r="K33" s="193" t="str">
        <f>'Check de dieta'!F76</f>
        <v/>
      </c>
      <c r="L33" s="49"/>
      <c r="M33" s="331"/>
      <c r="N33" s="49"/>
      <c r="O33" s="136"/>
      <c r="P33" s="14"/>
      <c r="Q33" s="14"/>
      <c r="R33" s="319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0"/>
      <c r="F34" s="14"/>
      <c r="G34" s="319"/>
      <c r="H34" s="136"/>
      <c r="I34" s="199" t="s">
        <v>23</v>
      </c>
      <c r="J34" s="192">
        <f>'Check de dieta'!E77</f>
        <v>3.2889599999999999</v>
      </c>
      <c r="K34" s="193" t="str">
        <f>'Check de dieta'!F77</f>
        <v/>
      </c>
      <c r="L34" s="49"/>
      <c r="M34" s="331"/>
      <c r="N34" s="49"/>
      <c r="O34" s="136"/>
      <c r="P34" s="14"/>
      <c r="Q34" s="14"/>
      <c r="R34" s="319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0"/>
      <c r="F35" s="14"/>
      <c r="G35" s="319"/>
      <c r="H35" s="136"/>
      <c r="I35" s="199" t="s">
        <v>24</v>
      </c>
      <c r="J35" s="192">
        <f>'Check de dieta'!E78</f>
        <v>2824.8420000000001</v>
      </c>
      <c r="K35" s="193" t="str">
        <f>'Check de dieta'!F78</f>
        <v/>
      </c>
      <c r="L35" s="49"/>
      <c r="M35" s="331"/>
      <c r="N35" s="49"/>
      <c r="O35" s="136"/>
      <c r="P35" s="14"/>
      <c r="Q35" s="14"/>
      <c r="R35" s="319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0"/>
      <c r="F36" s="14"/>
      <c r="G36" s="319"/>
      <c r="H36" s="14"/>
      <c r="I36" s="199" t="s">
        <v>25</v>
      </c>
      <c r="J36" s="192">
        <f>'Check de dieta'!E79</f>
        <v>1278.8400000000001</v>
      </c>
      <c r="K36" s="193" t="str">
        <f>'Check de dieta'!F79</f>
        <v/>
      </c>
      <c r="L36" s="14"/>
      <c r="M36" s="320"/>
      <c r="N36" s="14"/>
      <c r="O36" s="14"/>
      <c r="P36" s="14"/>
      <c r="Q36" s="14"/>
      <c r="R36" s="319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0"/>
      <c r="F37" s="14"/>
      <c r="G37" s="319"/>
      <c r="H37" s="14"/>
      <c r="I37" s="199" t="s">
        <v>26</v>
      </c>
      <c r="J37" s="192">
        <f>'Check de dieta'!E80</f>
        <v>11.624399999999998</v>
      </c>
      <c r="K37" s="193" t="str">
        <f>'Check de dieta'!F80</f>
        <v/>
      </c>
      <c r="L37" s="14"/>
      <c r="M37" s="320"/>
      <c r="N37" s="14"/>
      <c r="O37" s="14"/>
      <c r="P37" s="14"/>
      <c r="Q37" s="14"/>
      <c r="R37" s="319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0"/>
      <c r="F38" s="14"/>
      <c r="G38" s="319"/>
      <c r="H38" s="14"/>
      <c r="I38" s="206" t="s">
        <v>27</v>
      </c>
      <c r="J38" s="207">
        <f>'Check de dieta'!E81</f>
        <v>1299.72</v>
      </c>
      <c r="K38" s="208" t="str">
        <f>'Check de dieta'!F81</f>
        <v/>
      </c>
      <c r="L38" s="14"/>
      <c r="M38" s="320"/>
      <c r="N38" s="14"/>
      <c r="O38" s="14"/>
      <c r="P38" s="14"/>
      <c r="Q38" s="14"/>
      <c r="R38" s="319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0"/>
      <c r="F39" s="14"/>
      <c r="G39" s="319"/>
      <c r="H39" s="14"/>
      <c r="I39" s="211"/>
      <c r="J39" s="211"/>
      <c r="K39" s="211"/>
      <c r="L39" s="14"/>
      <c r="M39" s="320"/>
      <c r="N39" s="14"/>
      <c r="O39" s="14"/>
      <c r="P39" s="14"/>
      <c r="Q39" s="14"/>
      <c r="R39" s="319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0"/>
      <c r="F40" s="14"/>
      <c r="G40" s="319"/>
      <c r="H40" s="14"/>
      <c r="I40" s="332" t="s">
        <v>327</v>
      </c>
      <c r="J40" s="228" t="s">
        <v>290</v>
      </c>
      <c r="K40" s="240" t="s">
        <v>291</v>
      </c>
      <c r="L40" s="14"/>
      <c r="M40" s="320"/>
      <c r="N40" s="14"/>
      <c r="O40" s="14"/>
      <c r="P40" s="14"/>
      <c r="Q40" s="14"/>
      <c r="R40" s="319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3"/>
      <c r="F41" s="70"/>
      <c r="G41" s="334"/>
      <c r="H41" s="14"/>
      <c r="I41" s="236" t="s">
        <v>28</v>
      </c>
      <c r="J41" s="192">
        <f>'Check de dieta'!E84</f>
        <v>1507.3740000000003</v>
      </c>
      <c r="K41" s="193" t="str">
        <f>'Check de dieta'!F84</f>
        <v/>
      </c>
      <c r="L41" s="14"/>
      <c r="M41" s="320"/>
      <c r="N41" s="14"/>
      <c r="O41" s="14"/>
      <c r="P41" s="14"/>
      <c r="Q41" s="14"/>
      <c r="R41" s="319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199" t="s">
        <v>29</v>
      </c>
      <c r="J42" s="192">
        <f>'Check de dieta'!E85</f>
        <v>6160.9679999999998</v>
      </c>
      <c r="K42" s="193" t="str">
        <f>'Check de dieta'!F85</f>
        <v/>
      </c>
      <c r="L42" s="14"/>
      <c r="M42" s="320"/>
      <c r="N42" s="14"/>
      <c r="O42" s="14"/>
      <c r="P42" s="14"/>
      <c r="Q42" s="14"/>
      <c r="R42" s="319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199" t="s">
        <v>30</v>
      </c>
      <c r="J43" s="192">
        <f>'Check de dieta'!E86</f>
        <v>696.66600000000005</v>
      </c>
      <c r="K43" s="193" t="str">
        <f>'Check de dieta'!F86</f>
        <v/>
      </c>
      <c r="L43" s="14"/>
      <c r="M43" s="320"/>
      <c r="N43" s="14"/>
      <c r="O43" s="14"/>
      <c r="P43" s="14"/>
      <c r="Q43" s="14"/>
      <c r="R43" s="319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199" t="s">
        <v>31</v>
      </c>
      <c r="J44" s="192">
        <f>'Check de dieta'!E87</f>
        <v>2.1749999999999998</v>
      </c>
      <c r="K44" s="193" t="str">
        <f>'Check de dieta'!F87</f>
        <v/>
      </c>
      <c r="L44" s="14"/>
      <c r="M44" s="320"/>
      <c r="N44" s="14"/>
      <c r="O44" s="14"/>
      <c r="P44" s="14"/>
      <c r="Q44" s="14"/>
      <c r="R44" s="319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6" t="s">
        <v>32</v>
      </c>
      <c r="J45" s="207">
        <f>'Check de dieta'!E88</f>
        <v>1.0874999999999999</v>
      </c>
      <c r="K45" s="208" t="str">
        <f>'Check de dieta'!F88</f>
        <v/>
      </c>
      <c r="L45" s="14"/>
      <c r="M45" s="333"/>
      <c r="N45" s="70"/>
      <c r="O45" s="70"/>
      <c r="P45" s="70"/>
      <c r="Q45" s="70"/>
      <c r="R45" s="334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7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7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7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7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7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7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7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7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7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7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7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7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7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7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7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7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7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7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7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7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7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7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7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7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7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7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7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7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7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7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7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7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7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7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7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7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7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7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7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7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7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7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7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7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7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7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7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7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7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7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7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7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7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7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7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7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7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7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7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7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7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7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7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7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7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7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7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7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7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7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7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7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7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Início</vt:lpstr>
      <vt:lpstr>Alimentos</vt:lpstr>
      <vt:lpstr>Exigências</vt:lpstr>
      <vt:lpstr>ExigenciaLeitura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2025-09-22T18:07:48Z</dcterms:modified>
</cp:coreProperties>
</file>